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aveExternalLinkValues="0"/>
  <mc:AlternateContent xmlns:mc="http://schemas.openxmlformats.org/markup-compatibility/2006">
    <mc:Choice Requires="x15">
      <x15ac:absPath xmlns:x15ac="http://schemas.microsoft.com/office/spreadsheetml/2010/11/ac" url="C:\Users\Usuario\Downloads\"/>
    </mc:Choice>
  </mc:AlternateContent>
  <xr:revisionPtr revIDLastSave="0" documentId="13_ncr:1_{80F98487-A77D-4BBA-8CF1-AC7ADE466A5D}" xr6:coauthVersionLast="47" xr6:coauthVersionMax="47" xr10:uidLastSave="{00000000-0000-0000-0000-000000000000}"/>
  <workbookProtection workbookAlgorithmName="SHA-512" workbookHashValue="vLZyvhNK/dsyiz2Yt3WTf/XgAYPBVrYlDoB1Vug0IaW/Qhmer6C+CF6M3m/GBOEcYCujv6z3fWoXqhx62joD7g==" workbookSaltValue="0LCLyRL7ywK/Y/3HYS18XQ==" workbookSpinCount="100000" lockStructure="1"/>
  <bookViews>
    <workbookView xWindow="-108" yWindow="-108" windowWidth="23256" windowHeight="12456" tabRatio="676" xr2:uid="{00000000-000D-0000-FFFF-FFFF00000000}"/>
  </bookViews>
  <sheets>
    <sheet name="Indicaciones" sheetId="34" r:id="rId1"/>
    <sheet name="Datos de la organización" sheetId="8" r:id="rId2"/>
    <sheet name="Resultados" sheetId="35" r:id="rId3"/>
    <sheet name="A1-Fuentes móviles" sheetId="13" r:id="rId4"/>
    <sheet name="A1-Fuentes fijas" sheetId="2" r:id="rId5"/>
    <sheet name="A1-IPPU" sheetId="14" r:id="rId6"/>
    <sheet name="A1- Otros procesos" sheetId="15" r:id="rId7"/>
    <sheet name="A1-Refrigerantes" sheetId="16" r:id="rId8"/>
    <sheet name="A1-Gestión de residuos y aguas " sheetId="17" r:id="rId9"/>
    <sheet name="A1-Equipos eléctricos" sheetId="18" r:id="rId10"/>
    <sheet name="A2-Consumo de electricidad" sheetId="26" r:id="rId11"/>
    <sheet name="A3-Transporte de empleados" sheetId="33" r:id="rId12"/>
    <sheet name="A3-Viajes de negocio" sheetId="32" r:id="rId13"/>
    <sheet name="A3-Transporte de carga" sheetId="31" r:id="rId14"/>
    <sheet name="A3-Bienes y servicios comprados" sheetId="30" r:id="rId15"/>
    <sheet name="A3-R. generados en operaciones" sheetId="28" r:id="rId16"/>
    <sheet name="A3-Otras fuentes" sheetId="25" r:id="rId17"/>
    <sheet name="Medidas de mitigación" sheetId="36" r:id="rId18"/>
    <sheet name="A1 y A2-Valores por defecto" sheetId="3" r:id="rId19"/>
    <sheet name="A3-Valores por defecto" sheetId="27" r:id="rId20"/>
  </sheets>
  <definedNames>
    <definedName name="_xlnm._FilterDatabase" localSheetId="14" hidden="1">'A3-Bienes y servicios comprados'!$B$6:$AE$12</definedName>
    <definedName name="_xlnm._FilterDatabase" localSheetId="15" hidden="1">'A3-R. generados en operaciones'!$B$6:$AK$41</definedName>
    <definedName name="_xlnm._FilterDatabase" localSheetId="17" hidden="1">'Medidas de mitigación'!$A$1:$C$48</definedName>
    <definedName name="DensidadMadera">#REF!</definedName>
    <definedName name="fCg" localSheetId="14">#REF!</definedName>
    <definedName name="fCg" localSheetId="13">#REF!</definedName>
    <definedName name="fCg" localSheetId="11">#REF!</definedName>
    <definedName name="fCg" localSheetId="19">#REF!</definedName>
    <definedName name="fCg" localSheetId="12">#REF!</definedName>
    <definedName name="fCg">#REF!</definedName>
    <definedName name="IncrementoBiomasa">#REF!</definedName>
    <definedName name="RelacionBs_Ba">#REF!</definedName>
  </definedNames>
  <calcPr calcId="191029"/>
</workbook>
</file>

<file path=xl/calcChain.xml><?xml version="1.0" encoding="utf-8"?>
<calcChain xmlns="http://schemas.openxmlformats.org/spreadsheetml/2006/main">
  <c r="R8" i="26" l="1"/>
  <c r="AB19" i="2" l="1"/>
  <c r="AB18" i="2"/>
  <c r="AB17" i="2"/>
  <c r="AB16" i="2"/>
  <c r="AB15" i="2"/>
  <c r="AB14" i="2"/>
  <c r="AB13" i="2"/>
  <c r="AB12" i="2"/>
  <c r="AB11" i="2"/>
  <c r="AB10" i="2"/>
  <c r="AB9" i="2"/>
  <c r="AB8" i="2"/>
  <c r="X19" i="2"/>
  <c r="X18" i="2"/>
  <c r="X17" i="2"/>
  <c r="X16" i="2"/>
  <c r="X15" i="2"/>
  <c r="X14" i="2"/>
  <c r="X13" i="2"/>
  <c r="X12" i="2"/>
  <c r="X11" i="2"/>
  <c r="X10" i="2"/>
  <c r="X9" i="2"/>
  <c r="X8" i="2"/>
  <c r="T19" i="2"/>
  <c r="T18" i="2"/>
  <c r="T17" i="2"/>
  <c r="T16" i="2"/>
  <c r="T15" i="2"/>
  <c r="T14" i="2"/>
  <c r="T13" i="2"/>
  <c r="T12" i="2"/>
  <c r="T11" i="2"/>
  <c r="T10" i="2"/>
  <c r="T9" i="2"/>
  <c r="T8" i="2"/>
  <c r="D18" i="2"/>
  <c r="D19" i="2"/>
  <c r="D17" i="2"/>
  <c r="D15" i="2"/>
  <c r="D16" i="2"/>
  <c r="D14" i="2"/>
  <c r="D12" i="2"/>
  <c r="D13" i="2"/>
  <c r="D11" i="2"/>
  <c r="D9" i="2"/>
  <c r="D10" i="2"/>
  <c r="D8" i="2"/>
  <c r="G16" i="3"/>
  <c r="G38" i="3"/>
  <c r="F11" i="3"/>
  <c r="N13" i="3" l="1"/>
  <c r="I9" i="3"/>
  <c r="S8" i="2" s="1"/>
  <c r="M50" i="3"/>
  <c r="K69" i="3" s="1"/>
  <c r="K61" i="3" l="1"/>
  <c r="K76" i="3"/>
  <c r="K71" i="3"/>
  <c r="K68" i="3"/>
  <c r="K63" i="3"/>
  <c r="K70" i="3"/>
  <c r="K62" i="3"/>
  <c r="K75" i="3"/>
  <c r="K67" i="3"/>
  <c r="K74" i="3"/>
  <c r="K66" i="3"/>
  <c r="K73" i="3"/>
  <c r="K65" i="3"/>
  <c r="W12" i="13" s="1"/>
  <c r="K72" i="3"/>
  <c r="K64" i="3"/>
  <c r="U9" i="33" l="1"/>
  <c r="U10" i="33"/>
  <c r="U11" i="33"/>
  <c r="U12" i="33"/>
  <c r="U8" i="33"/>
  <c r="S8" i="33"/>
  <c r="S9" i="33"/>
  <c r="S10" i="33"/>
  <c r="S11" i="33"/>
  <c r="S12" i="33"/>
  <c r="P8" i="33"/>
  <c r="P9" i="33"/>
  <c r="P10" i="33"/>
  <c r="P11" i="33"/>
  <c r="P12" i="33"/>
  <c r="I17" i="3" l="1"/>
  <c r="F56" i="3"/>
  <c r="H56" i="3" s="1"/>
  <c r="F55" i="3"/>
  <c r="M55" i="3" s="1"/>
  <c r="W14" i="13" s="1"/>
  <c r="F48" i="3"/>
  <c r="R48" i="3" s="1"/>
  <c r="AA9" i="13" s="1"/>
  <c r="F47" i="3"/>
  <c r="R47" i="3" s="1"/>
  <c r="H51" i="3"/>
  <c r="H50" i="3"/>
  <c r="Z10" i="30"/>
  <c r="G120" i="3"/>
  <c r="G121" i="3"/>
  <c r="G122" i="3"/>
  <c r="G123" i="3"/>
  <c r="G124" i="3"/>
  <c r="G125" i="3"/>
  <c r="G126" i="3"/>
  <c r="G127" i="3"/>
  <c r="G119" i="3"/>
  <c r="S8" i="15"/>
  <c r="G75" i="3" l="1"/>
  <c r="G68" i="3"/>
  <c r="G76" i="3"/>
  <c r="G61" i="3"/>
  <c r="G62" i="3"/>
  <c r="G70" i="3"/>
  <c r="G63" i="3"/>
  <c r="G71" i="3"/>
  <c r="G64" i="3"/>
  <c r="G72" i="3"/>
  <c r="G65" i="3"/>
  <c r="S12" i="13" s="1"/>
  <c r="G73" i="3"/>
  <c r="G66" i="3"/>
  <c r="G74" i="3"/>
  <c r="G67" i="3"/>
  <c r="G69" i="3"/>
  <c r="H68" i="3"/>
  <c r="H76" i="3"/>
  <c r="H62" i="3"/>
  <c r="H70" i="3"/>
  <c r="H63" i="3"/>
  <c r="H71" i="3"/>
  <c r="H64" i="3"/>
  <c r="H72" i="3"/>
  <c r="H65" i="3"/>
  <c r="H73" i="3"/>
  <c r="H66" i="3"/>
  <c r="H74" i="3"/>
  <c r="H67" i="3"/>
  <c r="H75" i="3"/>
  <c r="H69" i="3"/>
  <c r="H61" i="3"/>
  <c r="AA10" i="13"/>
  <c r="AA8" i="13"/>
  <c r="M51" i="3"/>
  <c r="H55" i="3"/>
  <c r="H48" i="3"/>
  <c r="H47" i="3"/>
  <c r="S8" i="13" s="1"/>
  <c r="M47" i="3"/>
  <c r="R50" i="3"/>
  <c r="M48" i="3"/>
  <c r="W9" i="13" s="1"/>
  <c r="R51" i="3"/>
  <c r="R55" i="3"/>
  <c r="AA14" i="13" s="1"/>
  <c r="R56" i="3"/>
  <c r="M56" i="3"/>
  <c r="W11" i="30"/>
  <c r="V11" i="30"/>
  <c r="S11" i="30"/>
  <c r="R11" i="30"/>
  <c r="AB11" i="30" s="1"/>
  <c r="AC11" i="30" s="1"/>
  <c r="AE11" i="30" s="1"/>
  <c r="E11" i="30"/>
  <c r="E10" i="30"/>
  <c r="W10" i="13" l="1"/>
  <c r="W8" i="13"/>
  <c r="W15" i="13"/>
  <c r="W16" i="13"/>
  <c r="AA15" i="13"/>
  <c r="AA16" i="13"/>
  <c r="S13" i="13"/>
  <c r="S11" i="13"/>
  <c r="L62" i="3"/>
  <c r="L70" i="3"/>
  <c r="L61" i="3"/>
  <c r="L63" i="3"/>
  <c r="L71" i="3"/>
  <c r="L65" i="3"/>
  <c r="L73" i="3"/>
  <c r="L64" i="3"/>
  <c r="L66" i="3"/>
  <c r="L74" i="3"/>
  <c r="L72" i="3"/>
  <c r="L67" i="3"/>
  <c r="L75" i="3"/>
  <c r="L68" i="3"/>
  <c r="L76" i="3"/>
  <c r="L69" i="3"/>
  <c r="O62" i="3"/>
  <c r="O70" i="3"/>
  <c r="O63" i="3"/>
  <c r="O71" i="3"/>
  <c r="O69" i="3"/>
  <c r="O64" i="3"/>
  <c r="O72" i="3"/>
  <c r="O61" i="3"/>
  <c r="O65" i="3"/>
  <c r="AA12" i="13" s="1"/>
  <c r="O73" i="3"/>
  <c r="O66" i="3"/>
  <c r="O74" i="3"/>
  <c r="O67" i="3"/>
  <c r="O75" i="3"/>
  <c r="O68" i="3"/>
  <c r="O76" i="3"/>
  <c r="P62" i="3"/>
  <c r="P70" i="3"/>
  <c r="P71" i="3"/>
  <c r="P63" i="3"/>
  <c r="P64" i="3"/>
  <c r="P72" i="3"/>
  <c r="P65" i="3"/>
  <c r="P73" i="3"/>
  <c r="P75" i="3"/>
  <c r="P76" i="3"/>
  <c r="P66" i="3"/>
  <c r="P74" i="3"/>
  <c r="P61" i="3"/>
  <c r="P67" i="3"/>
  <c r="P68" i="3"/>
  <c r="P69" i="3"/>
  <c r="U11" i="30"/>
  <c r="T11" i="30"/>
  <c r="AA13" i="13" l="1"/>
  <c r="AA11" i="13"/>
  <c r="W11" i="13"/>
  <c r="W13" i="13"/>
  <c r="C119" i="3"/>
  <c r="C120" i="3"/>
  <c r="C121" i="3"/>
  <c r="C122" i="3"/>
  <c r="C123" i="3"/>
  <c r="C124" i="3"/>
  <c r="C125" i="3"/>
  <c r="C126" i="3"/>
  <c r="C114" i="3"/>
  <c r="C115" i="3"/>
  <c r="C110" i="3"/>
  <c r="E110" i="3" s="1"/>
  <c r="C109" i="3"/>
  <c r="I109" i="3"/>
  <c r="S28" i="3"/>
  <c r="AA16" i="2" s="1"/>
  <c r="S20" i="3"/>
  <c r="AA11" i="2" s="1"/>
  <c r="N28" i="3"/>
  <c r="W16" i="2" s="1"/>
  <c r="N20" i="3"/>
  <c r="W11" i="2" s="1"/>
  <c r="N98" i="3"/>
  <c r="J98" i="3"/>
  <c r="F98" i="3"/>
  <c r="W11" i="16"/>
  <c r="W12" i="16"/>
  <c r="W13" i="16"/>
  <c r="W14" i="16"/>
  <c r="W15" i="16"/>
  <c r="W16" i="16"/>
  <c r="W17" i="16"/>
  <c r="S11" i="16"/>
  <c r="T11" i="16" s="1"/>
  <c r="S12" i="16"/>
  <c r="U12" i="16" s="1"/>
  <c r="S13" i="16"/>
  <c r="T13" i="16" s="1"/>
  <c r="S14" i="16"/>
  <c r="U14" i="16" s="1"/>
  <c r="S15" i="16"/>
  <c r="T15" i="16" s="1"/>
  <c r="S16" i="16"/>
  <c r="U16" i="16" s="1"/>
  <c r="S17" i="16"/>
  <c r="U17" i="16" s="1"/>
  <c r="R19" i="16"/>
  <c r="R16" i="16"/>
  <c r="R17" i="16"/>
  <c r="R11" i="16"/>
  <c r="R12" i="16"/>
  <c r="R13" i="16"/>
  <c r="R14" i="16"/>
  <c r="R8" i="17"/>
  <c r="T17" i="16" l="1"/>
  <c r="T16" i="16"/>
  <c r="U15" i="16"/>
  <c r="U13" i="16"/>
  <c r="U11" i="16"/>
  <c r="T14" i="16"/>
  <c r="E109" i="3"/>
  <c r="O98" i="3"/>
  <c r="T12" i="16"/>
  <c r="S12" i="15"/>
  <c r="AF15" i="15" l="1"/>
  <c r="AF16" i="15"/>
  <c r="AF14" i="15"/>
  <c r="D200" i="3"/>
  <c r="C200" i="3"/>
  <c r="N146" i="3"/>
  <c r="I140" i="3"/>
  <c r="P140" i="3" s="1"/>
  <c r="AE16" i="15" s="1"/>
  <c r="I139" i="3"/>
  <c r="J139" i="3" l="1"/>
  <c r="K139" i="3"/>
  <c r="L139" i="3"/>
  <c r="J145" i="3"/>
  <c r="K145" i="3"/>
  <c r="L145" i="3"/>
  <c r="O145" i="3"/>
  <c r="M146" i="3"/>
  <c r="P146" i="3" s="1"/>
  <c r="AE14" i="15" s="1"/>
  <c r="D16" i="16"/>
  <c r="D17" i="16"/>
  <c r="D11" i="16"/>
  <c r="D12" i="16"/>
  <c r="N91" i="3"/>
  <c r="J91" i="3"/>
  <c r="F91" i="3"/>
  <c r="AG12" i="25"/>
  <c r="AC12" i="25"/>
  <c r="Y12" i="25"/>
  <c r="AJ41" i="28"/>
  <c r="AF41" i="28"/>
  <c r="I21" i="31"/>
  <c r="D9" i="16"/>
  <c r="D10" i="16"/>
  <c r="D13" i="16"/>
  <c r="D14" i="16"/>
  <c r="D15" i="16"/>
  <c r="D18" i="16"/>
  <c r="D8" i="16"/>
  <c r="N9" i="3"/>
  <c r="W8" i="2" s="1"/>
  <c r="N10" i="3" l="1"/>
  <c r="S10" i="3"/>
  <c r="S25" i="3"/>
  <c r="N25" i="3"/>
  <c r="N21" i="3"/>
  <c r="S21" i="3"/>
  <c r="N36" i="3"/>
  <c r="S36" i="3"/>
  <c r="S22" i="3"/>
  <c r="N22" i="3"/>
  <c r="N37" i="3"/>
  <c r="S37" i="3"/>
  <c r="S14" i="3"/>
  <c r="AA9" i="2" s="1"/>
  <c r="N14" i="3"/>
  <c r="W9" i="2" s="1"/>
  <c r="S19" i="3"/>
  <c r="AA12" i="2" s="1"/>
  <c r="N19" i="3"/>
  <c r="W12" i="2" s="1"/>
  <c r="N30" i="3"/>
  <c r="S30" i="3"/>
  <c r="S34" i="3"/>
  <c r="N34" i="3"/>
  <c r="S39" i="3"/>
  <c r="AA18" i="2" s="1"/>
  <c r="N39" i="3"/>
  <c r="W18" i="2" s="1"/>
  <c r="S11" i="3"/>
  <c r="N11" i="3"/>
  <c r="S16" i="3"/>
  <c r="AA13" i="2" s="1"/>
  <c r="N16" i="3"/>
  <c r="W13" i="2" s="1"/>
  <c r="S26" i="3"/>
  <c r="N26" i="3"/>
  <c r="N31" i="3"/>
  <c r="S31" i="3"/>
  <c r="N40" i="3"/>
  <c r="W19" i="2" s="1"/>
  <c r="S40" i="3"/>
  <c r="AA19" i="2" s="1"/>
  <c r="S12" i="3"/>
  <c r="AA10" i="2" s="1"/>
  <c r="N12" i="3"/>
  <c r="W10" i="2" s="1"/>
  <c r="S17" i="3"/>
  <c r="N17" i="3"/>
  <c r="N27" i="3"/>
  <c r="W15" i="2" s="1"/>
  <c r="S27" i="3"/>
  <c r="AA15" i="2" s="1"/>
  <c r="N32" i="3"/>
  <c r="S32" i="3"/>
  <c r="N41" i="3"/>
  <c r="S41" i="3"/>
  <c r="S9" i="3"/>
  <c r="AA8" i="2" s="1"/>
  <c r="S13" i="3"/>
  <c r="S18" i="3"/>
  <c r="N18" i="3"/>
  <c r="S24" i="3"/>
  <c r="N24" i="3"/>
  <c r="S29" i="3"/>
  <c r="AA14" i="2" s="1"/>
  <c r="N29" i="3"/>
  <c r="W14" i="2" s="1"/>
  <c r="S35" i="3"/>
  <c r="N35" i="3"/>
  <c r="S38" i="3"/>
  <c r="AA17" i="2" s="1"/>
  <c r="N38" i="3"/>
  <c r="W17" i="2" s="1"/>
  <c r="S42" i="3"/>
  <c r="N42" i="3"/>
  <c r="P139" i="3"/>
  <c r="P145" i="3"/>
  <c r="O91" i="3"/>
  <c r="I39" i="3"/>
  <c r="S18" i="2" s="1"/>
  <c r="I35" i="3"/>
  <c r="I34" i="3"/>
  <c r="I24" i="3"/>
  <c r="I25" i="3"/>
  <c r="W9" i="18" l="1"/>
  <c r="W10" i="18"/>
  <c r="W8" i="18"/>
  <c r="V10" i="18"/>
  <c r="V9" i="18"/>
  <c r="V8" i="18"/>
  <c r="D9" i="18"/>
  <c r="D10" i="18"/>
  <c r="D8" i="18"/>
  <c r="AE21" i="17"/>
  <c r="AE20" i="17"/>
  <c r="AD21" i="17"/>
  <c r="AD20" i="17"/>
  <c r="AE18" i="17"/>
  <c r="AE19" i="17"/>
  <c r="AE17" i="17"/>
  <c r="AA21" i="17"/>
  <c r="AA20" i="17"/>
  <c r="Z21" i="17"/>
  <c r="Z20" i="17"/>
  <c r="AA18" i="17"/>
  <c r="AA19" i="17"/>
  <c r="AA17" i="17"/>
  <c r="AA15" i="17"/>
  <c r="AA16" i="17"/>
  <c r="AA14" i="17"/>
  <c r="D15" i="17"/>
  <c r="D16" i="17"/>
  <c r="D14" i="17"/>
  <c r="AA12" i="17"/>
  <c r="AA13" i="17"/>
  <c r="AA11" i="17"/>
  <c r="AA9" i="17"/>
  <c r="AA10" i="17"/>
  <c r="AA8" i="17"/>
  <c r="D12" i="17"/>
  <c r="D13" i="17"/>
  <c r="D11" i="17"/>
  <c r="D9" i="17"/>
  <c r="D10" i="17"/>
  <c r="D8" i="17"/>
  <c r="O186" i="3"/>
  <c r="AF9" i="15"/>
  <c r="AF10" i="15"/>
  <c r="AF8" i="15"/>
  <c r="AB15" i="15"/>
  <c r="AB16" i="15"/>
  <c r="AB14" i="15"/>
  <c r="AA15" i="15"/>
  <c r="AA16" i="15"/>
  <c r="AA14" i="15"/>
  <c r="AB12" i="15"/>
  <c r="AB13" i="15"/>
  <c r="AB11" i="15"/>
  <c r="AA12" i="15"/>
  <c r="AA13" i="15"/>
  <c r="AA11" i="15"/>
  <c r="E15" i="15"/>
  <c r="E16" i="15"/>
  <c r="E14" i="15"/>
  <c r="E12" i="15"/>
  <c r="E13" i="15"/>
  <c r="E11" i="15"/>
  <c r="X18" i="15"/>
  <c r="W19" i="15"/>
  <c r="W18" i="15"/>
  <c r="E18" i="15"/>
  <c r="W9" i="16" l="1"/>
  <c r="W10" i="16"/>
  <c r="W18" i="16"/>
  <c r="W8" i="16"/>
  <c r="V8" i="30"/>
  <c r="Z39" i="28"/>
  <c r="Z40" i="28"/>
  <c r="Z38" i="28"/>
  <c r="Y39" i="28"/>
  <c r="Y40" i="28"/>
  <c r="Y38" i="28"/>
  <c r="E39" i="28"/>
  <c r="E40" i="28"/>
  <c r="E38" i="28"/>
  <c r="Z36" i="28"/>
  <c r="Z37" i="28"/>
  <c r="Z35" i="28"/>
  <c r="Y36" i="28"/>
  <c r="Y37" i="28"/>
  <c r="Y35" i="28"/>
  <c r="E36" i="28"/>
  <c r="E37" i="28"/>
  <c r="E35" i="28"/>
  <c r="Z33" i="28"/>
  <c r="Z34" i="28"/>
  <c r="Z32" i="28"/>
  <c r="Y33" i="28"/>
  <c r="Y34" i="28"/>
  <c r="Y32" i="28"/>
  <c r="E33" i="28"/>
  <c r="E34" i="28"/>
  <c r="E32" i="28"/>
  <c r="Z30" i="28"/>
  <c r="Z31" i="28"/>
  <c r="Z29" i="28"/>
  <c r="Y30" i="28"/>
  <c r="Y31" i="28"/>
  <c r="Y29" i="28"/>
  <c r="E30" i="28"/>
  <c r="E31" i="28"/>
  <c r="E29" i="28"/>
  <c r="R27" i="28"/>
  <c r="R28" i="28"/>
  <c r="Z25" i="28"/>
  <c r="Z26" i="28"/>
  <c r="Z27" i="28"/>
  <c r="Z28" i="28"/>
  <c r="Z24" i="28"/>
  <c r="Y25" i="28"/>
  <c r="Y26" i="28"/>
  <c r="Y27" i="28"/>
  <c r="Y28" i="28"/>
  <c r="Y24" i="28"/>
  <c r="E25" i="28"/>
  <c r="E26" i="28"/>
  <c r="E27" i="28"/>
  <c r="E28" i="28"/>
  <c r="E24" i="28"/>
  <c r="E23" i="28"/>
  <c r="Z14" i="28"/>
  <c r="Z15" i="28"/>
  <c r="Z16" i="28"/>
  <c r="Z17" i="28"/>
  <c r="Z18" i="28"/>
  <c r="Z19" i="28"/>
  <c r="Z20" i="28"/>
  <c r="Z21" i="28"/>
  <c r="Z22" i="28"/>
  <c r="Z23" i="28"/>
  <c r="Z13" i="28"/>
  <c r="Y14" i="28"/>
  <c r="Y15" i="28"/>
  <c r="Y16" i="28"/>
  <c r="Y17" i="28"/>
  <c r="Y18" i="28"/>
  <c r="Y19" i="28"/>
  <c r="Y20" i="28"/>
  <c r="Y21" i="28"/>
  <c r="Y22" i="28"/>
  <c r="Y23" i="28"/>
  <c r="Y13" i="28"/>
  <c r="E14" i="28"/>
  <c r="E15" i="28"/>
  <c r="E16" i="28"/>
  <c r="E17" i="28"/>
  <c r="E18" i="28"/>
  <c r="E19" i="28"/>
  <c r="E20" i="28"/>
  <c r="E21" i="28"/>
  <c r="E22" i="28"/>
  <c r="E13" i="28"/>
  <c r="R16" i="28"/>
  <c r="R17" i="28"/>
  <c r="R18" i="28"/>
  <c r="R19" i="28"/>
  <c r="R20" i="28"/>
  <c r="R21" i="28"/>
  <c r="R22" i="28"/>
  <c r="R23" i="28"/>
  <c r="R11" i="28"/>
  <c r="R12" i="28"/>
  <c r="Z9" i="28"/>
  <c r="Z10" i="28"/>
  <c r="Z11" i="28"/>
  <c r="Z12" i="28"/>
  <c r="Z8" i="28"/>
  <c r="Y9" i="28"/>
  <c r="Y10" i="28"/>
  <c r="Y11" i="28"/>
  <c r="Y12" i="28"/>
  <c r="Y8" i="28"/>
  <c r="E9" i="28"/>
  <c r="E10" i="28"/>
  <c r="E11" i="28"/>
  <c r="E12" i="28"/>
  <c r="E8" i="28"/>
  <c r="AA10" i="30"/>
  <c r="W9" i="30"/>
  <c r="W8" i="30"/>
  <c r="V9" i="30"/>
  <c r="E9" i="30"/>
  <c r="E8" i="30"/>
  <c r="Z32" i="31"/>
  <c r="Y32" i="31"/>
  <c r="V32" i="31"/>
  <c r="U32" i="31"/>
  <c r="R32" i="31"/>
  <c r="Q32" i="31"/>
  <c r="J32" i="31"/>
  <c r="I32" i="31"/>
  <c r="Z31" i="31"/>
  <c r="Y31" i="31"/>
  <c r="V31" i="31"/>
  <c r="U31" i="31"/>
  <c r="R31" i="31"/>
  <c r="Q31" i="31"/>
  <c r="J31" i="31"/>
  <c r="I31" i="31"/>
  <c r="Z30" i="31"/>
  <c r="Y30" i="31"/>
  <c r="V30" i="31"/>
  <c r="U30" i="31"/>
  <c r="R30" i="31"/>
  <c r="Q30" i="31"/>
  <c r="J30" i="31"/>
  <c r="I30" i="31"/>
  <c r="K30" i="31" s="1"/>
  <c r="Z29" i="31"/>
  <c r="Y29" i="31"/>
  <c r="V29" i="31"/>
  <c r="U29" i="31"/>
  <c r="R29" i="31"/>
  <c r="Q29" i="31"/>
  <c r="J29" i="31"/>
  <c r="I29" i="31"/>
  <c r="Z28" i="31"/>
  <c r="Y28" i="31"/>
  <c r="V28" i="31"/>
  <c r="U28" i="31"/>
  <c r="R28" i="31"/>
  <c r="Q28" i="31"/>
  <c r="J28" i="31"/>
  <c r="I28" i="31"/>
  <c r="Z27" i="31"/>
  <c r="Y27" i="31"/>
  <c r="V27" i="31"/>
  <c r="U27" i="31"/>
  <c r="R27" i="31"/>
  <c r="Q27" i="31"/>
  <c r="J27" i="31"/>
  <c r="I27" i="31"/>
  <c r="K27" i="31" s="1"/>
  <c r="M27" i="31" s="1"/>
  <c r="Z26" i="31"/>
  <c r="Y26" i="31"/>
  <c r="V26" i="31"/>
  <c r="U26" i="31"/>
  <c r="R26" i="31"/>
  <c r="Q26" i="31"/>
  <c r="J26" i="31"/>
  <c r="I26" i="31"/>
  <c r="Z25" i="31"/>
  <c r="Y25" i="31"/>
  <c r="V25" i="31"/>
  <c r="U25" i="31"/>
  <c r="R25" i="31"/>
  <c r="Q25" i="31"/>
  <c r="J25" i="31"/>
  <c r="I25" i="31"/>
  <c r="Z24" i="31"/>
  <c r="Y24" i="31"/>
  <c r="V24" i="31"/>
  <c r="U24" i="31"/>
  <c r="R24" i="31"/>
  <c r="Q24" i="31"/>
  <c r="J24" i="31"/>
  <c r="I24" i="31"/>
  <c r="K24" i="31" s="1"/>
  <c r="M24" i="31" s="1"/>
  <c r="Z23" i="31"/>
  <c r="Y23" i="31"/>
  <c r="V23" i="31"/>
  <c r="U23" i="31"/>
  <c r="R23" i="31"/>
  <c r="Q23" i="31"/>
  <c r="J23" i="31"/>
  <c r="I23" i="31"/>
  <c r="Z22" i="31"/>
  <c r="Y22" i="31"/>
  <c r="V22" i="31"/>
  <c r="U22" i="31"/>
  <c r="R22" i="31"/>
  <c r="Q22" i="31"/>
  <c r="J22" i="31"/>
  <c r="I22" i="31"/>
  <c r="Z21" i="31"/>
  <c r="Y21" i="31"/>
  <c r="V21" i="31"/>
  <c r="U21" i="31"/>
  <c r="R21" i="31"/>
  <c r="Q21" i="31"/>
  <c r="J21" i="31"/>
  <c r="K21" i="31"/>
  <c r="Z14" i="31"/>
  <c r="Y14" i="31"/>
  <c r="R14" i="31"/>
  <c r="Z9" i="31"/>
  <c r="Z10" i="31"/>
  <c r="Z11" i="31"/>
  <c r="Z12" i="31"/>
  <c r="Z13" i="31"/>
  <c r="Z15" i="31"/>
  <c r="Z16" i="31"/>
  <c r="Z17" i="31"/>
  <c r="Z18" i="31"/>
  <c r="Z19" i="31"/>
  <c r="Z8" i="31"/>
  <c r="Y9" i="31"/>
  <c r="Y10" i="31"/>
  <c r="Y11" i="31"/>
  <c r="Y12" i="31"/>
  <c r="Y13" i="31"/>
  <c r="Y15" i="31"/>
  <c r="Y16" i="31"/>
  <c r="Y17" i="31"/>
  <c r="Y18" i="31"/>
  <c r="Y19" i="31"/>
  <c r="Y8" i="31"/>
  <c r="V9" i="31"/>
  <c r="V10" i="31"/>
  <c r="V11" i="31"/>
  <c r="V12" i="31"/>
  <c r="V13" i="31"/>
  <c r="V14" i="31"/>
  <c r="V15" i="31"/>
  <c r="V16" i="31"/>
  <c r="V17" i="31"/>
  <c r="V18" i="31"/>
  <c r="V19" i="31"/>
  <c r="V8" i="31"/>
  <c r="U9" i="31"/>
  <c r="U10" i="31"/>
  <c r="U11" i="31"/>
  <c r="U12" i="31"/>
  <c r="U13" i="31"/>
  <c r="U14" i="31"/>
  <c r="U15" i="31"/>
  <c r="U16" i="31"/>
  <c r="U17" i="31"/>
  <c r="U18" i="31"/>
  <c r="U19" i="31"/>
  <c r="U8" i="31"/>
  <c r="R9" i="31"/>
  <c r="R10" i="31"/>
  <c r="R11" i="31"/>
  <c r="R12" i="31"/>
  <c r="R13" i="31"/>
  <c r="R15" i="31"/>
  <c r="R16" i="31"/>
  <c r="R17" i="31"/>
  <c r="R18" i="31"/>
  <c r="R19" i="31"/>
  <c r="R8" i="31"/>
  <c r="Q9" i="31"/>
  <c r="Q10" i="31"/>
  <c r="Q11" i="31"/>
  <c r="Q12" i="31"/>
  <c r="Q13" i="31"/>
  <c r="Q14" i="31"/>
  <c r="Q15" i="31"/>
  <c r="Q16" i="31"/>
  <c r="Q17" i="31"/>
  <c r="Q18" i="31"/>
  <c r="Q19" i="31"/>
  <c r="Q8" i="31"/>
  <c r="I9" i="31"/>
  <c r="I10" i="31"/>
  <c r="I11" i="31"/>
  <c r="I12" i="31"/>
  <c r="I13" i="31"/>
  <c r="I14" i="31"/>
  <c r="I15" i="31"/>
  <c r="I16" i="31"/>
  <c r="I17" i="31"/>
  <c r="I18" i="31"/>
  <c r="I19" i="31"/>
  <c r="I8" i="31"/>
  <c r="Y9" i="32"/>
  <c r="Y10" i="32"/>
  <c r="Y11" i="32"/>
  <c r="Y12" i="32"/>
  <c r="Y13" i="32"/>
  <c r="Y14" i="32"/>
  <c r="Y8" i="32"/>
  <c r="X9" i="32"/>
  <c r="X10" i="32"/>
  <c r="X11" i="32"/>
  <c r="X12" i="32"/>
  <c r="X13" i="32"/>
  <c r="X14" i="32"/>
  <c r="X8" i="32"/>
  <c r="U9" i="32"/>
  <c r="U10" i="32"/>
  <c r="U11" i="32"/>
  <c r="U12" i="32"/>
  <c r="U13" i="32"/>
  <c r="U14" i="32"/>
  <c r="U8" i="32"/>
  <c r="T9" i="32"/>
  <c r="T10" i="32"/>
  <c r="T11" i="32"/>
  <c r="T12" i="32"/>
  <c r="T13" i="32"/>
  <c r="T14" i="32"/>
  <c r="T8" i="32"/>
  <c r="Q9" i="32"/>
  <c r="Q10" i="32"/>
  <c r="Q11" i="32"/>
  <c r="Q12" i="32"/>
  <c r="Q13" i="32"/>
  <c r="Q14" i="32"/>
  <c r="Q8" i="32"/>
  <c r="I9" i="32"/>
  <c r="I10" i="32"/>
  <c r="I11" i="32"/>
  <c r="I12" i="32"/>
  <c r="I13" i="32"/>
  <c r="I14" i="32"/>
  <c r="P9" i="32"/>
  <c r="P10" i="32"/>
  <c r="P11" i="32"/>
  <c r="P12" i="32"/>
  <c r="P13" i="32"/>
  <c r="P14" i="32"/>
  <c r="P8" i="32"/>
  <c r="H9" i="32"/>
  <c r="H10" i="32"/>
  <c r="H11" i="32"/>
  <c r="H12" i="32"/>
  <c r="H13" i="32"/>
  <c r="H14" i="32"/>
  <c r="H8" i="32"/>
  <c r="H9" i="33"/>
  <c r="H10" i="33"/>
  <c r="H11" i="33"/>
  <c r="H12" i="33"/>
  <c r="H8" i="33"/>
  <c r="J12" i="33"/>
  <c r="L12" i="33" s="1"/>
  <c r="I12" i="33"/>
  <c r="J11" i="33"/>
  <c r="L11" i="33" s="1"/>
  <c r="I11" i="33"/>
  <c r="J10" i="33"/>
  <c r="L10" i="33" s="1"/>
  <c r="I10" i="33"/>
  <c r="J9" i="33"/>
  <c r="L9" i="33" s="1"/>
  <c r="I9" i="33"/>
  <c r="J8" i="33"/>
  <c r="L8" i="33" s="1"/>
  <c r="I8" i="33"/>
  <c r="Q8" i="33" l="1"/>
  <c r="R8" i="33" s="1"/>
  <c r="T8" i="33"/>
  <c r="Q10" i="33"/>
  <c r="R10" i="33" s="1"/>
  <c r="Q12" i="33"/>
  <c r="R12" i="33" s="1"/>
  <c r="Q9" i="33"/>
  <c r="R9" i="33" s="1"/>
  <c r="Q11" i="33"/>
  <c r="R11" i="33" s="1"/>
  <c r="V9" i="33"/>
  <c r="T9" i="33"/>
  <c r="V11" i="33"/>
  <c r="T11" i="33"/>
  <c r="W10" i="32"/>
  <c r="AA10" i="32"/>
  <c r="S10" i="32"/>
  <c r="V8" i="33"/>
  <c r="V10" i="33"/>
  <c r="T10" i="33"/>
  <c r="V12" i="33"/>
  <c r="T12" i="33"/>
  <c r="AB18" i="28"/>
  <c r="AK18" i="28" s="1"/>
  <c r="AB32" i="31"/>
  <c r="AB22" i="28"/>
  <c r="AK22" i="28" s="1"/>
  <c r="T29" i="31"/>
  <c r="T21" i="31"/>
  <c r="X30" i="31"/>
  <c r="T31" i="31"/>
  <c r="AB23" i="28"/>
  <c r="AK23" i="28" s="1"/>
  <c r="T25" i="31"/>
  <c r="T26" i="31"/>
  <c r="AB27" i="28"/>
  <c r="AK27" i="28" s="1"/>
  <c r="AB28" i="28"/>
  <c r="AK28" i="28" s="1"/>
  <c r="T28" i="31"/>
  <c r="AB21" i="31"/>
  <c r="X21" i="31"/>
  <c r="T30" i="31"/>
  <c r="K10" i="33"/>
  <c r="K12" i="33"/>
  <c r="K9" i="33"/>
  <c r="X28" i="31"/>
  <c r="AB29" i="31"/>
  <c r="AB21" i="28"/>
  <c r="AK21" i="28" s="1"/>
  <c r="AB17" i="28"/>
  <c r="AK17" i="28" s="1"/>
  <c r="X26" i="31"/>
  <c r="AB28" i="31"/>
  <c r="AB20" i="28"/>
  <c r="AK20" i="28" s="1"/>
  <c r="AB16" i="28"/>
  <c r="AK16" i="28" s="1"/>
  <c r="AB26" i="31"/>
  <c r="X31" i="31"/>
  <c r="AB22" i="31"/>
  <c r="AB23" i="31"/>
  <c r="AB24" i="31"/>
  <c r="AB25" i="31"/>
  <c r="AB27" i="31"/>
  <c r="X29" i="31"/>
  <c r="AB30" i="31"/>
  <c r="AB19" i="28"/>
  <c r="AK19" i="28" s="1"/>
  <c r="AB12" i="28"/>
  <c r="AK12" i="28" s="1"/>
  <c r="AB11" i="28"/>
  <c r="AK11" i="28" s="1"/>
  <c r="M21" i="31"/>
  <c r="L21" i="31"/>
  <c r="M30" i="31"/>
  <c r="L30" i="31"/>
  <c r="X25" i="31"/>
  <c r="T24" i="31"/>
  <c r="AB31" i="31"/>
  <c r="T23" i="31"/>
  <c r="X24" i="31"/>
  <c r="L27" i="31"/>
  <c r="X23" i="31"/>
  <c r="T22" i="31"/>
  <c r="T32" i="31"/>
  <c r="T27" i="31"/>
  <c r="X22" i="31"/>
  <c r="X32" i="31"/>
  <c r="X27" i="31"/>
  <c r="L24" i="31"/>
  <c r="K11" i="33"/>
  <c r="K8" i="33"/>
  <c r="W8" i="33" l="1"/>
  <c r="W10" i="33"/>
  <c r="V13" i="33"/>
  <c r="AB10" i="32"/>
  <c r="W11" i="33"/>
  <c r="R13" i="33"/>
  <c r="W9" i="33"/>
  <c r="T13" i="33"/>
  <c r="AC28" i="31"/>
  <c r="AC21" i="31"/>
  <c r="AC26" i="31"/>
  <c r="AC29" i="31"/>
  <c r="AC25" i="31"/>
  <c r="AC30" i="31"/>
  <c r="AC31" i="31"/>
  <c r="AC22" i="31"/>
  <c r="AC24" i="31"/>
  <c r="AC23" i="31"/>
  <c r="AC27" i="31"/>
  <c r="AC32" i="31"/>
  <c r="W12" i="33"/>
  <c r="W13" i="33" l="1"/>
  <c r="D64" i="35" s="1"/>
  <c r="J14" i="32"/>
  <c r="W13" i="32"/>
  <c r="S13" i="32"/>
  <c r="J13" i="32"/>
  <c r="W12" i="32"/>
  <c r="S12" i="32"/>
  <c r="J12" i="32"/>
  <c r="S11" i="32"/>
  <c r="AA11" i="32"/>
  <c r="J11" i="32"/>
  <c r="AA9" i="32"/>
  <c r="J9" i="32"/>
  <c r="I8" i="32"/>
  <c r="S8" i="32" s="1"/>
  <c r="J8" i="32"/>
  <c r="L8" i="32" s="1"/>
  <c r="J19" i="31"/>
  <c r="AB19" i="31" s="1"/>
  <c r="J18" i="31"/>
  <c r="T18" i="31" s="1"/>
  <c r="J17" i="31"/>
  <c r="K17" i="31"/>
  <c r="J16" i="31"/>
  <c r="AB16" i="31" s="1"/>
  <c r="J15" i="31"/>
  <c r="AB15" i="31" s="1"/>
  <c r="K14" i="31"/>
  <c r="M14" i="31" s="1"/>
  <c r="J14" i="31"/>
  <c r="J13" i="31"/>
  <c r="AB13" i="31" s="1"/>
  <c r="J12" i="31"/>
  <c r="T12" i="31" s="1"/>
  <c r="J11" i="31"/>
  <c r="AB11" i="31" s="1"/>
  <c r="K11" i="31"/>
  <c r="J10" i="31"/>
  <c r="X10" i="31" s="1"/>
  <c r="J9" i="31"/>
  <c r="AB9" i="31" s="1"/>
  <c r="J8" i="31"/>
  <c r="AB8" i="31" s="1"/>
  <c r="K8" i="31"/>
  <c r="S10" i="30"/>
  <c r="U10" i="30" s="1"/>
  <c r="R10" i="30"/>
  <c r="S9" i="30"/>
  <c r="U9" i="30" s="1"/>
  <c r="R9" i="30"/>
  <c r="Y9" i="30" s="1"/>
  <c r="AE9" i="30" s="1"/>
  <c r="S8" i="30"/>
  <c r="U8" i="30" s="1"/>
  <c r="R8" i="30"/>
  <c r="Y8" i="30" s="1"/>
  <c r="AE8" i="30" s="1"/>
  <c r="S40" i="28"/>
  <c r="U40" i="28" s="1"/>
  <c r="R40" i="28"/>
  <c r="S39" i="28"/>
  <c r="U39" i="28" s="1"/>
  <c r="R39" i="28"/>
  <c r="S38" i="28"/>
  <c r="U38" i="28" s="1"/>
  <c r="R38" i="28"/>
  <c r="S37" i="28"/>
  <c r="U37" i="28" s="1"/>
  <c r="R37" i="28"/>
  <c r="S36" i="28"/>
  <c r="U36" i="28" s="1"/>
  <c r="R36" i="28"/>
  <c r="S35" i="28"/>
  <c r="U35" i="28" s="1"/>
  <c r="R35" i="28"/>
  <c r="S34" i="28"/>
  <c r="U34" i="28" s="1"/>
  <c r="R34" i="28"/>
  <c r="S33" i="28"/>
  <c r="U33" i="28" s="1"/>
  <c r="R33" i="28"/>
  <c r="S32" i="28"/>
  <c r="U32" i="28" s="1"/>
  <c r="R32" i="28"/>
  <c r="S31" i="28"/>
  <c r="U31" i="28" s="1"/>
  <c r="R31" i="28"/>
  <c r="S30" i="28"/>
  <c r="U30" i="28" s="1"/>
  <c r="R30" i="28"/>
  <c r="S29" i="28"/>
  <c r="U29" i="28" s="1"/>
  <c r="R29" i="28"/>
  <c r="S26" i="28"/>
  <c r="U26" i="28" s="1"/>
  <c r="R26" i="28"/>
  <c r="S25" i="28"/>
  <c r="T25" i="28" s="1"/>
  <c r="R25" i="28"/>
  <c r="S24" i="28"/>
  <c r="U24" i="28" s="1"/>
  <c r="R24" i="28"/>
  <c r="S15" i="28"/>
  <c r="U15" i="28" s="1"/>
  <c r="R15" i="28"/>
  <c r="S14" i="28"/>
  <c r="U14" i="28" s="1"/>
  <c r="R14" i="28"/>
  <c r="S13" i="28"/>
  <c r="T13" i="28" s="1"/>
  <c r="R13" i="28"/>
  <c r="AB13" i="28" s="1"/>
  <c r="S10" i="28"/>
  <c r="U10" i="28" s="1"/>
  <c r="R10" i="28"/>
  <c r="S9" i="28"/>
  <c r="U9" i="28" s="1"/>
  <c r="R9" i="28"/>
  <c r="S8" i="28"/>
  <c r="U8" i="28" s="1"/>
  <c r="R8" i="28"/>
  <c r="Y12" i="30" l="1"/>
  <c r="T8" i="30"/>
  <c r="AB10" i="30"/>
  <c r="AC10" i="30" s="1"/>
  <c r="X9" i="31"/>
  <c r="AB35" i="28"/>
  <c r="AK35" i="28" s="1"/>
  <c r="AB39" i="28"/>
  <c r="AK39" i="28" s="1"/>
  <c r="AB25" i="28"/>
  <c r="AK25" i="28" s="1"/>
  <c r="T38" i="28"/>
  <c r="AB24" i="28"/>
  <c r="AK24" i="28" s="1"/>
  <c r="T8" i="28"/>
  <c r="T30" i="28"/>
  <c r="AB14" i="28"/>
  <c r="AK14" i="28" s="1"/>
  <c r="T26" i="28"/>
  <c r="AB34" i="28"/>
  <c r="AK34" i="28" s="1"/>
  <c r="AB26" i="28"/>
  <c r="AK26" i="28" s="1"/>
  <c r="AB31" i="28"/>
  <c r="AK31" i="28" s="1"/>
  <c r="U25" i="28"/>
  <c r="T10" i="28"/>
  <c r="T36" i="28"/>
  <c r="T39" i="28"/>
  <c r="U13" i="28"/>
  <c r="T24" i="28"/>
  <c r="AK13" i="28"/>
  <c r="T35" i="28"/>
  <c r="AB32" i="28"/>
  <c r="AK32" i="28" s="1"/>
  <c r="AB14" i="31"/>
  <c r="X14" i="31"/>
  <c r="T13" i="31"/>
  <c r="T8" i="31"/>
  <c r="T10" i="31"/>
  <c r="X16" i="31"/>
  <c r="AB12" i="31"/>
  <c r="T19" i="31"/>
  <c r="AB10" i="31"/>
  <c r="X19" i="31"/>
  <c r="T11" i="31"/>
  <c r="X8" i="31"/>
  <c r="X13" i="31"/>
  <c r="T9" i="31"/>
  <c r="W8" i="32"/>
  <c r="S9" i="32"/>
  <c r="AA12" i="32"/>
  <c r="W9" i="32"/>
  <c r="W11" i="32"/>
  <c r="AB11" i="32" s="1"/>
  <c r="K12" i="32"/>
  <c r="L12" i="32"/>
  <c r="L9" i="32"/>
  <c r="K9" i="32"/>
  <c r="AA14" i="32"/>
  <c r="X18" i="31"/>
  <c r="X15" i="31"/>
  <c r="AA13" i="32"/>
  <c r="AB13" i="32" s="1"/>
  <c r="AB17" i="31"/>
  <c r="L13" i="32"/>
  <c r="K13" i="32"/>
  <c r="L14" i="32"/>
  <c r="K14" i="32"/>
  <c r="AB12" i="32"/>
  <c r="L11" i="32"/>
  <c r="K11" i="32"/>
  <c r="AA8" i="32"/>
  <c r="S14" i="32"/>
  <c r="K8" i="32"/>
  <c r="W14" i="32"/>
  <c r="AB36" i="28"/>
  <c r="AK36" i="28" s="1"/>
  <c r="M11" i="31"/>
  <c r="L11" i="31"/>
  <c r="M8" i="31"/>
  <c r="L8" i="31"/>
  <c r="M17" i="31"/>
  <c r="L17" i="31"/>
  <c r="T17" i="31"/>
  <c r="X12" i="31"/>
  <c r="T16" i="31"/>
  <c r="AB18" i="31"/>
  <c r="X17" i="31"/>
  <c r="X11" i="31"/>
  <c r="L14" i="31"/>
  <c r="T15" i="31"/>
  <c r="T34" i="31"/>
  <c r="T14" i="31"/>
  <c r="T9" i="30"/>
  <c r="T10" i="30"/>
  <c r="AB15" i="28"/>
  <c r="AK15" i="28" s="1"/>
  <c r="AB37" i="28"/>
  <c r="AK37" i="28" s="1"/>
  <c r="AB33" i="28"/>
  <c r="AK33" i="28" s="1"/>
  <c r="AB29" i="28"/>
  <c r="AK29" i="28" s="1"/>
  <c r="AB9" i="28"/>
  <c r="AK9" i="28" s="1"/>
  <c r="AB10" i="28"/>
  <c r="AK10" i="28" s="1"/>
  <c r="AB40" i="28"/>
  <c r="AK40" i="28" s="1"/>
  <c r="AB30" i="28"/>
  <c r="AK30" i="28" s="1"/>
  <c r="AB38" i="28"/>
  <c r="AK38" i="28" s="1"/>
  <c r="AB8" i="28"/>
  <c r="T32" i="28"/>
  <c r="T15" i="28"/>
  <c r="T34" i="28"/>
  <c r="T29" i="28"/>
  <c r="T31" i="28"/>
  <c r="T14" i="28"/>
  <c r="T40" i="28"/>
  <c r="T33" i="28"/>
  <c r="T9" i="28"/>
  <c r="T37" i="28"/>
  <c r="AA15" i="32" l="1"/>
  <c r="AB34" i="31"/>
  <c r="AK8" i="28"/>
  <c r="AK41" i="28" s="1"/>
  <c r="D68" i="35" s="1"/>
  <c r="AB41" i="28"/>
  <c r="AB9" i="32"/>
  <c r="W15" i="32"/>
  <c r="S15" i="32"/>
  <c r="X34" i="31"/>
  <c r="AE10" i="30"/>
  <c r="AC9" i="31"/>
  <c r="AC19" i="31"/>
  <c r="AC13" i="31"/>
  <c r="AC8" i="31"/>
  <c r="AC16" i="31"/>
  <c r="AC11" i="31"/>
  <c r="AC12" i="31"/>
  <c r="AC10" i="31"/>
  <c r="AB8" i="32"/>
  <c r="AC15" i="31"/>
  <c r="AC18" i="31"/>
  <c r="AB14" i="32"/>
  <c r="AC17" i="31"/>
  <c r="AC14" i="31"/>
  <c r="AC33" i="31"/>
  <c r="AE12" i="30" l="1"/>
  <c r="D67" i="35" s="1"/>
  <c r="C32" i="35"/>
  <c r="C37" i="35"/>
  <c r="C27" i="35"/>
  <c r="AC20" i="31"/>
  <c r="AC34" i="31" s="1"/>
  <c r="D66" i="35" s="1"/>
  <c r="AB15" i="32"/>
  <c r="D65" i="35" s="1"/>
  <c r="N85" i="3"/>
  <c r="N86" i="3"/>
  <c r="N87" i="3"/>
  <c r="N88" i="3"/>
  <c r="N89" i="3"/>
  <c r="N90" i="3"/>
  <c r="N92" i="3"/>
  <c r="N93" i="3"/>
  <c r="N94" i="3"/>
  <c r="N95" i="3"/>
  <c r="N96" i="3"/>
  <c r="N97" i="3"/>
  <c r="N84" i="3"/>
  <c r="J85" i="3"/>
  <c r="J86" i="3"/>
  <c r="J87" i="3"/>
  <c r="J88" i="3"/>
  <c r="J89" i="3"/>
  <c r="J90" i="3"/>
  <c r="J92" i="3"/>
  <c r="J93" i="3"/>
  <c r="J94" i="3"/>
  <c r="J95" i="3"/>
  <c r="J96" i="3"/>
  <c r="J97" i="3"/>
  <c r="J84" i="3"/>
  <c r="F85" i="3"/>
  <c r="F86" i="3"/>
  <c r="F87" i="3"/>
  <c r="F88" i="3"/>
  <c r="F89" i="3"/>
  <c r="F90" i="3"/>
  <c r="F92" i="3"/>
  <c r="F93" i="3"/>
  <c r="F94" i="3"/>
  <c r="F95" i="3"/>
  <c r="F96" i="3"/>
  <c r="F97" i="3"/>
  <c r="F84" i="3"/>
  <c r="Q8" i="26"/>
  <c r="T8" i="26" l="1"/>
  <c r="U8" i="26" s="1"/>
  <c r="U9" i="26" s="1"/>
  <c r="D57" i="35" s="1"/>
  <c r="D58" i="35" s="1"/>
  <c r="B7" i="35" s="1"/>
  <c r="O86" i="3"/>
  <c r="O85" i="3"/>
  <c r="O95" i="3"/>
  <c r="O94" i="3"/>
  <c r="O90" i="3"/>
  <c r="O96" i="3"/>
  <c r="O97" i="3"/>
  <c r="V13" i="16" s="1"/>
  <c r="X13" i="16" s="1"/>
  <c r="Y13" i="16" s="1"/>
  <c r="O92" i="3"/>
  <c r="V11" i="16" s="1"/>
  <c r="X11" i="16" s="1"/>
  <c r="Y11" i="16" s="1"/>
  <c r="O89" i="3"/>
  <c r="O93" i="3"/>
  <c r="O87" i="3"/>
  <c r="O88" i="3"/>
  <c r="V10" i="16" s="1"/>
  <c r="O84" i="3"/>
  <c r="V8" i="16" s="1"/>
  <c r="T15" i="13"/>
  <c r="T16" i="13"/>
  <c r="T14" i="13"/>
  <c r="D14" i="13"/>
  <c r="D11" i="13"/>
  <c r="T12" i="13"/>
  <c r="T13" i="13"/>
  <c r="T11" i="13"/>
  <c r="T9" i="13"/>
  <c r="T10" i="13"/>
  <c r="T8" i="13"/>
  <c r="R14" i="13"/>
  <c r="R15" i="13"/>
  <c r="D15" i="13"/>
  <c r="D16" i="13"/>
  <c r="D12" i="13"/>
  <c r="D13" i="13"/>
  <c r="D9" i="13"/>
  <c r="D10" i="13"/>
  <c r="D8" i="13"/>
  <c r="R15" i="2"/>
  <c r="R16" i="2"/>
  <c r="R17" i="2"/>
  <c r="R18" i="2"/>
  <c r="R19" i="2"/>
  <c r="I141" i="3"/>
  <c r="P141" i="3" s="1"/>
  <c r="I142" i="3"/>
  <c r="P142" i="3" s="1"/>
  <c r="AE15" i="15" s="1"/>
  <c r="I143" i="3"/>
  <c r="P143" i="3" s="1"/>
  <c r="I144" i="3"/>
  <c r="P144" i="3" s="1"/>
  <c r="I145" i="3"/>
  <c r="S15" i="13"/>
  <c r="S14" i="13"/>
  <c r="S10" i="13"/>
  <c r="S9" i="13"/>
  <c r="I13" i="3"/>
  <c r="AC15" i="2" l="1"/>
  <c r="AD15" i="2" s="1"/>
  <c r="AC16" i="2"/>
  <c r="AD16" i="2" s="1"/>
  <c r="AC17" i="2"/>
  <c r="AD17" i="2" s="1"/>
  <c r="AC18" i="2"/>
  <c r="AD18" i="2" s="1"/>
  <c r="U18" i="2"/>
  <c r="AC19" i="2"/>
  <c r="AD19" i="2" s="1"/>
  <c r="AC15" i="13"/>
  <c r="AD15" i="13" s="1"/>
  <c r="Y15" i="13"/>
  <c r="Z15" i="13" s="1"/>
  <c r="Y14" i="13"/>
  <c r="Z14" i="13" s="1"/>
  <c r="AC14" i="13"/>
  <c r="U14" i="13"/>
  <c r="V14" i="13" s="1"/>
  <c r="U15" i="13"/>
  <c r="V16" i="16"/>
  <c r="X16" i="16" s="1"/>
  <c r="V14" i="16"/>
  <c r="X14" i="16" s="1"/>
  <c r="Y14" i="16" s="1"/>
  <c r="V12" i="16"/>
  <c r="X12" i="16" s="1"/>
  <c r="Y12" i="16" s="1"/>
  <c r="V17" i="16"/>
  <c r="Y16" i="2"/>
  <c r="Z16" i="2" s="1"/>
  <c r="V9" i="16"/>
  <c r="V18" i="16"/>
  <c r="V15" i="16"/>
  <c r="T9" i="26"/>
  <c r="C26" i="35" s="1"/>
  <c r="Y19" i="2"/>
  <c r="Z19" i="2" s="1"/>
  <c r="Y15" i="2"/>
  <c r="Z15" i="2" s="1"/>
  <c r="V15" i="13"/>
  <c r="S16" i="13"/>
  <c r="Y17" i="2"/>
  <c r="Z17" i="2" s="1"/>
  <c r="Y18" i="2"/>
  <c r="Z18" i="2" s="1"/>
  <c r="I42" i="3"/>
  <c r="I41" i="3"/>
  <c r="I40" i="3"/>
  <c r="S19" i="2" s="1"/>
  <c r="U19" i="2" s="1"/>
  <c r="I36" i="3"/>
  <c r="I37" i="3"/>
  <c r="I38" i="3"/>
  <c r="S17" i="2" s="1"/>
  <c r="U17" i="2" s="1"/>
  <c r="AE15" i="13" l="1"/>
  <c r="AD14" i="13"/>
  <c r="AE14" i="13" s="1"/>
  <c r="X17" i="16"/>
  <c r="Y17" i="16" s="1"/>
  <c r="Y16" i="16"/>
  <c r="V19" i="2"/>
  <c r="AE19" i="2" s="1"/>
  <c r="V18" i="2"/>
  <c r="AE18" i="2" s="1"/>
  <c r="V17" i="2"/>
  <c r="AE17" i="2" s="1"/>
  <c r="I32" i="3"/>
  <c r="I31" i="3"/>
  <c r="I28" i="3"/>
  <c r="S16" i="2" s="1"/>
  <c r="U16" i="2" s="1"/>
  <c r="I29" i="3"/>
  <c r="S14" i="2" s="1"/>
  <c r="I30" i="3"/>
  <c r="I27" i="3"/>
  <c r="S15" i="2" s="1"/>
  <c r="U15" i="2" s="1"/>
  <c r="I26" i="3"/>
  <c r="I22" i="3"/>
  <c r="I18" i="3"/>
  <c r="I10" i="3"/>
  <c r="I11" i="3"/>
  <c r="I12" i="3"/>
  <c r="S10" i="2" s="1"/>
  <c r="I14" i="3"/>
  <c r="S9" i="2" s="1"/>
  <c r="I16" i="3"/>
  <c r="S13" i="2" s="1"/>
  <c r="V16" i="2" l="1"/>
  <c r="AE16" i="2" s="1"/>
  <c r="D92" i="35" s="1"/>
  <c r="D86" i="35"/>
  <c r="D80" i="35"/>
  <c r="V15" i="2"/>
  <c r="AE15" i="2" s="1"/>
  <c r="D89" i="35" s="1"/>
  <c r="I19" i="3"/>
  <c r="S12" i="2" s="1"/>
  <c r="I20" i="3"/>
  <c r="S11" i="2" s="1"/>
  <c r="I21" i="3"/>
  <c r="AH11" i="25" l="1"/>
  <c r="S11" i="25"/>
  <c r="U11" i="25" s="1"/>
  <c r="R11" i="25"/>
  <c r="AH10" i="25"/>
  <c r="S10" i="25"/>
  <c r="U10" i="25" s="1"/>
  <c r="R10" i="25"/>
  <c r="AH9" i="25"/>
  <c r="S9" i="25"/>
  <c r="U9" i="25" s="1"/>
  <c r="R9" i="25"/>
  <c r="AH8" i="25"/>
  <c r="S8" i="25"/>
  <c r="T8" i="25" s="1"/>
  <c r="R8" i="25"/>
  <c r="W21" i="17"/>
  <c r="W20" i="17"/>
  <c r="V21" i="17"/>
  <c r="S10" i="18"/>
  <c r="U10" i="18" s="1"/>
  <c r="R10" i="18"/>
  <c r="S9" i="18"/>
  <c r="U9" i="18" s="1"/>
  <c r="R9" i="18"/>
  <c r="S8" i="18"/>
  <c r="U8" i="18" s="1"/>
  <c r="R8" i="18"/>
  <c r="AA26" i="17"/>
  <c r="S26" i="17"/>
  <c r="U26" i="17" s="1"/>
  <c r="R26" i="17"/>
  <c r="D26" i="17"/>
  <c r="AA25" i="17"/>
  <c r="S25" i="17"/>
  <c r="U25" i="17" s="1"/>
  <c r="R25" i="17"/>
  <c r="D25" i="17"/>
  <c r="AA24" i="17"/>
  <c r="S24" i="17"/>
  <c r="U24" i="17" s="1"/>
  <c r="R24" i="17"/>
  <c r="D24" i="17"/>
  <c r="AE23" i="17"/>
  <c r="AD23" i="17"/>
  <c r="AA23" i="17"/>
  <c r="Z23" i="17"/>
  <c r="S23" i="17"/>
  <c r="U23" i="17" s="1"/>
  <c r="R23" i="17"/>
  <c r="D23" i="17"/>
  <c r="AE22" i="17"/>
  <c r="AD22" i="17"/>
  <c r="AA22" i="17"/>
  <c r="Z22" i="17"/>
  <c r="S22" i="17"/>
  <c r="U22" i="17" s="1"/>
  <c r="R22" i="17"/>
  <c r="D22" i="17"/>
  <c r="S21" i="17"/>
  <c r="U21" i="17" s="1"/>
  <c r="R21" i="17"/>
  <c r="D21" i="17"/>
  <c r="S20" i="17"/>
  <c r="U20" i="17" s="1"/>
  <c r="R20" i="17"/>
  <c r="D20" i="17"/>
  <c r="W19" i="17"/>
  <c r="S19" i="17"/>
  <c r="U19" i="17" s="1"/>
  <c r="R19" i="17"/>
  <c r="D19" i="17"/>
  <c r="W18" i="17"/>
  <c r="S18" i="17"/>
  <c r="U18" i="17" s="1"/>
  <c r="R18" i="17"/>
  <c r="D18" i="17"/>
  <c r="W17" i="17"/>
  <c r="S17" i="17"/>
  <c r="U17" i="17" s="1"/>
  <c r="R17" i="17"/>
  <c r="D17" i="17"/>
  <c r="S16" i="17"/>
  <c r="U16" i="17" s="1"/>
  <c r="R16" i="17"/>
  <c r="S15" i="17"/>
  <c r="U15" i="17" s="1"/>
  <c r="R15" i="17"/>
  <c r="S14" i="17"/>
  <c r="U14" i="17" s="1"/>
  <c r="R14" i="17"/>
  <c r="S13" i="17"/>
  <c r="U13" i="17" s="1"/>
  <c r="R13" i="17"/>
  <c r="S12" i="17"/>
  <c r="U12" i="17" s="1"/>
  <c r="R12" i="17"/>
  <c r="S11" i="17"/>
  <c r="U11" i="17" s="1"/>
  <c r="R11" i="17"/>
  <c r="S10" i="17"/>
  <c r="U10" i="17" s="1"/>
  <c r="R10" i="17"/>
  <c r="S9" i="17"/>
  <c r="U9" i="17" s="1"/>
  <c r="R9" i="17"/>
  <c r="S8" i="17"/>
  <c r="U8" i="17" s="1"/>
  <c r="S19" i="16"/>
  <c r="S18" i="16"/>
  <c r="R18" i="16"/>
  <c r="X18" i="16" s="1"/>
  <c r="R15" i="16"/>
  <c r="X15" i="16" s="1"/>
  <c r="Y15" i="16" s="1"/>
  <c r="S10" i="16"/>
  <c r="R10" i="16"/>
  <c r="S9" i="16"/>
  <c r="T9" i="16" s="1"/>
  <c r="R9" i="16"/>
  <c r="X9" i="16" s="1"/>
  <c r="Y9" i="16" s="1"/>
  <c r="S8" i="16"/>
  <c r="U8" i="16" s="1"/>
  <c r="R8" i="16"/>
  <c r="X8" i="16" s="1"/>
  <c r="X19" i="15"/>
  <c r="T19" i="15"/>
  <c r="U19" i="15" s="1"/>
  <c r="S19" i="15"/>
  <c r="E19" i="15"/>
  <c r="T18" i="15"/>
  <c r="S18" i="15"/>
  <c r="AB17" i="15"/>
  <c r="T17" i="15"/>
  <c r="V17" i="15" s="1"/>
  <c r="S17" i="15"/>
  <c r="E17" i="15"/>
  <c r="T16" i="15"/>
  <c r="S16" i="15"/>
  <c r="T15" i="15"/>
  <c r="V15" i="15" s="1"/>
  <c r="S15" i="15"/>
  <c r="T14" i="15"/>
  <c r="S14" i="15"/>
  <c r="T13" i="15"/>
  <c r="U13" i="15" s="1"/>
  <c r="S13" i="15"/>
  <c r="T12" i="15"/>
  <c r="T11" i="15"/>
  <c r="V11" i="15" s="1"/>
  <c r="S11" i="15"/>
  <c r="T10" i="15"/>
  <c r="S10" i="15"/>
  <c r="E10" i="15"/>
  <c r="T9" i="15"/>
  <c r="V9" i="15" s="1"/>
  <c r="S9" i="15"/>
  <c r="E9" i="15"/>
  <c r="T8" i="15"/>
  <c r="U8" i="15" s="1"/>
  <c r="E8" i="15"/>
  <c r="W16" i="14"/>
  <c r="S16" i="14"/>
  <c r="U16" i="14" s="1"/>
  <c r="R16" i="14"/>
  <c r="D16" i="14"/>
  <c r="W15" i="14"/>
  <c r="S15" i="14"/>
  <c r="T15" i="14" s="1"/>
  <c r="R15" i="14"/>
  <c r="D15" i="14"/>
  <c r="W14" i="14"/>
  <c r="S14" i="14"/>
  <c r="T14" i="14" s="1"/>
  <c r="R14" i="14"/>
  <c r="D14" i="14"/>
  <c r="W12" i="14"/>
  <c r="S12" i="14"/>
  <c r="T12" i="14" s="1"/>
  <c r="R12" i="14"/>
  <c r="D12" i="14"/>
  <c r="W11" i="14"/>
  <c r="S11" i="14"/>
  <c r="U11" i="14" s="1"/>
  <c r="R11" i="14"/>
  <c r="D11" i="14"/>
  <c r="W10" i="14"/>
  <c r="S10" i="14"/>
  <c r="T10" i="14" s="1"/>
  <c r="R10" i="14"/>
  <c r="D10" i="14"/>
  <c r="W9" i="14"/>
  <c r="S9" i="14"/>
  <c r="U9" i="14" s="1"/>
  <c r="R9" i="14"/>
  <c r="D9" i="14"/>
  <c r="W8" i="14"/>
  <c r="S8" i="14"/>
  <c r="T8" i="14" s="1"/>
  <c r="R8" i="14"/>
  <c r="D8" i="14"/>
  <c r="R16" i="13"/>
  <c r="R13" i="13"/>
  <c r="R12" i="13"/>
  <c r="R10" i="13"/>
  <c r="R8" i="13"/>
  <c r="V20" i="17"/>
  <c r="O180" i="3"/>
  <c r="AD17" i="17" s="1"/>
  <c r="O181" i="3"/>
  <c r="AD19" i="17" s="1"/>
  <c r="O182" i="3"/>
  <c r="AD18" i="17" s="1"/>
  <c r="O183" i="3"/>
  <c r="O179" i="3"/>
  <c r="K180" i="3"/>
  <c r="K181" i="3"/>
  <c r="K182" i="3"/>
  <c r="K183" i="3"/>
  <c r="K179" i="3"/>
  <c r="AC8" i="13" l="1"/>
  <c r="Y8" i="13"/>
  <c r="Z8" i="13" s="1"/>
  <c r="U10" i="13"/>
  <c r="Y10" i="13"/>
  <c r="Z10" i="13" s="1"/>
  <c r="AC10" i="13"/>
  <c r="U12" i="13"/>
  <c r="Y12" i="13"/>
  <c r="Z12" i="13" s="1"/>
  <c r="AC12" i="13"/>
  <c r="U13" i="13"/>
  <c r="Y13" i="13"/>
  <c r="Z13" i="13" s="1"/>
  <c r="AC13" i="13"/>
  <c r="U16" i="13"/>
  <c r="AC16" i="13"/>
  <c r="AD16" i="13" s="1"/>
  <c r="Y16" i="13"/>
  <c r="Z16" i="13" s="1"/>
  <c r="U8" i="13"/>
  <c r="U10" i="16"/>
  <c r="T10" i="16"/>
  <c r="T18" i="16"/>
  <c r="U18" i="16"/>
  <c r="Y8" i="16"/>
  <c r="V16" i="13"/>
  <c r="AF17" i="17"/>
  <c r="AG17" i="17" s="1"/>
  <c r="AH12" i="25"/>
  <c r="D69" i="35" s="1"/>
  <c r="D70" i="35" s="1"/>
  <c r="B8" i="35" s="1"/>
  <c r="U9" i="15"/>
  <c r="Y19" i="15"/>
  <c r="Z19" i="15" s="1"/>
  <c r="AI19" i="15" s="1"/>
  <c r="AF23" i="17"/>
  <c r="AG23" i="17" s="1"/>
  <c r="AC11" i="15"/>
  <c r="AF18" i="17"/>
  <c r="AG18" i="17" s="1"/>
  <c r="X21" i="17"/>
  <c r="Y21" i="17" s="1"/>
  <c r="T11" i="25"/>
  <c r="U8" i="25"/>
  <c r="T9" i="25"/>
  <c r="T10" i="25"/>
  <c r="X20" i="17"/>
  <c r="Y20" i="17" s="1"/>
  <c r="X10" i="16"/>
  <c r="Y10" i="16" s="1"/>
  <c r="T8" i="16"/>
  <c r="AC13" i="15"/>
  <c r="T9" i="18"/>
  <c r="AF20" i="17"/>
  <c r="AG20" i="17" s="1"/>
  <c r="T8" i="18"/>
  <c r="T10" i="18"/>
  <c r="AF22" i="17"/>
  <c r="AG22" i="17" s="1"/>
  <c r="T10" i="17"/>
  <c r="AB22" i="17"/>
  <c r="AC22" i="17" s="1"/>
  <c r="T8" i="17"/>
  <c r="AB20" i="17"/>
  <c r="AC20" i="17" s="1"/>
  <c r="T14" i="17"/>
  <c r="T26" i="17"/>
  <c r="T12" i="17"/>
  <c r="T24" i="17"/>
  <c r="AB23" i="17"/>
  <c r="AC23" i="17" s="1"/>
  <c r="T20" i="17"/>
  <c r="T22" i="17"/>
  <c r="T16" i="17"/>
  <c r="T18" i="17"/>
  <c r="AF19" i="17"/>
  <c r="AG19" i="17" s="1"/>
  <c r="AF21" i="17"/>
  <c r="AG21" i="17" s="1"/>
  <c r="AB21" i="17"/>
  <c r="AC21" i="17" s="1"/>
  <c r="T9" i="17"/>
  <c r="T11" i="17"/>
  <c r="T13" i="17"/>
  <c r="T15" i="17"/>
  <c r="T17" i="17"/>
  <c r="T19" i="17"/>
  <c r="T21" i="17"/>
  <c r="T23" i="17"/>
  <c r="T25" i="17"/>
  <c r="Y18" i="16"/>
  <c r="U9" i="16"/>
  <c r="U11" i="15"/>
  <c r="V13" i="15"/>
  <c r="V19" i="15"/>
  <c r="V8" i="15"/>
  <c r="U15" i="15"/>
  <c r="AC15" i="15"/>
  <c r="AD15" i="15" s="1"/>
  <c r="U17" i="15"/>
  <c r="V18" i="15"/>
  <c r="U18" i="15"/>
  <c r="AC14" i="15"/>
  <c r="AD14" i="15" s="1"/>
  <c r="V10" i="15"/>
  <c r="U10" i="15"/>
  <c r="AC12" i="15"/>
  <c r="V14" i="15"/>
  <c r="U14" i="15"/>
  <c r="AC16" i="15"/>
  <c r="AD16" i="15" s="1"/>
  <c r="V12" i="15"/>
  <c r="U12" i="15"/>
  <c r="V16" i="15"/>
  <c r="U16" i="15"/>
  <c r="Y18" i="15"/>
  <c r="Z18" i="15" s="1"/>
  <c r="T11" i="14"/>
  <c r="U14" i="14"/>
  <c r="U10" i="14"/>
  <c r="U12" i="14"/>
  <c r="U15" i="14"/>
  <c r="T16" i="14"/>
  <c r="U8" i="14"/>
  <c r="T9" i="14"/>
  <c r="R9" i="13"/>
  <c r="R11" i="13"/>
  <c r="Z14" i="17"/>
  <c r="Z15" i="17"/>
  <c r="Z16" i="17"/>
  <c r="AE16" i="13" l="1"/>
  <c r="U11" i="13"/>
  <c r="Y11" i="13"/>
  <c r="Z11" i="13" s="1"/>
  <c r="AC11" i="13"/>
  <c r="U9" i="13"/>
  <c r="AC9" i="13"/>
  <c r="Y9" i="13"/>
  <c r="Z9" i="13" s="1"/>
  <c r="AD13" i="13"/>
  <c r="AD8" i="13"/>
  <c r="AD12" i="13"/>
  <c r="AD10" i="13"/>
  <c r="AH23" i="17"/>
  <c r="AI18" i="15"/>
  <c r="Z20" i="15"/>
  <c r="AG27" i="17"/>
  <c r="X19" i="16"/>
  <c r="AH20" i="17"/>
  <c r="AH22" i="17"/>
  <c r="AH21" i="17"/>
  <c r="D78" i="35"/>
  <c r="AB15" i="17"/>
  <c r="AD13" i="15"/>
  <c r="AI13" i="15" s="1"/>
  <c r="AD11" i="15"/>
  <c r="AD12" i="15"/>
  <c r="AI12" i="15" s="1"/>
  <c r="AB14" i="17"/>
  <c r="AB16" i="17"/>
  <c r="Y19" i="16"/>
  <c r="D48" i="35" s="1"/>
  <c r="Z17" i="13" l="1"/>
  <c r="AD11" i="13"/>
  <c r="AD9" i="13"/>
  <c r="AI11" i="15"/>
  <c r="AC14" i="17"/>
  <c r="AH14" i="17" s="1"/>
  <c r="AC16" i="17"/>
  <c r="AH16" i="17" s="1"/>
  <c r="AC15" i="17"/>
  <c r="AH15" i="17" s="1"/>
  <c r="C197" i="3"/>
  <c r="Z26" i="17" s="1"/>
  <c r="AB26" i="17" s="1"/>
  <c r="C196" i="3"/>
  <c r="C195" i="3"/>
  <c r="Z25" i="17" s="1"/>
  <c r="AB25" i="17" s="1"/>
  <c r="C183" i="3"/>
  <c r="C182" i="3"/>
  <c r="C181" i="3"/>
  <c r="C180" i="3"/>
  <c r="C179" i="3"/>
  <c r="Z13" i="17"/>
  <c r="Z12" i="17"/>
  <c r="Z11" i="17"/>
  <c r="Z9" i="17"/>
  <c r="Z10" i="17"/>
  <c r="AA17" i="15"/>
  <c r="AC17" i="15" s="1"/>
  <c r="C127" i="3"/>
  <c r="C118" i="3"/>
  <c r="C117" i="3"/>
  <c r="C116" i="3"/>
  <c r="AE8" i="15" s="1"/>
  <c r="C113" i="3"/>
  <c r="V14" i="14"/>
  <c r="E108" i="3"/>
  <c r="E107" i="3"/>
  <c r="E106" i="3"/>
  <c r="E105" i="3"/>
  <c r="E104" i="3"/>
  <c r="E103" i="3"/>
  <c r="E102" i="3"/>
  <c r="V8" i="13"/>
  <c r="AE8" i="13" s="1"/>
  <c r="V9" i="13"/>
  <c r="R14" i="2"/>
  <c r="R13" i="2"/>
  <c r="R12" i="2"/>
  <c r="R11" i="2"/>
  <c r="R10" i="2"/>
  <c r="R9" i="2"/>
  <c r="R8" i="2"/>
  <c r="AC14" i="2" l="1"/>
  <c r="AD14" i="2" s="1"/>
  <c r="U14" i="2"/>
  <c r="V14" i="2" s="1"/>
  <c r="AC13" i="2"/>
  <c r="AD13" i="2" s="1"/>
  <c r="U13" i="2"/>
  <c r="V13" i="2" s="1"/>
  <c r="AC12" i="2"/>
  <c r="AD12" i="2" s="1"/>
  <c r="U12" i="2"/>
  <c r="V12" i="2" s="1"/>
  <c r="AC11" i="2"/>
  <c r="AD11" i="2" s="1"/>
  <c r="U11" i="2"/>
  <c r="V11" i="2" s="1"/>
  <c r="AC10" i="2"/>
  <c r="AD10" i="2" s="1"/>
  <c r="U10" i="2"/>
  <c r="V10" i="2" s="1"/>
  <c r="AC9" i="2"/>
  <c r="AD9" i="2" s="1"/>
  <c r="U9" i="2"/>
  <c r="V9" i="2" s="1"/>
  <c r="AC8" i="2"/>
  <c r="AD8" i="2" s="1"/>
  <c r="Y8" i="2"/>
  <c r="Z8" i="2" s="1"/>
  <c r="U8" i="2"/>
  <c r="V8" i="2" s="1"/>
  <c r="AE9" i="13"/>
  <c r="D81" i="35" s="1"/>
  <c r="AG8" i="15"/>
  <c r="AH8" i="15" s="1"/>
  <c r="AI8" i="15" s="1"/>
  <c r="AD17" i="13"/>
  <c r="X14" i="14"/>
  <c r="Y14" i="14" s="1"/>
  <c r="Z14" i="14" s="1"/>
  <c r="Z17" i="17"/>
  <c r="AB17" i="17" s="1"/>
  <c r="AC17" i="17" s="1"/>
  <c r="V17" i="17"/>
  <c r="X17" i="17" s="1"/>
  <c r="Y17" i="17" s="1"/>
  <c r="AC25" i="17"/>
  <c r="AH25" i="17" s="1"/>
  <c r="AE9" i="15"/>
  <c r="AE10" i="15"/>
  <c r="Z19" i="17"/>
  <c r="AB19" i="17" s="1"/>
  <c r="AC19" i="17" s="1"/>
  <c r="V19" i="17"/>
  <c r="X19" i="17" s="1"/>
  <c r="Y19" i="17" s="1"/>
  <c r="AD17" i="15"/>
  <c r="Z8" i="17"/>
  <c r="AB8" i="17" s="1"/>
  <c r="Z18" i="17"/>
  <c r="AB18" i="17" s="1"/>
  <c r="AC18" i="17" s="1"/>
  <c r="V18" i="17"/>
  <c r="X18" i="17" s="1"/>
  <c r="Y18" i="17" s="1"/>
  <c r="AC26" i="17"/>
  <c r="AH26" i="17" s="1"/>
  <c r="V9" i="14"/>
  <c r="V8" i="14"/>
  <c r="V12" i="14"/>
  <c r="AB13" i="17"/>
  <c r="Z24" i="17"/>
  <c r="AB24" i="17" s="1"/>
  <c r="Y9" i="2"/>
  <c r="Z9" i="2" s="1"/>
  <c r="V11" i="14"/>
  <c r="V10" i="14"/>
  <c r="V10" i="13"/>
  <c r="AE10" i="13" s="1"/>
  <c r="AB10" i="17"/>
  <c r="AB9" i="17"/>
  <c r="X9" i="18"/>
  <c r="Y9" i="18" s="1"/>
  <c r="Z9" i="18" s="1"/>
  <c r="X8" i="18"/>
  <c r="Y8" i="18" s="1"/>
  <c r="X10" i="18"/>
  <c r="Y10" i="18" s="1"/>
  <c r="Z10" i="18" s="1"/>
  <c r="V12" i="13"/>
  <c r="AE12" i="13" s="1"/>
  <c r="V11" i="13"/>
  <c r="AE11" i="13" s="1"/>
  <c r="V13" i="13"/>
  <c r="AE13" i="13" s="1"/>
  <c r="V15" i="14"/>
  <c r="V16" i="14"/>
  <c r="AB12" i="17"/>
  <c r="AB11" i="17"/>
  <c r="Y14" i="2"/>
  <c r="Z14" i="2" s="1"/>
  <c r="Y12" i="2"/>
  <c r="Z12" i="2" s="1"/>
  <c r="Y11" i="2"/>
  <c r="Z11" i="2" s="1"/>
  <c r="Y13" i="2"/>
  <c r="Z13" i="2" s="1"/>
  <c r="Y10" i="2"/>
  <c r="Z10" i="2" s="1"/>
  <c r="AE11" i="2" l="1"/>
  <c r="AE12" i="2"/>
  <c r="AE14" i="2"/>
  <c r="D90" i="35" s="1"/>
  <c r="AE10" i="2"/>
  <c r="AE9" i="2"/>
  <c r="V20" i="2"/>
  <c r="AE13" i="2"/>
  <c r="AE8" i="2"/>
  <c r="AG10" i="15"/>
  <c r="AH10" i="15" s="1"/>
  <c r="AI10" i="15" s="1"/>
  <c r="AG9" i="15"/>
  <c r="AH9" i="15" s="1"/>
  <c r="AI9" i="15" s="1"/>
  <c r="AE17" i="13"/>
  <c r="D82" i="35"/>
  <c r="AD20" i="2"/>
  <c r="X10" i="14"/>
  <c r="Y10" i="14" s="1"/>
  <c r="Z10" i="14" s="1"/>
  <c r="X8" i="14"/>
  <c r="Y8" i="14" s="1"/>
  <c r="AI17" i="15"/>
  <c r="AD20" i="15"/>
  <c r="X16" i="14"/>
  <c r="Y16" i="14" s="1"/>
  <c r="Z16" i="14" s="1"/>
  <c r="X11" i="14"/>
  <c r="Y11" i="14" s="1"/>
  <c r="Z11" i="14" s="1"/>
  <c r="X9" i="14"/>
  <c r="Y9" i="14" s="1"/>
  <c r="Z9" i="14" s="1"/>
  <c r="X15" i="14"/>
  <c r="Y15" i="14" s="1"/>
  <c r="Z15" i="14" s="1"/>
  <c r="AH17" i="17"/>
  <c r="Y27" i="17"/>
  <c r="V17" i="13"/>
  <c r="Z8" i="18"/>
  <c r="Z11" i="18" s="1"/>
  <c r="D50" i="35" s="1"/>
  <c r="Y11" i="18"/>
  <c r="Z20" i="2"/>
  <c r="X12" i="14"/>
  <c r="Y12" i="14" s="1"/>
  <c r="Z12" i="14" s="1"/>
  <c r="D91" i="35"/>
  <c r="D79" i="35"/>
  <c r="D83" i="35"/>
  <c r="D87" i="35"/>
  <c r="D85" i="35" s="1"/>
  <c r="AH18" i="17"/>
  <c r="AH19" i="17"/>
  <c r="AC8" i="17"/>
  <c r="AC24" i="17"/>
  <c r="AH24" i="17" s="1"/>
  <c r="AC11" i="17"/>
  <c r="AH11" i="17" s="1"/>
  <c r="AC12" i="17"/>
  <c r="AH12" i="17" s="1"/>
  <c r="AC10" i="17"/>
  <c r="AH10" i="17" s="1"/>
  <c r="AC9" i="17"/>
  <c r="AH9" i="17" s="1"/>
  <c r="AC13" i="17"/>
  <c r="AH13" i="17" s="1"/>
  <c r="AG15" i="15"/>
  <c r="AG16" i="15"/>
  <c r="AG14" i="15"/>
  <c r="D77" i="35" l="1"/>
  <c r="D84" i="35"/>
  <c r="Z8" i="14"/>
  <c r="Z13" i="14" s="1"/>
  <c r="D45" i="35" s="1"/>
  <c r="Y18" i="14"/>
  <c r="C25" i="35" s="1"/>
  <c r="C28" i="35" s="1"/>
  <c r="Z17" i="14"/>
  <c r="D46" i="35" s="1"/>
  <c r="AH8" i="17"/>
  <c r="AH27" i="17" s="1"/>
  <c r="D49" i="35" s="1"/>
  <c r="AC27" i="17"/>
  <c r="C30" i="35" s="1"/>
  <c r="AH16" i="15"/>
  <c r="AI16" i="15" s="1"/>
  <c r="AH15" i="15"/>
  <c r="AI15" i="15" s="1"/>
  <c r="AH14" i="15"/>
  <c r="AE20" i="2"/>
  <c r="D44" i="35" s="1"/>
  <c r="C33" i="35" l="1"/>
  <c r="D76" i="35"/>
  <c r="Z18" i="14"/>
  <c r="D88" i="35"/>
  <c r="AI14" i="15"/>
  <c r="AI20" i="15" s="1"/>
  <c r="D47" i="35" s="1"/>
  <c r="AH20" i="15"/>
  <c r="C35" i="35" s="1"/>
  <c r="C38" i="35" s="1"/>
  <c r="D43" i="35"/>
  <c r="D51" i="35" l="1"/>
  <c r="B6" i="35" l="1"/>
  <c r="B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5FA13601-98AE-47C6-BF5B-CCC8460FF5C9}">
      <text>
        <r>
          <rPr>
            <sz val="11"/>
            <color theme="1"/>
            <rFont val="Calibri"/>
            <family val="2"/>
            <scheme val="minor"/>
          </rPr>
          <t>Identifique las fuentes de emisión correspondientes a su organización y los datos de actividad requeridos para el cálculo.
======</t>
        </r>
      </text>
    </comment>
    <comment ref="C6" authorId="0" shapeId="0" xr:uid="{3E158806-778E-42AB-8DE4-A630D4C55DBC}">
      <text>
        <r>
          <rPr>
            <sz val="11"/>
            <color theme="1"/>
            <rFont val="Calibri"/>
            <family val="2"/>
            <scheme val="minor"/>
          </rPr>
          <t>Seleccione la categoría de datos de actividad asociada al consumo en su organización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Sol Leguizamón Nuñez</author>
  </authors>
  <commentList>
    <comment ref="B6" authorId="0" shapeId="0" xr:uid="{C1EAA646-6667-4DE1-BEF3-30083BECA51E}">
      <text>
        <r>
          <rPr>
            <sz val="11"/>
            <color theme="1"/>
            <rFont val="Calibri"/>
            <family val="2"/>
            <scheme val="minor"/>
          </rPr>
          <t>Identifique las fuentes de emisión correspondientes a su organización y los datos de actividad requeridos para el cálculo.
======</t>
        </r>
      </text>
    </comment>
    <comment ref="C6" authorId="0" shapeId="0" xr:uid="{5B41494D-4796-4D7E-A3C3-729EF355F534}">
      <text>
        <r>
          <rPr>
            <sz val="11"/>
            <color theme="1"/>
            <rFont val="Calibri"/>
            <family val="2"/>
            <scheme val="minor"/>
          </rPr>
          <t>Seleccione la categoría de datos de actividad asociada al consumo en su organización
======</t>
        </r>
      </text>
    </comment>
    <comment ref="E7" authorId="1" shapeId="0" xr:uid="{192A8131-EF53-4458-8078-968ECFC1F752}">
      <text>
        <r>
          <rPr>
            <sz val="9"/>
            <color indexed="81"/>
            <rFont val="Tahoma"/>
            <family val="2"/>
          </rPr>
          <t>Lugar de salida/lugar de llegada
Ej: Asu-CdE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C9B57EB-78C6-4C9F-B9B5-23670E0D2741}">
      <text>
        <r>
          <rPr>
            <sz val="11"/>
            <color theme="1"/>
            <rFont val="Calibri"/>
            <family val="2"/>
            <scheme val="minor"/>
          </rPr>
          <t>Identifique las fuentes de emisión correspondientes a su organización y los datos de actividad requeridos para el cálculo.
======</t>
        </r>
      </text>
    </comment>
    <comment ref="C6" authorId="0" shapeId="0" xr:uid="{410E8A5E-400F-4A1F-BBCB-964D1E0ABDAD}">
      <text>
        <r>
          <rPr>
            <sz val="11"/>
            <color theme="1"/>
            <rFont val="Calibri"/>
            <family val="2"/>
            <scheme val="minor"/>
          </rPr>
          <t>Seleccione la categoría de datos de actividad asociada al consumo en su organización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DE07470E-0AB6-45BE-AAC3-4B3295A12123}">
      <text>
        <r>
          <rPr>
            <sz val="11"/>
            <color theme="1"/>
            <rFont val="Calibri"/>
            <family val="2"/>
            <scheme val="minor"/>
          </rPr>
          <t>Identifique las fuentes de emisión correspondientes a su organización y los datos de actividad requeridos para el cálculo.
======
En este alcance solo se consideran las emisiones por transporte de residuos</t>
        </r>
      </text>
    </comment>
    <comment ref="C6" authorId="0" shapeId="0" xr:uid="{AF861FFC-8AB2-4962-BC4B-B6D71AF0E58C}">
      <text>
        <r>
          <rPr>
            <sz val="11"/>
            <color theme="1"/>
            <rFont val="Calibri"/>
            <family val="2"/>
            <scheme val="minor"/>
          </rPr>
          <t>Seleccione la categoría de datos de actividad asociada al consumo en su organización
======</t>
        </r>
      </text>
    </comment>
    <comment ref="B8" authorId="1" shapeId="0" xr:uid="{E692AD14-9F9B-4FCD-9F56-A548D0094F6B}">
      <text>
        <r>
          <rPr>
            <b/>
            <sz val="9"/>
            <color indexed="81"/>
            <rFont val="Tahoma"/>
            <family val="2"/>
          </rPr>
          <t>Reciclaje de circuito abierto: método por el que los productos y materiales se convierten en nuevos productos de menor calidad y con menos funciones.</t>
        </r>
      </text>
    </comment>
    <comment ref="B13" authorId="1" shapeId="0" xr:uid="{202D5E25-6125-4A51-909F-03A0D92A3EE9}">
      <text>
        <r>
          <rPr>
            <b/>
            <sz val="9"/>
            <color indexed="81"/>
            <rFont val="Tahoma"/>
            <family val="2"/>
          </rPr>
          <t>Reciclaje de circuito cerrado:roceso en el que los residuos se recogen, reciclan y, a continuación, vuelve a utilizarse para fabricar el mismo producto del que proceden.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81822D87-F032-4995-B1C1-C2B3B426259E}">
      <text>
        <r>
          <rPr>
            <sz val="11"/>
            <color theme="1"/>
            <rFont val="Calibri"/>
            <family val="2"/>
            <scheme val="minor"/>
          </rPr>
          <t>Identifique las fuentes de emisión correspondientes a su organización y los datos de actividad requeridos para el cálculo.
======</t>
        </r>
      </text>
    </comment>
    <comment ref="C6" authorId="0" shapeId="0" xr:uid="{BC0CBCD2-8C84-4519-9064-F889FD4CC68C}">
      <text>
        <r>
          <rPr>
            <sz val="11"/>
            <color theme="1"/>
            <rFont val="Calibri"/>
            <family val="2"/>
            <scheme val="minor"/>
          </rPr>
          <t>Seleccione la categoría de datos de actividad asociada al consumo en su organización
======</t>
        </r>
      </text>
    </comment>
    <comment ref="E6" authorId="0" shapeId="0" xr:uid="{5C0125F7-46C7-4FC7-808F-DF4002D4CB2F}">
      <text>
        <r>
          <rPr>
            <sz val="11"/>
            <color theme="1"/>
            <rFont val="Calibri"/>
            <family val="2"/>
            <scheme val="minor"/>
          </rPr>
          <t>lt
======</t>
        </r>
      </text>
    </comment>
    <comment ref="B8" authorId="0" shapeId="0" xr:uid="{6D9E181F-04E4-429F-91BA-9219B6412126}">
      <text>
        <r>
          <rPr>
            <sz val="11"/>
            <color theme="1"/>
            <rFont val="Calibri"/>
            <family val="2"/>
            <scheme val="minor"/>
          </rPr>
          <t>======
ID#AAAAYuT_Bdg
    (2022-05-02 17:51:40)
El usuario puede reportar las emisiones de GEI de otra fuente que no se encuentra en la lista de Alcance 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
  </authors>
  <commentList>
    <comment ref="F7" authorId="0" shapeId="0" xr:uid="{CBBFA746-2D16-4D2C-946C-3B705BC2372C}">
      <text>
        <r>
          <rPr>
            <b/>
            <sz val="9"/>
            <color indexed="81"/>
            <rFont val="Tahoma"/>
            <family val="2"/>
          </rPr>
          <t>Usuario:</t>
        </r>
        <r>
          <rPr>
            <sz val="9"/>
            <color indexed="81"/>
            <rFont val="Tahoma"/>
            <family val="2"/>
          </rPr>
          <t xml:space="preserve">
Fuente: Balance Energético Nacional 2024</t>
        </r>
      </text>
    </comment>
    <comment ref="G7" authorId="0" shapeId="0" xr:uid="{AA0EB337-6596-48E5-BD7B-F8B043D6BB65}">
      <text>
        <r>
          <rPr>
            <b/>
            <sz val="9"/>
            <color indexed="81"/>
            <rFont val="Tahoma"/>
            <family val="2"/>
          </rPr>
          <t>Usuario:</t>
        </r>
        <r>
          <rPr>
            <sz val="9"/>
            <color indexed="81"/>
            <rFont val="Tahoma"/>
            <family val="2"/>
          </rPr>
          <t xml:space="preserve">
Fuente: Balance Energético Nacional 2024
</t>
        </r>
      </text>
    </comment>
    <comment ref="N7" authorId="1" shapeId="0" xr:uid="{00000000-0006-0000-0200-000002000000}">
      <text>
        <r>
          <rPr>
            <sz val="11"/>
            <color theme="1"/>
            <rFont val="Calibri"/>
            <family val="2"/>
            <scheme val="minor"/>
          </rPr>
          <t>F.E * VCN 
======</t>
        </r>
      </text>
    </comment>
    <comment ref="S7" authorId="1" shapeId="0" xr:uid="{00000000-0006-0000-0200-000003000000}">
      <text>
        <r>
          <rPr>
            <sz val="11"/>
            <color theme="1"/>
            <rFont val="Calibri"/>
            <family val="2"/>
            <scheme val="minor"/>
          </rPr>
          <t>F.E. * VCN
======</t>
        </r>
      </text>
    </comment>
    <comment ref="F44" authorId="0" shapeId="0" xr:uid="{FF41513B-09A8-485A-B8E7-9A707972F9E6}">
      <text>
        <r>
          <rPr>
            <b/>
            <sz val="9"/>
            <color indexed="81"/>
            <rFont val="Tahoma"/>
            <family val="2"/>
          </rPr>
          <t>Usuario:</t>
        </r>
        <r>
          <rPr>
            <sz val="9"/>
            <color indexed="81"/>
            <rFont val="Tahoma"/>
            <family val="2"/>
          </rPr>
          <t xml:space="preserve">
Fuente BEN 2025. Propiedades fisicoquímicas.</t>
        </r>
      </text>
    </comment>
    <comment ref="R45" authorId="1" shapeId="0" xr:uid="{69C4729B-5650-463B-94DB-46B6ED2F500D}">
      <text>
        <r>
          <rPr>
            <sz val="11"/>
            <color theme="1"/>
            <rFont val="Calibri"/>
            <family val="2"/>
            <scheme val="minor"/>
          </rPr>
          <t>F.E. * VCN
======</t>
        </r>
      </text>
    </comment>
    <comment ref="A105" authorId="1" shapeId="0" xr:uid="{00000000-0006-0000-0200-000004000000}">
      <text>
        <r>
          <rPr>
            <sz val="11"/>
            <color theme="1"/>
            <rFont val="Calibri"/>
            <family val="2"/>
            <scheme val="minor"/>
          </rPr>
          <t>FC CKD = 1 / 1.02
======</t>
        </r>
      </text>
    </comment>
    <comment ref="A106" authorId="1" shapeId="0" xr:uid="{00000000-0006-0000-0200-000005000000}">
      <text>
        <r>
          <rPr>
            <sz val="11"/>
            <color theme="1"/>
            <rFont val="Calibri"/>
            <family val="2"/>
            <scheme val="minor"/>
          </rPr>
          <t>Nivel 1, no requiere FC LKD
======</t>
        </r>
      </text>
    </comment>
    <comment ref="A107" authorId="1" shapeId="0" xr:uid="{00000000-0006-0000-0200-000006000000}">
      <text>
        <r>
          <rPr>
            <sz val="11"/>
            <color theme="1"/>
            <rFont val="Calibri"/>
            <family val="2"/>
            <scheme val="minor"/>
          </rPr>
          <t>Proporción de cullet: 30%-60% (IPCC, 2006)
======</t>
        </r>
      </text>
    </comment>
    <comment ref="A109" authorId="1" shapeId="0" xr:uid="{00000000-0006-0000-0200-000007000000}">
      <text>
        <r>
          <rPr>
            <sz val="11"/>
            <color theme="1"/>
            <rFont val="Calibri"/>
            <family val="2"/>
            <scheme val="minor"/>
          </rPr>
          <t>CC * Factor ODU *44/12
======</t>
        </r>
      </text>
    </comment>
    <comment ref="A110" authorId="1" shapeId="0" xr:uid="{00000000-0006-0000-0200-000008000000}">
      <text>
        <r>
          <rPr>
            <sz val="11"/>
            <color theme="1"/>
            <rFont val="Calibri"/>
            <family val="2"/>
            <scheme val="minor"/>
          </rPr>
          <t>CC * Factor ODU * 44/12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00000000-0006-0000-0100-000001000000}">
      <text>
        <r>
          <rPr>
            <sz val="11"/>
            <color theme="1"/>
            <rFont val="Calibri"/>
            <family val="2"/>
            <scheme val="minor"/>
          </rPr>
          <t>Identifique las fuentes de emisión correspondientes a su organización y los datos de actividad requeridos para el cálculo.
======</t>
        </r>
      </text>
    </comment>
    <comment ref="C6" authorId="0" shapeId="0" xr:uid="{00000000-0006-0000-0100-000004000000}">
      <text>
        <r>
          <rPr>
            <sz val="11"/>
            <color theme="1"/>
            <rFont val="Calibri"/>
            <family val="2"/>
            <scheme val="minor"/>
          </rPr>
          <t>Seleccione la categoría de datos de actividad asociada al consumo en su organización
======</t>
        </r>
      </text>
    </comment>
    <comment ref="B8" authorId="1" shapeId="0" xr:uid="{D073B249-D764-413F-8B62-9FA77CCCE048}">
      <text>
        <r>
          <rPr>
            <b/>
            <sz val="9"/>
            <color indexed="81"/>
            <rFont val="Tahoma"/>
            <family val="2"/>
          </rPr>
          <t>Esta categoría incluye emisiones de combustibles quemados por las industrias productoras de electricidad como generadores privados que entregan energía eléctrica al SIN.</t>
        </r>
      </text>
    </comment>
    <comment ref="B11" authorId="1" shapeId="0" xr:uid="{355C6A58-3DEA-4A84-B59F-5E9758628DC8}">
      <text>
        <r>
          <rPr>
            <b/>
            <sz val="9"/>
            <color indexed="81"/>
            <rFont val="Tahoma"/>
            <family val="2"/>
          </rPr>
          <t>Esta categoría incluye a todas las actividades de combustión que respaldan la obtención de productos derivados del petróleo considerando la quema en el sitio para la generación de electricidad y calor para uso propio.</t>
        </r>
      </text>
    </comment>
    <comment ref="B14" authorId="1" shapeId="0" xr:uid="{730863C0-F5B4-431D-A412-0B8B96039B48}">
      <text>
        <r>
          <rPr>
            <b/>
            <sz val="9"/>
            <color indexed="81"/>
            <rFont val="Tahoma"/>
            <family val="2"/>
          </rPr>
          <t>Esta categoría abarca las emisiones producidas por la quema de combustibles en la industria, principalmente en calderas y hornos para generar el calor requerido en los procesos productivos. Incluye asimismo la quema para la generación de electricidad para el uso propio de estas industrias.</t>
        </r>
      </text>
    </comment>
    <comment ref="B17" authorId="1" shapeId="0" xr:uid="{12AF9222-4319-4830-858B-3C8DB298F171}">
      <text>
        <r>
          <rPr>
            <b/>
            <sz val="9"/>
            <color indexed="81"/>
            <rFont val="Tahoma"/>
            <family val="2"/>
          </rPr>
          <t>Esta categoría incluye como actividades principales la cocción y la calefacción en edificios comerciales e institucionales, entre los cuales se encuentran oficinas públicas, hospitales, centros educativos y restaurantes, entre otros.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3A72EC13-1BAB-4D09-8C91-D0696873AD32}">
      <text>
        <r>
          <rPr>
            <sz val="11"/>
            <color theme="1"/>
            <rFont val="Calibri"/>
            <family val="2"/>
            <scheme val="minor"/>
          </rPr>
          <t>Identifique las fuentes de emisión correspondientes a su organización y los datos de actividad requeridos para el cálculo.
======</t>
        </r>
      </text>
    </comment>
    <comment ref="C6" authorId="0" shapeId="0" xr:uid="{4E4D0EDA-BD28-4694-AAC6-F60430BC6F9D}">
      <text>
        <r>
          <rPr>
            <sz val="11"/>
            <color theme="1"/>
            <rFont val="Calibri"/>
            <family val="2"/>
            <scheme val="minor"/>
          </rPr>
          <t>Seleccione la categoría de datos de actividad asociada al consumo en su organización
======</t>
        </r>
      </text>
    </comment>
    <comment ref="D6" authorId="0" shapeId="0" xr:uid="{CA99CB98-8B41-4609-B9A0-F0A41C36E2AC}">
      <text>
        <r>
          <rPr>
            <sz val="11"/>
            <color theme="1"/>
            <rFont val="Calibri"/>
            <family val="2"/>
            <scheme val="minor"/>
          </rPr>
          <t>lt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31593002-BD15-4B2C-9B17-D0584726E693}">
      <text>
        <r>
          <rPr>
            <sz val="11"/>
            <color theme="1"/>
            <rFont val="Calibri"/>
            <family val="2"/>
            <scheme val="minor"/>
          </rPr>
          <t>Identifique las fuentes de emisión correspondientes a su organización y los datos de actividad requeridos para el cálculo.
======</t>
        </r>
      </text>
    </comment>
    <comment ref="C6" authorId="0" shapeId="0" xr:uid="{1150D716-EFF6-410D-8265-01A758AE2F3A}">
      <text>
        <r>
          <rPr>
            <sz val="11"/>
            <color theme="1"/>
            <rFont val="Calibri"/>
            <family val="2"/>
            <scheme val="minor"/>
          </rPr>
          <t>Seleccione la categoría de datos de actividad asociada al consumo en su organización
======</t>
        </r>
      </text>
    </comment>
    <comment ref="E6" authorId="0" shapeId="0" xr:uid="{B0A70A44-07A9-4F06-9DA9-8028C1D584AB}">
      <text>
        <r>
          <rPr>
            <sz val="11"/>
            <color theme="1"/>
            <rFont val="Calibri"/>
            <family val="2"/>
            <scheme val="minor"/>
          </rPr>
          <t>lt
======</t>
        </r>
      </text>
    </comment>
    <comment ref="D8" authorId="1" shapeId="0" xr:uid="{9FAC5F40-1096-4D1A-BD0B-62478FE73F65}">
      <text>
        <r>
          <rPr>
            <b/>
            <sz val="9"/>
            <color indexed="81"/>
            <rFont val="Tahoma"/>
            <family val="2"/>
          </rPr>
          <t>USUARIO:</t>
        </r>
        <r>
          <rPr>
            <sz val="9"/>
            <color indexed="81"/>
            <rFont val="Tahoma"/>
            <family val="2"/>
          </rPr>
          <t xml:space="preserve">
Coloque aquí el % de nitrógeno del fertilizante a reportar</t>
        </r>
      </text>
    </comment>
    <comment ref="D9" authorId="1" shapeId="0" xr:uid="{D52422BA-CD2B-470C-A3B1-7C344CD94FC0}">
      <text>
        <r>
          <rPr>
            <b/>
            <sz val="9"/>
            <color indexed="81"/>
            <rFont val="Tahoma"/>
            <family val="2"/>
          </rPr>
          <t>USUARIO:</t>
        </r>
        <r>
          <rPr>
            <sz val="9"/>
            <color indexed="81"/>
            <rFont val="Tahoma"/>
            <family val="2"/>
          </rPr>
          <t xml:space="preserve">
Coloque aquí el % de nitrógeno del fertilizante a reportar</t>
        </r>
      </text>
    </comment>
    <comment ref="D10" authorId="1" shapeId="0" xr:uid="{99DC232F-BD9F-4969-9E4B-002B6C2521DC}">
      <text>
        <r>
          <rPr>
            <b/>
            <sz val="9"/>
            <color indexed="81"/>
            <rFont val="Tahoma"/>
            <family val="2"/>
          </rPr>
          <t>USUARIO:</t>
        </r>
        <r>
          <rPr>
            <sz val="9"/>
            <color indexed="81"/>
            <rFont val="Tahoma"/>
            <family val="2"/>
          </rPr>
          <t xml:space="preserve">
Coloque aquí el % de nitrógeno del fertilizante a reportar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506C24D4-D8F3-4B35-BFE0-E3E60E75A99A}">
      <text>
        <r>
          <rPr>
            <sz val="11"/>
            <color theme="1"/>
            <rFont val="Calibri"/>
            <family val="2"/>
            <scheme val="minor"/>
          </rPr>
          <t>Identifique las fuentes de emisión correspondientes a su organización y los datos de actividad requeridos para el cálculo.
======</t>
        </r>
      </text>
    </comment>
    <comment ref="C6" authorId="0" shapeId="0" xr:uid="{E4C88EA8-DF9A-4C9C-AA0B-0DEB5544EBED}">
      <text>
        <r>
          <rPr>
            <sz val="11"/>
            <color theme="1"/>
            <rFont val="Calibri"/>
            <family val="2"/>
            <scheme val="minor"/>
          </rPr>
          <t>Seleccione la categoría de datos de actividad asociada al consumo en su organización
======</t>
        </r>
      </text>
    </comment>
    <comment ref="B8" authorId="1" shapeId="0" xr:uid="{1EE033DE-DEF0-4B57-8FB8-9B0ED719779F}">
      <text>
        <r>
          <rPr>
            <b/>
            <sz val="9"/>
            <color indexed="81"/>
            <rFont val="Tahoma"/>
            <family val="2"/>
          </rPr>
          <t>USUARIO:</t>
        </r>
        <r>
          <rPr>
            <sz val="9"/>
            <color indexed="81"/>
            <rFont val="Tahoma"/>
            <family val="2"/>
          </rPr>
          <t xml:space="preserve">
Indicar cantidad de gas recargada</t>
        </r>
      </text>
    </comment>
    <comment ref="B15" authorId="1" shapeId="0" xr:uid="{D73A7DAD-7904-4711-9776-970643CC2084}">
      <text>
        <r>
          <rPr>
            <b/>
            <sz val="9"/>
            <color indexed="81"/>
            <rFont val="Tahoma"/>
            <family val="2"/>
          </rPr>
          <t>USUARIO:</t>
        </r>
        <r>
          <rPr>
            <sz val="9"/>
            <color indexed="81"/>
            <rFont val="Tahoma"/>
            <family val="2"/>
          </rPr>
          <t xml:space="preserve">
Indicar la capacidad del extintor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5DDF2EEC-F9A5-4B73-8AB8-FF44FCA9B381}">
      <text>
        <r>
          <rPr>
            <sz val="11"/>
            <color theme="1"/>
            <rFont val="Calibri"/>
            <family val="2"/>
            <scheme val="minor"/>
          </rPr>
          <t>Identifique las fuentes de emisión correspondientes a su organización y los datos de actividad requeridos para el cálculo.
======</t>
        </r>
      </text>
    </comment>
    <comment ref="C6" authorId="0" shapeId="0" xr:uid="{CEFA8017-4FD4-43EB-B483-1C6E2A46FCDE}">
      <text>
        <r>
          <rPr>
            <sz val="11"/>
            <color theme="1"/>
            <rFont val="Calibri"/>
            <family val="2"/>
            <scheme val="minor"/>
          </rPr>
          <t>Seleccione la categoría de datos de actividad asociada al consumo en su organización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33FFCB34-5E2C-43F5-8CF0-8645B8BFF69E}">
      <text>
        <r>
          <rPr>
            <sz val="11"/>
            <color theme="1"/>
            <rFont val="Calibri"/>
            <family val="2"/>
            <scheme val="minor"/>
          </rPr>
          <t>Identifique las fuentes de emisión correspondientes a su organización y los datos de actividad requeridos para el cálculo.
======</t>
        </r>
      </text>
    </comment>
    <comment ref="C6" authorId="0" shapeId="0" xr:uid="{6087BEA0-EB04-4351-BB61-13A08F2B9E80}">
      <text>
        <r>
          <rPr>
            <sz val="11"/>
            <color theme="1"/>
            <rFont val="Calibri"/>
            <family val="2"/>
            <scheme val="minor"/>
          </rPr>
          <t>Seleccione la categoría de datos de actividad asociada al consumo en su organización
======</t>
        </r>
      </text>
    </comment>
    <comment ref="B8" authorId="1" shapeId="0" xr:uid="{297E8F7A-AC1E-4281-BEED-E21116ADC941}">
      <text>
        <r>
          <rPr>
            <b/>
            <sz val="9"/>
            <color indexed="81"/>
            <rFont val="Tahoma"/>
            <family val="2"/>
          </rPr>
          <t>La mayor parte del SF6 utilizado en los equipos eléctricos se emplea en conmutadores y subestaciones con aislación de gas y en los disyuntores a gas. Asimismo, parte del SF6 se emplea en líneas de alta tensión con aislación de gas, en transformadores para aparatos de medida externos con aislación de gas y en otros equipos.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6F717226-CDB4-4B36-A8C6-1C3E5EEA7100}">
      <text>
        <r>
          <rPr>
            <sz val="11"/>
            <color theme="1"/>
            <rFont val="Calibri"/>
            <family val="2"/>
            <scheme val="minor"/>
          </rPr>
          <t>Identifique las fuentes de emisión correspondientes a su organización y los datos de actividad requeridos para el cálculo.
======</t>
        </r>
      </text>
    </comment>
    <comment ref="C6" authorId="0" shapeId="0" xr:uid="{0C2718A0-4058-4393-B64D-B43A15CC91DD}">
      <text>
        <r>
          <rPr>
            <sz val="11"/>
            <color theme="1"/>
            <rFont val="Calibri"/>
            <family val="2"/>
            <scheme val="minor"/>
          </rPr>
          <t>Seleccione la categoría de datos de actividad asociada al consumo en su organización
======</t>
        </r>
      </text>
    </comment>
    <comment ref="B8" authorId="1" shapeId="0" xr:uid="{7B75B2F3-809B-4F08-80C2-8FF7645A7A01}">
      <text>
        <r>
          <rPr>
            <b/>
            <sz val="9"/>
            <color indexed="81"/>
            <rFont val="Tahoma"/>
            <family val="2"/>
          </rPr>
          <t>Transporte de empleados entre sus hogares y sus lugares de trabajo durante el año de informe (en vehículos que no son propiedad ni son operados por la empresa informante)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6" authorId="0" shapeId="0" xr:uid="{8DD39B25-1E31-4203-8B05-86C078F4C11D}">
      <text>
        <r>
          <rPr>
            <sz val="11"/>
            <color theme="1"/>
            <rFont val="Calibri"/>
            <family val="2"/>
            <scheme val="minor"/>
          </rPr>
          <t>Identifique las fuentes de emisión correspondientes a su organización y los datos de actividad requeridos para el cálculo.
======</t>
        </r>
      </text>
    </comment>
    <comment ref="C6" authorId="0" shapeId="0" xr:uid="{0BAB6F06-AA4F-4A1A-8F6E-2F0BD602431A}">
      <text>
        <r>
          <rPr>
            <sz val="11"/>
            <color theme="1"/>
            <rFont val="Calibri"/>
            <family val="2"/>
            <scheme val="minor"/>
          </rPr>
          <t>Seleccione la categoría de datos de actividad asociada al consumo en su organización
======</t>
        </r>
      </text>
    </comment>
    <comment ref="B8" authorId="1" shapeId="0" xr:uid="{95A41DB4-0714-41AA-BD0F-DF1848972BC3}">
      <text>
        <r>
          <rPr>
            <b/>
            <sz val="9"/>
            <color indexed="81"/>
            <rFont val="Tahoma"/>
            <family val="2"/>
          </rPr>
          <t>Transporte de empleados para actividades relacionadas con el negocio durante el año de informe (en vuelos comerciales)</t>
        </r>
      </text>
    </comment>
    <comment ref="B11" authorId="1" shapeId="0" xr:uid="{9EDCAF84-98D9-4F8A-A040-3C498FDEC82F}">
      <text>
        <r>
          <rPr>
            <b/>
            <sz val="9"/>
            <color indexed="81"/>
            <rFont val="Tahoma"/>
            <family val="2"/>
          </rPr>
          <t>Transporte de empleados para actividades relacionadas con el negocio durante el año de informe (en vehículos que no pertenecen ni son operados por la empresa informante)</t>
        </r>
      </text>
    </comment>
  </commentList>
</comments>
</file>

<file path=xl/sharedStrings.xml><?xml version="1.0" encoding="utf-8"?>
<sst xmlns="http://schemas.openxmlformats.org/spreadsheetml/2006/main" count="2776" uniqueCount="790">
  <si>
    <t>DATOS GENERALES DE LA ORGANIZACIÓN</t>
  </si>
  <si>
    <t>NOMBRE DE LA ORGANIZACIÓN:</t>
  </si>
  <si>
    <t>PERSONA ENCARGADA DEL REPORTE:</t>
  </si>
  <si>
    <t>DIRECCIÓN:</t>
  </si>
  <si>
    <t>CORREO:</t>
  </si>
  <si>
    <t>NOMBRE DEL CONTACTO:</t>
  </si>
  <si>
    <t>TELÉFONO:</t>
  </si>
  <si>
    <t>AÑO DE REPORTE:</t>
  </si>
  <si>
    <t>ALCANCE 1</t>
  </si>
  <si>
    <t>Fuentes móviles</t>
  </si>
  <si>
    <t>Fuente de emisión de GEI</t>
  </si>
  <si>
    <t>Datos de actividad</t>
  </si>
  <si>
    <t xml:space="preserve">Unidad </t>
  </si>
  <si>
    <t>Valor de datos de actividad</t>
  </si>
  <si>
    <t>Incertidumbre de datos</t>
  </si>
  <si>
    <t>Emisiones HFC</t>
  </si>
  <si>
    <t>Emisiones SF6</t>
  </si>
  <si>
    <t>HUELLA DE CARBONO (t CO2eq)</t>
  </si>
  <si>
    <t>Enero</t>
  </si>
  <si>
    <t>Febrero</t>
  </si>
  <si>
    <t>Marzo</t>
  </si>
  <si>
    <t>Abril</t>
  </si>
  <si>
    <t>Mayo</t>
  </si>
  <si>
    <t>Junio</t>
  </si>
  <si>
    <t>Julio</t>
  </si>
  <si>
    <t>Agosto</t>
  </si>
  <si>
    <t>Setiembre</t>
  </si>
  <si>
    <t>Octubre</t>
  </si>
  <si>
    <t>Noviembre</t>
  </si>
  <si>
    <t>Diciembre</t>
  </si>
  <si>
    <t>TOTAL</t>
  </si>
  <si>
    <t>Nro de datos</t>
  </si>
  <si>
    <t>Promedio</t>
  </si>
  <si>
    <t>Desv, estándar</t>
  </si>
  <si>
    <t>Factor T</t>
  </si>
  <si>
    <t>Incertidumbre sistematica datos</t>
  </si>
  <si>
    <t>Incertidumbre datos</t>
  </si>
  <si>
    <t>Factor de emisión HFC</t>
  </si>
  <si>
    <t>Emisiones HFC (tCO2eq)</t>
  </si>
  <si>
    <t>Factor de emisión SF6</t>
  </si>
  <si>
    <t>Emisiones SF6 (tCO2eq)</t>
  </si>
  <si>
    <t>Datos de Actividad</t>
  </si>
  <si>
    <t>Subtotal fuentes móviles</t>
  </si>
  <si>
    <t>Fuentes fijas</t>
  </si>
  <si>
    <t>Unidad</t>
  </si>
  <si>
    <t>Subtotal fuentes fijas</t>
  </si>
  <si>
    <t>Emisiones de proceso</t>
  </si>
  <si>
    <t>Desv. estándar</t>
  </si>
  <si>
    <t>Procesos industriales</t>
  </si>
  <si>
    <t>Producción de cemento</t>
  </si>
  <si>
    <t>Producción de cal</t>
  </si>
  <si>
    <t>Uso de productos</t>
  </si>
  <si>
    <t>Lubricantes</t>
  </si>
  <si>
    <t>Ceras parafinas</t>
  </si>
  <si>
    <t>Uso de fertilizantes</t>
  </si>
  <si>
    <t>Fertilizantes orgánicos</t>
  </si>
  <si>
    <t>Orina y estiercol depositados por animales de pastoreo CPP</t>
  </si>
  <si>
    <t>Cultivo de arroz</t>
  </si>
  <si>
    <t>Encalado</t>
  </si>
  <si>
    <t>Dolomita</t>
  </si>
  <si>
    <t>Aplicación de urea</t>
  </si>
  <si>
    <t>Emisiones fugitivas</t>
  </si>
  <si>
    <t>Emisiones SF6 (kgCO2eq)</t>
  </si>
  <si>
    <t>Subtotal emisiones fugitivas de instalaciones y edificios</t>
  </si>
  <si>
    <t>HFC-32</t>
  </si>
  <si>
    <t>Gestionado – anaeróbico: Textiles</t>
  </si>
  <si>
    <t>Disposición de residuos en establecimiento - Gestionado semi aeróbico</t>
  </si>
  <si>
    <t>Incineración y quema de residuos</t>
  </si>
  <si>
    <t>Textil</t>
  </si>
  <si>
    <t>Alimentos</t>
  </si>
  <si>
    <t>Quema de residuos agrícolas</t>
  </si>
  <si>
    <t>Tratamiento biológico de residuos</t>
  </si>
  <si>
    <t>Compostaje - peso seco</t>
  </si>
  <si>
    <t>Digestión anaerobia - peso seco</t>
  </si>
  <si>
    <t>Tratamiento de aguas residuales</t>
  </si>
  <si>
    <t>Laguna anaeróbica poco profunda</t>
  </si>
  <si>
    <t>Eliminación en rio, lago y mar</t>
  </si>
  <si>
    <t>Planta de tratamiento aeróbico</t>
  </si>
  <si>
    <t>Uso de equipos eléctricos</t>
  </si>
  <si>
    <t>TOTAL ALCANCE 1</t>
  </si>
  <si>
    <t>Solamente se pueden reportar emisiones de GEI en esta categoría. Cambie su selección anterior.</t>
  </si>
  <si>
    <t>Emisiones GEI</t>
  </si>
  <si>
    <t>Tipo de Combustible</t>
  </si>
  <si>
    <t>Unidad de consumo</t>
  </si>
  <si>
    <t>F.E. CO2eq</t>
  </si>
  <si>
    <t>Unidad FE</t>
  </si>
  <si>
    <t>Incertidumbre (+/- %)</t>
  </si>
  <si>
    <t>Fuentes Fijas</t>
  </si>
  <si>
    <t>Fuentes Móviles</t>
  </si>
  <si>
    <t>F.E. CH4</t>
  </si>
  <si>
    <t>F.E. N2O</t>
  </si>
  <si>
    <t>TJ</t>
  </si>
  <si>
    <t>kg CO2eq / TJ</t>
  </si>
  <si>
    <t>lt</t>
  </si>
  <si>
    <t>kgCO2 eq/lt</t>
  </si>
  <si>
    <t>kgCH4/TJ</t>
  </si>
  <si>
    <t>kgCH4/lt</t>
  </si>
  <si>
    <t>kg N2O/TJ</t>
  </si>
  <si>
    <t>kg N2O/lt</t>
  </si>
  <si>
    <t>-</t>
  </si>
  <si>
    <t>kg</t>
  </si>
  <si>
    <t>kgCO2 eq/kg</t>
  </si>
  <si>
    <t>kgCH4/kg</t>
  </si>
  <si>
    <t>kg N2O/kg</t>
  </si>
  <si>
    <t>ton</t>
  </si>
  <si>
    <t>kgCO2 eq/ton</t>
  </si>
  <si>
    <t>kgCH4/ton</t>
  </si>
  <si>
    <t>kg N2O/ton</t>
  </si>
  <si>
    <t>Coque de petróleo</t>
  </si>
  <si>
    <t>GWP</t>
  </si>
  <si>
    <t>N2O</t>
  </si>
  <si>
    <t>HFC-23</t>
  </si>
  <si>
    <t>HFC-125</t>
  </si>
  <si>
    <t>HFC-365mfc</t>
  </si>
  <si>
    <t>SF6</t>
  </si>
  <si>
    <t>Proceso</t>
  </si>
  <si>
    <t>ton CO2 eq / ton</t>
  </si>
  <si>
    <t>kg CO2eq / ton</t>
  </si>
  <si>
    <t>Producción de vidrio</t>
  </si>
  <si>
    <t>kg CO2eq / kg</t>
  </si>
  <si>
    <t>Tipo de fertilizante</t>
  </si>
  <si>
    <t>Unidad consumo</t>
  </si>
  <si>
    <t>kg N2O/kg N2</t>
  </si>
  <si>
    <t>Orina y estiercol depositados por animales de pastoreo SO</t>
  </si>
  <si>
    <t>Fermentación entérica</t>
  </si>
  <si>
    <t>Cabezas</t>
  </si>
  <si>
    <t>Kg CH4 / cabeza.año</t>
  </si>
  <si>
    <t>Ovinos</t>
  </si>
  <si>
    <t>Caprinos</t>
  </si>
  <si>
    <t>Equinos</t>
  </si>
  <si>
    <t>Mulas y asnos</t>
  </si>
  <si>
    <t>F.E. SME</t>
  </si>
  <si>
    <t>Manejo de estiércol</t>
  </si>
  <si>
    <t>Fracción de excreción total anual de N</t>
  </si>
  <si>
    <t>Estiércol de aves de corral con cama</t>
  </si>
  <si>
    <t>Estiércol de aves de corral sin cama</t>
  </si>
  <si>
    <t>kg CH4 / cabeza.año</t>
  </si>
  <si>
    <t>kg N2O / cabeza.año</t>
  </si>
  <si>
    <t>Aves de corral</t>
  </si>
  <si>
    <t>Régimen de cultivo de arroz</t>
  </si>
  <si>
    <t>Riego</t>
  </si>
  <si>
    <t>Ha.día</t>
  </si>
  <si>
    <t>Kg CH4 / Ha.día</t>
  </si>
  <si>
    <t>F.E. CO2</t>
  </si>
  <si>
    <t>ton C / ton dolomita</t>
  </si>
  <si>
    <t>Descripción</t>
  </si>
  <si>
    <t>ton C / ton urea</t>
  </si>
  <si>
    <t>Disposición de residuos en establecimiento</t>
  </si>
  <si>
    <t>Gestionado – anaeróbico: Papel/cartón</t>
  </si>
  <si>
    <t>Gestionado – anaeróbico: Madera</t>
  </si>
  <si>
    <t>Gestionado – semi-aeróbico: Papel/cartón</t>
  </si>
  <si>
    <t>Gestionado – semi-aeróbico: Madera</t>
  </si>
  <si>
    <t>Contenido de materia seca en desechos (peso húmedo)</t>
  </si>
  <si>
    <t>Fracción de C en materia seca</t>
  </si>
  <si>
    <t>Fracción de C fósil</t>
  </si>
  <si>
    <t>Factor de oxidación</t>
  </si>
  <si>
    <t>Papel</t>
  </si>
  <si>
    <t>Jardin</t>
  </si>
  <si>
    <t>Plásticos, otros inertes</t>
  </si>
  <si>
    <t>Caña de azúcar</t>
  </si>
  <si>
    <t>ha</t>
  </si>
  <si>
    <t>Tipo de tratamiento biológico</t>
  </si>
  <si>
    <t>Compostaje - peso húmedo</t>
  </si>
  <si>
    <t>Digestión anaerobia - peso húmedo</t>
  </si>
  <si>
    <t>Tratamiento y eliminación de aguas residuales industriales</t>
  </si>
  <si>
    <t>Factor de corrección para el metano MCF</t>
  </si>
  <si>
    <t>Capacidad máxima de producción de metano</t>
  </si>
  <si>
    <t>kg CH4/kg</t>
  </si>
  <si>
    <t>Uso de equipos electrónicos</t>
  </si>
  <si>
    <t>GWP SF6</t>
  </si>
  <si>
    <t>ALCANCE 3</t>
  </si>
  <si>
    <t>Transporte de empleados</t>
  </si>
  <si>
    <t>HUELLA DE CARBONO</t>
  </si>
  <si>
    <t>(t CO2 eq)</t>
  </si>
  <si>
    <t>Transporte casa-trabajo</t>
  </si>
  <si>
    <t>Viajes de negocios</t>
  </si>
  <si>
    <t>Transporte aéreo</t>
  </si>
  <si>
    <t>Transporte terrestre</t>
  </si>
  <si>
    <t>Transporte fluvial</t>
  </si>
  <si>
    <t>Consumo de papel</t>
  </si>
  <si>
    <t>Residuos generados en operaciones</t>
  </si>
  <si>
    <t>Tratamiento biológico de residuos- Compostaje</t>
  </si>
  <si>
    <t>Tratamiento biológico de residuos- Digestión anaerobia</t>
  </si>
  <si>
    <t>Subtotal emisiones de otras fuentes</t>
  </si>
  <si>
    <t xml:space="preserve">Otras fuentes </t>
  </si>
  <si>
    <t>Transporte casa/trabajo</t>
  </si>
  <si>
    <t>Tipo de transporte</t>
  </si>
  <si>
    <t>FE CO2</t>
  </si>
  <si>
    <t>FE CH4</t>
  </si>
  <si>
    <t>FE N2O</t>
  </si>
  <si>
    <t>Km*persona</t>
  </si>
  <si>
    <t>Transporte público – ómnibus</t>
  </si>
  <si>
    <t>Transporte público – Taxi</t>
  </si>
  <si>
    <t>Motocicleta</t>
  </si>
  <si>
    <t>Auto propio GLP</t>
  </si>
  <si>
    <t>Tipo</t>
  </si>
  <si>
    <t>Unidad FE CH4</t>
  </si>
  <si>
    <t>Unidad FE N2O</t>
  </si>
  <si>
    <t>Transporte aéreo &lt; 500 km</t>
  </si>
  <si>
    <t>km.persona</t>
  </si>
  <si>
    <t>Transporte aéreo 500-3700 km</t>
  </si>
  <si>
    <t>Transporte aéreo &gt; 3700 km</t>
  </si>
  <si>
    <t>Transporte terrestre– ómnibus</t>
  </si>
  <si>
    <t>Transporte terrestre– Taxi</t>
  </si>
  <si>
    <t>Transporte fluvial-Ferry</t>
  </si>
  <si>
    <t>Transporte de insumos</t>
  </si>
  <si>
    <t>Camiones de carga</t>
  </si>
  <si>
    <t>tonelada.km</t>
  </si>
  <si>
    <t>Vuelos de carga</t>
  </si>
  <si>
    <t>Vuelos entre aeropuertos nacionales</t>
  </si>
  <si>
    <t>Hasta 3700 km</t>
  </si>
  <si>
    <t>Mayor a 3700 km</t>
  </si>
  <si>
    <t>Barco petrolero</t>
  </si>
  <si>
    <t>Cisterna de crudo</t>
  </si>
  <si>
    <t>Cisterna de productos</t>
  </si>
  <si>
    <t xml:space="preserve">Petrolero químico </t>
  </si>
  <si>
    <t>Petrolero LGNL</t>
  </si>
  <si>
    <t>Petrolero GLP</t>
  </si>
  <si>
    <t>Barco de carga</t>
  </si>
  <si>
    <t>Granelero</t>
  </si>
  <si>
    <t>Carga general</t>
  </si>
  <si>
    <t>Barco de contenedores</t>
  </si>
  <si>
    <t>Transporte de vehìculos</t>
  </si>
  <si>
    <t>Ferry RoRo</t>
  </si>
  <si>
    <t>Gran RoPax ferry</t>
  </si>
  <si>
    <t>Carga refrigerada</t>
  </si>
  <si>
    <t>Bienes y servicios comprados</t>
  </si>
  <si>
    <t>FE CO2 e</t>
  </si>
  <si>
    <t>Toneladas</t>
  </si>
  <si>
    <t>Tipo de disposición</t>
  </si>
  <si>
    <t>Actividad</t>
  </si>
  <si>
    <t>Reciclaje de circuito abierto</t>
  </si>
  <si>
    <t>Residuos de construcción</t>
  </si>
  <si>
    <t>Vidrios</t>
  </si>
  <si>
    <t>Artefactos eléctricos</t>
  </si>
  <si>
    <t>Metal</t>
  </si>
  <si>
    <t>Plastico</t>
  </si>
  <si>
    <t>Reciclaje de circuito cerrado</t>
  </si>
  <si>
    <t>Aceite mineral</t>
  </si>
  <si>
    <t>Neumáticos</t>
  </si>
  <si>
    <t>Madera</t>
  </si>
  <si>
    <t>Libros</t>
  </si>
  <si>
    <t>Ropas</t>
  </si>
  <si>
    <t>Residuos comerciales e industriales</t>
  </si>
  <si>
    <t>Vertedero</t>
  </si>
  <si>
    <t>Residuos de comida</t>
  </si>
  <si>
    <t>Residuos de jardín</t>
  </si>
  <si>
    <t>Residuos de comida y jardín</t>
  </si>
  <si>
    <t>FE</t>
  </si>
  <si>
    <t>Compostaje</t>
  </si>
  <si>
    <t>Digestión anaerobia</t>
  </si>
  <si>
    <t>Unit</t>
  </si>
  <si>
    <t>metros cúbicos</t>
  </si>
  <si>
    <t>N° de pantallas plasma TFT</t>
  </si>
  <si>
    <t>m2</t>
  </si>
  <si>
    <t>Valor</t>
  </si>
  <si>
    <t>Fuente</t>
  </si>
  <si>
    <t>CO2 eq</t>
  </si>
  <si>
    <t>AR5</t>
  </si>
  <si>
    <t>CH4 no quemado</t>
  </si>
  <si>
    <t>CH4 quemado</t>
  </si>
  <si>
    <t>NF3</t>
  </si>
  <si>
    <t>Unidad Promedio</t>
  </si>
  <si>
    <t>Promedio (superdicie pantallas)</t>
  </si>
  <si>
    <t>Emisiones de NF3 generadas por la fabricación de pantallas plasma TFT</t>
  </si>
  <si>
    <t>Auto propio Diesel</t>
  </si>
  <si>
    <t>Auto propio Gasolina</t>
  </si>
  <si>
    <t>Auto propio alcohol / biodiesel</t>
  </si>
  <si>
    <t>Emisiones NF3</t>
  </si>
  <si>
    <t>Emisiones NF3 (tCO2eq)</t>
  </si>
  <si>
    <t>Incertidumbre Emisiones NF3</t>
  </si>
  <si>
    <t>Factor de emisión NF3</t>
  </si>
  <si>
    <t>Subtotal transporte de empleados</t>
  </si>
  <si>
    <t>Subtotal viajes de negocio</t>
  </si>
  <si>
    <t>Subtotal residuos generados en operaciones</t>
  </si>
  <si>
    <t xml:space="preserve">Kg CO2/ton </t>
  </si>
  <si>
    <t xml:space="preserve">Kg N2O/ton </t>
  </si>
  <si>
    <t>Kg CH4/ton</t>
  </si>
  <si>
    <t>kgCH4 / ton</t>
  </si>
  <si>
    <t>kgN2O / ton</t>
  </si>
  <si>
    <t>kg CH4 / ton</t>
  </si>
  <si>
    <t>kg N2O / ton</t>
  </si>
  <si>
    <t>Subtotal fuentes de procesos industriales</t>
  </si>
  <si>
    <t>Subtotal fuentes de procesos agrícolas y ganaderos</t>
  </si>
  <si>
    <t>Subtotal otras emisiones fugitivas - Residuos</t>
  </si>
  <si>
    <t>Subtotal otras emisiones fugitivas - Equipos eléctricos</t>
  </si>
  <si>
    <t>F.E CO2</t>
  </si>
  <si>
    <t>kgCO2 / ton</t>
  </si>
  <si>
    <t>Trabajadores (Número)</t>
  </si>
  <si>
    <t>Dias laborales (días/año)</t>
  </si>
  <si>
    <t>Distancia promedio por viaje (km/viaje)</t>
  </si>
  <si>
    <t>Total</t>
  </si>
  <si>
    <t>Personas viajando por tramo en el año</t>
  </si>
  <si>
    <t>Total de veces que el tramo fue recorrido en el año</t>
  </si>
  <si>
    <t>Distancia recorrida en el tramo (km/tramo)</t>
  </si>
  <si>
    <t>Distancia recorrida (Km)</t>
  </si>
  <si>
    <t>Tramo recorrido</t>
  </si>
  <si>
    <t>Papel no reciclado</t>
  </si>
  <si>
    <t>Papel reciclado</t>
  </si>
  <si>
    <t>Subtotal emisiones de proceso</t>
  </si>
  <si>
    <t>Subtotal uso de productos</t>
  </si>
  <si>
    <t>kg CO2 eq de CO2</t>
  </si>
  <si>
    <t>kg de CO2 eq de CH4</t>
  </si>
  <si>
    <t>Subtotal transporte de carga</t>
  </si>
  <si>
    <t>TELÉFONO DEL CONTACTO:</t>
  </si>
  <si>
    <t>CORREO DEL CONTACTO:</t>
  </si>
  <si>
    <t>Generación de electricidad</t>
  </si>
  <si>
    <t>Fueloil</t>
  </si>
  <si>
    <t>Gas natural</t>
  </si>
  <si>
    <t>Leña</t>
  </si>
  <si>
    <t>Licor negro</t>
  </si>
  <si>
    <t>Otros residuos de biomasa</t>
  </si>
  <si>
    <t>Refinación del petróleo</t>
  </si>
  <si>
    <t>Gas de refinería</t>
  </si>
  <si>
    <t>Industria manufacturera y de la construcción</t>
  </si>
  <si>
    <t>Turba (peat)</t>
  </si>
  <si>
    <t xml:space="preserve">Biodiésel </t>
  </si>
  <si>
    <t>Comercial</t>
  </si>
  <si>
    <t>Queroseno</t>
  </si>
  <si>
    <t>Bioetanol</t>
  </si>
  <si>
    <t>Densidad (kg/lt))</t>
  </si>
  <si>
    <t>Aviación civil</t>
  </si>
  <si>
    <t>Gasoil / Diésel oil</t>
  </si>
  <si>
    <t>Biodiésel</t>
  </si>
  <si>
    <t>Gasolina para aviación</t>
  </si>
  <si>
    <t>Navegación marítima y fluvial</t>
  </si>
  <si>
    <t>Nafta</t>
  </si>
  <si>
    <t>GLP / Supergas</t>
  </si>
  <si>
    <t>HFC-143a</t>
  </si>
  <si>
    <t>Producción de cerámicas</t>
  </si>
  <si>
    <t>Uso de carbonato de sodio</t>
  </si>
  <si>
    <t>Producción de gas acetileno</t>
  </si>
  <si>
    <t>Producción de hierro y acero </t>
  </si>
  <si>
    <t>Ganado vacuno lechero</t>
  </si>
  <si>
    <t>Otro ganado vacuno no lechero</t>
  </si>
  <si>
    <t>Suinos</t>
  </si>
  <si>
    <t>Factor Nex</t>
  </si>
  <si>
    <t xml:space="preserve">F.E. N2O directo </t>
  </si>
  <si>
    <t>Almacenaje de sólidos</t>
  </si>
  <si>
    <t>Líquido</t>
  </si>
  <si>
    <t>Laguna anaeróbica</t>
  </si>
  <si>
    <t>Tratamiento aeróbico</t>
  </si>
  <si>
    <t>Piedra caliza</t>
  </si>
  <si>
    <t>ton C / ton caliza</t>
  </si>
  <si>
    <t>Gestionado – anaeróbico: Alimentos</t>
  </si>
  <si>
    <t>Gestionado – anaeróbico: Lodos</t>
  </si>
  <si>
    <t>Gestionado – semi-aeróbico: Textiles</t>
  </si>
  <si>
    <t>Gestionado – semi-aeróbico: Alimentos</t>
  </si>
  <si>
    <t>Gestionado – anaeróbico: Jardines y parques</t>
  </si>
  <si>
    <t>Gestionado – semi-aeróbico: Jardines y parques</t>
  </si>
  <si>
    <t>No categorizado - Papel/cartón</t>
  </si>
  <si>
    <t>No categorizado - Textiles</t>
  </si>
  <si>
    <t>No categorizado -Alimentos</t>
  </si>
  <si>
    <t>No categorizado - Madera</t>
  </si>
  <si>
    <t xml:space="preserve"> No categorizado - Jardines y parques</t>
  </si>
  <si>
    <t>No categorizado - Lodos</t>
  </si>
  <si>
    <t>Gestionado – semi-aeróbico: Lodos</t>
  </si>
  <si>
    <t>Consumo de combustibles - Comercial</t>
  </si>
  <si>
    <t>Turbocombustible - Jet A1</t>
  </si>
  <si>
    <t>% biocombustible</t>
  </si>
  <si>
    <t>ALCANCE 2</t>
  </si>
  <si>
    <t>Consumo de electricidad</t>
  </si>
  <si>
    <t>kWh</t>
  </si>
  <si>
    <t>tCO2/kWh</t>
  </si>
  <si>
    <t>TOTAL ALCANCE 2</t>
  </si>
  <si>
    <t>Electricidad consumida</t>
  </si>
  <si>
    <t>tCO2/GWh</t>
  </si>
  <si>
    <t>Refrigerante</t>
  </si>
  <si>
    <t>HFC individual</t>
  </si>
  <si>
    <t>Composición</t>
  </si>
  <si>
    <t>HFC-401a</t>
  </si>
  <si>
    <t>HFC - 152a</t>
  </si>
  <si>
    <t>HFC-401b</t>
  </si>
  <si>
    <t>HFC-402a</t>
  </si>
  <si>
    <t>HFC-407c</t>
  </si>
  <si>
    <t>HFC-134a</t>
  </si>
  <si>
    <t>HFC-422d</t>
  </si>
  <si>
    <t>HFC-410a</t>
  </si>
  <si>
    <t>HFC-507a</t>
  </si>
  <si>
    <t>HFC-508-b</t>
  </si>
  <si>
    <t>HFC-413a</t>
  </si>
  <si>
    <t>HFC-404a</t>
  </si>
  <si>
    <t>HFC-437</t>
  </si>
  <si>
    <t>HFC 245fa</t>
  </si>
  <si>
    <t>HFC 227ea/HFC365mfc</t>
  </si>
  <si>
    <t>HFC 277 ea</t>
  </si>
  <si>
    <t>GWP Refrigerante</t>
  </si>
  <si>
    <t>GWP individual</t>
  </si>
  <si>
    <t>Km</t>
  </si>
  <si>
    <t>Camina</t>
  </si>
  <si>
    <t>FE NF3</t>
  </si>
  <si>
    <t xml:space="preserve">Bienes y servicios comprados </t>
  </si>
  <si>
    <t>Emisiones NF3 (tNF3)</t>
  </si>
  <si>
    <t>Emisiones de NF3</t>
  </si>
  <si>
    <t>Subtotal bienes y servicios comprados</t>
  </si>
  <si>
    <t>Transporte de carga</t>
  </si>
  <si>
    <t>Viajes totales (viajes/año)</t>
  </si>
  <si>
    <t>Peso promedio transportado (Tn/viaje)</t>
  </si>
  <si>
    <t>Subtotal transportede insumos</t>
  </si>
  <si>
    <t>Subtotal distribuciòn de carga</t>
  </si>
  <si>
    <t>CH4</t>
  </si>
  <si>
    <t>Instrucciones generales para el uso de la herramienta</t>
  </si>
  <si>
    <t>Lea las instrucciones de esta hoja y los comentarios dentro de las celdas de datos para realizar de manera correcta el reporte.</t>
  </si>
  <si>
    <t>Datos generales</t>
  </si>
  <si>
    <t>Complete los datos generales relacionados a la organización que realizará el cálculo de la huella de carbono</t>
  </si>
  <si>
    <t>Se deben llenar los siguientes datos:</t>
  </si>
  <si>
    <t>- Nombre de la organización: Nombre de la organización que está realizando el cálculo su huella de carbono.
- Dirección: Dirección de la organización que está realizando el cálculo de su huella de carbono.
- Nombre del contacto: Nombre del contacto de la organización que está realizando el cálculo de su huella de carbono.
- Teléfono del contacto: Teléfono del contacto de la organización que está realizando el cálculo de su huella de carbono.
- Correo del contacto: Correo electrónico contacto de la organización que está realizando el cálculo de su huella de carbono.
- Persona encargada del reporte. Nombre de la persona de la organización encargada de llenar los datos de la herramienta.
- Correo: Correo electrónico de la persona encargada de llenar los datos de la herramienta.
- Teléfono: Teléfono de la persona encargada de llenar los datos de la herramienta.
- Año reportado: Año para el que se está realizando el cálculo de la huella de carbono en la herramienta.</t>
  </si>
  <si>
    <t>Fuentes de emisión</t>
  </si>
  <si>
    <t>Fuentes de emisión de GEI</t>
  </si>
  <si>
    <t>Identifique las fuentes de emisión de acuerdo a las actividades y consumos de su organización.</t>
  </si>
  <si>
    <t>Unidades</t>
  </si>
  <si>
    <t>La herramienta designa la unidad en la que deben ser registrados los datos de forma automática, según la variable seleccionada en la celda de datos de actividad. Esta celda no debe ser modificada, puesto que dichas unidades guardan relación directa con los factores de emisión empleados por la herramienta. 
*En caso de no contar con la información de la organización en estas unidades, se debe realizar las conversiones correspondientes para ajustar los datos antes de ser registrados en la herramienta.</t>
  </si>
  <si>
    <t>Valores de datos de actividad</t>
  </si>
  <si>
    <t>Huella de carbono corporativa</t>
  </si>
  <si>
    <t>Huella de carbono (tCO2eq)</t>
  </si>
  <si>
    <t>La herramienta indica el valor de las emisiones asociadas a cada una de las cargas ambientales, los valores totales para cada tipo de fuente y alcance, así como el valor total de las emisiones de GEI de la organización. Esta celda no debe ser modificada.</t>
  </si>
  <si>
    <t>Herramienta de Cálculo de Huella de Carbono - Uruguay</t>
  </si>
  <si>
    <t>CO2 biogenico</t>
  </si>
  <si>
    <t>%combustible</t>
  </si>
  <si>
    <t xml:space="preserve">En esta celda debe seleccionar en la lista desplegable la categoría acorde a las actividades y carga ambiental identificada previamente en la MIFE de la organización para poder reportar los datos de actividad asociados. 
</t>
  </si>
  <si>
    <t>Índice</t>
  </si>
  <si>
    <t>Alcance 1</t>
  </si>
  <si>
    <t>Datos de la organización</t>
  </si>
  <si>
    <t>Procesos Industriales y Uso de Productos</t>
  </si>
  <si>
    <t>Otros Procesos</t>
  </si>
  <si>
    <t>Uso de refrigerantes</t>
  </si>
  <si>
    <t>Gestión de residuos y aguas residuales</t>
  </si>
  <si>
    <t>Equipos electrónicos</t>
  </si>
  <si>
    <t>Alcance 2</t>
  </si>
  <si>
    <t>Consumo de energía</t>
  </si>
  <si>
    <t>Alcance 3</t>
  </si>
  <si>
    <t>Otras fuentes</t>
  </si>
  <si>
    <t>Procesos agrícolas y ganaderos</t>
  </si>
  <si>
    <t>Refrigerantes</t>
  </si>
  <si>
    <t>Gestión de residuos y aguas</t>
  </si>
  <si>
    <t>Equipos eléctricos</t>
  </si>
  <si>
    <t>Emisiones del Alcance 2</t>
  </si>
  <si>
    <t>Emisiones del Alcance 3</t>
  </si>
  <si>
    <t xml:space="preserve">Consumo de combustibles </t>
  </si>
  <si>
    <t>Líquidos</t>
  </si>
  <si>
    <t>Fuel oíl</t>
  </si>
  <si>
    <t xml:space="preserve">Gasolina Aviación </t>
  </si>
  <si>
    <t>Turbocombustible</t>
  </si>
  <si>
    <t>Gas</t>
  </si>
  <si>
    <t>Gas Natural</t>
  </si>
  <si>
    <t>Sólidos</t>
  </si>
  <si>
    <t>PCI (TJ/Gg)</t>
  </si>
  <si>
    <t>Camión simple (&gt;3.5 - 7.5 tn)</t>
  </si>
  <si>
    <t>Camión simple (&gt;7.5 tn-17 tn)</t>
  </si>
  <si>
    <t>Camión simple (&gt;17 tn)</t>
  </si>
  <si>
    <t>Camión simple en general</t>
  </si>
  <si>
    <t>Camión con remolque o semiremolque (&gt;3.5 - 33t)</t>
  </si>
  <si>
    <t>Camión con remolque o semiremolque (&gt;33t)</t>
  </si>
  <si>
    <t>Camión con remolque o semiremolque en general</t>
  </si>
  <si>
    <t>Internacionales (desde hasta no UY)</t>
  </si>
  <si>
    <t>Resultados</t>
  </si>
  <si>
    <t xml:space="preserve">Resumen de resultados del cálculo de la Huella de Carbono </t>
  </si>
  <si>
    <t xml:space="preserve">Resultados por Alcance </t>
  </si>
  <si>
    <t xml:space="preserve">Resultados por GEI </t>
  </si>
  <si>
    <t>Pastoreo</t>
  </si>
  <si>
    <t>Incertidumbre de datos de actividad</t>
  </si>
  <si>
    <t>Incertidumbre cualitativa de datos</t>
  </si>
  <si>
    <t>Tipo de información</t>
  </si>
  <si>
    <t>Nivel de incertidumbre equivalente</t>
  </si>
  <si>
    <t>Puntaje</t>
  </si>
  <si>
    <t>Estimación</t>
  </si>
  <si>
    <t>Dato</t>
  </si>
  <si>
    <t>Cálculo</t>
  </si>
  <si>
    <t>Medición</t>
  </si>
  <si>
    <t>Muy alto</t>
  </si>
  <si>
    <t>Alto</t>
  </si>
  <si>
    <t>Medio</t>
  </si>
  <si>
    <t>Bajo</t>
  </si>
  <si>
    <t>Se refiere a la falta de certidumbre en los datos relativos a las emisiones, resultado de cualquier factor causal, tales como la aplicación de factores o métodos no representativos, información incompleta sobre fuentes y sumideros, falta de transparencia, etc. En el caso de la herramienta, solo se reporta la incertidumbre cualitativa, la cual describe  el nivel de incertidumbre que presentan los resultados relacionado a los datos de actividad empleados. Los niveles de incertidumbre referenciales son los siguientes:</t>
  </si>
  <si>
    <t>Se estiman los resultados sin fuentes secundarias ni primarias</t>
  </si>
  <si>
    <t xml:space="preserve">Los valores han sido justificados por una institución distinta al cliente, y se posee una constancia de la justificación </t>
  </si>
  <si>
    <t>Se justifica el detalle del cálculo realizado para obtener los niveles de actividad</t>
  </si>
  <si>
    <t>Se adjuntan los registros de la medición y se sustenta la correcta operación de los equipos de medición</t>
  </si>
  <si>
    <t>Matriz de Identificación de Fuentes de emisión</t>
  </si>
  <si>
    <t>Fuentes</t>
  </si>
  <si>
    <t xml:space="preserve">Alcance </t>
  </si>
  <si>
    <t xml:space="preserve">Incertidumbre </t>
  </si>
  <si>
    <t>Marcar</t>
  </si>
  <si>
    <t>Fuente de combustión fija (hornos, calderas, etc.)</t>
  </si>
  <si>
    <t>Turbo combustible</t>
  </si>
  <si>
    <t>Descripción función/Relevancia del proceso</t>
  </si>
  <si>
    <r>
      <t>Producción de hierro y acero</t>
    </r>
    <r>
      <rPr>
        <sz val="10"/>
        <rFont val="Calibri"/>
        <family val="2"/>
      </rPr>
      <t> </t>
    </r>
  </si>
  <si>
    <t>Uso de lubricantes</t>
  </si>
  <si>
    <t>Uso de ceras parafinas</t>
  </si>
  <si>
    <t>Crianza de ganado</t>
  </si>
  <si>
    <r>
      <t>HFC-134a</t>
    </r>
    <r>
      <rPr>
        <sz val="10"/>
        <rFont val="Calibri"/>
        <family val="2"/>
      </rPr>
      <t> </t>
    </r>
  </si>
  <si>
    <t>HFC-152a</t>
  </si>
  <si>
    <t>HFC-227ea</t>
  </si>
  <si>
    <t>HFC-245fa</t>
  </si>
  <si>
    <t xml:space="preserve">Disposición de residuos en establecimiento </t>
  </si>
  <si>
    <t>Registro del domicilio de trabajadores</t>
  </si>
  <si>
    <t>Registro del tipo de transporte de los colaboradores</t>
  </si>
  <si>
    <t>Registro de viajes de negocio</t>
  </si>
  <si>
    <t>Registro de ubicación y número de proveedores</t>
  </si>
  <si>
    <t>Listado de productos/servicios adquiridos en el año</t>
  </si>
  <si>
    <t>Registro sobre el transporte de insumos y materias primas</t>
  </si>
  <si>
    <t>Distribución de productos/servicios</t>
  </si>
  <si>
    <t>Información sobre la gestión de residuos y cantidad generada mensualmente</t>
  </si>
  <si>
    <t xml:space="preserve">Transporte y disposición de residuos-Reciclaje de circuito abierto </t>
  </si>
  <si>
    <t>Transporte y disposición de residuos-Reciclaje de circuito cerrado</t>
  </si>
  <si>
    <t>Transporte y disposición de residuos-Vertedero</t>
  </si>
  <si>
    <t>A1 - fuentes móviles</t>
  </si>
  <si>
    <t>A1 - refrigerantes</t>
  </si>
  <si>
    <t>A1 - gestión de residuos y agua
A1 - equipos eléctricos</t>
  </si>
  <si>
    <t>A1 - fuentes fijas</t>
  </si>
  <si>
    <t>A1 - IPPU</t>
  </si>
  <si>
    <t>A1 - Otros procesos</t>
  </si>
  <si>
    <t>Complete únicamente las celdas en amarillo</t>
  </si>
  <si>
    <t>CO2</t>
  </si>
  <si>
    <t>Incrementar la generación eléctrica con fuentes renovables (solar)</t>
  </si>
  <si>
    <t>Incrementar la generación eléctrica con fuentes renovables (eólica)</t>
  </si>
  <si>
    <t>Incrementar la generación eléctrica con fuentes renovables (biomasa)</t>
  </si>
  <si>
    <t>Introducción de las Unidades de Medición de Fasores de Redes Inteligentes (PMU)</t>
  </si>
  <si>
    <t>Sustitución de lámparas incandescentes por equipamiento eficiente (luminarias LED)</t>
  </si>
  <si>
    <t>Obtener certificación en Eficiencia Energética</t>
  </si>
  <si>
    <t>Capacitación en Conducción Ecoeficiente</t>
  </si>
  <si>
    <t>Adquisición de nuevas tecnologías a través de la implementación de sensores de presencia y movimiento</t>
  </si>
  <si>
    <t>Uso de tecnología de cogeneración</t>
  </si>
  <si>
    <t>Uso de Tratamientos anaerobios para el tratamiento de residuos</t>
  </si>
  <si>
    <t>Fomento de la gestión del ganado y estiércol</t>
  </si>
  <si>
    <t>Capacitación en Buenas Prácticas Agrícolas (Manejo de fertilizantes)</t>
  </si>
  <si>
    <t>Modificación de la dieta del ganado para la reducción de emisiones de GEI</t>
  </si>
  <si>
    <t xml:space="preserve">Medidas de Mitigación </t>
  </si>
  <si>
    <t>Categoría</t>
  </si>
  <si>
    <t>Consumo de combustibles en fuente fija</t>
  </si>
  <si>
    <t>Consumo de combustibles en fuente móvil</t>
  </si>
  <si>
    <t>Disposición de residuos</t>
  </si>
  <si>
    <t>Fermentación entérica y manejo de estiércol</t>
  </si>
  <si>
    <t>Trabajar con proveedores que tengan una huella de carbono reducida. Dar prioridad a los proveedores de alto rendimiento en las licitaciones de contratos, o hacer que el comportamiento ambiental forme parte de la decisión de adquisición de una manera diferente.</t>
  </si>
  <si>
    <t>Apoyar a sus proveedores mediante la implementación de talleres/capacitaciones, la fijación de objetivos de reducción de emisiones, orientación técnica o apoyo financiero</t>
  </si>
  <si>
    <t>Evitar la impresión innecesaria de documentos mediante el uso de versiones digitales de los documentos, considera recomendaciones y buenas prácticas para el fomento de documentos digitales.</t>
  </si>
  <si>
    <t>Reducir la cantidad de insumos (papel y tinta) utilizado en impresión, mediante el ajuste de los parámetros de impresión en los computadores. Considera también recomendaciones y buenas prácticas</t>
  </si>
  <si>
    <t>Sistema tecnológico que individualiza las impresiones y permite realizar una mejor gestión de la impresión mediante el control de, por ejemplo, el número de impresiones por trabajador</t>
  </si>
  <si>
    <t>Uso de un banco de papeles con uso, pero aún útiles para impresiones de menor relevancia</t>
  </si>
  <si>
    <t>Instalar el inmobiliario necesario para el reciclaje. Incluye implementar acciones que incentiven el reciclaje</t>
  </si>
  <si>
    <t>Almacenamiento y posterior reciclaje de equipos electrónicos</t>
  </si>
  <si>
    <t>Disminuir la necesidad de desplazarse a su lugar de trabajo mediante el uso de tecnologías, tales como los servicios de videoconferencias.</t>
  </si>
  <si>
    <t>Difundir información respecto a los impactos ambientales y en la salud de las emisiones vehiculares, se puede complementar con información respecto a los beneficios de utilizar medios alternativos</t>
  </si>
  <si>
    <t>Bienes y servicios adquiridos</t>
  </si>
  <si>
    <t>Consumo de agua</t>
  </si>
  <si>
    <t>Generación de residuos</t>
  </si>
  <si>
    <t>Transporte casa - trabajo</t>
  </si>
  <si>
    <t>Contenido de C por defecto</t>
  </si>
  <si>
    <t>ton C /TJ</t>
  </si>
  <si>
    <t>ton C02 eq / TJ</t>
  </si>
  <si>
    <t xml:space="preserve">Consumo de combustibles - Aviación civil </t>
  </si>
  <si>
    <t>Consumo de combustibles - Transporte terrestre</t>
  </si>
  <si>
    <t>Consumo de combustibles - Navegación marítima y fluvial</t>
  </si>
  <si>
    <t xml:space="preserve">Consumo de combustibles - Generación de electricidad </t>
  </si>
  <si>
    <t>Consumo de combustibles - Refinación de petróleo</t>
  </si>
  <si>
    <t>Crianza de ganado - Fermentación entérica</t>
  </si>
  <si>
    <t>Crianza de ganado - Manejo de estiércol</t>
  </si>
  <si>
    <t>Disposición de residuos en establecimiento - Gestionado anaeróbico</t>
  </si>
  <si>
    <t>Disposición de residuos en establecimiento - No categorizado</t>
  </si>
  <si>
    <t>Consumo de combustibles - Industria manufacturera y de construcción</t>
  </si>
  <si>
    <t>Fertilizantes sintéticos - Fosfato diamónico</t>
  </si>
  <si>
    <t>Fertilizantes sintéticos - Sulfato de amonio</t>
  </si>
  <si>
    <t>Fertilizantes sintéticos - Nitrato de amonio</t>
  </si>
  <si>
    <t xml:space="preserve">Pérdidas de gas refrigerante - Refrigeración y aire acondiconado estacionario </t>
  </si>
  <si>
    <t>Pérdidas de gas refrigerante - Aire acondicionado móvil</t>
  </si>
  <si>
    <t>Pérdidas de gas refrigerante - Agentes espumantes</t>
  </si>
  <si>
    <t>Pérdidas de gas refrigerante - Extintores</t>
  </si>
  <si>
    <t>Pérdidas de gas refrigerante - Aerosoles</t>
  </si>
  <si>
    <t>Recarga de SF6 en equipos</t>
  </si>
  <si>
    <t>Consumo de electricidad comprada a terceros</t>
  </si>
  <si>
    <t>Transporte de insumos y materia prima - Camiones de carga</t>
  </si>
  <si>
    <t>Transporte de insumos y materia prima - Vuelos de carga</t>
  </si>
  <si>
    <t>Transporte de insumos y materia prima - Barco Petrolero</t>
  </si>
  <si>
    <t>Transporte de insumos y materia prima - Barco de carga</t>
  </si>
  <si>
    <t>Distribución de productos - Camiones de carga</t>
  </si>
  <si>
    <t>Distribución de productos - Vuelos de carga</t>
  </si>
  <si>
    <t>Distribución de productos - Barco Petrolero</t>
  </si>
  <si>
    <t>Distribución de productos - Barco de carga</t>
  </si>
  <si>
    <t>Los campos de entrada de datos están codificados por colores de la siguiente manera para guiarlo:</t>
  </si>
  <si>
    <t>Entrada de datos númericos</t>
  </si>
  <si>
    <t xml:space="preserve">Entrada de datos de texto </t>
  </si>
  <si>
    <t xml:space="preserve">Datos que no deben ser editados </t>
  </si>
  <si>
    <t>Datos a seleccionar en las opciones  de la lista desplegable</t>
  </si>
  <si>
    <t>% de N de residuos aéreos</t>
  </si>
  <si>
    <t>% de N de residuos subterráneos</t>
  </si>
  <si>
    <t>Residuos de cosechas - trigo</t>
  </si>
  <si>
    <t>Residuos de cosechas - cebada</t>
  </si>
  <si>
    <t>Residuos de cosechas - avena</t>
  </si>
  <si>
    <t>Residuos de cosechas - soja</t>
  </si>
  <si>
    <t>Residuos de cosechas - maíz</t>
  </si>
  <si>
    <t>Residuos de cosechas - sorgo</t>
  </si>
  <si>
    <t>Residuos de cosechas - arroz</t>
  </si>
  <si>
    <t>Residuos agrícolas - forrajes fijadores de N</t>
  </si>
  <si>
    <t>Residuos agrícolas - forrajes no fijadores de N</t>
  </si>
  <si>
    <t>Metros cúbicos</t>
  </si>
  <si>
    <t>Costos asociados</t>
  </si>
  <si>
    <t>Adoptar un modelo de negocio que proporcione servicios y productos para el consumo colaborativo, con la intención de reducir el impacto ambiental, por ejemplo mediante la creación de una plataforma de compras en línea.</t>
  </si>
  <si>
    <t>Trabajar con empresas de transporte tercerizado que utilicen vehículos que cumplan con las normas técnicas EURO, vehículos híbridos o eléctricos</t>
  </si>
  <si>
    <t>Prácticas que permitan disminuir el consumo de los baños, incluye la mantención de baños al día para evitar pérdidas de agua como el recambio a tecnologías más eficientes en baños (urinarios sin agua, aireadores para lavabos, inodoros con cisterna diferenciada, entre otros)</t>
  </si>
  <si>
    <t>Uso de papel de origen sustentable o reciclado, permitiendo reducir el impacto por unidad de papel consumido</t>
  </si>
  <si>
    <t>Compostar los residuos orgánicos. Incluye un taller sobre la segregación de residuos para el personal de la organización y el material necesario para el compostaje</t>
  </si>
  <si>
    <t>Incentivos para promover la implementación de Rutas de Transporte Compartido o Carpooling en el modelo de transporte</t>
  </si>
  <si>
    <t>Incentivos para promover el uso de la bicicleta y otros mecanismos limpios como principal medio de transporte</t>
  </si>
  <si>
    <t>Cambio en el modelo de transporte aéreo con la implementación de tecnologías como videoconferencias</t>
  </si>
  <si>
    <t>Urinario sin agua: 40-70 dólares x unidad
Aireador para grifo: 3-5 dólares x unidad
Inodoro con cisterna diferenciada: 100-120 dólares x unidad</t>
  </si>
  <si>
    <t>Campaña de sensibilización mensual sobre reducción de impresiones y buenas prácticas para el fomento de documentos digitales a colaboradores: 200 dólares por horas del personal dedicadas a la organización e implementación de la campaña</t>
  </si>
  <si>
    <t>Campaña de sensibilización mensual sobre reuso de papel a colaboradores: 200 dólares por horas del personal dedicadas a la organización e implementación de la campaña</t>
  </si>
  <si>
    <t>Pack de 10 paquetes de 5000 hojas bond A4 con certificación FSC: 57.80 dólares Paquete de 500 hojas de papel reciclado A4: 6 a 7 dólares x unidad</t>
  </si>
  <si>
    <t>Contenedores para segregación de residuos: desde 55 dólares x 5 contenedores de 50L
Taller mensual de capacitación en segregación de residuos a colaboradores: 200 dólares por horas del operario dedicadas a la organización e implementación del taller</t>
  </si>
  <si>
    <t>Materiales para el compostaje: palas (desde 10 dólares x unidad)
Operario encargado del compostaje de residuos: 16 dólares x 1-2 horas semanales</t>
  </si>
  <si>
    <t>Contenedores para almacenar residuos electrónicos hasta llevarlos a los puntos de acopio: desde 11 dólares 
Puntos de acopio: https://dondereciclo.uy/programas</t>
  </si>
  <si>
    <t>Ejemplo: Se pueden ofrecer incentivos como días libres por desplazarse al trabajo mediante carpooling por 3 meses consecutivos. En cuyo caso se asume el costo del valor del bono o el costo que supone el día libre del colaborador</t>
  </si>
  <si>
    <t>Ejemplo: Se pueden ofrecer incentivos como días libres por desplazarse al trabajo en bicicleta u otros mecanismos limpios por 3 meses consecutivos. En cuyo caso se asume el costo del valor del bono o el costo que supone el día libre del colaborador - Implementación de estacionamiento para bicicletas (costo x estacionamiento para 20 bicicletas 250 dólares aprox.)</t>
  </si>
  <si>
    <t>Campaña de sensibilización mensual sobre los impactos ambientales de las emisiones vehiculares y beneficios de medios alternativos a colaboradores: 200 dólares por horas del técnico dedicadas a la organización e implementación de la campaña</t>
  </si>
  <si>
    <t>Software para Control de impresiones y Contador de impresora: https://www.printlimit.com/spanish/price_print_tracker/ 
Rango de precios: desde licencias para 5 usuarios y 2 impresoras x 90 dólares (Standar) y 190 dólares (Premium) hasta licencias para usuarios e impresoras ilimitadas x 990 dólares (Standar) y 1190 dólares (Premium)</t>
  </si>
  <si>
    <t>Horas adicionales de trabajo del analista de compras dedicadas a la evaluación de proveedores (considerando un sueldo de 1500 dólares x mes del analista de compras): 32 dólares al mes</t>
  </si>
  <si>
    <t>Implementación de una plataforma en línea: 2000  dólares                                                Mantenimiento de plataforma (rango de precios de contratación de desarrollador o agencias especializadas de marketing que se encargue del mantenimiento en caso de no contar con un equipo interno de TI):                                                                                                                              Rango de un desarrollador para tareas específicas: ente 15 y 75 dólares x hora aprox.                    Rango de una agencia especializada: 88.61 dólares x hora aprox.</t>
  </si>
  <si>
    <t xml:space="preserve">Contratación de organizadores para un total de 4 talleres al año para 3 proveedores distintos: 900 dólares aprox. </t>
  </si>
  <si>
    <t>Licencia de zoom: desde 149 a 350 dólares al año</t>
  </si>
  <si>
    <t xml:space="preserve"> Horas adicionales de trabajo del analista de logística encargado de la evaluación de la empresa de transporte a contratar (considerando un sueldo de 1000 dólares del analista de logística): 24 dólares al mes</t>
  </si>
  <si>
    <t>Horas extras de trabajo del técnico informático dedicadas al ajuste de parámetros de impresión en las computadoras: entre 80 - 140 dólares</t>
  </si>
  <si>
    <t xml:space="preserve">
Implementación de calentadores de agua solares</t>
  </si>
  <si>
    <t>Mantención sistemas de calefacción central. Sistemas de calefacción con mantenciones al día. Esto incluye evaluación de la eficiencia energética del sistema, también la revisión del sistema de transmisión de la energía y su aislación para mejorar la eficiencia del sistema en su conjunto</t>
  </si>
  <si>
    <t>Introducción de Vehículos Eléctricos</t>
  </si>
  <si>
    <t>Adquisición de equipos eléctricos etiquetados con eficiencia energética alta</t>
  </si>
  <si>
    <t>Monitorear el uso de energía para diseñar plan que permita gestionar el consumo energético</t>
  </si>
  <si>
    <t>Minimizar el uso de luz artificial mediante variaciones en las prácticas de los trabajadores.</t>
  </si>
  <si>
    <t>Empleo de ventilación natural siempre que sea posible, optimizando el diseño y la regulación
de los sistemas de ventilación forzada.</t>
  </si>
  <si>
    <t>Implementación de sistemas silvopastoriles</t>
  </si>
  <si>
    <t>Implementación del manejo regenerativo en las fincas</t>
  </si>
  <si>
    <t>Implementación de un sistema integral de compostaje para el tratamiento de los residuos orgánicos</t>
  </si>
  <si>
    <t>Implementación de un sistema de Incineración controlada</t>
  </si>
  <si>
    <t>Producción de abono orgánico a partir de residuos/subproductos agrícolas</t>
  </si>
  <si>
    <t>Disposición de residuos en el establecimiento</t>
  </si>
  <si>
    <t>CAPEX: Entre US $ 1000 a $ 2.000. El precio varía según la capacidad de almacenamiento y si son tubos de vacío o modelos de panel plano los que se utilizan.
OPEX: El mantenimiento es mínimo y requiere principalmente la limpieza de los acristalamientos. Los tubos encapsulados deben reemplazarse siempre que se rompan o se dañen. Una unidad típica requiere un solo reemplazo del tubo cada tres años. Cada tubo cuesta alrededor de US $ 18.</t>
  </si>
  <si>
    <t>CAPEX: De US $ 1.500 a US $ 6500, dependiendo de la tecnología aplicada.
OPEX: 9-38 US $/MWh dependiendo de la tecnología aplicada.</t>
  </si>
  <si>
    <t>Empresas de mantenimiento. US $ 74 a 290. Dependiendo del tipo de caldera, marca y combustible.</t>
  </si>
  <si>
    <t>Empresas de mantenimiento, entre US $ 40 y 100 por mantenimiento.</t>
  </si>
  <si>
    <t xml:space="preserve">Gas natural US $ 2,04/m3
GLP US $ 1,55/kg
</t>
  </si>
  <si>
    <t>Especialista US $ 40 la hora. 2 sesiones.</t>
  </si>
  <si>
    <t>CAPEX: Convencionalmente, los vehículos eléctricos eran de 2 a 3 veces más caros que los vehículos con motor de combustión. Nissan Leaf66 2016 a partir de aproximadamente US $ 30,000 a US $ 37,00067 dependiendo del modelo, el alcance (rango de 84 o 107 millas) y la capacidad de la batería de iones de litio
(24kWh o 30kWh).
OPEX: Los vehículos eléctricos tienen costos operativos bajos en términos de uso de energía y mantenimiento. Los costos de la batería dominan los costos de vehículos eléctricos, entre US$ 300 y US$ 400/kWh.</t>
  </si>
  <si>
    <t>CAPEX: De 6 a 6.3 US $ W/m2
OPEX: Entre 0.5 y 1.5% anual de los costos de inversión de capital</t>
  </si>
  <si>
    <t>CAPEX: US$ 2M por megavatio
OPEX: Los costos operativos de las plantas de energía eólica son alrededor del 20% - 25% del gasto total de la planta de energía eólica.</t>
  </si>
  <si>
    <t>CAPEX: Una caldera de 100 KW alcanza los US $21000
OPEX: 0 a 0.04 US $ KW/H</t>
  </si>
  <si>
    <t>US $ 2000-3000 por unidad.</t>
  </si>
  <si>
    <t>US $ 5.5 a 15 por unidad de luminaria led.</t>
  </si>
  <si>
    <t>Pago por evaluación anual de cumplimiento de resultados por parte de un Certificador registrado en el MINEM .</t>
  </si>
  <si>
    <t>US $ 50 por sensor.</t>
  </si>
  <si>
    <t>Costo variable dependiendo del equipo</t>
  </si>
  <si>
    <t>Monitoreo por un profesional de la empresa. 20 US$ semanales</t>
  </si>
  <si>
    <t>Sueldo de una persona (5 horas semanales) 20 US$ semanales
Capacitaciones sobre uso eficiente de sistemas de ventilación forzada. Una mañana, 4 horas para todas las oficinas. (empresa mediana/grande 20 US $/hora) 80 US $</t>
  </si>
  <si>
    <t>Es difícil enumerar el costo de la mitigación porque las opciones de manipulación de la dieta para reducir las emisiones de CH4 de los costos entéricos que están sujetos a la inestabilidad del mercado de alimentos.</t>
  </si>
  <si>
    <t>Capacitaciones a funcionarios: Especialista US $ 80 la hora. 5 sesiones.</t>
  </si>
  <si>
    <t>Capacitaciones a funcionarios:Especialista US $ 80 la hora. 5 sesiones.</t>
  </si>
  <si>
    <t>Estimaciones de costos de instalación para usando un motor de combustión interna están entre $1,700/kW y $2,300/kW. Un proyecto de propiedad y operación privada con una turbina de 3 MW y sin el sistema de captura instalado costaría aproximadamente $8.5 millones.</t>
  </si>
  <si>
    <t>Sueldo de una persona (5 horas semanales) 20 US$ semanales
Capacitaciones sobre materiales compostables por un especialista. 4 horas para todas las oficinas. (empresa mediana/grande 20 US $/hora) 80 US $</t>
  </si>
  <si>
    <t>US $ 6.700,00 1 set de 20 a 500kg / h</t>
  </si>
  <si>
    <t>US $ 130 por contenedor de 200 l</t>
  </si>
  <si>
    <t>CAPEX: biodigestor de polietileno simple con las dimensiones de 25 pies por 5 pies son aproximadamente USD 600. El gas captado de este sistema
es equivalente a un cilindro de gas LPG de 20 lb consumido durante un período de un mes y permite amortizar la instalación en unos tres (3) años
OPEX: Se limita al mantenimiento básico (valor 
reposición cada seis (6) meses) y mano de obra, es decir, el mezclado y la 
recarga del estiércol al digestor</t>
  </si>
  <si>
    <t xml:space="preserve">Capacitaciones a funcionarios: Especialista US $ 80 la hora. 5 sesiones.
Monitoreo por un profesional de la empresa. 20 US$ semanales
Equipamiento necesario
</t>
  </si>
  <si>
    <t>CAPEX: El tamaño del digestor y el diseño del proceso afectan directamente el costo de capital. Planta de 5.000 toneladas/año con un costo de US $3 millones y una planta de 100.000 toneladas/año con un costo de hasta a US $15,6 millones. 
OPEX: Entre US $ 153000 y US $1,3 millones por 
año</t>
  </si>
  <si>
    <t>Fuente del dato</t>
  </si>
  <si>
    <t>Consumo agua de OSE</t>
  </si>
  <si>
    <t>Agua captada de la red (OSE)</t>
  </si>
  <si>
    <t xml:space="preserve">Agua tratada </t>
  </si>
  <si>
    <t>Medidas de mitigación</t>
  </si>
  <si>
    <t>% de N total</t>
  </si>
  <si>
    <t>ton de desecho tratado</t>
  </si>
  <si>
    <r>
      <t>Reporte obligatorio Alcance 1 (ton CO</t>
    </r>
    <r>
      <rPr>
        <b/>
        <vertAlign val="subscript"/>
        <sz val="11"/>
        <rFont val="Nunito"/>
      </rPr>
      <t>2</t>
    </r>
    <r>
      <rPr>
        <b/>
        <sz val="11"/>
        <rFont val="Nunito"/>
      </rPr>
      <t xml:space="preserve"> eq)</t>
    </r>
  </si>
  <si>
    <t>Alcance 1 - Emisiones directas</t>
  </si>
  <si>
    <t>Alcance 2 - Emisiones indirectas</t>
  </si>
  <si>
    <t>Alcance 3-   Emisiones indirectas</t>
  </si>
  <si>
    <r>
      <t>Alcance 1 (ton CO</t>
    </r>
    <r>
      <rPr>
        <b/>
        <vertAlign val="subscript"/>
        <sz val="11"/>
        <color theme="2"/>
        <rFont val="Nunito"/>
      </rPr>
      <t>2</t>
    </r>
    <r>
      <rPr>
        <b/>
        <sz val="11"/>
        <color theme="2"/>
        <rFont val="Nunito"/>
      </rPr>
      <t xml:space="preserve"> eq)</t>
    </r>
  </si>
  <si>
    <r>
      <t>Alcance 2 (ton CO</t>
    </r>
    <r>
      <rPr>
        <b/>
        <vertAlign val="subscript"/>
        <sz val="11"/>
        <color theme="2"/>
        <rFont val="Nunito"/>
      </rPr>
      <t xml:space="preserve">2 </t>
    </r>
    <r>
      <rPr>
        <b/>
        <sz val="11"/>
        <color theme="2"/>
        <rFont val="Nunito"/>
      </rPr>
      <t>eq)</t>
    </r>
  </si>
  <si>
    <r>
      <t>Alcance 3 (ton CO</t>
    </r>
    <r>
      <rPr>
        <b/>
        <vertAlign val="subscript"/>
        <sz val="11"/>
        <color theme="2"/>
        <rFont val="Nunito"/>
      </rPr>
      <t>2</t>
    </r>
    <r>
      <rPr>
        <b/>
        <sz val="11"/>
        <color theme="2"/>
        <rFont val="Nunito"/>
      </rPr>
      <t xml:space="preserve"> eq)</t>
    </r>
  </si>
  <si>
    <r>
      <t>TOTAL (ton CO</t>
    </r>
    <r>
      <rPr>
        <b/>
        <vertAlign val="subscript"/>
        <sz val="14"/>
        <rFont val="Nunito"/>
      </rPr>
      <t>2</t>
    </r>
    <r>
      <rPr>
        <b/>
        <sz val="14"/>
        <rFont val="Nunito"/>
      </rPr>
      <t xml:space="preserve"> eq)</t>
    </r>
  </si>
  <si>
    <r>
      <t>Dióxido de carbono (CO</t>
    </r>
    <r>
      <rPr>
        <vertAlign val="subscript"/>
        <sz val="11"/>
        <rFont val="Nunito"/>
      </rPr>
      <t>2</t>
    </r>
    <r>
      <rPr>
        <sz val="11"/>
        <rFont val="Nunito"/>
      </rPr>
      <t>)</t>
    </r>
  </si>
  <si>
    <r>
      <t>Alcance 1 (ton CO</t>
    </r>
    <r>
      <rPr>
        <vertAlign val="subscript"/>
        <sz val="11"/>
        <rFont val="Nunito"/>
      </rPr>
      <t>2</t>
    </r>
    <r>
      <rPr>
        <sz val="11"/>
        <rFont val="Nunito"/>
      </rPr>
      <t xml:space="preserve"> eq)</t>
    </r>
  </si>
  <si>
    <r>
      <t>Alcance 2 (ton CO</t>
    </r>
    <r>
      <rPr>
        <vertAlign val="subscript"/>
        <sz val="11"/>
        <rFont val="Nunito"/>
      </rPr>
      <t>2</t>
    </r>
    <r>
      <rPr>
        <sz val="11"/>
        <rFont val="Nunito"/>
      </rPr>
      <t xml:space="preserve"> eq)</t>
    </r>
  </si>
  <si>
    <r>
      <t>Alcance 3 (ton CO</t>
    </r>
    <r>
      <rPr>
        <vertAlign val="subscript"/>
        <sz val="11"/>
        <rFont val="Nunito"/>
      </rPr>
      <t>2</t>
    </r>
    <r>
      <rPr>
        <sz val="11"/>
        <rFont val="Nunito"/>
      </rPr>
      <t xml:space="preserve"> eq)</t>
    </r>
  </si>
  <si>
    <r>
      <t>TOTAL (ton CO</t>
    </r>
    <r>
      <rPr>
        <vertAlign val="subscript"/>
        <sz val="11"/>
        <rFont val="Nunito"/>
      </rPr>
      <t>2</t>
    </r>
    <r>
      <rPr>
        <sz val="11"/>
        <rFont val="Nunito"/>
      </rPr>
      <t xml:space="preserve"> eq)</t>
    </r>
  </si>
  <si>
    <r>
      <t>Metano (CH</t>
    </r>
    <r>
      <rPr>
        <vertAlign val="subscript"/>
        <sz val="11"/>
        <rFont val="Nunito"/>
      </rPr>
      <t>4</t>
    </r>
    <r>
      <rPr>
        <sz val="11"/>
        <rFont val="Nunito"/>
      </rPr>
      <t>)</t>
    </r>
  </si>
  <si>
    <r>
      <t>Alcance 1 (ton CO</t>
    </r>
    <r>
      <rPr>
        <vertAlign val="subscript"/>
        <sz val="11"/>
        <rFont val="Nunito"/>
      </rPr>
      <t xml:space="preserve">2 </t>
    </r>
    <r>
      <rPr>
        <sz val="11"/>
        <rFont val="Nunito"/>
      </rPr>
      <t>eq)</t>
    </r>
  </si>
  <si>
    <r>
      <t>Óxido nitroso (N</t>
    </r>
    <r>
      <rPr>
        <vertAlign val="subscript"/>
        <sz val="11"/>
        <rFont val="Nunito"/>
      </rPr>
      <t>2</t>
    </r>
    <r>
      <rPr>
        <sz val="11"/>
        <rFont val="Nunito"/>
      </rPr>
      <t>O)</t>
    </r>
  </si>
  <si>
    <r>
      <t>Alcance 1  (ton CO</t>
    </r>
    <r>
      <rPr>
        <vertAlign val="subscript"/>
        <sz val="11"/>
        <rFont val="Nunito"/>
      </rPr>
      <t>2</t>
    </r>
    <r>
      <rPr>
        <sz val="11"/>
        <rFont val="Nunito"/>
      </rPr>
      <t xml:space="preserve"> eq)</t>
    </r>
  </si>
  <si>
    <r>
      <t>Alcance 2  (ton CO</t>
    </r>
    <r>
      <rPr>
        <vertAlign val="subscript"/>
        <sz val="11"/>
        <rFont val="Nunito"/>
      </rPr>
      <t>2</t>
    </r>
    <r>
      <rPr>
        <sz val="11"/>
        <rFont val="Nunito"/>
      </rPr>
      <t xml:space="preserve"> eq)</t>
    </r>
  </si>
  <si>
    <r>
      <t>Reporte obligatorio Alcance 2 (ton CO</t>
    </r>
    <r>
      <rPr>
        <b/>
        <vertAlign val="subscript"/>
        <sz val="11"/>
        <rFont val="Nunito"/>
      </rPr>
      <t>2</t>
    </r>
    <r>
      <rPr>
        <b/>
        <sz val="11"/>
        <rFont val="Nunito"/>
      </rPr>
      <t xml:space="preserve"> eq)</t>
    </r>
  </si>
  <si>
    <r>
      <t>Reporte opcional Alcance 3 (ton CO</t>
    </r>
    <r>
      <rPr>
        <b/>
        <vertAlign val="subscript"/>
        <sz val="11"/>
        <rFont val="Nunito"/>
      </rPr>
      <t>2</t>
    </r>
    <r>
      <rPr>
        <b/>
        <sz val="11"/>
        <rFont val="Nunito"/>
      </rPr>
      <t xml:space="preserve"> eq)</t>
    </r>
  </si>
  <si>
    <r>
      <t>Reporte de consumo de combustibles por tipo (ton CO</t>
    </r>
    <r>
      <rPr>
        <b/>
        <vertAlign val="subscript"/>
        <sz val="11"/>
        <rFont val="Nunito"/>
      </rPr>
      <t>2</t>
    </r>
    <r>
      <rPr>
        <b/>
        <sz val="11"/>
        <rFont val="Nunito"/>
      </rPr>
      <t xml:space="preserve"> eq)</t>
    </r>
  </si>
  <si>
    <t>Optimización de la operación de calderas para un uso eficiente. Considera la evaluación de la eficiencia y la regulación de la entrada de aire para maximizar la eficiencia de operación de la misma</t>
  </si>
  <si>
    <t>Instalar el mobiliario necesario para el reciclaje. Incluye implementar acciones que incentiven el reciclaje</t>
  </si>
  <si>
    <t>Bicicleta</t>
  </si>
  <si>
    <r>
      <t>Emisiones CO</t>
    </r>
    <r>
      <rPr>
        <b/>
        <vertAlign val="subscript"/>
        <sz val="10"/>
        <color theme="0"/>
        <rFont val="Nunito"/>
      </rPr>
      <t>2</t>
    </r>
  </si>
  <si>
    <r>
      <t>Emisiones CH</t>
    </r>
    <r>
      <rPr>
        <b/>
        <vertAlign val="subscript"/>
        <sz val="10"/>
        <color theme="0"/>
        <rFont val="Nunito"/>
      </rPr>
      <t>4</t>
    </r>
  </si>
  <si>
    <r>
      <t>Emisiones N</t>
    </r>
    <r>
      <rPr>
        <b/>
        <vertAlign val="subscript"/>
        <sz val="10"/>
        <color theme="0"/>
        <rFont val="Nunito"/>
      </rPr>
      <t>2</t>
    </r>
    <r>
      <rPr>
        <b/>
        <sz val="10"/>
        <color theme="0"/>
        <rFont val="Nunito"/>
      </rPr>
      <t>O</t>
    </r>
  </si>
  <si>
    <r>
      <t>Factor de emisión CO</t>
    </r>
    <r>
      <rPr>
        <vertAlign val="subscript"/>
        <sz val="10"/>
        <color theme="0"/>
        <rFont val="Nunito"/>
      </rPr>
      <t>2</t>
    </r>
    <r>
      <rPr>
        <sz val="10"/>
        <color theme="0"/>
        <rFont val="Nunito"/>
      </rPr>
      <t>eq</t>
    </r>
  </si>
  <si>
    <r>
      <t>Emisiones CO</t>
    </r>
    <r>
      <rPr>
        <vertAlign val="subscript"/>
        <sz val="10"/>
        <color theme="0"/>
        <rFont val="Nunito"/>
      </rPr>
      <t>2</t>
    </r>
    <r>
      <rPr>
        <sz val="10"/>
        <color theme="0"/>
        <rFont val="Nunito"/>
      </rPr>
      <t>eq (kgCO</t>
    </r>
    <r>
      <rPr>
        <vertAlign val="subscript"/>
        <sz val="10"/>
        <color theme="0"/>
        <rFont val="Nunito"/>
      </rPr>
      <t>2</t>
    </r>
    <r>
      <rPr>
        <sz val="10"/>
        <color theme="0"/>
        <rFont val="Nunito"/>
      </rPr>
      <t>eq)</t>
    </r>
  </si>
  <si>
    <r>
      <t>Emisiones CO</t>
    </r>
    <r>
      <rPr>
        <vertAlign val="subscript"/>
        <sz val="10"/>
        <color theme="0"/>
        <rFont val="Nunito"/>
      </rPr>
      <t>2</t>
    </r>
    <r>
      <rPr>
        <sz val="10"/>
        <color theme="0"/>
        <rFont val="Nunito"/>
      </rPr>
      <t>eq (tCO</t>
    </r>
    <r>
      <rPr>
        <vertAlign val="subscript"/>
        <sz val="10"/>
        <color theme="0"/>
        <rFont val="Nunito"/>
      </rPr>
      <t>2</t>
    </r>
    <r>
      <rPr>
        <sz val="10"/>
        <color theme="0"/>
        <rFont val="Nunito"/>
      </rPr>
      <t>eq)</t>
    </r>
  </si>
  <si>
    <r>
      <t>Factor de emisión CH</t>
    </r>
    <r>
      <rPr>
        <vertAlign val="subscript"/>
        <sz val="10"/>
        <color theme="0"/>
        <rFont val="Nunito"/>
      </rPr>
      <t>4</t>
    </r>
  </si>
  <si>
    <r>
      <t>Emisiones CH</t>
    </r>
    <r>
      <rPr>
        <vertAlign val="subscript"/>
        <sz val="10"/>
        <color theme="0"/>
        <rFont val="Nunito"/>
      </rPr>
      <t>4</t>
    </r>
    <r>
      <rPr>
        <sz val="10"/>
        <color theme="0"/>
        <rFont val="Nunito"/>
      </rPr>
      <t xml:space="preserve"> (tCH</t>
    </r>
    <r>
      <rPr>
        <vertAlign val="subscript"/>
        <sz val="10"/>
        <color theme="0"/>
        <rFont val="Nunito"/>
      </rPr>
      <t>4</t>
    </r>
    <r>
      <rPr>
        <sz val="10"/>
        <color theme="0"/>
        <rFont val="Nunito"/>
      </rPr>
      <t>)</t>
    </r>
  </si>
  <si>
    <r>
      <t>Emisiones CH</t>
    </r>
    <r>
      <rPr>
        <vertAlign val="subscript"/>
        <sz val="10"/>
        <color theme="0"/>
        <rFont val="Nunito"/>
      </rPr>
      <t>4</t>
    </r>
    <r>
      <rPr>
        <sz val="10"/>
        <color theme="0"/>
        <rFont val="Nunito"/>
      </rPr>
      <t xml:space="preserve"> (tCO</t>
    </r>
    <r>
      <rPr>
        <vertAlign val="subscript"/>
        <sz val="10"/>
        <color theme="0"/>
        <rFont val="Nunito"/>
      </rPr>
      <t>2</t>
    </r>
    <r>
      <rPr>
        <sz val="10"/>
        <color theme="0"/>
        <rFont val="Nunito"/>
      </rPr>
      <t>eq)</t>
    </r>
  </si>
  <si>
    <r>
      <t>Factor de emisión N</t>
    </r>
    <r>
      <rPr>
        <vertAlign val="subscript"/>
        <sz val="10"/>
        <color theme="0"/>
        <rFont val="Nunito"/>
      </rPr>
      <t>2</t>
    </r>
    <r>
      <rPr>
        <sz val="10"/>
        <color theme="0"/>
        <rFont val="Nunito"/>
      </rPr>
      <t>O</t>
    </r>
  </si>
  <si>
    <r>
      <t>Emisiones N</t>
    </r>
    <r>
      <rPr>
        <vertAlign val="subscript"/>
        <sz val="10"/>
        <color theme="0"/>
        <rFont val="Nunito"/>
      </rPr>
      <t>2</t>
    </r>
    <r>
      <rPr>
        <sz val="10"/>
        <color theme="0"/>
        <rFont val="Nunito"/>
      </rPr>
      <t>O (tN</t>
    </r>
    <r>
      <rPr>
        <vertAlign val="subscript"/>
        <sz val="10"/>
        <color theme="0"/>
        <rFont val="Nunito"/>
      </rPr>
      <t>2</t>
    </r>
    <r>
      <rPr>
        <sz val="10"/>
        <color theme="0"/>
        <rFont val="Nunito"/>
      </rPr>
      <t>O)</t>
    </r>
  </si>
  <si>
    <r>
      <t>Emisiones N</t>
    </r>
    <r>
      <rPr>
        <vertAlign val="subscript"/>
        <sz val="10"/>
        <color theme="0"/>
        <rFont val="Nunito"/>
      </rPr>
      <t>2</t>
    </r>
    <r>
      <rPr>
        <sz val="10"/>
        <color theme="0"/>
        <rFont val="Nunito"/>
      </rPr>
      <t>O (tCO</t>
    </r>
    <r>
      <rPr>
        <vertAlign val="subscript"/>
        <sz val="10"/>
        <color theme="0"/>
        <rFont val="Nunito"/>
      </rPr>
      <t>2</t>
    </r>
    <r>
      <rPr>
        <sz val="10"/>
        <color theme="0"/>
        <rFont val="Nunito"/>
      </rPr>
      <t>eq)</t>
    </r>
  </si>
  <si>
    <r>
      <t xml:space="preserve">Porcentaje de área quemada </t>
    </r>
    <r>
      <rPr>
        <sz val="10"/>
        <color rgb="FFFFFFFF"/>
        <rFont val="Nunito"/>
      </rPr>
      <t>(%)</t>
    </r>
  </si>
  <si>
    <r>
      <t xml:space="preserve">Biomasa disponible para quema </t>
    </r>
    <r>
      <rPr>
        <sz val="10"/>
        <color rgb="FFFFFFFF"/>
        <rFont val="Nunito"/>
      </rPr>
      <t>(t/ha)</t>
    </r>
  </si>
  <si>
    <r>
      <t>Porcentaje RR se quedan en el campo</t>
    </r>
    <r>
      <rPr>
        <sz val="10"/>
        <color rgb="FFFFFFFF"/>
        <rFont val="Nunito"/>
      </rPr>
      <t xml:space="preserve"> (%)</t>
    </r>
  </si>
  <si>
    <r>
      <t xml:space="preserve">Porcentaje masa seca </t>
    </r>
    <r>
      <rPr>
        <sz val="10"/>
        <color rgb="FFFFFFFF"/>
        <rFont val="Nunito"/>
      </rPr>
      <t>(%)</t>
    </r>
  </si>
  <si>
    <r>
      <t>FE de CH</t>
    </r>
    <r>
      <rPr>
        <b/>
        <vertAlign val="subscript"/>
        <sz val="10"/>
        <color rgb="FFFFFFFF"/>
        <rFont val="Nunito"/>
      </rPr>
      <t>4</t>
    </r>
  </si>
  <si>
    <r>
      <t>FE de N</t>
    </r>
    <r>
      <rPr>
        <b/>
        <vertAlign val="subscript"/>
        <sz val="10"/>
        <color rgb="FFFFFFFF"/>
        <rFont val="Nunito"/>
      </rPr>
      <t>2</t>
    </r>
    <r>
      <rPr>
        <b/>
        <sz val="10"/>
        <color rgb="FFFFFFFF"/>
        <rFont val="Nunito"/>
      </rPr>
      <t>O</t>
    </r>
  </si>
  <si>
    <r>
      <t>kg de CO2 eq de N</t>
    </r>
    <r>
      <rPr>
        <vertAlign val="subscript"/>
        <sz val="10"/>
        <rFont val="Nunito"/>
      </rPr>
      <t>2</t>
    </r>
    <r>
      <rPr>
        <sz val="10"/>
        <rFont val="Nunito"/>
      </rPr>
      <t>O</t>
    </r>
  </si>
  <si>
    <r>
      <t>KgCO</t>
    </r>
    <r>
      <rPr>
        <vertAlign val="subscript"/>
        <sz val="10"/>
        <rFont val="Nunito"/>
      </rPr>
      <t>2 eq</t>
    </r>
    <r>
      <rPr>
        <sz val="10"/>
        <rFont val="Nunito"/>
      </rPr>
      <t>/kg papel</t>
    </r>
  </si>
  <si>
    <r>
      <t>KgCO</t>
    </r>
    <r>
      <rPr>
        <vertAlign val="subscript"/>
        <sz val="10"/>
        <rFont val="Nunito"/>
      </rPr>
      <t>2eq</t>
    </r>
    <r>
      <rPr>
        <sz val="10"/>
        <rFont val="Nunito"/>
      </rPr>
      <t>/kg papel</t>
    </r>
  </si>
  <si>
    <r>
      <t>KgCO2</t>
    </r>
    <r>
      <rPr>
        <sz val="8"/>
        <rFont val="Nunito"/>
      </rPr>
      <t>eq</t>
    </r>
    <r>
      <rPr>
        <sz val="11"/>
        <color theme="1"/>
        <rFont val="Nunito"/>
      </rPr>
      <t>/m</t>
    </r>
    <r>
      <rPr>
        <vertAlign val="superscript"/>
        <sz val="11"/>
        <color theme="1"/>
        <rFont val="Nunito"/>
      </rPr>
      <t>3</t>
    </r>
  </si>
  <si>
    <r>
      <t>Emisiones de NF</t>
    </r>
    <r>
      <rPr>
        <vertAlign val="subscript"/>
        <sz val="10"/>
        <rFont val="Nunito"/>
      </rPr>
      <t>3</t>
    </r>
    <r>
      <rPr>
        <sz val="10"/>
        <rFont val="Nunito"/>
      </rPr>
      <t xml:space="preserve"> generadas por la fabricación de pantallas plasma TFT</t>
    </r>
  </si>
  <si>
    <r>
      <t>g/m</t>
    </r>
    <r>
      <rPr>
        <vertAlign val="superscript"/>
        <sz val="10"/>
        <rFont val="Nunito"/>
      </rPr>
      <t xml:space="preserve">2 </t>
    </r>
  </si>
  <si>
    <r>
      <t>kg CO</t>
    </r>
    <r>
      <rPr>
        <vertAlign val="subscript"/>
        <sz val="10"/>
        <rFont val="Nunito"/>
      </rPr>
      <t>2</t>
    </r>
    <r>
      <rPr>
        <sz val="10"/>
        <rFont val="Nunito"/>
      </rPr>
      <t>e</t>
    </r>
  </si>
  <si>
    <t>Debe registrar los valores cuantitativos asociados a la carga ambiental de la fuente elegida. Deben incluirse todos los valores cuantitativos asociados a los datos de actividad con los que cuente la organización en el año de reporte para estimar las emisiones de cada carga ambiental. 
*No deben registrarse ceros en las celdas de datos que no sean usadas, debido a que la herramienta asumirá el cero como un dato más, afectando la incertidumbre sistémica de los datos del inventario.</t>
  </si>
  <si>
    <t>Cambio de combustible utilizado en calefacción, por un combustible asociado a tecnologías con menos emisiones.</t>
  </si>
  <si>
    <t>Recuperación de gas de tratamiento de residuos</t>
  </si>
  <si>
    <t>VCN (TJ/lt)</t>
  </si>
  <si>
    <t>Año</t>
  </si>
  <si>
    <t>BEN 2022</t>
  </si>
  <si>
    <t>BEN 2023</t>
  </si>
  <si>
    <t>BEN 2024</t>
  </si>
  <si>
    <t>BEN 2021</t>
  </si>
  <si>
    <t>BEN 2020</t>
  </si>
  <si>
    <t>BEN 2019</t>
  </si>
  <si>
    <t>BEN 2018</t>
  </si>
  <si>
    <t>BEN 2017</t>
  </si>
  <si>
    <t>BEN 2016</t>
  </si>
  <si>
    <t>BEN 2015</t>
  </si>
  <si>
    <t>BEN 2014</t>
  </si>
  <si>
    <t>BEN 2013</t>
  </si>
  <si>
    <t>BEN 2012</t>
  </si>
  <si>
    <t>BEN 2011</t>
  </si>
  <si>
    <t>BEN 2010</t>
  </si>
  <si>
    <t>BEN PRELIMINAR 2025</t>
  </si>
  <si>
    <t>Serie temporal % mezcla de biocombustibles</t>
  </si>
  <si>
    <t xml:space="preserve">% biodiésel </t>
  </si>
  <si>
    <t>% bioetanol</t>
  </si>
  <si>
    <t>FUENTE</t>
  </si>
  <si>
    <t>FE CO2 diésel</t>
  </si>
  <si>
    <t>FE CO2 nafta</t>
  </si>
  <si>
    <t>FE CH4 mezcla diésel</t>
  </si>
  <si>
    <t>FE CH4 mezcla nafta</t>
  </si>
  <si>
    <t>FE N2O mezcla diésel</t>
  </si>
  <si>
    <t>FE N2O mezcla nafta</t>
  </si>
  <si>
    <t>kg CO2 / TJ</t>
  </si>
  <si>
    <t>Cuadro 3.6.4, Vol. 2 Energía, IPCC 2006.</t>
  </si>
  <si>
    <t>Cuadro 3.6.5, Vol. 2 Energía, IPCC 2006.</t>
  </si>
  <si>
    <t>Cuadro 3.2.1, Vol. 2 Energía, IPCC 2006 (Gasolina para motores)</t>
  </si>
  <si>
    <t>Cuadro 3.2.1, Vol. 2 Energía, IPCC 2006</t>
  </si>
  <si>
    <t>NE</t>
  </si>
  <si>
    <t>Cuadro 3.2.2. Comb. Movil Vol.2 Energía IPCC 2006</t>
  </si>
  <si>
    <t>Ponderado para parque automotor a partir de Cuadro 3.2.2. Comb. Movil Vol.2 Energía IPCC 2006 (INGEI 2022)</t>
  </si>
  <si>
    <r>
      <t>Emisiones CO</t>
    </r>
    <r>
      <rPr>
        <vertAlign val="subscript"/>
        <sz val="10"/>
        <color theme="0"/>
        <rFont val="Nunito"/>
      </rPr>
      <t>2</t>
    </r>
    <r>
      <rPr>
        <sz val="10"/>
        <color theme="0"/>
        <rFont val="Nunito"/>
      </rPr>
      <t xml:space="preserve"> (kgCO</t>
    </r>
    <r>
      <rPr>
        <vertAlign val="subscript"/>
        <sz val="10"/>
        <color theme="0"/>
        <rFont val="Nunito"/>
      </rPr>
      <t>2</t>
    </r>
    <r>
      <rPr>
        <sz val="10"/>
        <color theme="0"/>
        <rFont val="Nunito"/>
      </rPr>
      <t>)</t>
    </r>
  </si>
  <si>
    <t>FUENTE: Factores de emisión calculados a través de los FE por defecto y el porcentaje de Biocombustible a mezcla del año</t>
  </si>
  <si>
    <t>Cuadro 3.5.2, Vol. 2 Energía, IPCC 2006</t>
  </si>
  <si>
    <t>Cuadro 2.2, Vol. 2 Energía, IPCC 2006 (Gas/Diésel Oil)</t>
  </si>
  <si>
    <t>Cuadro 2.2, Vol. 2 Energía, IPCC 2006 (Fuelóleo residual)</t>
  </si>
  <si>
    <t>Cuadro 2.2, Vol. 2 Energía, IPCC 2006</t>
  </si>
  <si>
    <t>Cuadro 2.6, Vol. 2 Energía, IPCC 2006 (Turbinas &gt; 3 MW)</t>
  </si>
  <si>
    <t>Cuadro 2.6, Vol 2 Energía, IPCC 2006 (Caldera de madera)</t>
  </si>
  <si>
    <t>Cuadro 2.2, Vol. 2 Energía, IPCC 2006.</t>
  </si>
  <si>
    <t>Cuadro 2.6, Vol. 2 Energía, IPCC 2006 (Caldera de desechos de madera)</t>
  </si>
  <si>
    <t>PCI (TJ/Kton)</t>
  </si>
  <si>
    <t>Cuadro 2.2 Vol. 2 Energía, IPCC 2006 (Gasolina para motores)</t>
  </si>
  <si>
    <t>Cuadro 2.7 Vol. 2 Energía, IPCC 2006 (Caldera fuelóleo residual)</t>
  </si>
  <si>
    <t>Cuadro 2.2 Vol. 2 Energía, IPCC 2006</t>
  </si>
  <si>
    <t>Cuadro 2.2 Vol. 2 Energía, IPCC 2006 (Gases licuados de petróleo)</t>
  </si>
  <si>
    <t>Cuadro 2.2 Vol. 2 Energía, IPCC 2006 (Gas de refinería)</t>
  </si>
  <si>
    <t>Cuadro 2.7 Vol. 2 Energía, IPCC 2006</t>
  </si>
  <si>
    <t>Cuadro 2.3 Vol. 2 Energía, IPCC 2006 (Gas/Diesel Oil)</t>
  </si>
  <si>
    <t>Cuadro 2.3 Vol. 2 Energía, IPCC 2006</t>
  </si>
  <si>
    <t>Cuadro 2.3 Vol. 2 Energía, IPCC 2006 (Fuelóleo residual)</t>
  </si>
  <si>
    <t>Cuadro 2.8 Vol. 2 Energía, IPCC 2006 (Horno alta temperatura - petróleo)</t>
  </si>
  <si>
    <t>Cuadro 2.3 Vol. 2 Energía, IPCC 2006 (Madera)</t>
  </si>
  <si>
    <t>Cuadro 2.7 Vol. 2 Energía, IPCC 2006 (Caldera de madera)</t>
  </si>
  <si>
    <t>Cuadro 2.7 Vol. 2 Energía, IPCC 2006 (Caldera de desechos madera)</t>
  </si>
  <si>
    <t>Cuadro 2.3 Vol. 2 Energía, IPCC 2006 (Otra biomasa sólida primaria)</t>
  </si>
  <si>
    <t>Cuadro 2.3 Vol. 2 Energía, IPCC 2006 (Gases licuados de petróleo)</t>
  </si>
  <si>
    <t>Cuadro 2.4, Vol. 2 Energía, IPCC 2006 (Gasolina para motores)</t>
  </si>
  <si>
    <t>Cuadro 2.4, Vol. 2 Energía, IPCC 2006 (Otro queroseno)</t>
  </si>
  <si>
    <t>Cuadro 2.4, Vol. 2 Energía, IPCC 2006</t>
  </si>
  <si>
    <t>Cuadro 2.4, Vol. 2 Energía, IPCC 2006 (Fuelóleo residual)</t>
  </si>
  <si>
    <t>Cuadro 2.10, Vol. 2 Energía, IPCC 2006 (Caldera de fuelóleo residual)</t>
  </si>
  <si>
    <t>Cuadro 2.4, Vol. 2 Energía, IPCC 2006 (Gases licuados de petróleo)</t>
  </si>
  <si>
    <t>Cuadro 2.4, Vol. 2 Energía, IPCC 2006 (Madera)</t>
  </si>
  <si>
    <t>Cuadro 2.4, Vol. 2 Energía, IPCC 2006 (Biogasolina)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</si>
</sst>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0.000000"/>
    <numFmt numFmtId="165" formatCode="0.0000000"/>
    <numFmt numFmtId="166" formatCode="0.00000000"/>
    <numFmt numFmtId="167" formatCode="0.000"/>
    <numFmt numFmtId="168" formatCode="0.0000"/>
    <numFmt numFmtId="169" formatCode="_-* #,##0.00000_-;\-* #,##0.00000_-;_-* &quot;-&quot;??_-;_-@"/>
    <numFmt numFmtId="170" formatCode="#,##0.0000"/>
    <numFmt numFmtId="171" formatCode="0.0"/>
    <numFmt numFmtId="172" formatCode="0.00000"/>
    <numFmt numFmtId="173" formatCode="0.000000000"/>
    <numFmt numFmtId="174" formatCode="_-* #,##0.00\ _€_-;\-* #,##0.00\ _€_-;_-* &quot;-&quot;??\ _€_-;_-@_-"/>
    <numFmt numFmtId="175" formatCode="_ * #,##0.00_ ;_ * \-#,##0.00_ ;_ * &quot;-&quot;??_ ;_ @_ "/>
    <numFmt numFmtId="176" formatCode="General_)"/>
    <numFmt numFmtId="177" formatCode="0.0_)"/>
    <numFmt numFmtId="178" formatCode="0_)"/>
    <numFmt numFmtId="179" formatCode="_-* #,##0.00\ _P_t_s_-;\-* #,##0.00\ _P_t_s_-;_-* &quot;-&quot;??\ _P_t_s_-;_-@_-"/>
    <numFmt numFmtId="180" formatCode="_-[$€-2]* #,##0.00_-;\-[$€-2]* #,##0.00_-;_-[$€-2]* &quot;-&quot;??_-"/>
    <numFmt numFmtId="181" formatCode="_-* #,##0.00\ _p_t_a_-;\-* #,##0.00\ _p_t_a_-;_-* &quot;-&quot;??\ _p_t_a_-;_-@_-"/>
    <numFmt numFmtId="182" formatCode="_-* #,##0.0000_-;\-* #,##0.0000_-;_-* &quot;-&quot;??_-;_-@_-"/>
  </numFmts>
  <fonts count="11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Nunito"/>
    </font>
    <font>
      <b/>
      <sz val="11"/>
      <color theme="0"/>
      <name val="Nunito"/>
    </font>
    <font>
      <sz val="11"/>
      <color theme="1"/>
      <name val="Nunito"/>
    </font>
    <font>
      <sz val="10"/>
      <color theme="1"/>
      <name val="Nunito"/>
    </font>
    <font>
      <sz val="9"/>
      <color theme="1"/>
      <name val="Nunito"/>
    </font>
    <font>
      <b/>
      <sz val="14"/>
      <color theme="0"/>
      <name val="Calibri"/>
      <family val="2"/>
      <scheme val="major"/>
    </font>
    <font>
      <sz val="11"/>
      <color theme="1"/>
      <name val="Calibri"/>
      <family val="2"/>
      <scheme val="major"/>
    </font>
    <font>
      <sz val="9"/>
      <color theme="1"/>
      <name val="Calibri"/>
      <family val="2"/>
      <scheme val="major"/>
    </font>
    <font>
      <sz val="11"/>
      <color theme="0"/>
      <name val="Calibri"/>
      <family val="2"/>
      <scheme val="major"/>
    </font>
    <font>
      <b/>
      <sz val="10"/>
      <color theme="0"/>
      <name val="Nunito"/>
    </font>
    <font>
      <sz val="10"/>
      <color theme="0"/>
      <name val="Nunito"/>
    </font>
    <font>
      <sz val="8"/>
      <name val="Calibri"/>
      <family val="2"/>
      <scheme val="minor"/>
    </font>
    <font>
      <sz val="10"/>
      <name val="Nunito"/>
    </font>
    <font>
      <sz val="9"/>
      <name val="Nunito"/>
    </font>
    <font>
      <sz val="10"/>
      <color theme="1"/>
      <name val="Arial"/>
      <family val="2"/>
    </font>
    <font>
      <sz val="9"/>
      <color indexed="81"/>
      <name val="Tahoma"/>
      <family val="2"/>
    </font>
    <font>
      <b/>
      <sz val="9"/>
      <color indexed="81"/>
      <name val="Tahoma"/>
      <family val="2"/>
    </font>
    <font>
      <u/>
      <sz val="11"/>
      <color theme="10"/>
      <name val="Calibri"/>
      <family val="2"/>
      <scheme val="minor"/>
    </font>
    <font>
      <sz val="11"/>
      <name val="Nunito"/>
    </font>
    <font>
      <b/>
      <sz val="18"/>
      <color theme="0"/>
      <name val="Nunito"/>
    </font>
    <font>
      <b/>
      <sz val="9"/>
      <color theme="0"/>
      <name val="Nunito"/>
    </font>
    <font>
      <sz val="11"/>
      <color rgb="FF000000"/>
      <name val="Nunito"/>
    </font>
    <font>
      <b/>
      <sz val="11"/>
      <color rgb="FF000000"/>
      <name val="Nunito"/>
    </font>
    <font>
      <b/>
      <sz val="9"/>
      <color rgb="FFFFFFFF"/>
      <name val="Nunito"/>
    </font>
    <font>
      <b/>
      <sz val="11"/>
      <color theme="2"/>
      <name val="Calibri"/>
      <family val="2"/>
      <scheme val="major"/>
    </font>
    <font>
      <sz val="10"/>
      <name val="Calibri"/>
      <family val="2"/>
    </font>
    <font>
      <sz val="10"/>
      <color rgb="FF000000"/>
      <name val="Nunito"/>
    </font>
    <font>
      <b/>
      <sz val="14"/>
      <color theme="0"/>
      <name val="Nunito"/>
    </font>
    <font>
      <b/>
      <sz val="11"/>
      <name val="Nunito"/>
    </font>
    <font>
      <b/>
      <vertAlign val="subscript"/>
      <sz val="11"/>
      <name val="Nunito"/>
    </font>
    <font>
      <sz val="11"/>
      <color theme="2"/>
      <name val="Nunito"/>
    </font>
    <font>
      <b/>
      <sz val="11"/>
      <color theme="2"/>
      <name val="Nunito"/>
    </font>
    <font>
      <b/>
      <vertAlign val="subscript"/>
      <sz val="11"/>
      <color theme="2"/>
      <name val="Nunito"/>
    </font>
    <font>
      <b/>
      <sz val="14"/>
      <name val="Nunito"/>
    </font>
    <font>
      <b/>
      <vertAlign val="subscript"/>
      <sz val="14"/>
      <name val="Nunito"/>
    </font>
    <font>
      <vertAlign val="subscript"/>
      <sz val="11"/>
      <name val="Nunito"/>
    </font>
    <font>
      <sz val="11"/>
      <color theme="0"/>
      <name val="Nunito"/>
    </font>
    <font>
      <b/>
      <sz val="11"/>
      <color theme="1"/>
      <name val="Nunito"/>
    </font>
    <font>
      <b/>
      <sz val="10"/>
      <color rgb="FFFFFFFF"/>
      <name val="Nunito"/>
    </font>
    <font>
      <b/>
      <sz val="10"/>
      <name val="Nunito"/>
    </font>
    <font>
      <b/>
      <vertAlign val="subscript"/>
      <sz val="10"/>
      <color theme="0"/>
      <name val="Nunito"/>
    </font>
    <font>
      <vertAlign val="subscript"/>
      <sz val="10"/>
      <color theme="0"/>
      <name val="Nunito"/>
    </font>
    <font>
      <sz val="9"/>
      <color rgb="FF000000"/>
      <name val="Nunito"/>
    </font>
    <font>
      <b/>
      <sz val="12"/>
      <color theme="0"/>
      <name val="Nunito"/>
    </font>
    <font>
      <sz val="10"/>
      <color rgb="FFFFFFFF"/>
      <name val="Nunito"/>
    </font>
    <font>
      <b/>
      <vertAlign val="subscript"/>
      <sz val="10"/>
      <color rgb="FFFFFFFF"/>
      <name val="Nunito"/>
    </font>
    <font>
      <b/>
      <sz val="12"/>
      <color theme="1"/>
      <name val="Nunito"/>
    </font>
    <font>
      <vertAlign val="subscript"/>
      <sz val="10"/>
      <name val="Nunito"/>
    </font>
    <font>
      <sz val="10"/>
      <color rgb="FF002060"/>
      <name val="Nunito"/>
    </font>
    <font>
      <b/>
      <sz val="12"/>
      <color rgb="FFFFFFFF"/>
      <name val="Nunito"/>
    </font>
    <font>
      <sz val="8"/>
      <name val="Nunito"/>
    </font>
    <font>
      <vertAlign val="superscript"/>
      <sz val="11"/>
      <color theme="1"/>
      <name val="Nunito"/>
    </font>
    <font>
      <vertAlign val="superscript"/>
      <sz val="10"/>
      <name val="Nunito"/>
    </font>
    <font>
      <sz val="11"/>
      <color theme="1"/>
      <name val="Calibri"/>
      <family val="2"/>
      <scheme val="minor"/>
    </font>
    <font>
      <b/>
      <sz val="11"/>
      <color theme="0"/>
      <name val="Calibri"/>
      <family val="2"/>
      <scheme val="minor"/>
    </font>
    <font>
      <b/>
      <sz val="9"/>
      <color theme="0"/>
      <name val="Calibri"/>
      <family val="2"/>
      <scheme val="minor"/>
    </font>
    <font>
      <sz val="8"/>
      <color theme="1"/>
      <name val="Nunito"/>
    </font>
    <font>
      <sz val="11"/>
      <color theme="1"/>
      <name val="Calibri"/>
      <family val="2"/>
      <scheme val="minor"/>
    </font>
    <font>
      <sz val="11"/>
      <color theme="1"/>
      <name val="Calibri"/>
      <family val="2"/>
    </font>
    <font>
      <b/>
      <sz val="8"/>
      <color rgb="FFFFFFFF"/>
      <name val="Nunito"/>
    </font>
    <font>
      <sz val="12"/>
      <name val="Courier"/>
    </font>
    <font>
      <sz val="10"/>
      <name val="Arial"/>
      <family val="2"/>
    </font>
    <font>
      <sz val="12"/>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i/>
      <sz val="14"/>
      <name val="Roman"/>
      <family val="1"/>
      <charset val="255"/>
    </font>
    <font>
      <sz val="12"/>
      <name val="Courier New"/>
      <family val="3"/>
    </font>
    <font>
      <sz val="8"/>
      <name val="Arial"/>
      <family val="2"/>
    </font>
    <font>
      <b/>
      <sz val="14"/>
      <color indexed="9"/>
      <name val="Tahoma"/>
      <family val="2"/>
    </font>
    <font>
      <b/>
      <sz val="16"/>
      <color indexed="9"/>
      <name val="Tahoma"/>
      <family val="2"/>
    </font>
    <font>
      <b/>
      <sz val="8"/>
      <color indexed="62"/>
      <name val="Arial"/>
      <family val="2"/>
    </font>
    <font>
      <b/>
      <sz val="8"/>
      <color indexed="54"/>
      <name val="Arial"/>
      <family val="2"/>
    </font>
    <font>
      <sz val="7"/>
      <color indexed="8"/>
      <name val="Arial"/>
      <family val="2"/>
    </font>
    <font>
      <sz val="8"/>
      <color indexed="8"/>
      <name val="Arial"/>
      <family val="2"/>
    </font>
    <font>
      <b/>
      <sz val="8"/>
      <color indexed="9"/>
      <name val="Arial"/>
      <family val="2"/>
    </font>
    <font>
      <b/>
      <sz val="8"/>
      <color indexed="8"/>
      <name val="Arial"/>
      <family val="2"/>
    </font>
    <font>
      <sz val="8"/>
      <color indexed="8"/>
      <name val="Tahoma"/>
      <family val="2"/>
    </font>
    <font>
      <b/>
      <sz val="12"/>
      <color indexed="9"/>
      <name val="Tahoma"/>
      <family val="2"/>
    </font>
    <font>
      <b/>
      <sz val="11"/>
      <color indexed="10"/>
      <name val="Calibri"/>
      <family val="2"/>
    </font>
    <font>
      <b/>
      <sz val="11"/>
      <color indexed="62"/>
      <name val="Calibri"/>
      <family val="2"/>
    </font>
    <font>
      <b/>
      <sz val="11"/>
      <color indexed="56"/>
      <name val="Calibri"/>
      <family val="2"/>
    </font>
    <font>
      <sz val="11"/>
      <color indexed="62"/>
      <name val="Calibri"/>
      <family val="2"/>
    </font>
    <font>
      <sz val="11"/>
      <color indexed="19"/>
      <name val="Calibri"/>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8"/>
      <color indexed="62"/>
      <name val="Cambria"/>
      <family val="2"/>
    </font>
    <font>
      <b/>
      <sz val="18"/>
      <color indexed="56"/>
      <name val="Cambria"/>
      <family val="2"/>
    </font>
    <font>
      <sz val="10"/>
      <name val="Times New Roman"/>
      <family val="1"/>
    </font>
    <font>
      <sz val="10"/>
      <name val="MS Sans Serif"/>
      <family val="2"/>
    </font>
    <font>
      <b/>
      <sz val="1"/>
      <color indexed="8"/>
      <name val="Courier"/>
      <family val="3"/>
    </font>
    <font>
      <b/>
      <i/>
      <sz val="1"/>
      <color indexed="8"/>
      <name val="Courier"/>
      <family val="3"/>
    </font>
    <font>
      <sz val="1"/>
      <color indexed="8"/>
      <name val="Courier"/>
      <family val="3"/>
    </font>
    <font>
      <i/>
      <sz val="1"/>
      <color indexed="8"/>
      <name val="Courier"/>
      <family val="3"/>
    </font>
    <font>
      <u/>
      <sz val="11"/>
      <color theme="10"/>
      <name val="Calibri"/>
      <family val="2"/>
    </font>
    <font>
      <sz val="11"/>
      <name val="Tt0047m"/>
    </font>
    <font>
      <sz val="10"/>
      <color rgb="FFFF0000"/>
      <name val="Nunito"/>
    </font>
    <font>
      <b/>
      <sz val="10"/>
      <color rgb="FFFF0000"/>
      <name val="Nunito"/>
    </font>
  </fonts>
  <fills count="7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1E4E79"/>
        <bgColor rgb="FF1E4E79"/>
      </patternFill>
    </fill>
    <fill>
      <patternFill patternType="solid">
        <fgColor rgb="FF0070C0"/>
        <bgColor indexed="64"/>
      </patternFill>
    </fill>
    <fill>
      <patternFill patternType="solid">
        <fgColor rgb="FF002060"/>
        <bgColor indexed="64"/>
      </patternFill>
    </fill>
    <fill>
      <patternFill patternType="solid">
        <fgColor theme="6"/>
        <bgColor indexed="64"/>
      </patternFill>
    </fill>
    <fill>
      <patternFill patternType="solid">
        <fgColor rgb="FF002060"/>
        <bgColor theme="4"/>
      </patternFill>
    </fill>
    <fill>
      <patternFill patternType="solid">
        <fgColor rgb="FF0070C0"/>
        <bgColor theme="0"/>
      </patternFill>
    </fill>
    <fill>
      <patternFill patternType="solid">
        <fgColor rgb="FF0070C0"/>
        <bgColor rgb="FFFFFFFF"/>
      </patternFill>
    </fill>
    <fill>
      <patternFill patternType="solid">
        <fgColor rgb="FF0070C0"/>
        <bgColor rgb="FF165080"/>
      </patternFill>
    </fill>
    <fill>
      <patternFill patternType="solid">
        <fgColor theme="6"/>
        <bgColor rgb="FF84BBEA"/>
      </patternFill>
    </fill>
    <fill>
      <patternFill patternType="solid">
        <fgColor rgb="FF0070C0"/>
        <bgColor rgb="FF1E4E79"/>
      </patternFill>
    </fill>
    <fill>
      <patternFill patternType="solid">
        <fgColor theme="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1"/>
        <bgColor rgb="FFF4B083"/>
      </patternFill>
    </fill>
    <fill>
      <patternFill patternType="solid">
        <fgColor theme="4" tint="-0.499984740745262"/>
        <bgColor indexed="64"/>
      </patternFill>
    </fill>
    <fill>
      <patternFill patternType="solid">
        <fgColor theme="8"/>
        <bgColor rgb="FFBDD6EE"/>
      </patternFill>
    </fill>
    <fill>
      <patternFill patternType="solid">
        <fgColor theme="4" tint="-0.499984740745262"/>
        <bgColor rgb="FFBDD6EE"/>
      </patternFill>
    </fill>
    <fill>
      <patternFill patternType="solid">
        <fgColor theme="0"/>
        <bgColor rgb="FF165080"/>
      </patternFill>
    </fill>
    <fill>
      <patternFill patternType="solid">
        <fgColor theme="0"/>
        <bgColor rgb="FFFFFFFF"/>
      </patternFill>
    </fill>
    <fill>
      <patternFill patternType="solid">
        <fgColor theme="0"/>
        <bgColor rgb="FF84BBEA"/>
      </patternFill>
    </fill>
    <fill>
      <patternFill patternType="solid">
        <fgColor theme="2"/>
        <bgColor indexed="64"/>
      </patternFill>
    </fill>
    <fill>
      <patternFill patternType="solid">
        <fgColor rgb="FF0070C0"/>
        <bgColor rgb="FF84BBEA"/>
      </patternFill>
    </fill>
    <fill>
      <patternFill patternType="solid">
        <fgColor theme="7"/>
        <bgColor indexed="64"/>
      </patternFill>
    </fill>
    <fill>
      <patternFill patternType="solid">
        <fgColor theme="8" tint="-0.499984740745262"/>
        <bgColor indexed="64"/>
      </patternFill>
    </fill>
    <fill>
      <patternFill patternType="solid">
        <fgColor theme="5"/>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249977111117893"/>
        <bgColor rgb="FF165080"/>
      </patternFill>
    </fill>
    <fill>
      <patternFill patternType="solid">
        <fgColor theme="4" tint="0.79998168889431442"/>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bgColor rgb="FF1F497D"/>
      </patternFill>
    </fill>
    <fill>
      <patternFill patternType="solid">
        <fgColor theme="0"/>
        <bgColor rgb="FF1F497D"/>
      </patternFill>
    </fill>
    <fill>
      <patternFill patternType="solid">
        <fgColor theme="2"/>
        <bgColor rgb="FF165080"/>
      </patternFill>
    </fill>
    <fill>
      <patternFill patternType="solid">
        <fgColor theme="2"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theme="0"/>
      </patternFill>
    </fill>
    <fill>
      <patternFill patternType="solid">
        <fgColor rgb="FFFFFF00"/>
        <bgColor rgb="FFFFFFFF"/>
      </patternFill>
    </fill>
    <fill>
      <patternFill patternType="solid">
        <fgColor theme="5" tint="-0.249977111117893"/>
        <bgColor indexed="64"/>
      </patternFill>
    </fill>
    <fill>
      <patternFill patternType="solid">
        <fgColor rgb="FF227ACB"/>
        <bgColor indexed="64"/>
      </patternFill>
    </fill>
    <fill>
      <patternFill patternType="solid">
        <fgColor indexed="9"/>
      </patternFill>
    </fill>
    <fill>
      <patternFill patternType="solid">
        <fgColor indexed="54"/>
      </patternFill>
    </fill>
    <fill>
      <patternFill patternType="solid">
        <fgColor indexed="18"/>
      </patternFill>
    </fill>
    <fill>
      <patternFill patternType="solid">
        <fgColor indexed="22"/>
      </patternFill>
    </fill>
    <fill>
      <patternFill patternType="solid">
        <fgColor indexed="47"/>
      </patternFill>
    </fill>
    <fill>
      <patternFill patternType="solid">
        <fgColor indexed="44"/>
      </patternFill>
    </fill>
    <fill>
      <patternFill patternType="solid">
        <fgColor indexed="31"/>
      </patternFill>
    </fill>
    <fill>
      <patternFill patternType="solid">
        <fgColor indexed="42"/>
      </patternFill>
    </fill>
    <fill>
      <patternFill patternType="solid">
        <fgColor indexed="29"/>
      </patternFill>
    </fill>
    <fill>
      <patternFill patternType="solid">
        <fgColor indexed="45"/>
      </patternFill>
    </fill>
    <fill>
      <patternFill patternType="solid">
        <fgColor indexed="26"/>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rgb="FF7CEB99"/>
        <bgColor indexed="64"/>
      </patternFill>
    </fill>
    <fill>
      <patternFill patternType="solid">
        <fgColor rgb="FF7CEB99"/>
        <bgColor theme="0"/>
      </patternFill>
    </fill>
  </fills>
  <borders count="15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rgb="FF000000"/>
      </right>
      <top/>
      <bottom/>
      <diagonal/>
    </border>
    <border>
      <left/>
      <right style="thin">
        <color indexed="64"/>
      </right>
      <top/>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thin">
        <color theme="8" tint="0.39997558519241921"/>
      </top>
      <bottom/>
      <diagonal/>
    </border>
    <border>
      <left/>
      <right style="thin">
        <color theme="8" tint="0.39997558519241921"/>
      </right>
      <top/>
      <bottom style="thin">
        <color theme="8" tint="0.3999755851924192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FFFF"/>
      </left>
      <right style="medium">
        <color rgb="FFFFFFFF"/>
      </right>
      <top/>
      <bottom style="medium">
        <color rgb="FFFFFFFF"/>
      </bottom>
      <diagonal/>
    </border>
    <border>
      <left/>
      <right/>
      <top/>
      <bottom style="thin">
        <color theme="4"/>
      </bottom>
      <diagonal/>
    </border>
    <border>
      <left style="thin">
        <color theme="4"/>
      </left>
      <right/>
      <top/>
      <bottom style="thin">
        <color theme="4"/>
      </bottom>
      <diagonal/>
    </border>
    <border>
      <left/>
      <right style="thin">
        <color theme="4"/>
      </right>
      <top/>
      <bottom/>
      <diagonal/>
    </border>
    <border>
      <left style="thin">
        <color theme="8" tint="0.39997558519241921"/>
      </left>
      <right style="thin">
        <color theme="8" tint="0.39997558519241921"/>
      </right>
      <top/>
      <bottom style="thin">
        <color theme="8" tint="0.39997558519241921"/>
      </bottom>
      <diagonal/>
    </border>
    <border>
      <left style="thin">
        <color theme="4"/>
      </left>
      <right/>
      <top/>
      <bottom/>
      <diagonal/>
    </border>
    <border>
      <left style="thin">
        <color theme="4"/>
      </left>
      <right style="thin">
        <color theme="8" tint="0.39997558519241921"/>
      </right>
      <top style="thin">
        <color theme="8" tint="0.39997558519241921"/>
      </top>
      <bottom/>
      <diagonal/>
    </border>
    <border>
      <left style="thin">
        <color theme="4"/>
      </left>
      <right style="thin">
        <color theme="8" tint="0.39997558519241921"/>
      </right>
      <top style="thin">
        <color theme="8" tint="0.39997558519241921"/>
      </top>
      <bottom style="thin">
        <color theme="8" tint="0.39997558519241921"/>
      </bottom>
      <diagonal/>
    </border>
    <border>
      <left style="thin">
        <color theme="4"/>
      </left>
      <right/>
      <top style="thin">
        <color theme="8" tint="0.39997558519241921"/>
      </top>
      <bottom/>
      <diagonal/>
    </border>
    <border>
      <left style="thin">
        <color theme="8" tint="0.39997558519241921"/>
      </left>
      <right style="thin">
        <color theme="4"/>
      </right>
      <top style="thin">
        <color theme="8" tint="0.39997558519241921"/>
      </top>
      <bottom/>
      <diagonal/>
    </border>
    <border>
      <left style="thin">
        <color theme="8" tint="0.39997558519241921"/>
      </left>
      <right style="thin">
        <color theme="4"/>
      </right>
      <top/>
      <bottom style="thin">
        <color theme="8" tint="0.39997558519241921"/>
      </bottom>
      <diagonal/>
    </border>
    <border>
      <left style="thin">
        <color theme="8" tint="0.39997558519241921"/>
      </left>
      <right style="thin">
        <color theme="4"/>
      </right>
      <top style="thin">
        <color theme="8" tint="0.39997558519241921"/>
      </top>
      <bottom style="thin">
        <color theme="8" tint="0.39997558519241921"/>
      </bottom>
      <diagonal/>
    </border>
    <border>
      <left/>
      <right style="thin">
        <color theme="4"/>
      </right>
      <top style="thin">
        <color theme="8" tint="0.39997558519241921"/>
      </top>
      <bottom/>
      <diagonal/>
    </border>
    <border>
      <left style="thin">
        <color theme="8" tint="0.39997558519241921"/>
      </left>
      <right style="thin">
        <color theme="8" tint="0.39997558519241921"/>
      </right>
      <top style="thin">
        <color theme="8" tint="0.39997558519241921"/>
      </top>
      <bottom style="thin">
        <color theme="4"/>
      </bottom>
      <diagonal/>
    </border>
    <border>
      <left style="thin">
        <color theme="8" tint="0.39997558519241921"/>
      </left>
      <right style="thin">
        <color theme="4"/>
      </right>
      <top style="thin">
        <color theme="8" tint="0.39997558519241921"/>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right style="thin">
        <color theme="8" tint="0.39997558519241921"/>
      </right>
      <top style="thin">
        <color theme="8" tint="0.39997558519241921"/>
      </top>
      <bottom style="thin">
        <color theme="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theme="1"/>
      </left>
      <right style="medium">
        <color theme="1"/>
      </right>
      <top/>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theme="1"/>
      </right>
      <top/>
      <bottom style="medium">
        <color theme="1"/>
      </bottom>
      <diagonal/>
    </border>
    <border>
      <left/>
      <right style="medium">
        <color indexed="64"/>
      </right>
      <top/>
      <bottom style="medium">
        <color theme="1"/>
      </bottom>
      <diagonal/>
    </border>
    <border>
      <left style="medium">
        <color theme="1"/>
      </left>
      <right/>
      <top/>
      <bottom style="medium">
        <color indexed="64"/>
      </bottom>
      <diagonal/>
    </border>
    <border>
      <left style="medium">
        <color theme="1"/>
      </left>
      <right style="medium">
        <color theme="1"/>
      </right>
      <top/>
      <bottom style="medium">
        <color indexed="64"/>
      </bottom>
      <diagonal/>
    </border>
    <border>
      <left/>
      <right style="medium">
        <color theme="1"/>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top style="thin">
        <color indexed="64"/>
      </top>
      <bottom/>
      <diagonal/>
    </border>
    <border>
      <left style="thin">
        <color indexed="64"/>
      </left>
      <right/>
      <top/>
      <bottom/>
      <diagonal/>
    </border>
    <border>
      <left/>
      <right style="medium">
        <color theme="1"/>
      </right>
      <top style="medium">
        <color theme="1"/>
      </top>
      <bottom style="thin">
        <color theme="2" tint="-0.249977111117893"/>
      </bottom>
      <diagonal/>
    </border>
    <border>
      <left/>
      <right style="medium">
        <color theme="1"/>
      </right>
      <top style="thin">
        <color theme="2" tint="-0.249977111117893"/>
      </top>
      <bottom style="thin">
        <color theme="2" tint="-0.249977111117893"/>
      </bottom>
      <diagonal/>
    </border>
    <border>
      <left style="medium">
        <color theme="1"/>
      </left>
      <right style="medium">
        <color theme="1"/>
      </right>
      <top style="thin">
        <color theme="2" tint="-0.249977111117893"/>
      </top>
      <bottom style="medium">
        <color theme="1"/>
      </bottom>
      <diagonal/>
    </border>
    <border>
      <left style="medium">
        <color theme="1"/>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indexed="64"/>
      </left>
      <right style="medium">
        <color indexed="64"/>
      </right>
      <top/>
      <bottom/>
      <diagonal/>
    </border>
    <border>
      <left style="thin">
        <color theme="4"/>
      </left>
      <right style="thin">
        <color theme="9"/>
      </right>
      <top style="thin">
        <color theme="9"/>
      </top>
      <bottom/>
      <diagonal/>
    </border>
    <border>
      <left style="thin">
        <color theme="9"/>
      </left>
      <right style="thin">
        <color theme="9"/>
      </right>
      <top style="thin">
        <color theme="9"/>
      </top>
      <bottom/>
      <diagonal/>
    </border>
    <border>
      <left style="thin">
        <color theme="9"/>
      </left>
      <right style="thin">
        <color theme="4"/>
      </right>
      <top style="thin">
        <color theme="9"/>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style="thin">
        <color indexed="56"/>
      </top>
      <bottom style="double">
        <color indexed="56"/>
      </bottom>
      <diagonal/>
    </border>
    <border>
      <left/>
      <right/>
      <top style="thin">
        <color indexed="62"/>
      </top>
      <bottom style="double">
        <color indexed="62"/>
      </bottom>
      <diagonal/>
    </border>
  </borders>
  <cellStyleXfs count="268">
    <xf numFmtId="0" fontId="0" fillId="0" borderId="0"/>
    <xf numFmtId="0" fontId="18" fillId="0" borderId="22"/>
    <xf numFmtId="0" fontId="3" fillId="0" borderId="22"/>
    <xf numFmtId="0" fontId="21" fillId="0" borderId="0" applyNumberFormat="0" applyFill="0" applyBorder="0" applyAlignment="0" applyProtection="0"/>
    <xf numFmtId="9" fontId="57" fillId="0" borderId="0" applyFont="0" applyFill="0" applyBorder="0" applyAlignment="0" applyProtection="0"/>
    <xf numFmtId="43" fontId="61" fillId="0" borderId="0" applyFont="0" applyFill="0" applyBorder="0" applyAlignment="0" applyProtection="0"/>
    <xf numFmtId="176" fontId="64" fillId="0" borderId="22"/>
    <xf numFmtId="0" fontId="65" fillId="0" borderId="22"/>
    <xf numFmtId="0" fontId="82" fillId="49" borderId="22">
      <alignment horizontal="left" vertical="center"/>
    </xf>
    <xf numFmtId="0" fontId="83" fillId="49" borderId="22">
      <alignment horizontal="left" vertical="center"/>
    </xf>
    <xf numFmtId="0" fontId="84" fillId="49" borderId="22">
      <alignment horizontal="left" vertical="top"/>
    </xf>
    <xf numFmtId="0" fontId="84" fillId="49" borderId="22">
      <alignment horizontal="center" vertical="top"/>
    </xf>
    <xf numFmtId="0" fontId="84" fillId="49" borderId="22">
      <alignment horizontal="right" vertical="top"/>
    </xf>
    <xf numFmtId="0" fontId="85" fillId="49" borderId="22">
      <alignment horizontal="left" vertical="top"/>
    </xf>
    <xf numFmtId="0" fontId="86" fillId="49" borderId="22">
      <alignment horizontal="left" vertical="top"/>
    </xf>
    <xf numFmtId="0" fontId="87" fillId="49" borderId="22">
      <alignment horizontal="center" vertical="top"/>
    </xf>
    <xf numFmtId="0" fontId="87" fillId="49" borderId="22">
      <alignment horizontal="right" vertical="top"/>
    </xf>
    <xf numFmtId="0" fontId="88" fillId="50" borderId="22">
      <alignment horizontal="center" vertical="top"/>
    </xf>
    <xf numFmtId="0" fontId="88" fillId="50" borderId="22">
      <alignment horizontal="right" vertical="top"/>
    </xf>
    <xf numFmtId="0" fontId="88" fillId="51" borderId="22">
      <alignment horizontal="left" vertical="top"/>
    </xf>
    <xf numFmtId="0" fontId="88" fillId="51" borderId="22">
      <alignment horizontal="right" vertical="top"/>
    </xf>
    <xf numFmtId="0" fontId="84" fillId="49" borderId="22">
      <alignment horizontal="left" vertical="top"/>
    </xf>
    <xf numFmtId="0" fontId="84" fillId="49" borderId="22">
      <alignment horizontal="center" vertical="top"/>
    </xf>
    <xf numFmtId="0" fontId="85" fillId="49" borderId="22">
      <alignment horizontal="left" vertical="top"/>
    </xf>
    <xf numFmtId="0" fontId="87" fillId="49" borderId="22">
      <alignment horizontal="left" vertical="top"/>
    </xf>
    <xf numFmtId="0" fontId="87" fillId="49" borderId="22">
      <alignment horizontal="right" vertical="top"/>
    </xf>
    <xf numFmtId="0" fontId="89" fillId="52" borderId="22">
      <alignment horizontal="left" vertical="top"/>
    </xf>
    <xf numFmtId="0" fontId="89" fillId="52" borderId="22">
      <alignment horizontal="right" vertical="top"/>
    </xf>
    <xf numFmtId="0" fontId="88" fillId="50" borderId="22">
      <alignment horizontal="left" vertical="top"/>
    </xf>
    <xf numFmtId="0" fontId="88" fillId="50" borderId="22">
      <alignment horizontal="right" vertical="top"/>
    </xf>
    <xf numFmtId="0" fontId="88" fillId="51" borderId="22">
      <alignment horizontal="left" vertical="top"/>
    </xf>
    <xf numFmtId="0" fontId="88" fillId="51" borderId="22">
      <alignment horizontal="right" vertical="top"/>
    </xf>
    <xf numFmtId="0" fontId="84" fillId="49" borderId="22">
      <alignment horizontal="left" vertical="top"/>
    </xf>
    <xf numFmtId="0" fontId="85" fillId="49" borderId="22">
      <alignment horizontal="left" vertical="top"/>
    </xf>
    <xf numFmtId="0" fontId="87" fillId="49" borderId="22">
      <alignment horizontal="left" vertical="top"/>
    </xf>
    <xf numFmtId="0" fontId="87" fillId="49" borderId="22">
      <alignment horizontal="right" vertical="top"/>
    </xf>
    <xf numFmtId="0" fontId="89" fillId="52" borderId="22">
      <alignment horizontal="left" vertical="top"/>
    </xf>
    <xf numFmtId="0" fontId="89" fillId="52" borderId="22">
      <alignment horizontal="right" vertical="top"/>
    </xf>
    <xf numFmtId="0" fontId="88" fillId="50" borderId="22">
      <alignment horizontal="left" vertical="top"/>
    </xf>
    <xf numFmtId="0" fontId="88" fillId="50" borderId="22">
      <alignment horizontal="right" vertical="top"/>
    </xf>
    <xf numFmtId="0" fontId="82" fillId="49" borderId="22">
      <alignment horizontal="left" vertical="center"/>
    </xf>
    <xf numFmtId="0" fontId="84" fillId="49" borderId="22">
      <alignment horizontal="left" vertical="top"/>
    </xf>
    <xf numFmtId="0" fontId="84" fillId="49" borderId="22">
      <alignment horizontal="center" vertical="top"/>
    </xf>
    <xf numFmtId="0" fontId="87" fillId="49" borderId="22">
      <alignment horizontal="left" vertical="top"/>
    </xf>
    <xf numFmtId="0" fontId="87" fillId="49" borderId="22">
      <alignment horizontal="right" vertical="top"/>
    </xf>
    <xf numFmtId="0" fontId="90" fillId="49" borderId="22">
      <alignment horizontal="right" vertical="top"/>
    </xf>
    <xf numFmtId="0" fontId="88" fillId="51" borderId="22">
      <alignment horizontal="right" vertical="top"/>
    </xf>
    <xf numFmtId="0" fontId="91" fillId="49" borderId="22">
      <alignment horizontal="center" vertical="center"/>
    </xf>
    <xf numFmtId="0" fontId="84" fillId="49" borderId="22">
      <alignment horizontal="left" vertical="top"/>
    </xf>
    <xf numFmtId="0" fontId="84" fillId="49" borderId="22">
      <alignment horizontal="center" vertical="top"/>
    </xf>
    <xf numFmtId="0" fontId="90" fillId="49" borderId="22">
      <alignment horizontal="left" vertical="top"/>
    </xf>
    <xf numFmtId="0" fontId="87" fillId="49" borderId="22">
      <alignment horizontal="right" vertical="top"/>
    </xf>
    <xf numFmtId="0" fontId="88" fillId="51" borderId="22">
      <alignment horizontal="left" vertical="top"/>
    </xf>
    <xf numFmtId="0" fontId="88" fillId="51" borderId="22">
      <alignment horizontal="right" vertical="top"/>
    </xf>
    <xf numFmtId="0" fontId="91" fillId="49" borderId="22">
      <alignment horizontal="center" vertical="center"/>
    </xf>
    <xf numFmtId="0" fontId="87" fillId="49" borderId="22">
      <alignment horizontal="left" vertical="top"/>
    </xf>
    <xf numFmtId="0" fontId="87" fillId="49" borderId="22">
      <alignment horizontal="right" vertical="top"/>
    </xf>
    <xf numFmtId="0" fontId="88" fillId="51" borderId="22">
      <alignment horizontal="left" vertical="top"/>
    </xf>
    <xf numFmtId="0" fontId="88" fillId="51" borderId="22">
      <alignment horizontal="right" vertical="top"/>
    </xf>
    <xf numFmtId="0" fontId="91" fillId="49" borderId="22">
      <alignment horizontal="center" vertical="center"/>
    </xf>
    <xf numFmtId="0" fontId="90" fillId="49" borderId="22">
      <alignment horizontal="left" vertical="top"/>
    </xf>
    <xf numFmtId="0" fontId="87" fillId="49" borderId="22">
      <alignment horizontal="right" vertical="top"/>
    </xf>
    <xf numFmtId="0" fontId="88" fillId="51" borderId="22">
      <alignment horizontal="left" vertical="top"/>
    </xf>
    <xf numFmtId="0" fontId="88" fillId="51" borderId="22">
      <alignment horizontal="right" vertical="top"/>
    </xf>
    <xf numFmtId="0" fontId="83" fillId="49" borderId="22">
      <alignment horizontal="left" vertical="center"/>
    </xf>
    <xf numFmtId="0" fontId="84" fillId="49" borderId="22">
      <alignment horizontal="left" vertical="top"/>
    </xf>
    <xf numFmtId="0" fontId="84" fillId="49" borderId="22">
      <alignment horizontal="left" vertical="top"/>
    </xf>
    <xf numFmtId="0" fontId="84" fillId="49" borderId="22">
      <alignment horizontal="left" vertical="top"/>
    </xf>
    <xf numFmtId="0" fontId="87" fillId="49" borderId="22">
      <alignment horizontal="left" vertical="top"/>
    </xf>
    <xf numFmtId="0" fontId="87" fillId="49" borderId="22">
      <alignment horizontal="left" vertical="top"/>
    </xf>
    <xf numFmtId="0" fontId="87" fillId="49" borderId="22">
      <alignment horizontal="right" vertical="top"/>
    </xf>
    <xf numFmtId="0" fontId="88" fillId="50" borderId="22">
      <alignment horizontal="left" vertical="top"/>
    </xf>
    <xf numFmtId="0" fontId="89" fillId="52" borderId="22">
      <alignment horizontal="left" vertical="top"/>
    </xf>
    <xf numFmtId="0" fontId="88" fillId="50" borderId="22">
      <alignment horizontal="right" vertical="top"/>
    </xf>
    <xf numFmtId="0" fontId="89" fillId="52" borderId="22">
      <alignment horizontal="right" vertical="top"/>
    </xf>
    <xf numFmtId="0" fontId="88" fillId="51" borderId="22">
      <alignment horizontal="left" vertical="top"/>
    </xf>
    <xf numFmtId="0" fontId="88" fillId="50" borderId="22">
      <alignment horizontal="left" vertical="top"/>
    </xf>
    <xf numFmtId="0" fontId="88" fillId="51" borderId="22">
      <alignment horizontal="right" vertical="top"/>
    </xf>
    <xf numFmtId="0" fontId="88" fillId="50" borderId="22">
      <alignment horizontal="right" vertical="top"/>
    </xf>
    <xf numFmtId="0" fontId="82" fillId="49" borderId="22">
      <alignment horizontal="left" vertical="center"/>
    </xf>
    <xf numFmtId="0" fontId="84" fillId="49" borderId="22">
      <alignment horizontal="left" vertical="top"/>
    </xf>
    <xf numFmtId="0" fontId="84" fillId="49" borderId="22">
      <alignment horizontal="left" vertical="top"/>
    </xf>
    <xf numFmtId="0" fontId="84" fillId="49" borderId="22">
      <alignment horizontal="left" vertical="top"/>
    </xf>
    <xf numFmtId="0" fontId="87" fillId="49" borderId="22">
      <alignment horizontal="left" vertical="top"/>
    </xf>
    <xf numFmtId="0" fontId="87" fillId="49" borderId="22">
      <alignment horizontal="right" vertical="top"/>
    </xf>
    <xf numFmtId="0" fontId="88" fillId="51" borderId="22">
      <alignment horizontal="left" vertical="top"/>
    </xf>
    <xf numFmtId="0" fontId="88" fillId="51" borderId="22">
      <alignment horizontal="right" vertical="top"/>
    </xf>
    <xf numFmtId="0" fontId="67" fillId="54" borderId="22" applyNumberFormat="0" applyBorder="0" applyAlignment="0" applyProtection="0"/>
    <xf numFmtId="0" fontId="67" fillId="55" borderId="22" applyNumberFormat="0" applyBorder="0" applyAlignment="0" applyProtection="0"/>
    <xf numFmtId="0" fontId="67" fillId="57" borderId="22" applyNumberFormat="0" applyBorder="0" applyAlignment="0" applyProtection="0"/>
    <xf numFmtId="0" fontId="67" fillId="58" borderId="22" applyNumberFormat="0" applyBorder="0" applyAlignment="0" applyProtection="0"/>
    <xf numFmtId="0" fontId="67" fillId="59" borderId="22" applyNumberFormat="0" applyBorder="0" applyAlignment="0" applyProtection="0"/>
    <xf numFmtId="0" fontId="67" fillId="56" borderId="22" applyNumberFormat="0" applyBorder="0" applyAlignment="0" applyProtection="0"/>
    <xf numFmtId="0" fontId="67" fillId="53" borderId="22" applyNumberFormat="0" applyBorder="0" applyAlignment="0" applyProtection="0"/>
    <xf numFmtId="0" fontId="67" fillId="60" borderId="22" applyNumberFormat="0" applyBorder="0" applyAlignment="0" applyProtection="0"/>
    <xf numFmtId="0" fontId="67" fillId="61" borderId="22" applyNumberFormat="0" applyBorder="0" applyAlignment="0" applyProtection="0"/>
    <xf numFmtId="0" fontId="67" fillId="59" borderId="22" applyNumberFormat="0" applyBorder="0" applyAlignment="0" applyProtection="0"/>
    <xf numFmtId="0" fontId="67" fillId="53" borderId="22" applyNumberFormat="0" applyBorder="0" applyAlignment="0" applyProtection="0"/>
    <xf numFmtId="0" fontId="67" fillId="61" borderId="22" applyNumberFormat="0" applyBorder="0" applyAlignment="0" applyProtection="0"/>
    <xf numFmtId="0" fontId="67" fillId="54" borderId="22" applyNumberFormat="0" applyBorder="0" applyAlignment="0" applyProtection="0"/>
    <xf numFmtId="0" fontId="67" fillId="57" borderId="22" applyNumberFormat="0" applyBorder="0" applyAlignment="0" applyProtection="0"/>
    <xf numFmtId="0" fontId="67" fillId="62" borderId="22" applyNumberFormat="0" applyBorder="0" applyAlignment="0" applyProtection="0"/>
    <xf numFmtId="0" fontId="67" fillId="63" borderId="22" applyNumberFormat="0" applyBorder="0" applyAlignment="0" applyProtection="0"/>
    <xf numFmtId="0" fontId="67" fillId="58" borderId="22" applyNumberFormat="0" applyBorder="0" applyAlignment="0" applyProtection="0"/>
    <xf numFmtId="0" fontId="67" fillId="60" borderId="22" applyNumberFormat="0" applyBorder="0" applyAlignment="0" applyProtection="0"/>
    <xf numFmtId="0" fontId="67" fillId="61" borderId="22" applyNumberFormat="0" applyBorder="0" applyAlignment="0" applyProtection="0"/>
    <xf numFmtId="0" fontId="67" fillId="54" borderId="22" applyNumberFormat="0" applyBorder="0" applyAlignment="0" applyProtection="0"/>
    <xf numFmtId="0" fontId="67" fillId="59" borderId="22" applyNumberFormat="0" applyBorder="0" applyAlignment="0" applyProtection="0"/>
    <xf numFmtId="0" fontId="67" fillId="64" borderId="22" applyNumberFormat="0" applyBorder="0" applyAlignment="0" applyProtection="0"/>
    <xf numFmtId="0" fontId="68" fillId="61" borderId="22" applyNumberFormat="0" applyBorder="0" applyAlignment="0" applyProtection="0"/>
    <xf numFmtId="0" fontId="68" fillId="65" borderId="22" applyNumberFormat="0" applyBorder="0" applyAlignment="0" applyProtection="0"/>
    <xf numFmtId="0" fontId="68" fillId="66" borderId="22" applyNumberFormat="0" applyBorder="0" applyAlignment="0" applyProtection="0"/>
    <xf numFmtId="0" fontId="68" fillId="57" borderId="22" applyNumberFormat="0" applyBorder="0" applyAlignment="0" applyProtection="0"/>
    <xf numFmtId="0" fontId="68" fillId="64" borderId="22" applyNumberFormat="0" applyBorder="0" applyAlignment="0" applyProtection="0"/>
    <xf numFmtId="0" fontId="68" fillId="63" borderId="22" applyNumberFormat="0" applyBorder="0" applyAlignment="0" applyProtection="0"/>
    <xf numFmtId="0" fontId="68" fillId="58" borderId="22" applyNumberFormat="0" applyBorder="0" applyAlignment="0" applyProtection="0"/>
    <xf numFmtId="0" fontId="68" fillId="67" borderId="22" applyNumberFormat="0" applyBorder="0" applyAlignment="0" applyProtection="0"/>
    <xf numFmtId="0" fontId="68" fillId="61" borderId="22" applyNumberFormat="0" applyBorder="0" applyAlignment="0" applyProtection="0"/>
    <xf numFmtId="0" fontId="68" fillId="68" borderId="22" applyNumberFormat="0" applyBorder="0" applyAlignment="0" applyProtection="0"/>
    <xf numFmtId="0" fontId="68" fillId="57" borderId="22" applyNumberFormat="0" applyBorder="0" applyAlignment="0" applyProtection="0"/>
    <xf numFmtId="0" fontId="68" fillId="69" borderId="22" applyNumberFormat="0" applyBorder="0" applyAlignment="0" applyProtection="0"/>
    <xf numFmtId="0" fontId="69" fillId="61" borderId="22" applyNumberFormat="0" applyBorder="0" applyAlignment="0" applyProtection="0"/>
    <xf numFmtId="0" fontId="69" fillId="56" borderId="22" applyNumberFormat="0" applyBorder="0" applyAlignment="0" applyProtection="0"/>
    <xf numFmtId="0" fontId="92" fillId="49" borderId="139" applyNumberFormat="0" applyAlignment="0" applyProtection="0"/>
    <xf numFmtId="0" fontId="70" fillId="52" borderId="139" applyNumberFormat="0" applyAlignment="0" applyProtection="0"/>
    <xf numFmtId="0" fontId="71" fillId="70" borderId="140" applyNumberFormat="0" applyAlignment="0" applyProtection="0"/>
    <xf numFmtId="0" fontId="76" fillId="0" borderId="142" applyNumberFormat="0" applyFill="0" applyAlignment="0" applyProtection="0"/>
    <xf numFmtId="0" fontId="72" fillId="0" borderId="141" applyNumberFormat="0" applyFill="0" applyAlignment="0" applyProtection="0"/>
    <xf numFmtId="0" fontId="93" fillId="0" borderId="22" applyNumberFormat="0" applyFill="0" applyBorder="0" applyAlignment="0" applyProtection="0"/>
    <xf numFmtId="0" fontId="94" fillId="0" borderId="22" applyNumberFormat="0" applyFill="0" applyBorder="0" applyAlignment="0" applyProtection="0"/>
    <xf numFmtId="0" fontId="68" fillId="71" borderId="22" applyNumberFormat="0" applyBorder="0" applyAlignment="0" applyProtection="0"/>
    <xf numFmtId="0" fontId="68" fillId="72" borderId="22" applyNumberFormat="0" applyBorder="0" applyAlignment="0" applyProtection="0"/>
    <xf numFmtId="0" fontId="68" fillId="66" borderId="22" applyNumberFormat="0" applyBorder="0" applyAlignment="0" applyProtection="0"/>
    <xf numFmtId="0" fontId="68" fillId="73" borderId="22" applyNumberFormat="0" applyBorder="0" applyAlignment="0" applyProtection="0"/>
    <xf numFmtId="0" fontId="68" fillId="64" borderId="22" applyNumberFormat="0" applyBorder="0" applyAlignment="0" applyProtection="0"/>
    <xf numFmtId="0" fontId="68" fillId="74" borderId="22" applyNumberFormat="0" applyBorder="0" applyAlignment="0" applyProtection="0"/>
    <xf numFmtId="0" fontId="68" fillId="50" borderId="22" applyNumberFormat="0" applyBorder="0" applyAlignment="0" applyProtection="0"/>
    <xf numFmtId="0" fontId="68" fillId="67" borderId="22" applyNumberFormat="0" applyBorder="0" applyAlignment="0" applyProtection="0"/>
    <xf numFmtId="0" fontId="68" fillId="68" borderId="22" applyNumberFormat="0" applyBorder="0" applyAlignment="0" applyProtection="0"/>
    <xf numFmtId="0" fontId="68" fillId="73" borderId="22" applyNumberFormat="0" applyBorder="0" applyAlignment="0" applyProtection="0"/>
    <xf numFmtId="0" fontId="68" fillId="66" borderId="22" applyNumberFormat="0" applyBorder="0" applyAlignment="0" applyProtection="0"/>
    <xf numFmtId="0" fontId="95" fillId="62" borderId="139" applyNumberFormat="0" applyAlignment="0" applyProtection="0"/>
    <xf numFmtId="0" fontId="95" fillId="53" borderId="139" applyNumberFormat="0" applyAlignment="0" applyProtection="0"/>
    <xf numFmtId="0" fontId="104" fillId="0" borderId="22"/>
    <xf numFmtId="0" fontId="104" fillId="0" borderId="22"/>
    <xf numFmtId="0" fontId="104" fillId="0" borderId="22"/>
    <xf numFmtId="180" fontId="65" fillId="0" borderId="22" applyFont="0" applyFill="0" applyBorder="0" applyAlignment="0" applyProtection="0"/>
    <xf numFmtId="0" fontId="105" fillId="0" borderId="22">
      <protection locked="0"/>
    </xf>
    <xf numFmtId="0" fontId="105" fillId="0" borderId="22">
      <protection locked="0"/>
    </xf>
    <xf numFmtId="0" fontId="105" fillId="0" borderId="22">
      <protection locked="0"/>
    </xf>
    <xf numFmtId="0" fontId="106" fillId="0" borderId="22">
      <protection locked="0"/>
    </xf>
    <xf numFmtId="0" fontId="106" fillId="0" borderId="22">
      <protection locked="0"/>
    </xf>
    <xf numFmtId="0" fontId="106" fillId="0" borderId="22">
      <protection locked="0"/>
    </xf>
    <xf numFmtId="0" fontId="106" fillId="0" borderId="22">
      <protection locked="0"/>
    </xf>
    <xf numFmtId="0" fontId="106" fillId="0" borderId="22">
      <protection locked="0"/>
    </xf>
    <xf numFmtId="0" fontId="106" fillId="0" borderId="22">
      <protection locked="0"/>
    </xf>
    <xf numFmtId="0" fontId="107" fillId="0" borderId="22">
      <protection locked="0"/>
    </xf>
    <xf numFmtId="0" fontId="107" fillId="0" borderId="22">
      <protection locked="0"/>
    </xf>
    <xf numFmtId="0" fontId="107" fillId="0" borderId="22">
      <protection locked="0"/>
    </xf>
    <xf numFmtId="0" fontId="107" fillId="0" borderId="22">
      <protection locked="0"/>
    </xf>
    <xf numFmtId="0" fontId="107" fillId="0" borderId="22">
      <protection locked="0"/>
    </xf>
    <xf numFmtId="0" fontId="107" fillId="0" borderId="22">
      <protection locked="0"/>
    </xf>
    <xf numFmtId="0" fontId="107" fillId="0" borderId="22">
      <protection locked="0"/>
    </xf>
    <xf numFmtId="0" fontId="107" fillId="0" borderId="22">
      <protection locked="0"/>
    </xf>
    <xf numFmtId="0" fontId="107" fillId="0" borderId="22">
      <protection locked="0"/>
    </xf>
    <xf numFmtId="0" fontId="108" fillId="0" borderId="22">
      <protection locked="0"/>
    </xf>
    <xf numFmtId="0" fontId="108" fillId="0" borderId="22">
      <protection locked="0"/>
    </xf>
    <xf numFmtId="0" fontId="108" fillId="0" borderId="22">
      <protection locked="0"/>
    </xf>
    <xf numFmtId="2" fontId="79" fillId="0" borderId="22" applyFill="0" applyBorder="0" applyAlignment="0" applyProtection="0"/>
    <xf numFmtId="0" fontId="109" fillId="0" borderId="22" applyNumberFormat="0" applyFill="0" applyBorder="0" applyAlignment="0" applyProtection="0"/>
    <xf numFmtId="0" fontId="73" fillId="60" borderId="22" applyNumberFormat="0" applyBorder="0" applyAlignment="0" applyProtection="0"/>
    <xf numFmtId="0" fontId="73" fillId="58" borderId="22" applyNumberFormat="0" applyBorder="0" applyAlignment="0" applyProtection="0"/>
    <xf numFmtId="175" fontId="65" fillId="0" borderId="22" applyFont="0" applyFill="0" applyBorder="0" applyAlignment="0" applyProtection="0"/>
    <xf numFmtId="175" fontId="65" fillId="0" borderId="22" applyFont="0" applyFill="0" applyBorder="0" applyAlignment="0" applyProtection="0"/>
    <xf numFmtId="174" fontId="65" fillId="0" borderId="22" applyFont="0" applyFill="0" applyBorder="0" applyAlignment="0" applyProtection="0"/>
    <xf numFmtId="174" fontId="65" fillId="0" borderId="22" applyFont="0" applyFill="0" applyBorder="0" applyAlignment="0" applyProtection="0"/>
    <xf numFmtId="43" fontId="65" fillId="0" borderId="22" applyFont="0" applyFill="0" applyBorder="0" applyAlignment="0" applyProtection="0"/>
    <xf numFmtId="179" fontId="65" fillId="0" borderId="22" applyFont="0" applyFill="0" applyBorder="0" applyAlignment="0" applyProtection="0"/>
    <xf numFmtId="174" fontId="1" fillId="0" borderId="22" applyFont="0" applyFill="0" applyBorder="0" applyAlignment="0" applyProtection="0"/>
    <xf numFmtId="43" fontId="1" fillId="0" borderId="22" applyFont="0" applyFill="0" applyBorder="0" applyAlignment="0" applyProtection="0"/>
    <xf numFmtId="174" fontId="1" fillId="0" borderId="22" applyFont="0" applyFill="0" applyBorder="0" applyAlignment="0" applyProtection="0"/>
    <xf numFmtId="179" fontId="65" fillId="0" borderId="22" applyFont="0" applyFill="0" applyBorder="0" applyAlignment="0" applyProtection="0"/>
    <xf numFmtId="174" fontId="65" fillId="0" borderId="22" applyFont="0" applyFill="0" applyBorder="0" applyAlignment="0" applyProtection="0"/>
    <xf numFmtId="174" fontId="65" fillId="0" borderId="22" applyFont="0" applyFill="0" applyBorder="0" applyAlignment="0" applyProtection="0"/>
    <xf numFmtId="181" fontId="65" fillId="0" borderId="22" applyFont="0" applyFill="0" applyBorder="0" applyAlignment="0" applyProtection="0"/>
    <xf numFmtId="175" fontId="65" fillId="0" borderId="22" applyFont="0" applyFill="0" applyBorder="0" applyAlignment="0" applyProtection="0"/>
    <xf numFmtId="175" fontId="65" fillId="0" borderId="22" applyFont="0" applyFill="0" applyBorder="0" applyAlignment="0" applyProtection="0"/>
    <xf numFmtId="181" fontId="65" fillId="0" borderId="22" applyFont="0" applyFill="0" applyBorder="0" applyAlignment="0" applyProtection="0"/>
    <xf numFmtId="181" fontId="65" fillId="0" borderId="22" applyFont="0" applyFill="0" applyBorder="0" applyAlignment="0" applyProtection="0"/>
    <xf numFmtId="175" fontId="65" fillId="0" borderId="22" applyFont="0" applyFill="0" applyBorder="0" applyAlignment="0" applyProtection="0"/>
    <xf numFmtId="0" fontId="96" fillId="62" borderId="22" applyNumberFormat="0" applyBorder="0" applyAlignment="0" applyProtection="0"/>
    <xf numFmtId="0" fontId="74" fillId="62" borderId="22" applyNumberFormat="0" applyBorder="0" applyAlignment="0" applyProtection="0"/>
    <xf numFmtId="176" fontId="66" fillId="0" borderId="22"/>
    <xf numFmtId="0" fontId="65" fillId="0" borderId="22"/>
    <xf numFmtId="0" fontId="65" fillId="0" borderId="22"/>
    <xf numFmtId="176" fontId="66" fillId="0" borderId="22"/>
    <xf numFmtId="0" fontId="62" fillId="0" borderId="22"/>
    <xf numFmtId="177" fontId="66" fillId="0" borderId="22"/>
    <xf numFmtId="0" fontId="65" fillId="0" borderId="22"/>
    <xf numFmtId="177" fontId="66" fillId="0" borderId="22"/>
    <xf numFmtId="0" fontId="65" fillId="0" borderId="22"/>
    <xf numFmtId="0" fontId="103" fillId="0" borderId="22"/>
    <xf numFmtId="0" fontId="65" fillId="0" borderId="22" applyNumberFormat="0" applyFont="0" applyFill="0" applyBorder="0" applyAlignment="0" applyProtection="0"/>
    <xf numFmtId="0" fontId="65" fillId="0" borderId="22" applyNumberFormat="0" applyFont="0" applyFill="0" applyBorder="0" applyAlignment="0" applyProtection="0"/>
    <xf numFmtId="0" fontId="65" fillId="0" borderId="22" applyNumberFormat="0" applyFont="0" applyFill="0" applyBorder="0" applyAlignment="0" applyProtection="0"/>
    <xf numFmtId="49" fontId="81" fillId="0" borderId="22"/>
    <xf numFmtId="0" fontId="65" fillId="0" borderId="22" applyNumberFormat="0" applyFont="0" applyFill="0" applyBorder="0" applyAlignment="0" applyProtection="0"/>
    <xf numFmtId="0" fontId="103" fillId="0" borderId="22"/>
    <xf numFmtId="176" fontId="66" fillId="0" borderId="22"/>
    <xf numFmtId="178" fontId="66" fillId="0" borderId="22"/>
    <xf numFmtId="0" fontId="103" fillId="0" borderId="22"/>
    <xf numFmtId="178" fontId="66" fillId="0" borderId="22"/>
    <xf numFmtId="0" fontId="1" fillId="0" borderId="22"/>
    <xf numFmtId="0" fontId="65" fillId="0" borderId="22"/>
    <xf numFmtId="176" fontId="66" fillId="0" borderId="22"/>
    <xf numFmtId="177" fontId="80" fillId="0" borderId="22"/>
    <xf numFmtId="177" fontId="80" fillId="0" borderId="22"/>
    <xf numFmtId="0" fontId="65" fillId="0" borderId="22"/>
    <xf numFmtId="176" fontId="66" fillId="0" borderId="22"/>
    <xf numFmtId="177" fontId="66" fillId="0" borderId="22"/>
    <xf numFmtId="0" fontId="1" fillId="0" borderId="22"/>
    <xf numFmtId="0" fontId="65" fillId="0" borderId="22" applyNumberFormat="0" applyFont="0" applyFill="0" applyBorder="0" applyAlignment="0" applyProtection="0"/>
    <xf numFmtId="0" fontId="65" fillId="0" borderId="22" applyNumberFormat="0" applyFont="0" applyFill="0" applyBorder="0" applyAlignment="0" applyProtection="0"/>
    <xf numFmtId="0" fontId="65" fillId="0" borderId="22"/>
    <xf numFmtId="0" fontId="1" fillId="0" borderId="22"/>
    <xf numFmtId="0" fontId="65" fillId="0" borderId="22"/>
    <xf numFmtId="177" fontId="66" fillId="0" borderId="22"/>
    <xf numFmtId="49" fontId="81" fillId="0" borderId="22"/>
    <xf numFmtId="0" fontId="1" fillId="0" borderId="22"/>
    <xf numFmtId="177" fontId="66" fillId="0" borderId="22"/>
    <xf numFmtId="0" fontId="65" fillId="0" borderId="22"/>
    <xf numFmtId="176" fontId="66" fillId="0" borderId="22"/>
    <xf numFmtId="0" fontId="65" fillId="0" borderId="22"/>
    <xf numFmtId="0" fontId="65" fillId="0" borderId="22" applyNumberFormat="0" applyFont="0" applyFill="0" applyBorder="0" applyAlignment="0" applyProtection="0"/>
    <xf numFmtId="177" fontId="66" fillId="0" borderId="22"/>
    <xf numFmtId="0" fontId="1" fillId="0" borderId="22"/>
    <xf numFmtId="178" fontId="66" fillId="0" borderId="22"/>
    <xf numFmtId="178" fontId="66" fillId="0" borderId="22"/>
    <xf numFmtId="176" fontId="66" fillId="0" borderId="22"/>
    <xf numFmtId="0" fontId="65" fillId="59" borderId="143" applyNumberFormat="0" applyFont="0" applyAlignment="0" applyProtection="0"/>
    <xf numFmtId="9" fontId="66" fillId="0" borderId="22" applyFont="0" applyFill="0" applyBorder="0" applyAlignment="0" applyProtection="0"/>
    <xf numFmtId="9" fontId="65" fillId="0" borderId="22" applyFill="0" applyBorder="0" applyAlignment="0" applyProtection="0"/>
    <xf numFmtId="9" fontId="65" fillId="0" borderId="22" applyFont="0" applyFill="0" applyBorder="0" applyAlignment="0" applyProtection="0"/>
    <xf numFmtId="9" fontId="1" fillId="0" borderId="22" applyFont="0" applyFill="0" applyBorder="0" applyAlignment="0" applyProtection="0"/>
    <xf numFmtId="9" fontId="65" fillId="0" borderId="22" applyFont="0" applyFill="0" applyBorder="0" applyAlignment="0" applyProtection="0"/>
    <xf numFmtId="9" fontId="1" fillId="0" borderId="22" applyFont="0" applyFill="0" applyBorder="0" applyAlignment="0" applyProtection="0"/>
    <xf numFmtId="9" fontId="65" fillId="0" borderId="22" applyFill="0" applyBorder="0" applyAlignment="0" applyProtection="0"/>
    <xf numFmtId="9" fontId="65" fillId="0" borderId="22" applyFont="0" applyFill="0" applyBorder="0" applyAlignment="0" applyProtection="0"/>
    <xf numFmtId="9" fontId="62" fillId="0" borderId="22" applyFont="0" applyFill="0" applyBorder="0" applyAlignment="0" applyProtection="0"/>
    <xf numFmtId="9" fontId="62" fillId="0" borderId="22" applyFont="0" applyFill="0" applyBorder="0" applyAlignment="0" applyProtection="0"/>
    <xf numFmtId="9" fontId="65" fillId="0" borderId="22" applyFont="0" applyFill="0" applyBorder="0" applyAlignment="0" applyProtection="0"/>
    <xf numFmtId="9" fontId="65" fillId="0" borderId="22" applyFont="0" applyFill="0" applyBorder="0" applyAlignment="0" applyProtection="0"/>
    <xf numFmtId="9" fontId="65" fillId="0" borderId="22" applyFill="0" applyBorder="0" applyAlignment="0" applyProtection="0"/>
    <xf numFmtId="9" fontId="1" fillId="0" borderId="22" applyFont="0" applyFill="0" applyBorder="0" applyAlignment="0" applyProtection="0"/>
    <xf numFmtId="0" fontId="75" fillId="49" borderId="144" applyNumberFormat="0" applyAlignment="0" applyProtection="0"/>
    <xf numFmtId="0" fontId="75" fillId="52" borderId="144" applyNumberFormat="0" applyAlignment="0" applyProtection="0"/>
    <xf numFmtId="0" fontId="76" fillId="0" borderId="22" applyNumberFormat="0" applyFill="0" applyBorder="0" applyAlignment="0" applyProtection="0"/>
    <xf numFmtId="0" fontId="77" fillId="0" borderId="22" applyNumberFormat="0" applyFill="0" applyBorder="0" applyAlignment="0" applyProtection="0"/>
    <xf numFmtId="0" fontId="97" fillId="0" borderId="145" applyNumberFormat="0" applyFill="0" applyAlignment="0" applyProtection="0"/>
    <xf numFmtId="0" fontId="98" fillId="0" borderId="146" applyNumberFormat="0" applyFill="0" applyAlignment="0" applyProtection="0"/>
    <xf numFmtId="0" fontId="99" fillId="0" borderId="147" applyNumberFormat="0" applyFill="0" applyAlignment="0" applyProtection="0"/>
    <xf numFmtId="0" fontId="100" fillId="0" borderId="148" applyNumberFormat="0" applyFill="0" applyAlignment="0" applyProtection="0"/>
    <xf numFmtId="0" fontId="93" fillId="0" borderId="149" applyNumberFormat="0" applyFill="0" applyAlignment="0" applyProtection="0"/>
    <xf numFmtId="0" fontId="94" fillId="0" borderId="150" applyNumberFormat="0" applyFill="0" applyAlignment="0" applyProtection="0"/>
    <xf numFmtId="0" fontId="101" fillId="0" borderId="22" applyNumberFormat="0" applyFill="0" applyBorder="0" applyAlignment="0" applyProtection="0"/>
    <xf numFmtId="0" fontId="102" fillId="0" borderId="22" applyNumberFormat="0" applyFill="0" applyBorder="0" applyAlignment="0" applyProtection="0"/>
    <xf numFmtId="0" fontId="78" fillId="0" borderId="151" applyNumberFormat="0" applyFill="0" applyAlignment="0" applyProtection="0"/>
    <xf numFmtId="0" fontId="78" fillId="0" borderId="152" applyNumberFormat="0" applyFill="0" applyAlignment="0" applyProtection="0"/>
  </cellStyleXfs>
  <cellXfs count="802">
    <xf numFmtId="0" fontId="0" fillId="0" borderId="0" xfId="0"/>
    <xf numFmtId="0" fontId="0" fillId="14" borderId="0" xfId="0" applyFill="1"/>
    <xf numFmtId="0" fontId="0" fillId="14" borderId="55" xfId="0" applyFill="1" applyBorder="1"/>
    <xf numFmtId="0" fontId="0" fillId="14" borderId="56" xfId="0" applyFill="1" applyBorder="1"/>
    <xf numFmtId="0" fontId="6" fillId="14" borderId="58" xfId="0" applyFont="1" applyFill="1" applyBorder="1"/>
    <xf numFmtId="0" fontId="6" fillId="14" borderId="22" xfId="0" applyFont="1" applyFill="1" applyBorder="1"/>
    <xf numFmtId="0" fontId="6" fillId="14" borderId="56" xfId="0" applyFont="1" applyFill="1" applyBorder="1"/>
    <xf numFmtId="0" fontId="2" fillId="24" borderId="58" xfId="0" applyFont="1" applyFill="1" applyBorder="1"/>
    <xf numFmtId="0" fontId="2" fillId="24" borderId="22" xfId="0" applyFont="1" applyFill="1" applyBorder="1"/>
    <xf numFmtId="0" fontId="2" fillId="24" borderId="56" xfId="0" applyFont="1" applyFill="1" applyBorder="1"/>
    <xf numFmtId="0" fontId="4" fillId="33" borderId="58" xfId="0" applyFont="1" applyFill="1" applyBorder="1" applyAlignment="1">
      <alignment vertical="top"/>
    </xf>
    <xf numFmtId="0" fontId="4" fillId="33" borderId="22" xfId="0" applyFont="1" applyFill="1" applyBorder="1" applyAlignment="1">
      <alignment vertical="top"/>
    </xf>
    <xf numFmtId="0" fontId="7" fillId="24" borderId="22" xfId="0" applyFont="1" applyFill="1" applyBorder="1" applyAlignment="1">
      <alignment vertical="top" wrapText="1"/>
    </xf>
    <xf numFmtId="0" fontId="7" fillId="24" borderId="56" xfId="0" applyFont="1" applyFill="1" applyBorder="1" applyAlignment="1">
      <alignment vertical="top" wrapText="1"/>
    </xf>
    <xf numFmtId="0" fontId="4" fillId="33" borderId="58" xfId="0" applyFont="1" applyFill="1" applyBorder="1" applyAlignment="1">
      <alignment horizontal="center" vertical="top"/>
    </xf>
    <xf numFmtId="0" fontId="4" fillId="33" borderId="22" xfId="0" applyFont="1" applyFill="1" applyBorder="1" applyAlignment="1">
      <alignment horizontal="center" vertical="top"/>
    </xf>
    <xf numFmtId="0" fontId="7" fillId="14" borderId="22" xfId="0" applyFont="1" applyFill="1" applyBorder="1" applyAlignment="1">
      <alignment horizontal="center" vertical="top"/>
    </xf>
    <xf numFmtId="0" fontId="24" fillId="18" borderId="24" xfId="0" applyFont="1" applyFill="1" applyBorder="1" applyAlignment="1">
      <alignment vertical="top" wrapText="1"/>
    </xf>
    <xf numFmtId="0" fontId="7" fillId="14" borderId="56" xfId="0" applyFont="1" applyFill="1" applyBorder="1" applyAlignment="1">
      <alignment horizontal="center" vertical="top"/>
    </xf>
    <xf numFmtId="0" fontId="7" fillId="14" borderId="24" xfId="0" applyFont="1" applyFill="1" applyBorder="1" applyAlignment="1">
      <alignment horizontal="center" vertical="top"/>
    </xf>
    <xf numFmtId="0" fontId="6" fillId="33" borderId="58" xfId="0" applyFont="1" applyFill="1" applyBorder="1"/>
    <xf numFmtId="0" fontId="6" fillId="33" borderId="22" xfId="0" applyFont="1" applyFill="1" applyBorder="1"/>
    <xf numFmtId="0" fontId="6" fillId="14" borderId="0" xfId="0" applyFont="1" applyFill="1"/>
    <xf numFmtId="0" fontId="6" fillId="14" borderId="22" xfId="3" applyFont="1" applyFill="1" applyBorder="1" applyAlignment="1" applyProtection="1"/>
    <xf numFmtId="0" fontId="10" fillId="0" borderId="0" xfId="0" applyFont="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26" fillId="3" borderId="24" xfId="0" applyFont="1" applyFill="1" applyBorder="1" applyAlignment="1" applyProtection="1">
      <alignment horizontal="center" vertical="center"/>
      <protection locked="0"/>
    </xf>
    <xf numFmtId="0" fontId="25" fillId="3" borderId="0" xfId="0" applyFont="1" applyFill="1" applyProtection="1">
      <protection locked="0"/>
    </xf>
    <xf numFmtId="0" fontId="25" fillId="3" borderId="0" xfId="0" applyFont="1" applyFill="1" applyAlignment="1" applyProtection="1">
      <alignment horizontal="center"/>
      <protection locked="0"/>
    </xf>
    <xf numFmtId="0" fontId="25" fillId="3" borderId="0" xfId="0" applyFont="1" applyFill="1" applyAlignment="1" applyProtection="1">
      <alignment wrapText="1"/>
      <protection locked="0"/>
    </xf>
    <xf numFmtId="0" fontId="25" fillId="3" borderId="24" xfId="0" applyFont="1" applyFill="1" applyBorder="1" applyAlignment="1" applyProtection="1">
      <alignment wrapText="1"/>
      <protection locked="0"/>
    </xf>
    <xf numFmtId="0" fontId="25" fillId="0" borderId="24" xfId="0" applyFont="1" applyBorder="1" applyAlignment="1" applyProtection="1">
      <alignment wrapText="1"/>
      <protection locked="0"/>
    </xf>
    <xf numFmtId="0" fontId="27" fillId="40" borderId="24" xfId="0" applyFont="1" applyFill="1" applyBorder="1" applyAlignment="1" applyProtection="1">
      <alignment vertical="center" wrapText="1"/>
      <protection locked="0"/>
    </xf>
    <xf numFmtId="0" fontId="10" fillId="0" borderId="24" xfId="0" applyFont="1" applyBorder="1" applyAlignment="1" applyProtection="1">
      <alignment horizontal="left" vertical="center" wrapText="1"/>
      <protection locked="0"/>
    </xf>
    <xf numFmtId="0" fontId="25" fillId="2" borderId="0" xfId="0" applyFont="1" applyFill="1" applyAlignment="1" applyProtection="1">
      <alignment horizontal="left"/>
      <protection locked="0"/>
    </xf>
    <xf numFmtId="0" fontId="25" fillId="2" borderId="0" xfId="0" applyFont="1" applyFill="1" applyAlignment="1" applyProtection="1">
      <alignment horizontal="center"/>
      <protection locked="0"/>
    </xf>
    <xf numFmtId="0" fontId="25" fillId="2" borderId="0" xfId="0" applyFont="1" applyFill="1" applyAlignment="1" applyProtection="1">
      <alignment wrapText="1"/>
      <protection locked="0"/>
    </xf>
    <xf numFmtId="0" fontId="26" fillId="3" borderId="16" xfId="0" applyFont="1" applyFill="1" applyBorder="1" applyAlignment="1" applyProtection="1">
      <alignment horizontal="center"/>
      <protection locked="0"/>
    </xf>
    <xf numFmtId="0" fontId="16" fillId="14" borderId="22" xfId="0" applyFont="1" applyFill="1" applyBorder="1" applyAlignment="1" applyProtection="1">
      <alignment vertical="center" wrapText="1"/>
      <protection locked="0"/>
    </xf>
    <xf numFmtId="0" fontId="10" fillId="0" borderId="22" xfId="0" applyFont="1" applyBorder="1" applyAlignment="1" applyProtection="1">
      <alignment horizontal="left" vertical="center" wrapText="1"/>
      <protection locked="0"/>
    </xf>
    <xf numFmtId="0" fontId="25" fillId="3" borderId="0" xfId="0" applyFont="1" applyFill="1" applyAlignment="1" applyProtection="1">
      <alignment horizontal="left"/>
      <protection locked="0"/>
    </xf>
    <xf numFmtId="0" fontId="26" fillId="3" borderId="14" xfId="0" applyFont="1" applyFill="1" applyBorder="1" applyAlignment="1" applyProtection="1">
      <alignment horizontal="center"/>
      <protection locked="0"/>
    </xf>
    <xf numFmtId="0" fontId="25" fillId="2" borderId="24" xfId="0" applyFont="1" applyFill="1" applyBorder="1" applyAlignment="1" applyProtection="1">
      <alignment wrapText="1"/>
      <protection locked="0"/>
    </xf>
    <xf numFmtId="0" fontId="12" fillId="19" borderId="5" xfId="0" applyFont="1" applyFill="1" applyBorder="1" applyAlignment="1">
      <alignment horizontal="left" vertical="center" wrapText="1"/>
    </xf>
    <xf numFmtId="0" fontId="16" fillId="14" borderId="24" xfId="0" applyFont="1" applyFill="1" applyBorder="1" applyAlignment="1">
      <alignment horizontal="justify" vertical="center"/>
    </xf>
    <xf numFmtId="0" fontId="16" fillId="14" borderId="24" xfId="0" applyFont="1" applyFill="1" applyBorder="1" applyAlignment="1">
      <alignment horizontal="left" vertical="center" wrapText="1"/>
    </xf>
    <xf numFmtId="0" fontId="30" fillId="3" borderId="24" xfId="0" applyFont="1" applyFill="1" applyBorder="1" applyAlignment="1">
      <alignment horizontal="left"/>
    </xf>
    <xf numFmtId="0" fontId="27" fillId="39" borderId="24" xfId="0" applyFont="1" applyFill="1" applyBorder="1" applyAlignment="1">
      <alignment horizontal="left" vertical="center"/>
    </xf>
    <xf numFmtId="0" fontId="27" fillId="39" borderId="24" xfId="0" applyFont="1" applyFill="1" applyBorder="1" applyAlignment="1">
      <alignment horizontal="center" vertical="center"/>
    </xf>
    <xf numFmtId="0" fontId="27" fillId="39" borderId="24" xfId="0" applyFont="1" applyFill="1" applyBorder="1" applyAlignment="1">
      <alignment horizontal="left" vertical="center" wrapText="1"/>
    </xf>
    <xf numFmtId="0" fontId="30" fillId="3" borderId="5" xfId="0" applyFont="1" applyFill="1" applyBorder="1" applyAlignment="1">
      <alignment horizontal="left"/>
    </xf>
    <xf numFmtId="0" fontId="8" fillId="7" borderId="24" xfId="2" applyFont="1" applyFill="1" applyBorder="1" applyProtection="1">
      <protection locked="0"/>
    </xf>
    <xf numFmtId="0" fontId="5" fillId="8" borderId="22" xfId="2" applyFont="1" applyFill="1" applyAlignment="1">
      <alignment vertical="center"/>
    </xf>
    <xf numFmtId="0" fontId="6" fillId="2" borderId="22" xfId="2" applyFont="1" applyFill="1" applyAlignment="1">
      <alignment horizontal="left" vertical="center" wrapText="1"/>
    </xf>
    <xf numFmtId="0" fontId="13" fillId="7" borderId="27" xfId="2" applyFont="1" applyFill="1" applyBorder="1" applyAlignment="1">
      <alignment vertical="center"/>
    </xf>
    <xf numFmtId="0" fontId="13" fillId="7" borderId="24" xfId="2" applyFont="1" applyFill="1" applyBorder="1" applyAlignment="1">
      <alignment vertical="center"/>
    </xf>
    <xf numFmtId="0" fontId="13" fillId="7" borderId="29" xfId="2" applyFont="1" applyFill="1" applyBorder="1" applyAlignment="1">
      <alignment vertical="center"/>
    </xf>
    <xf numFmtId="0" fontId="13" fillId="16" borderId="24" xfId="2" applyFont="1" applyFill="1" applyBorder="1" applyAlignment="1">
      <alignment horizontal="center" vertical="center"/>
    </xf>
    <xf numFmtId="0" fontId="14" fillId="16" borderId="24" xfId="2" applyFont="1" applyFill="1" applyBorder="1" applyAlignment="1">
      <alignment horizontal="center" vertical="center"/>
    </xf>
    <xf numFmtId="0" fontId="14" fillId="16" borderId="24" xfId="2" applyFont="1" applyFill="1" applyBorder="1" applyAlignment="1">
      <alignment horizontal="center" vertical="center" wrapText="1"/>
    </xf>
    <xf numFmtId="0" fontId="4" fillId="7" borderId="33" xfId="2" applyFont="1" applyFill="1" applyBorder="1" applyAlignment="1">
      <alignment vertical="center"/>
    </xf>
    <xf numFmtId="0" fontId="8" fillId="7" borderId="24" xfId="2" applyFont="1" applyFill="1" applyBorder="1"/>
    <xf numFmtId="2" fontId="8" fillId="7" borderId="24" xfId="2" applyNumberFormat="1" applyFont="1" applyFill="1" applyBorder="1"/>
    <xf numFmtId="0" fontId="7" fillId="3" borderId="22" xfId="2" applyFont="1" applyFill="1" applyAlignment="1" applyProtection="1">
      <alignment horizontal="left"/>
      <protection locked="0"/>
    </xf>
    <xf numFmtId="0" fontId="7" fillId="3" borderId="22" xfId="2" applyFont="1" applyFill="1" applyProtection="1">
      <protection locked="0"/>
    </xf>
    <xf numFmtId="0" fontId="13" fillId="7" borderId="26" xfId="2" applyFont="1" applyFill="1" applyBorder="1" applyAlignment="1">
      <alignment vertical="center"/>
    </xf>
    <xf numFmtId="0" fontId="13" fillId="7" borderId="28" xfId="2" applyFont="1" applyFill="1" applyBorder="1" applyAlignment="1">
      <alignment vertical="center"/>
    </xf>
    <xf numFmtId="0" fontId="4" fillId="7" borderId="24" xfId="2" applyFont="1" applyFill="1" applyBorder="1" applyAlignment="1">
      <alignment vertical="center"/>
    </xf>
    <xf numFmtId="0" fontId="7" fillId="3" borderId="22" xfId="2" applyFont="1" applyFill="1" applyAlignment="1">
      <alignment horizontal="left"/>
    </xf>
    <xf numFmtId="0" fontId="7" fillId="3" borderId="22" xfId="2" applyFont="1" applyFill="1"/>
    <xf numFmtId="0" fontId="6" fillId="3" borderId="22" xfId="2" applyFont="1" applyFill="1" applyAlignment="1">
      <alignment horizontal="left" vertical="center" wrapText="1"/>
    </xf>
    <xf numFmtId="0" fontId="14" fillId="15" borderId="24" xfId="2" applyFont="1" applyFill="1" applyBorder="1" applyAlignment="1">
      <alignment horizontal="center" vertical="center"/>
    </xf>
    <xf numFmtId="0" fontId="14" fillId="15" borderId="24" xfId="2" applyFont="1" applyFill="1" applyBorder="1" applyAlignment="1">
      <alignment horizontal="center" vertical="center" wrapText="1"/>
    </xf>
    <xf numFmtId="0" fontId="8" fillId="7" borderId="24" xfId="0" applyFont="1" applyFill="1" applyBorder="1" applyProtection="1">
      <protection locked="0"/>
    </xf>
    <xf numFmtId="0" fontId="7" fillId="3" borderId="22" xfId="0" applyFont="1" applyFill="1" applyBorder="1" applyAlignment="1" applyProtection="1">
      <alignment horizontal="left" wrapText="1"/>
      <protection locked="0"/>
    </xf>
    <xf numFmtId="0" fontId="6" fillId="2" borderId="22" xfId="0" applyFont="1" applyFill="1" applyBorder="1" applyAlignment="1">
      <alignment horizontal="left" vertical="center"/>
    </xf>
    <xf numFmtId="0" fontId="14" fillId="7" borderId="24" xfId="0" applyFont="1" applyFill="1" applyBorder="1" applyAlignment="1">
      <alignment horizontal="center" vertical="center"/>
    </xf>
    <xf numFmtId="0" fontId="4" fillId="7" borderId="24" xfId="0" applyFont="1" applyFill="1" applyBorder="1" applyAlignment="1">
      <alignment vertical="center"/>
    </xf>
    <xf numFmtId="0" fontId="8" fillId="7" borderId="24" xfId="0" applyFont="1" applyFill="1" applyBorder="1"/>
    <xf numFmtId="2" fontId="8" fillId="7" borderId="24" xfId="0" applyNumberFormat="1" applyFont="1" applyFill="1" applyBorder="1"/>
    <xf numFmtId="0" fontId="7" fillId="3" borderId="22" xfId="0" applyFont="1" applyFill="1" applyBorder="1" applyAlignment="1">
      <alignment horizontal="left" wrapText="1"/>
    </xf>
    <xf numFmtId="0" fontId="6" fillId="0" borderId="22" xfId="0" applyFont="1" applyBorder="1" applyAlignment="1">
      <alignment horizontal="left" vertical="top"/>
    </xf>
    <xf numFmtId="0" fontId="8" fillId="14" borderId="24" xfId="0" applyFont="1" applyFill="1" applyBorder="1" applyAlignment="1">
      <alignment vertical="center" wrapText="1"/>
    </xf>
    <xf numFmtId="0" fontId="8" fillId="14" borderId="24" xfId="0" applyFont="1" applyFill="1" applyBorder="1" applyAlignment="1">
      <alignment vertical="center"/>
    </xf>
    <xf numFmtId="0" fontId="0" fillId="0" borderId="22" xfId="0" applyBorder="1"/>
    <xf numFmtId="0" fontId="8" fillId="14" borderId="27" xfId="0" applyFont="1" applyFill="1" applyBorder="1" applyAlignment="1">
      <alignment vertical="center"/>
    </xf>
    <xf numFmtId="0" fontId="0" fillId="14" borderId="22" xfId="0" applyFill="1" applyBorder="1"/>
    <xf numFmtId="0" fontId="8" fillId="14" borderId="22" xfId="0" applyFont="1" applyFill="1" applyBorder="1" applyAlignment="1">
      <alignment vertical="center"/>
    </xf>
    <xf numFmtId="0" fontId="31" fillId="29" borderId="24" xfId="0" applyFont="1" applyFill="1" applyBorder="1" applyAlignment="1">
      <alignment horizontal="center" vertical="center"/>
    </xf>
    <xf numFmtId="0" fontId="7" fillId="0" borderId="24" xfId="2" applyFont="1" applyBorder="1" applyAlignment="1">
      <alignment horizontal="left" vertical="center" wrapText="1"/>
    </xf>
    <xf numFmtId="0" fontId="8" fillId="36" borderId="24" xfId="2" applyFont="1" applyFill="1" applyBorder="1" applyAlignment="1" applyProtection="1">
      <alignment horizontal="left"/>
      <protection locked="0"/>
    </xf>
    <xf numFmtId="0" fontId="8" fillId="33" borderId="24" xfId="2" applyFont="1" applyFill="1" applyBorder="1" applyAlignment="1" applyProtection="1">
      <alignment horizontal="right"/>
      <protection locked="0"/>
    </xf>
    <xf numFmtId="0" fontId="8" fillId="42" borderId="24" xfId="2" applyFont="1" applyFill="1" applyBorder="1" applyAlignment="1">
      <alignment horizontal="left"/>
    </xf>
    <xf numFmtId="2" fontId="8" fillId="42" borderId="24" xfId="2" applyNumberFormat="1" applyFont="1" applyFill="1" applyBorder="1" applyAlignment="1">
      <alignment horizontal="left"/>
    </xf>
    <xf numFmtId="2" fontId="8" fillId="42" borderId="24" xfId="2" applyNumberFormat="1" applyFont="1" applyFill="1" applyBorder="1" applyAlignment="1">
      <alignment horizontal="center"/>
    </xf>
    <xf numFmtId="2" fontId="8" fillId="42" borderId="24" xfId="2" applyNumberFormat="1" applyFont="1" applyFill="1" applyBorder="1" applyAlignment="1">
      <alignment horizontal="center" wrapText="1"/>
    </xf>
    <xf numFmtId="0" fontId="8" fillId="36" borderId="24" xfId="2" applyFont="1" applyFill="1" applyBorder="1" applyProtection="1">
      <protection locked="0"/>
    </xf>
    <xf numFmtId="0" fontId="8" fillId="33" borderId="24" xfId="2" applyFont="1" applyFill="1" applyBorder="1" applyProtection="1">
      <protection locked="0"/>
    </xf>
    <xf numFmtId="0" fontId="8" fillId="42" borderId="24" xfId="2" applyFont="1" applyFill="1" applyBorder="1"/>
    <xf numFmtId="49" fontId="8" fillId="33" borderId="24" xfId="2" applyNumberFormat="1" applyFont="1" applyFill="1" applyBorder="1" applyProtection="1">
      <protection locked="0"/>
    </xf>
    <xf numFmtId="2" fontId="8" fillId="42" borderId="24" xfId="2" applyNumberFormat="1" applyFont="1" applyFill="1" applyBorder="1"/>
    <xf numFmtId="0" fontId="8" fillId="36" borderId="27" xfId="2" applyFont="1" applyFill="1" applyBorder="1" applyProtection="1">
      <protection locked="0"/>
    </xf>
    <xf numFmtId="0" fontId="8" fillId="36" borderId="24" xfId="2" applyFont="1" applyFill="1" applyBorder="1" applyAlignment="1" applyProtection="1">
      <alignment wrapText="1"/>
      <protection locked="0"/>
    </xf>
    <xf numFmtId="0" fontId="8" fillId="42" borderId="24" xfId="2" applyFont="1" applyFill="1" applyBorder="1" applyAlignment="1">
      <alignment horizontal="right"/>
    </xf>
    <xf numFmtId="0" fontId="17" fillId="36" borderId="24" xfId="0" applyFont="1" applyFill="1" applyBorder="1" applyProtection="1">
      <protection locked="0"/>
    </xf>
    <xf numFmtId="0" fontId="17" fillId="42" borderId="24" xfId="0" applyFont="1" applyFill="1" applyBorder="1"/>
    <xf numFmtId="0" fontId="17" fillId="33" borderId="24" xfId="0" applyFont="1" applyFill="1" applyBorder="1" applyProtection="1">
      <protection locked="0"/>
    </xf>
    <xf numFmtId="2" fontId="17" fillId="42" borderId="24" xfId="0" applyNumberFormat="1" applyFont="1" applyFill="1" applyBorder="1"/>
    <xf numFmtId="0" fontId="8" fillId="43" borderId="24" xfId="0" applyFont="1" applyFill="1" applyBorder="1" applyProtection="1">
      <protection locked="0"/>
    </xf>
    <xf numFmtId="0" fontId="8" fillId="33" borderId="24" xfId="0" applyFont="1" applyFill="1" applyBorder="1" applyProtection="1">
      <protection locked="0"/>
    </xf>
    <xf numFmtId="2" fontId="8" fillId="42" borderId="24" xfId="0" applyNumberFormat="1" applyFont="1" applyFill="1" applyBorder="1"/>
    <xf numFmtId="0" fontId="0" fillId="36" borderId="41" xfId="0" applyFill="1" applyBorder="1"/>
    <xf numFmtId="0" fontId="0" fillId="33" borderId="92" xfId="0" applyFill="1" applyBorder="1"/>
    <xf numFmtId="0" fontId="0" fillId="42" borderId="92" xfId="0" applyFill="1" applyBorder="1"/>
    <xf numFmtId="0" fontId="0" fillId="43" borderId="30" xfId="0" applyFill="1" applyBorder="1"/>
    <xf numFmtId="0" fontId="7" fillId="0" borderId="24" xfId="0" applyFont="1" applyBorder="1" applyAlignment="1">
      <alignment horizontal="left"/>
    </xf>
    <xf numFmtId="2" fontId="8" fillId="0" borderId="24" xfId="0" applyNumberFormat="1" applyFont="1" applyBorder="1"/>
    <xf numFmtId="0" fontId="8" fillId="14" borderId="24" xfId="0" applyFont="1" applyFill="1" applyBorder="1" applyAlignment="1">
      <alignment horizontal="center" vertical="center" wrapText="1"/>
    </xf>
    <xf numFmtId="0" fontId="8" fillId="43" borderId="24" xfId="2" applyFont="1" applyFill="1" applyBorder="1" applyProtection="1">
      <protection locked="0"/>
    </xf>
    <xf numFmtId="0" fontId="8" fillId="43" borderId="27" xfId="2" applyFont="1" applyFill="1" applyBorder="1" applyProtection="1">
      <protection locked="0"/>
    </xf>
    <xf numFmtId="0" fontId="8" fillId="43" borderId="24" xfId="2" applyFont="1" applyFill="1" applyBorder="1" applyAlignment="1" applyProtection="1">
      <alignment wrapText="1"/>
      <protection locked="0"/>
    </xf>
    <xf numFmtId="0" fontId="8" fillId="43" borderId="24" xfId="2" applyFont="1" applyFill="1" applyBorder="1" applyAlignment="1" applyProtection="1">
      <alignment horizontal="left"/>
      <protection locked="0"/>
    </xf>
    <xf numFmtId="0" fontId="13" fillId="7" borderId="24" xfId="2" applyFont="1" applyFill="1" applyBorder="1" applyAlignment="1">
      <alignment horizontal="center" vertical="center" wrapText="1"/>
    </xf>
    <xf numFmtId="0" fontId="14" fillId="7" borderId="24" xfId="2" applyFont="1" applyFill="1" applyBorder="1" applyAlignment="1">
      <alignment horizontal="center" vertical="center" wrapText="1"/>
    </xf>
    <xf numFmtId="0" fontId="13" fillId="7" borderId="24" xfId="2" applyFont="1" applyFill="1" applyBorder="1" applyAlignment="1">
      <alignment horizontal="center" vertical="center"/>
    </xf>
    <xf numFmtId="0" fontId="14" fillId="7" borderId="24" xfId="2" applyFont="1" applyFill="1" applyBorder="1" applyAlignment="1">
      <alignment horizontal="center" vertical="center"/>
    </xf>
    <xf numFmtId="0" fontId="13" fillId="7" borderId="24" xfId="0" applyFont="1" applyFill="1" applyBorder="1" applyAlignment="1">
      <alignment horizontal="center" vertical="center"/>
    </xf>
    <xf numFmtId="0" fontId="13" fillId="7" borderId="24"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14" borderId="0" xfId="0" applyFont="1" applyFill="1" applyAlignment="1">
      <alignment wrapText="1"/>
    </xf>
    <xf numFmtId="0" fontId="14" fillId="24" borderId="22" xfId="0" applyFont="1" applyFill="1" applyBorder="1" applyAlignment="1">
      <alignment wrapText="1"/>
    </xf>
    <xf numFmtId="0" fontId="22" fillId="14" borderId="0" xfId="0" applyFont="1" applyFill="1" applyAlignment="1">
      <alignment wrapText="1"/>
    </xf>
    <xf numFmtId="0" fontId="6" fillId="14" borderId="0" xfId="0" applyFont="1" applyFill="1" applyAlignment="1">
      <alignment wrapText="1"/>
    </xf>
    <xf numFmtId="0" fontId="6" fillId="0" borderId="0" xfId="0" applyFont="1" applyAlignment="1">
      <alignment wrapText="1"/>
    </xf>
    <xf numFmtId="0" fontId="34" fillId="24" borderId="0" xfId="0" applyFont="1" applyFill="1" applyAlignment="1">
      <alignment wrapText="1"/>
    </xf>
    <xf numFmtId="0" fontId="35" fillId="29" borderId="88" xfId="0" applyFont="1" applyFill="1" applyBorder="1" applyAlignment="1">
      <alignment wrapText="1"/>
    </xf>
    <xf numFmtId="4" fontId="22" fillId="30" borderId="44" xfId="0" applyNumberFormat="1" applyFont="1" applyFill="1" applyBorder="1" applyAlignment="1">
      <alignment wrapText="1"/>
    </xf>
    <xf numFmtId="0" fontId="22" fillId="24" borderId="0" xfId="0" applyFont="1" applyFill="1" applyAlignment="1">
      <alignment wrapText="1"/>
    </xf>
    <xf numFmtId="0" fontId="6" fillId="24" borderId="0" xfId="0" applyFont="1" applyFill="1" applyAlignment="1">
      <alignment wrapText="1"/>
    </xf>
    <xf numFmtId="0" fontId="35" fillId="29" borderId="79" xfId="0" applyFont="1" applyFill="1" applyBorder="1" applyAlignment="1">
      <alignment wrapText="1"/>
    </xf>
    <xf numFmtId="2" fontId="22" fillId="30" borderId="51" xfId="0" applyNumberFormat="1" applyFont="1" applyFill="1" applyBorder="1" applyAlignment="1">
      <alignment wrapText="1"/>
    </xf>
    <xf numFmtId="0" fontId="35" fillId="29" borderId="98" xfId="0" applyFont="1" applyFill="1" applyBorder="1" applyAlignment="1">
      <alignment wrapText="1"/>
    </xf>
    <xf numFmtId="2" fontId="22" fillId="30" borderId="47" xfId="0" applyNumberFormat="1" applyFont="1" applyFill="1" applyBorder="1" applyAlignment="1">
      <alignment wrapText="1"/>
    </xf>
    <xf numFmtId="0" fontId="37" fillId="24" borderId="50" xfId="0" applyFont="1" applyFill="1" applyBorder="1" applyAlignment="1">
      <alignment wrapText="1"/>
    </xf>
    <xf numFmtId="4" fontId="37" fillId="24" borderId="79" xfId="0" applyNumberFormat="1" applyFont="1" applyFill="1" applyBorder="1" applyAlignment="1">
      <alignment wrapText="1"/>
    </xf>
    <xf numFmtId="0" fontId="22" fillId="24" borderId="74" xfId="0" applyFont="1" applyFill="1" applyBorder="1" applyAlignment="1">
      <alignment wrapText="1"/>
    </xf>
    <xf numFmtId="2" fontId="22" fillId="0" borderId="72" xfId="0" applyNumberFormat="1" applyFont="1" applyBorder="1" applyAlignment="1">
      <alignment wrapText="1"/>
    </xf>
    <xf numFmtId="2" fontId="22" fillId="0" borderId="86" xfId="0" applyNumberFormat="1" applyFont="1" applyBorder="1" applyAlignment="1">
      <alignment wrapText="1"/>
    </xf>
    <xf numFmtId="2" fontId="32" fillId="0" borderId="83" xfId="0" applyNumberFormat="1" applyFont="1" applyBorder="1" applyAlignment="1">
      <alignment wrapText="1"/>
    </xf>
    <xf numFmtId="2" fontId="32" fillId="0" borderId="72" xfId="0" applyNumberFormat="1" applyFont="1" applyBorder="1" applyAlignment="1">
      <alignment wrapText="1"/>
    </xf>
    <xf numFmtId="2" fontId="22" fillId="0" borderId="75" xfId="0" applyNumberFormat="1" applyFont="1" applyBorder="1" applyAlignment="1">
      <alignment wrapText="1"/>
    </xf>
    <xf numFmtId="2" fontId="32" fillId="0" borderId="79" xfId="0" applyNumberFormat="1" applyFont="1" applyBorder="1" applyAlignment="1">
      <alignment wrapText="1"/>
    </xf>
    <xf numFmtId="0" fontId="34" fillId="29" borderId="44" xfId="0" applyFont="1" applyFill="1" applyBorder="1" applyAlignment="1">
      <alignment horizontal="center" wrapText="1"/>
    </xf>
    <xf numFmtId="0" fontId="6" fillId="24" borderId="22" xfId="0" applyFont="1" applyFill="1" applyBorder="1" applyAlignment="1">
      <alignment wrapText="1"/>
    </xf>
    <xf numFmtId="0" fontId="22" fillId="0" borderId="22" xfId="0" applyFont="1" applyBorder="1" applyAlignment="1">
      <alignment wrapText="1"/>
    </xf>
    <xf numFmtId="4" fontId="22" fillId="0" borderId="72" xfId="0" applyNumberFormat="1" applyFont="1" applyBorder="1" applyAlignment="1">
      <alignment wrapText="1"/>
    </xf>
    <xf numFmtId="0" fontId="6" fillId="36" borderId="93" xfId="0" applyFont="1" applyFill="1" applyBorder="1" applyAlignment="1" applyProtection="1">
      <alignment wrapText="1"/>
      <protection locked="0"/>
    </xf>
    <xf numFmtId="0" fontId="6" fillId="36" borderId="94" xfId="0" applyFont="1" applyFill="1" applyBorder="1" applyAlignment="1" applyProtection="1">
      <alignment wrapText="1"/>
      <protection locked="0"/>
    </xf>
    <xf numFmtId="0" fontId="6" fillId="36" borderId="72" xfId="0" applyFont="1" applyFill="1" applyBorder="1" applyAlignment="1" applyProtection="1">
      <alignment wrapText="1"/>
      <protection locked="0"/>
    </xf>
    <xf numFmtId="2" fontId="22" fillId="0" borderId="87" xfId="0" applyNumberFormat="1" applyFont="1" applyBorder="1" applyAlignment="1">
      <alignment wrapText="1"/>
    </xf>
    <xf numFmtId="0" fontId="6" fillId="36" borderId="95" xfId="0" applyFont="1" applyFill="1" applyBorder="1" applyAlignment="1" applyProtection="1">
      <alignment wrapText="1"/>
      <protection locked="0"/>
    </xf>
    <xf numFmtId="0" fontId="6" fillId="38" borderId="50" xfId="0" applyFont="1" applyFill="1" applyBorder="1" applyAlignment="1">
      <alignment wrapText="1"/>
    </xf>
    <xf numFmtId="4" fontId="41" fillId="38" borderId="52" xfId="0" applyNumberFormat="1" applyFont="1" applyFill="1" applyBorder="1" applyAlignment="1">
      <alignment wrapText="1"/>
    </xf>
    <xf numFmtId="0" fontId="34" fillId="38" borderId="49" xfId="0" applyFont="1" applyFill="1" applyBorder="1" applyAlignment="1">
      <alignment wrapText="1"/>
    </xf>
    <xf numFmtId="0" fontId="40" fillId="14" borderId="22" xfId="0" applyFont="1" applyFill="1" applyBorder="1" applyAlignment="1">
      <alignment horizontal="center" vertical="center" wrapText="1"/>
    </xf>
    <xf numFmtId="0" fontId="34" fillId="14" borderId="22" xfId="0" applyFont="1" applyFill="1" applyBorder="1" applyAlignment="1">
      <alignment wrapText="1"/>
    </xf>
    <xf numFmtId="4" fontId="34" fillId="24" borderId="22" xfId="0" applyNumberFormat="1" applyFont="1" applyFill="1" applyBorder="1" applyAlignment="1">
      <alignment wrapText="1"/>
    </xf>
    <xf numFmtId="0" fontId="34" fillId="29" borderId="79" xfId="0" applyFont="1" applyFill="1" applyBorder="1" applyAlignment="1">
      <alignment horizontal="center" wrapText="1"/>
    </xf>
    <xf numFmtId="0" fontId="22" fillId="0" borderId="45" xfId="0" applyFont="1" applyBorder="1" applyAlignment="1">
      <alignment wrapText="1"/>
    </xf>
    <xf numFmtId="2" fontId="22" fillId="0" borderId="44" xfId="0" applyNumberFormat="1" applyFont="1" applyBorder="1" applyAlignment="1">
      <alignment wrapText="1"/>
    </xf>
    <xf numFmtId="0" fontId="6" fillId="36" borderId="47" xfId="0" applyFont="1" applyFill="1" applyBorder="1" applyAlignment="1" applyProtection="1">
      <alignment wrapText="1"/>
      <protection locked="0"/>
    </xf>
    <xf numFmtId="0" fontId="6" fillId="35" borderId="52" xfId="0" applyFont="1" applyFill="1" applyBorder="1" applyAlignment="1">
      <alignment wrapText="1"/>
    </xf>
    <xf numFmtId="2" fontId="41" fillId="35" borderId="52" xfId="0" applyNumberFormat="1" applyFont="1" applyFill="1" applyBorder="1" applyAlignment="1">
      <alignment wrapText="1"/>
    </xf>
    <xf numFmtId="0" fontId="6" fillId="35" borderId="51" xfId="0" applyFont="1" applyFill="1" applyBorder="1" applyAlignment="1">
      <alignment wrapText="1"/>
    </xf>
    <xf numFmtId="0" fontId="22" fillId="14" borderId="45" xfId="0" applyFont="1" applyFill="1" applyBorder="1" applyAlignment="1">
      <alignment wrapText="1"/>
    </xf>
    <xf numFmtId="2" fontId="22" fillId="14" borderId="44" xfId="0" applyNumberFormat="1" applyFont="1" applyFill="1" applyBorder="1" applyAlignment="1">
      <alignment wrapText="1"/>
    </xf>
    <xf numFmtId="0" fontId="22" fillId="14" borderId="22" xfId="0" applyFont="1" applyFill="1" applyBorder="1" applyAlignment="1">
      <alignment wrapText="1"/>
    </xf>
    <xf numFmtId="2" fontId="22" fillId="14" borderId="47" xfId="0" applyNumberFormat="1" applyFont="1" applyFill="1" applyBorder="1" applyAlignment="1">
      <alignment wrapText="1"/>
    </xf>
    <xf numFmtId="0" fontId="6" fillId="44" borderId="50" xfId="0" applyFont="1" applyFill="1" applyBorder="1" applyAlignment="1">
      <alignment wrapText="1"/>
    </xf>
    <xf numFmtId="2" fontId="41" fillId="44" borderId="52" xfId="0" applyNumberFormat="1" applyFont="1" applyFill="1" applyBorder="1" applyAlignment="1">
      <alignment wrapText="1"/>
    </xf>
    <xf numFmtId="0" fontId="34" fillId="44" borderId="51" xfId="0" applyFont="1" applyFill="1" applyBorder="1" applyAlignment="1">
      <alignment wrapText="1"/>
    </xf>
    <xf numFmtId="0" fontId="13" fillId="32" borderId="50" xfId="0" applyFont="1" applyFill="1" applyBorder="1" applyAlignment="1">
      <alignment horizontal="left" vertical="center" wrapText="1"/>
    </xf>
    <xf numFmtId="2" fontId="40" fillId="31" borderId="51" xfId="0" applyNumberFormat="1" applyFont="1" applyFill="1" applyBorder="1" applyAlignment="1">
      <alignment wrapText="1"/>
    </xf>
    <xf numFmtId="0" fontId="7" fillId="14" borderId="23" xfId="0" applyFont="1" applyFill="1" applyBorder="1" applyAlignment="1">
      <alignment horizontal="justify" vertical="center" wrapText="1"/>
    </xf>
    <xf numFmtId="2" fontId="6" fillId="14" borderId="47" xfId="0" applyNumberFormat="1" applyFont="1" applyFill="1" applyBorder="1" applyAlignment="1">
      <alignment wrapText="1"/>
    </xf>
    <xf numFmtId="0" fontId="7" fillId="14" borderId="53" xfId="0" applyFont="1" applyFill="1" applyBorder="1" applyAlignment="1">
      <alignment horizontal="justify" vertical="center" wrapText="1"/>
    </xf>
    <xf numFmtId="0" fontId="7" fillId="14" borderId="0" xfId="0" applyFont="1" applyFill="1" applyAlignment="1">
      <alignment wrapText="1"/>
    </xf>
    <xf numFmtId="0" fontId="42" fillId="32" borderId="50" xfId="0" applyFont="1" applyFill="1" applyBorder="1" applyAlignment="1">
      <alignment horizontal="left" vertical="center" wrapText="1"/>
    </xf>
    <xf numFmtId="2" fontId="34" fillId="31" borderId="51" xfId="0" applyNumberFormat="1" applyFont="1" applyFill="1" applyBorder="1" applyAlignment="1">
      <alignment wrapText="1"/>
    </xf>
    <xf numFmtId="0" fontId="7" fillId="2" borderId="48" xfId="0" applyFont="1" applyFill="1" applyBorder="1" applyAlignment="1">
      <alignment horizontal="left" vertical="center" wrapText="1"/>
    </xf>
    <xf numFmtId="0" fontId="6" fillId="14" borderId="45" xfId="0" applyFont="1" applyFill="1" applyBorder="1" applyAlignment="1">
      <alignment wrapText="1"/>
    </xf>
    <xf numFmtId="0" fontId="5" fillId="0" borderId="22"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31" fillId="6" borderId="22" xfId="0" applyFont="1" applyFill="1" applyBorder="1" applyAlignment="1" applyProtection="1">
      <alignment horizontal="left" vertical="center" wrapText="1"/>
      <protection locked="0"/>
    </xf>
    <xf numFmtId="0" fontId="43" fillId="6" borderId="22" xfId="0" applyFont="1" applyFill="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43" fillId="0" borderId="22" xfId="0" applyFont="1" applyBorder="1" applyAlignment="1" applyProtection="1">
      <alignment horizontal="left" vertical="center" wrapText="1"/>
      <protection locked="0"/>
    </xf>
    <xf numFmtId="0" fontId="6" fillId="0" borderId="22" xfId="0" applyFont="1" applyBorder="1" applyAlignment="1">
      <alignment horizontal="left" vertical="center" wrapText="1"/>
    </xf>
    <xf numFmtId="0" fontId="22" fillId="0" borderId="22" xfId="0" applyFont="1" applyBorder="1" applyAlignment="1">
      <alignment horizontal="left" vertical="center" wrapText="1"/>
    </xf>
    <xf numFmtId="0" fontId="4" fillId="0" borderId="22" xfId="0" applyFont="1" applyBorder="1" applyAlignment="1" applyProtection="1">
      <alignment horizontal="left" vertical="center" wrapText="1"/>
      <protection locked="0"/>
    </xf>
    <xf numFmtId="0" fontId="14" fillId="7" borderId="24" xfId="0" applyFont="1" applyFill="1" applyBorder="1" applyAlignment="1">
      <alignment horizontal="left" vertical="center" wrapText="1"/>
    </xf>
    <xf numFmtId="0" fontId="13" fillId="7" borderId="24" xfId="0" applyFont="1" applyFill="1" applyBorder="1" applyAlignment="1">
      <alignment horizontal="left" vertical="center" wrapText="1"/>
    </xf>
    <xf numFmtId="0" fontId="7" fillId="0" borderId="22" xfId="0" applyFont="1" applyBorder="1" applyAlignment="1" applyProtection="1">
      <alignment horizontal="left" vertical="center" wrapText="1"/>
      <protection locked="0"/>
    </xf>
    <xf numFmtId="0" fontId="7" fillId="36" borderId="24" xfId="0" applyFont="1" applyFill="1" applyBorder="1" applyAlignment="1" applyProtection="1">
      <alignment horizontal="left" vertical="center" wrapText="1"/>
      <protection locked="0"/>
    </xf>
    <xf numFmtId="0" fontId="7" fillId="42" borderId="24" xfId="0" applyFont="1" applyFill="1" applyBorder="1" applyAlignment="1">
      <alignment horizontal="left" vertical="center" wrapText="1"/>
    </xf>
    <xf numFmtId="0" fontId="7" fillId="43" borderId="24" xfId="0" applyFont="1" applyFill="1" applyBorder="1" applyAlignment="1">
      <alignment horizontal="left" vertical="center" wrapText="1"/>
    </xf>
    <xf numFmtId="2" fontId="7" fillId="33" borderId="24" xfId="0" applyNumberFormat="1" applyFont="1" applyFill="1" applyBorder="1" applyAlignment="1" applyProtection="1">
      <alignment horizontal="left" vertical="center" wrapText="1"/>
      <protection locked="0"/>
    </xf>
    <xf numFmtId="2" fontId="7" fillId="42" borderId="24" xfId="0" applyNumberFormat="1" applyFont="1" applyFill="1" applyBorder="1" applyAlignment="1">
      <alignment horizontal="left" vertical="center" wrapText="1"/>
    </xf>
    <xf numFmtId="172" fontId="7" fillId="42" borderId="24" xfId="0" applyNumberFormat="1" applyFont="1" applyFill="1" applyBorder="1" applyAlignment="1">
      <alignment horizontal="left" vertical="center" wrapText="1"/>
    </xf>
    <xf numFmtId="0" fontId="4" fillId="7" borderId="24" xfId="0" applyFont="1" applyFill="1" applyBorder="1" applyAlignment="1">
      <alignment horizontal="left" vertical="center" wrapText="1"/>
    </xf>
    <xf numFmtId="0" fontId="7" fillId="7" borderId="24" xfId="0" applyFont="1" applyFill="1" applyBorder="1" applyAlignment="1" applyProtection="1">
      <alignment horizontal="left" vertical="center" wrapText="1"/>
      <protection locked="0"/>
    </xf>
    <xf numFmtId="0" fontId="7" fillId="7" borderId="24" xfId="0" applyFont="1" applyFill="1" applyBorder="1" applyAlignment="1">
      <alignment horizontal="left" vertical="center" wrapText="1"/>
    </xf>
    <xf numFmtId="2" fontId="7" fillId="7" borderId="24" xfId="0" applyNumberFormat="1" applyFont="1" applyFill="1" applyBorder="1" applyAlignment="1">
      <alignment horizontal="left" vertical="center" wrapText="1"/>
    </xf>
    <xf numFmtId="4" fontId="7" fillId="7" borderId="24" xfId="0" applyNumberFormat="1" applyFont="1" applyFill="1" applyBorder="1" applyAlignment="1">
      <alignment horizontal="left" vertical="center" wrapText="1"/>
    </xf>
    <xf numFmtId="0" fontId="7" fillId="0" borderId="22" xfId="0" applyFont="1" applyBorder="1" applyAlignment="1">
      <alignment horizontal="left" vertical="center" wrapText="1"/>
    </xf>
    <xf numFmtId="0" fontId="16" fillId="0" borderId="22" xfId="0" applyFont="1" applyBorder="1" applyAlignment="1">
      <alignment horizontal="left" vertical="center" wrapText="1"/>
    </xf>
    <xf numFmtId="2" fontId="7" fillId="30" borderId="24" xfId="0" applyNumberFormat="1" applyFont="1" applyFill="1" applyBorder="1" applyAlignment="1" applyProtection="1">
      <alignment horizontal="left" vertical="center" wrapText="1"/>
      <protection locked="0"/>
    </xf>
    <xf numFmtId="4" fontId="7" fillId="42" borderId="24" xfId="0" applyNumberFormat="1" applyFont="1" applyFill="1" applyBorder="1" applyAlignment="1">
      <alignment horizontal="left" vertical="center" wrapText="1"/>
    </xf>
    <xf numFmtId="0" fontId="8" fillId="0" borderId="22" xfId="0" applyFont="1" applyBorder="1" applyAlignment="1" applyProtection="1">
      <alignment horizontal="left" vertical="center" wrapText="1"/>
      <protection locked="0"/>
    </xf>
    <xf numFmtId="2" fontId="7" fillId="7" borderId="24" xfId="0" applyNumberFormat="1" applyFont="1" applyFill="1" applyBorder="1" applyAlignment="1" applyProtection="1">
      <alignment horizontal="left" vertical="center" wrapText="1"/>
      <protection locked="0"/>
    </xf>
    <xf numFmtId="0" fontId="31" fillId="6" borderId="22" xfId="0" applyFont="1" applyFill="1" applyBorder="1" applyAlignment="1">
      <alignment horizontal="left" vertical="center" wrapText="1"/>
    </xf>
    <xf numFmtId="0" fontId="43" fillId="6" borderId="22" xfId="0" applyFont="1" applyFill="1" applyBorder="1" applyAlignment="1">
      <alignment horizontal="left" vertical="center" wrapText="1"/>
    </xf>
    <xf numFmtId="0" fontId="31" fillId="0" borderId="22" xfId="0" applyFont="1" applyBorder="1" applyAlignment="1">
      <alignment horizontal="left" vertical="center" wrapText="1"/>
    </xf>
    <xf numFmtId="0" fontId="43" fillId="0" borderId="22" xfId="0" applyFont="1" applyBorder="1" applyAlignment="1">
      <alignment horizontal="left" vertical="center" wrapText="1"/>
    </xf>
    <xf numFmtId="0" fontId="8" fillId="36" borderId="24" xfId="0" applyFont="1" applyFill="1" applyBorder="1" applyAlignment="1" applyProtection="1">
      <alignment horizontal="left" vertical="center" wrapText="1"/>
      <protection locked="0"/>
    </xf>
    <xf numFmtId="0" fontId="8" fillId="42" borderId="24" xfId="0" applyFont="1" applyFill="1" applyBorder="1" applyAlignment="1">
      <alignment horizontal="left" vertical="center" wrapText="1"/>
    </xf>
    <xf numFmtId="0" fontId="8" fillId="43" borderId="24" xfId="0" applyFont="1" applyFill="1" applyBorder="1" applyAlignment="1">
      <alignment horizontal="left" vertical="center" wrapText="1"/>
    </xf>
    <xf numFmtId="2" fontId="8" fillId="33" borderId="24" xfId="0" applyNumberFormat="1" applyFont="1" applyFill="1" applyBorder="1" applyAlignment="1" applyProtection="1">
      <alignment horizontal="left" vertical="center" wrapText="1"/>
      <protection locked="0"/>
    </xf>
    <xf numFmtId="2" fontId="8" fillId="42" borderId="24" xfId="0" applyNumberFormat="1" applyFont="1" applyFill="1" applyBorder="1" applyAlignment="1">
      <alignment horizontal="left" vertical="center" wrapText="1"/>
    </xf>
    <xf numFmtId="168" fontId="8" fillId="42" borderId="24" xfId="0" applyNumberFormat="1" applyFont="1" applyFill="1" applyBorder="1" applyAlignment="1">
      <alignment horizontal="left" vertical="center" wrapText="1"/>
    </xf>
    <xf numFmtId="0" fontId="6" fillId="16" borderId="24" xfId="0" applyFont="1" applyFill="1" applyBorder="1" applyAlignment="1" applyProtection="1">
      <alignment horizontal="left" vertical="center" wrapText="1"/>
      <protection locked="0"/>
    </xf>
    <xf numFmtId="0" fontId="6" fillId="16" borderId="24" xfId="0" applyFont="1" applyFill="1" applyBorder="1" applyAlignment="1">
      <alignment horizontal="left" vertical="center" wrapText="1"/>
    </xf>
    <xf numFmtId="0" fontId="6" fillId="7" borderId="24" xfId="0" applyFont="1" applyFill="1" applyBorder="1" applyAlignment="1">
      <alignment horizontal="left" vertical="center" wrapText="1"/>
    </xf>
    <xf numFmtId="4" fontId="6" fillId="7" borderId="24" xfId="0" applyNumberFormat="1" applyFont="1" applyFill="1" applyBorder="1" applyAlignment="1">
      <alignment horizontal="left" vertical="center" wrapText="1"/>
    </xf>
    <xf numFmtId="0" fontId="6" fillId="7" borderId="24" xfId="0" applyFont="1" applyFill="1" applyBorder="1" applyAlignment="1" applyProtection="1">
      <alignment horizontal="left" vertical="center" wrapText="1"/>
      <protection locked="0"/>
    </xf>
    <xf numFmtId="2" fontId="6" fillId="7" borderId="24" xfId="0" applyNumberFormat="1" applyFont="1" applyFill="1" applyBorder="1" applyAlignment="1">
      <alignment horizontal="left" vertical="center" wrapText="1"/>
    </xf>
    <xf numFmtId="9" fontId="8" fillId="33" borderId="24" xfId="0" applyNumberFormat="1" applyFont="1" applyFill="1" applyBorder="1" applyAlignment="1" applyProtection="1">
      <alignment horizontal="left" vertical="center" wrapText="1"/>
      <protection locked="0"/>
    </xf>
    <xf numFmtId="168" fontId="46" fillId="42" borderId="24" xfId="0" applyNumberFormat="1" applyFont="1" applyFill="1" applyBorder="1" applyAlignment="1">
      <alignment horizontal="left" vertical="center" wrapText="1"/>
    </xf>
    <xf numFmtId="0" fontId="46" fillId="42" borderId="24" xfId="0" applyFont="1" applyFill="1" applyBorder="1" applyAlignment="1">
      <alignment horizontal="left" vertical="center" wrapText="1"/>
    </xf>
    <xf numFmtId="0" fontId="8" fillId="33" borderId="24" xfId="0" applyFont="1" applyFill="1" applyBorder="1" applyAlignment="1" applyProtection="1">
      <alignment horizontal="left" vertical="center" wrapText="1"/>
      <protection locked="0"/>
    </xf>
    <xf numFmtId="0" fontId="8" fillId="0" borderId="24" xfId="0" applyFont="1" applyBorder="1" applyAlignment="1">
      <alignment horizontal="left" vertical="center" wrapText="1"/>
    </xf>
    <xf numFmtId="2" fontId="8" fillId="43" borderId="24" xfId="0" applyNumberFormat="1" applyFont="1" applyFill="1" applyBorder="1" applyAlignment="1">
      <alignment horizontal="left" vertical="center" wrapText="1"/>
    </xf>
    <xf numFmtId="0" fontId="8" fillId="36" borderId="27" xfId="0" applyFont="1" applyFill="1" applyBorder="1" applyAlignment="1" applyProtection="1">
      <alignment horizontal="left" vertical="center" wrapText="1"/>
      <protection locked="0"/>
    </xf>
    <xf numFmtId="0" fontId="4" fillId="7" borderId="26" xfId="0" applyFont="1" applyFill="1" applyBorder="1" applyAlignment="1">
      <alignment horizontal="left" vertical="center" wrapText="1"/>
    </xf>
    <xf numFmtId="2" fontId="6" fillId="7" borderId="24" xfId="0" applyNumberFormat="1" applyFont="1" applyFill="1" applyBorder="1" applyAlignment="1" applyProtection="1">
      <alignment horizontal="left" vertical="center" wrapText="1"/>
      <protection locked="0"/>
    </xf>
    <xf numFmtId="167" fontId="8" fillId="42" borderId="24" xfId="0" applyNumberFormat="1" applyFont="1" applyFill="1" applyBorder="1" applyAlignment="1">
      <alignment horizontal="left" vertical="center" wrapText="1"/>
    </xf>
    <xf numFmtId="165" fontId="8" fillId="42" borderId="24" xfId="0" applyNumberFormat="1" applyFont="1" applyFill="1" applyBorder="1" applyAlignment="1">
      <alignment horizontal="left" vertical="center" wrapText="1"/>
    </xf>
    <xf numFmtId="0" fontId="14" fillId="0" borderId="22" xfId="0" applyFont="1" applyBorder="1" applyAlignment="1">
      <alignment horizontal="left" vertical="center" wrapText="1"/>
    </xf>
    <xf numFmtId="0" fontId="6" fillId="0" borderId="22" xfId="2" applyFont="1" applyProtection="1">
      <protection locked="0"/>
    </xf>
    <xf numFmtId="0" fontId="22" fillId="6" borderId="22" xfId="2" applyFont="1" applyFill="1"/>
    <xf numFmtId="0" fontId="6" fillId="3" borderId="22" xfId="2" applyFont="1" applyFill="1" applyProtection="1">
      <protection locked="0"/>
    </xf>
    <xf numFmtId="0" fontId="6" fillId="0" borderId="22" xfId="2" applyFont="1"/>
    <xf numFmtId="0" fontId="6" fillId="3" borderId="22" xfId="2" applyFont="1" applyFill="1"/>
    <xf numFmtId="0" fontId="47" fillId="9" borderId="22" xfId="2" applyFont="1" applyFill="1" applyAlignment="1">
      <alignment vertical="center" wrapText="1"/>
    </xf>
    <xf numFmtId="0" fontId="47" fillId="5" borderId="22" xfId="2" applyFont="1" applyFill="1"/>
    <xf numFmtId="0" fontId="22" fillId="0" borderId="22" xfId="2" applyFont="1"/>
    <xf numFmtId="0" fontId="40" fillId="7" borderId="24" xfId="2" applyFont="1" applyFill="1" applyBorder="1" applyAlignment="1">
      <alignment vertical="center"/>
    </xf>
    <xf numFmtId="0" fontId="40" fillId="7" borderId="32" xfId="2" applyFont="1" applyFill="1" applyBorder="1" applyAlignment="1">
      <alignment vertical="center"/>
    </xf>
    <xf numFmtId="2" fontId="6" fillId="3" borderId="22" xfId="2" applyNumberFormat="1" applyFont="1" applyFill="1" applyProtection="1">
      <protection locked="0"/>
    </xf>
    <xf numFmtId="2" fontId="6" fillId="3" borderId="22" xfId="2" applyNumberFormat="1" applyFont="1" applyFill="1"/>
    <xf numFmtId="0" fontId="40" fillId="7" borderId="27" xfId="2" applyFont="1" applyFill="1" applyBorder="1" applyAlignment="1">
      <alignment vertical="center"/>
    </xf>
    <xf numFmtId="0" fontId="41" fillId="0" borderId="22" xfId="2" applyFont="1" applyProtection="1">
      <protection locked="0"/>
    </xf>
    <xf numFmtId="0" fontId="41" fillId="0" borderId="22" xfId="2" applyFont="1"/>
    <xf numFmtId="0" fontId="6" fillId="0" borderId="22" xfId="0" applyFont="1" applyBorder="1"/>
    <xf numFmtId="0" fontId="6" fillId="0" borderId="0" xfId="0" applyFont="1"/>
    <xf numFmtId="0" fontId="6" fillId="0" borderId="22" xfId="0" applyFont="1" applyBorder="1" applyProtection="1">
      <protection locked="0"/>
    </xf>
    <xf numFmtId="0" fontId="6" fillId="3" borderId="22" xfId="0" applyFont="1" applyFill="1" applyBorder="1" applyProtection="1">
      <protection locked="0"/>
    </xf>
    <xf numFmtId="0" fontId="6" fillId="3" borderId="22" xfId="0" applyFont="1" applyFill="1" applyBorder="1"/>
    <xf numFmtId="0" fontId="22" fillId="0" borderId="22" xfId="0" applyFont="1" applyBorder="1"/>
    <xf numFmtId="0" fontId="22" fillId="0" borderId="22" xfId="0" applyFont="1" applyBorder="1" applyProtection="1">
      <protection locked="0"/>
    </xf>
    <xf numFmtId="0" fontId="7" fillId="0" borderId="0" xfId="0" applyFont="1" applyAlignment="1">
      <alignment horizontal="left" vertical="center" wrapText="1"/>
    </xf>
    <xf numFmtId="0" fontId="7" fillId="2" borderId="1" xfId="0" applyFont="1" applyFill="1" applyBorder="1" applyAlignment="1">
      <alignment horizontal="left" vertical="center" wrapText="1"/>
    </xf>
    <xf numFmtId="0" fontId="16" fillId="14" borderId="22" xfId="0" applyFont="1" applyFill="1" applyBorder="1" applyAlignment="1">
      <alignment vertical="center" wrapText="1"/>
    </xf>
    <xf numFmtId="0" fontId="42" fillId="11" borderId="24" xfId="0" applyFont="1" applyFill="1" applyBorder="1" applyAlignment="1">
      <alignment horizontal="left" vertical="center" wrapText="1"/>
    </xf>
    <xf numFmtId="0" fontId="13" fillId="11" borderId="24" xfId="0" applyFont="1" applyFill="1" applyBorder="1" applyAlignment="1">
      <alignment horizontal="left" vertical="center" wrapText="1"/>
    </xf>
    <xf numFmtId="0" fontId="42" fillId="21" borderId="22" xfId="0" applyFont="1" applyFill="1" applyBorder="1" applyAlignment="1">
      <alignment horizontal="left" vertical="center" wrapText="1"/>
    </xf>
    <xf numFmtId="0" fontId="42" fillId="11" borderId="14" xfId="0" applyFont="1" applyFill="1" applyBorder="1" applyAlignment="1">
      <alignment horizontal="left" vertical="center" wrapText="1"/>
    </xf>
    <xf numFmtId="0" fontId="42" fillId="11" borderId="12" xfId="0" applyFont="1" applyFill="1" applyBorder="1" applyAlignment="1">
      <alignment horizontal="left" vertical="center" wrapText="1"/>
    </xf>
    <xf numFmtId="0" fontId="7" fillId="11" borderId="10" xfId="0" applyFont="1" applyFill="1" applyBorder="1" applyAlignment="1">
      <alignment horizontal="left" vertical="center" wrapText="1"/>
    </xf>
    <xf numFmtId="0" fontId="7" fillId="11" borderId="2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12" borderId="13" xfId="0" applyFont="1" applyFill="1" applyBorder="1" applyAlignment="1">
      <alignment horizontal="left" vertical="center" wrapText="1"/>
    </xf>
    <xf numFmtId="2" fontId="7" fillId="2" borderId="5" xfId="0" applyNumberFormat="1" applyFont="1" applyFill="1" applyBorder="1" applyAlignment="1">
      <alignment horizontal="left" vertical="center" wrapText="1"/>
    </xf>
    <xf numFmtId="2" fontId="7" fillId="2" borderId="9" xfId="0" applyNumberFormat="1" applyFont="1" applyFill="1" applyBorder="1" applyAlignment="1">
      <alignment horizontal="left" vertical="center" wrapText="1"/>
    </xf>
    <xf numFmtId="0" fontId="7" fillId="12" borderId="9" xfId="0" applyFont="1" applyFill="1" applyBorder="1" applyAlignment="1">
      <alignment horizontal="left" vertical="center" wrapText="1"/>
    </xf>
    <xf numFmtId="0" fontId="7" fillId="12" borderId="11" xfId="0" applyFont="1" applyFill="1" applyBorder="1" applyAlignment="1">
      <alignment horizontal="left" vertical="center" wrapText="1"/>
    </xf>
    <xf numFmtId="0" fontId="7" fillId="12" borderId="24" xfId="0" applyFont="1" applyFill="1" applyBorder="1" applyAlignment="1">
      <alignment horizontal="left" vertical="center" wrapText="1"/>
    </xf>
    <xf numFmtId="164" fontId="7" fillId="3" borderId="24" xfId="0" applyNumberFormat="1" applyFont="1" applyFill="1" applyBorder="1" applyAlignment="1">
      <alignment horizontal="left" vertical="center" wrapText="1"/>
    </xf>
    <xf numFmtId="2" fontId="7" fillId="3" borderId="24" xfId="0" applyNumberFormat="1" applyFont="1" applyFill="1" applyBorder="1" applyAlignment="1">
      <alignment horizontal="left" vertical="center" wrapText="1"/>
    </xf>
    <xf numFmtId="2" fontId="7" fillId="22" borderId="24" xfId="0" applyNumberFormat="1" applyFont="1" applyFill="1" applyBorder="1" applyAlignment="1">
      <alignment horizontal="left" vertical="center" wrapText="1"/>
    </xf>
    <xf numFmtId="2" fontId="7" fillId="23" borderId="24" xfId="0" applyNumberFormat="1" applyFont="1" applyFill="1" applyBorder="1" applyAlignment="1">
      <alignment horizontal="left" vertical="center" wrapText="1"/>
    </xf>
    <xf numFmtId="0" fontId="7" fillId="22" borderId="22" xfId="0" applyFont="1" applyFill="1" applyBorder="1" applyAlignment="1">
      <alignment horizontal="left" vertical="center" wrapText="1"/>
    </xf>
    <xf numFmtId="2" fontId="7" fillId="22" borderId="22" xfId="0" applyNumberFormat="1" applyFont="1" applyFill="1" applyBorder="1" applyAlignment="1">
      <alignment horizontal="left" vertical="center" wrapText="1"/>
    </xf>
    <xf numFmtId="0" fontId="7" fillId="23" borderId="22" xfId="0" applyFont="1" applyFill="1" applyBorder="1" applyAlignment="1">
      <alignment horizontal="left" vertical="center" wrapText="1"/>
    </xf>
    <xf numFmtId="0" fontId="7" fillId="2" borderId="9" xfId="0" applyFont="1" applyFill="1" applyBorder="1" applyAlignment="1">
      <alignment horizontal="left" vertical="center" wrapText="1"/>
    </xf>
    <xf numFmtId="164" fontId="7" fillId="22" borderId="22" xfId="0" applyNumberFormat="1" applyFont="1" applyFill="1" applyBorder="1" applyAlignment="1">
      <alignment horizontal="left" vertical="center" wrapText="1"/>
    </xf>
    <xf numFmtId="165" fontId="7" fillId="3" borderId="24" xfId="0" applyNumberFormat="1" applyFont="1" applyFill="1" applyBorder="1" applyAlignment="1">
      <alignment horizontal="left" vertical="center" wrapText="1"/>
    </xf>
    <xf numFmtId="0" fontId="7" fillId="12" borderId="5" xfId="0" applyFont="1" applyFill="1" applyBorder="1" applyAlignment="1">
      <alignment horizontal="left" vertical="center" wrapText="1"/>
    </xf>
    <xf numFmtId="2" fontId="7" fillId="11" borderId="24" xfId="0" applyNumberFormat="1" applyFont="1" applyFill="1" applyBorder="1" applyAlignment="1">
      <alignment horizontal="left" vertical="center" wrapText="1"/>
    </xf>
    <xf numFmtId="0" fontId="7" fillId="12" borderId="16"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12" borderId="10" xfId="0" applyFont="1" applyFill="1" applyBorder="1" applyAlignment="1">
      <alignment horizontal="left" vertical="center" wrapText="1"/>
    </xf>
    <xf numFmtId="0" fontId="7" fillId="14" borderId="22" xfId="0" applyFont="1" applyFill="1" applyBorder="1" applyAlignment="1">
      <alignment horizontal="left" vertical="center" wrapText="1"/>
    </xf>
    <xf numFmtId="0" fontId="7" fillId="12" borderId="35" xfId="0" applyFont="1" applyFill="1" applyBorder="1" applyAlignment="1">
      <alignment horizontal="left" vertical="center" wrapText="1"/>
    </xf>
    <xf numFmtId="0" fontId="7" fillId="2" borderId="22" xfId="0" applyFont="1" applyFill="1" applyBorder="1" applyAlignment="1">
      <alignment horizontal="left" vertical="center" wrapText="1"/>
    </xf>
    <xf numFmtId="2" fontId="7" fillId="2" borderId="22" xfId="0" applyNumberFormat="1" applyFont="1" applyFill="1" applyBorder="1" applyAlignment="1">
      <alignment horizontal="left" vertical="center" wrapText="1"/>
    </xf>
    <xf numFmtId="171" fontId="7" fillId="2" borderId="22" xfId="0" applyNumberFormat="1" applyFont="1" applyFill="1" applyBorder="1" applyAlignment="1">
      <alignment horizontal="left" vertical="center" wrapText="1"/>
    </xf>
    <xf numFmtId="0" fontId="7" fillId="3" borderId="22" xfId="0" applyFont="1" applyFill="1" applyBorder="1" applyAlignment="1">
      <alignment horizontal="left" vertical="center" wrapText="1"/>
    </xf>
    <xf numFmtId="2" fontId="7" fillId="3" borderId="22" xfId="0" applyNumberFormat="1" applyFont="1" applyFill="1" applyBorder="1" applyAlignment="1">
      <alignment horizontal="left" vertical="center" wrapText="1"/>
    </xf>
    <xf numFmtId="0" fontId="42" fillId="11" borderId="20" xfId="0" applyFont="1" applyFill="1" applyBorder="1" applyAlignment="1">
      <alignment horizontal="left" vertical="center" wrapText="1"/>
    </xf>
    <xf numFmtId="0" fontId="42" fillId="11" borderId="22" xfId="0" applyFont="1" applyFill="1" applyBorder="1" applyAlignment="1">
      <alignment vertical="center" wrapText="1"/>
    </xf>
    <xf numFmtId="2" fontId="7" fillId="25" borderId="24" xfId="0" applyNumberFormat="1" applyFont="1" applyFill="1" applyBorder="1" applyAlignment="1">
      <alignment horizontal="left" vertical="center" wrapText="1"/>
    </xf>
    <xf numFmtId="2" fontId="7" fillId="2" borderId="24" xfId="0" applyNumberFormat="1" applyFont="1" applyFill="1" applyBorder="1" applyAlignment="1">
      <alignment horizontal="left" vertical="center" wrapText="1"/>
    </xf>
    <xf numFmtId="0" fontId="42" fillId="11" borderId="24" xfId="0" applyFont="1" applyFill="1" applyBorder="1" applyAlignment="1">
      <alignment vertical="center" wrapText="1"/>
    </xf>
    <xf numFmtId="0" fontId="7" fillId="14" borderId="0" xfId="0" applyFont="1" applyFill="1" applyAlignment="1">
      <alignment horizontal="left" vertical="center" wrapText="1"/>
    </xf>
    <xf numFmtId="0" fontId="30" fillId="2" borderId="22" xfId="0" applyFont="1" applyFill="1" applyBorder="1" applyAlignment="1">
      <alignment horizontal="left" vertical="center" wrapText="1"/>
    </xf>
    <xf numFmtId="0" fontId="30" fillId="0" borderId="8" xfId="0" applyFont="1" applyBorder="1" applyAlignment="1">
      <alignment horizontal="left" vertical="center" wrapText="1"/>
    </xf>
    <xf numFmtId="0" fontId="7" fillId="16" borderId="24" xfId="0" applyFont="1" applyFill="1" applyBorder="1" applyAlignment="1">
      <alignment horizontal="left" vertical="center" wrapText="1"/>
    </xf>
    <xf numFmtId="0" fontId="4" fillId="21" borderId="24" xfId="0" applyFont="1" applyFill="1" applyBorder="1" applyAlignment="1">
      <alignment horizontal="left" vertical="center" wrapText="1"/>
    </xf>
    <xf numFmtId="0" fontId="30" fillId="0" borderId="24" xfId="0" applyFont="1" applyBorder="1" applyAlignment="1">
      <alignment horizontal="left" vertical="center" wrapText="1"/>
    </xf>
    <xf numFmtId="0" fontId="6" fillId="0" borderId="24" xfId="0" applyFont="1" applyBorder="1"/>
    <xf numFmtId="4" fontId="16" fillId="14" borderId="24" xfId="0" applyNumberFormat="1" applyFont="1" applyFill="1" applyBorder="1" applyAlignment="1">
      <alignment horizontal="justify" vertical="center" wrapText="1"/>
    </xf>
    <xf numFmtId="0" fontId="7" fillId="0" borderId="24" xfId="0" applyFont="1" applyBorder="1" applyAlignment="1">
      <alignment horizontal="left" vertical="center" wrapText="1"/>
    </xf>
    <xf numFmtId="0" fontId="30" fillId="2" borderId="24" xfId="0" applyFont="1" applyFill="1" applyBorder="1" applyAlignment="1">
      <alignment horizontal="left" vertical="center" wrapText="1"/>
    </xf>
    <xf numFmtId="0" fontId="42" fillId="11" borderId="8" xfId="0" applyFont="1" applyFill="1" applyBorder="1" applyAlignment="1">
      <alignment horizontal="left" vertical="center" wrapText="1"/>
    </xf>
    <xf numFmtId="0" fontId="42" fillId="11" borderId="5" xfId="0" applyFont="1" applyFill="1" applyBorder="1" applyAlignment="1">
      <alignment horizontal="left" vertical="center" wrapText="1"/>
    </xf>
    <xf numFmtId="0" fontId="42" fillId="2" borderId="22" xfId="0" applyFont="1" applyFill="1" applyBorder="1" applyAlignment="1">
      <alignment horizontal="left" vertical="center" wrapText="1"/>
    </xf>
    <xf numFmtId="2" fontId="16" fillId="14" borderId="24" xfId="0" applyNumberFormat="1"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16" fillId="14" borderId="24" xfId="0" applyFont="1" applyFill="1" applyBorder="1" applyAlignment="1">
      <alignment vertical="center" wrapText="1"/>
    </xf>
    <xf numFmtId="0" fontId="30" fillId="2" borderId="1" xfId="0" applyFont="1" applyFill="1" applyBorder="1" applyAlignment="1">
      <alignment horizontal="left" vertical="center" wrapText="1"/>
    </xf>
    <xf numFmtId="0" fontId="30" fillId="0" borderId="0" xfId="0" applyFont="1" applyAlignment="1">
      <alignment horizontal="left" vertical="center" wrapText="1"/>
    </xf>
    <xf numFmtId="164" fontId="7" fillId="2" borderId="5" xfId="0" applyNumberFormat="1" applyFont="1" applyFill="1" applyBorder="1" applyAlignment="1">
      <alignment horizontal="left" vertical="center" wrapText="1"/>
    </xf>
    <xf numFmtId="0" fontId="42" fillId="2" borderId="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2" fillId="2" borderId="18"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42" fillId="2" borderId="21" xfId="0" applyFont="1" applyFill="1" applyBorder="1" applyAlignment="1">
      <alignment horizontal="left" vertical="center" wrapText="1"/>
    </xf>
    <xf numFmtId="0" fontId="30" fillId="0" borderId="9" xfId="0" applyFont="1" applyBorder="1" applyAlignment="1">
      <alignment horizontal="left" vertical="center" wrapText="1"/>
    </xf>
    <xf numFmtId="0" fontId="30" fillId="0" borderId="5" xfId="0" applyFont="1" applyBorder="1" applyAlignment="1">
      <alignment horizontal="left" vertical="center" wrapText="1"/>
    </xf>
    <xf numFmtId="0" fontId="13" fillId="11" borderId="14" xfId="0" applyFont="1" applyFill="1" applyBorder="1" applyAlignment="1">
      <alignment horizontal="left" vertical="center" wrapText="1"/>
    </xf>
    <xf numFmtId="0" fontId="48" fillId="11" borderId="14" xfId="0" applyFont="1" applyFill="1" applyBorder="1" applyAlignment="1">
      <alignment horizontal="left" vertical="center" wrapText="1"/>
    </xf>
    <xf numFmtId="0" fontId="30" fillId="12" borderId="5" xfId="0" applyFont="1" applyFill="1" applyBorder="1" applyAlignment="1">
      <alignment horizontal="left" vertical="center" wrapText="1"/>
    </xf>
    <xf numFmtId="0" fontId="30" fillId="2" borderId="5" xfId="0" applyFont="1" applyFill="1" applyBorder="1" applyAlignment="1">
      <alignment horizontal="left" vertical="center" wrapText="1"/>
    </xf>
    <xf numFmtId="2" fontId="7"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5" fontId="7" fillId="0" borderId="5" xfId="0" applyNumberFormat="1" applyFont="1" applyBorder="1" applyAlignment="1">
      <alignment horizontal="left" vertical="center" wrapText="1"/>
    </xf>
    <xf numFmtId="166" fontId="7" fillId="0" borderId="24" xfId="0" applyNumberFormat="1" applyFont="1" applyBorder="1" applyAlignment="1">
      <alignment horizontal="left" vertical="center" wrapText="1"/>
    </xf>
    <xf numFmtId="2" fontId="7" fillId="14" borderId="22" xfId="0" applyNumberFormat="1" applyFont="1" applyFill="1" applyBorder="1" applyAlignment="1">
      <alignment horizontal="left" vertical="center" wrapText="1"/>
    </xf>
    <xf numFmtId="166" fontId="7" fillId="14" borderId="22" xfId="0" applyNumberFormat="1" applyFont="1" applyFill="1" applyBorder="1" applyAlignment="1">
      <alignment horizontal="left" vertical="center" wrapText="1"/>
    </xf>
    <xf numFmtId="166" fontId="7" fillId="0" borderId="0" xfId="0" applyNumberFormat="1" applyFont="1" applyAlignment="1">
      <alignment horizontal="left" vertical="center" wrapText="1"/>
    </xf>
    <xf numFmtId="2"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7" fillId="14" borderId="24" xfId="0" applyFont="1" applyFill="1" applyBorder="1" applyAlignment="1">
      <alignment horizontal="left" vertical="center" wrapText="1"/>
    </xf>
    <xf numFmtId="167" fontId="7" fillId="0" borderId="0" xfId="0" applyNumberFormat="1" applyFont="1" applyAlignment="1">
      <alignment horizontal="left" vertical="center" wrapText="1"/>
    </xf>
    <xf numFmtId="167" fontId="7" fillId="2" borderId="14" xfId="0" applyNumberFormat="1" applyFont="1" applyFill="1" applyBorder="1" applyAlignment="1">
      <alignment horizontal="left" vertical="center" wrapText="1"/>
    </xf>
    <xf numFmtId="0" fontId="48" fillId="2" borderId="18"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16" fillId="21" borderId="5" xfId="0" applyFont="1" applyFill="1" applyBorder="1" applyAlignment="1">
      <alignment horizontal="left" vertical="center" wrapText="1"/>
    </xf>
    <xf numFmtId="0" fontId="16" fillId="21" borderId="14" xfId="0" applyFont="1" applyFill="1" applyBorder="1" applyAlignment="1">
      <alignment horizontal="left" vertical="center" wrapText="1"/>
    </xf>
    <xf numFmtId="0" fontId="48" fillId="2" borderId="22" xfId="0" applyFont="1" applyFill="1" applyBorder="1" applyAlignment="1">
      <alignment horizontal="left" vertical="center" wrapText="1"/>
    </xf>
    <xf numFmtId="0" fontId="42" fillId="11" borderId="89" xfId="0" applyFont="1" applyFill="1" applyBorder="1" applyAlignment="1">
      <alignment horizontal="left" vertical="center" wrapText="1"/>
    </xf>
    <xf numFmtId="0" fontId="42" fillId="41" borderId="22"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89" xfId="0" applyFont="1" applyBorder="1" applyAlignment="1">
      <alignment horizontal="left" vertical="center" wrapText="1"/>
    </xf>
    <xf numFmtId="0" fontId="30" fillId="2" borderId="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90" xfId="0" applyFont="1" applyBorder="1" applyAlignment="1">
      <alignment horizontal="left" vertical="center" wrapText="1"/>
    </xf>
    <xf numFmtId="0" fontId="42" fillId="11" borderId="13" xfId="0" applyFont="1" applyFill="1" applyBorder="1" applyAlignment="1">
      <alignment horizontal="left" vertical="center" wrapText="1"/>
    </xf>
    <xf numFmtId="168" fontId="7" fillId="0" borderId="5" xfId="0" applyNumberFormat="1" applyFont="1" applyBorder="1" applyAlignment="1">
      <alignment horizontal="left" vertical="center" wrapText="1"/>
    </xf>
    <xf numFmtId="0" fontId="7" fillId="0" borderId="9" xfId="0" applyFont="1" applyBorder="1" applyAlignment="1">
      <alignment horizontal="left" vertical="center" wrapText="1"/>
    </xf>
    <xf numFmtId="0" fontId="42" fillId="0" borderId="0" xfId="0" applyFont="1" applyAlignment="1">
      <alignment horizontal="left" vertical="center" wrapText="1"/>
    </xf>
    <xf numFmtId="0" fontId="13" fillId="2" borderId="1" xfId="0" applyFont="1" applyFill="1" applyBorder="1" applyAlignment="1">
      <alignment horizontal="left" vertical="center" wrapText="1"/>
    </xf>
    <xf numFmtId="0" fontId="7" fillId="0" borderId="22" xfId="2" applyFont="1" applyAlignment="1">
      <alignment vertical="center" wrapText="1"/>
    </xf>
    <xf numFmtId="0" fontId="7" fillId="0" borderId="22" xfId="2" applyFont="1" applyAlignment="1">
      <alignment wrapText="1"/>
    </xf>
    <xf numFmtId="0" fontId="16" fillId="0" borderId="22" xfId="2" applyFont="1" applyAlignment="1">
      <alignment vertical="center" wrapText="1"/>
    </xf>
    <xf numFmtId="0" fontId="50" fillId="0" borderId="22" xfId="2" applyFont="1" applyAlignment="1">
      <alignment wrapText="1"/>
    </xf>
    <xf numFmtId="0" fontId="14" fillId="5" borderId="24" xfId="2" applyFont="1" applyFill="1" applyBorder="1" applyAlignment="1">
      <alignment wrapText="1"/>
    </xf>
    <xf numFmtId="49" fontId="16" fillId="0" borderId="24" xfId="2" applyNumberFormat="1" applyFont="1" applyBorder="1" applyAlignment="1">
      <alignment wrapText="1"/>
    </xf>
    <xf numFmtId="0" fontId="16" fillId="0" borderId="24" xfId="2" applyFont="1" applyBorder="1" applyAlignment="1">
      <alignment vertical="center" wrapText="1"/>
    </xf>
    <xf numFmtId="0" fontId="16" fillId="0" borderId="24" xfId="2" applyFont="1" applyBorder="1" applyAlignment="1">
      <alignment wrapText="1"/>
    </xf>
    <xf numFmtId="0" fontId="7" fillId="0" borderId="17" xfId="2" applyFont="1" applyBorder="1" applyAlignment="1">
      <alignment vertical="center" wrapText="1"/>
    </xf>
    <xf numFmtId="0" fontId="7" fillId="0" borderId="19" xfId="2" applyFont="1" applyBorder="1" applyAlignment="1">
      <alignment vertical="center" wrapText="1"/>
    </xf>
    <xf numFmtId="0" fontId="14" fillId="2" borderId="22" xfId="2" applyFont="1" applyFill="1" applyAlignment="1">
      <alignment horizontal="center" vertical="center" wrapText="1"/>
    </xf>
    <xf numFmtId="0" fontId="14" fillId="2" borderId="22" xfId="2" applyFont="1" applyFill="1" applyAlignment="1">
      <alignment vertical="center" wrapText="1"/>
    </xf>
    <xf numFmtId="0" fontId="7" fillId="2" borderId="22" xfId="2" applyFont="1" applyFill="1" applyAlignment="1">
      <alignment vertical="center" wrapText="1"/>
    </xf>
    <xf numFmtId="0" fontId="7" fillId="2" borderId="22" xfId="2" applyFont="1" applyFill="1" applyAlignment="1">
      <alignment wrapText="1"/>
    </xf>
    <xf numFmtId="0" fontId="14" fillId="13" borderId="5" xfId="2" applyFont="1" applyFill="1" applyBorder="1" applyAlignment="1">
      <alignment vertical="center" wrapText="1"/>
    </xf>
    <xf numFmtId="0" fontId="16" fillId="0" borderId="5" xfId="2" applyFont="1" applyBorder="1" applyAlignment="1">
      <alignment vertical="center" wrapText="1"/>
    </xf>
    <xf numFmtId="0" fontId="14" fillId="13" borderId="8" xfId="2" applyFont="1" applyFill="1" applyBorder="1" applyAlignment="1">
      <alignment vertical="center" wrapText="1"/>
    </xf>
    <xf numFmtId="0" fontId="14" fillId="13" borderId="8" xfId="2" applyFont="1" applyFill="1" applyBorder="1" applyAlignment="1">
      <alignment wrapText="1"/>
    </xf>
    <xf numFmtId="0" fontId="52" fillId="0" borderId="22" xfId="2" applyFont="1" applyAlignment="1">
      <alignment wrapText="1"/>
    </xf>
    <xf numFmtId="169" fontId="52" fillId="0" borderId="22" xfId="2" applyNumberFormat="1" applyFont="1" applyAlignment="1">
      <alignment horizontal="center" vertical="center" wrapText="1"/>
    </xf>
    <xf numFmtId="0" fontId="7" fillId="0" borderId="25" xfId="2" applyFont="1" applyBorder="1" applyAlignment="1">
      <alignment wrapText="1"/>
    </xf>
    <xf numFmtId="0" fontId="7" fillId="0" borderId="23" xfId="2" applyFont="1" applyBorder="1" applyAlignment="1">
      <alignment wrapText="1"/>
    </xf>
    <xf numFmtId="0" fontId="53" fillId="0" borderId="22" xfId="2" applyFont="1" applyAlignment="1">
      <alignment vertical="center" wrapText="1"/>
    </xf>
    <xf numFmtId="0" fontId="16" fillId="0" borderId="5" xfId="2" applyFont="1" applyBorder="1" applyAlignment="1">
      <alignment horizontal="right" vertical="center" wrapText="1"/>
    </xf>
    <xf numFmtId="0" fontId="6" fillId="0" borderId="24" xfId="0" applyFont="1" applyBorder="1" applyAlignment="1">
      <alignment horizontal="center" vertical="center"/>
    </xf>
    <xf numFmtId="0" fontId="14" fillId="5" borderId="22" xfId="2" applyFont="1" applyFill="1" applyAlignment="1">
      <alignment vertical="center" wrapText="1"/>
    </xf>
    <xf numFmtId="170" fontId="16" fillId="0" borderId="5" xfId="2" applyNumberFormat="1" applyFont="1" applyBorder="1" applyAlignment="1">
      <alignment vertical="center" wrapText="1"/>
    </xf>
    <xf numFmtId="0" fontId="50" fillId="0" borderId="22" xfId="2" applyFont="1" applyAlignment="1">
      <alignment vertical="center" wrapText="1"/>
    </xf>
    <xf numFmtId="0" fontId="53" fillId="0" borderId="22" xfId="2" applyFont="1" applyAlignment="1">
      <alignment horizontal="left" vertical="center" wrapText="1"/>
    </xf>
    <xf numFmtId="0" fontId="14" fillId="13" borderId="22" xfId="2" applyFont="1" applyFill="1" applyAlignment="1">
      <alignment vertical="center" wrapText="1"/>
    </xf>
    <xf numFmtId="0" fontId="48" fillId="13" borderId="5" xfId="2" applyFont="1" applyFill="1" applyBorder="1" applyAlignment="1">
      <alignment vertical="center" wrapText="1"/>
    </xf>
    <xf numFmtId="49" fontId="16" fillId="0" borderId="5" xfId="2" applyNumberFormat="1" applyFont="1" applyBorder="1" applyAlignment="1">
      <alignment vertical="center" wrapText="1"/>
    </xf>
    <xf numFmtId="0" fontId="14" fillId="17" borderId="5" xfId="2" applyFont="1" applyFill="1" applyBorder="1" applyAlignment="1">
      <alignment vertical="center" wrapText="1"/>
    </xf>
    <xf numFmtId="164" fontId="7" fillId="42" borderId="24" xfId="0" applyNumberFormat="1" applyFont="1" applyFill="1" applyBorder="1" applyAlignment="1">
      <alignment horizontal="left" vertical="center" wrapText="1"/>
    </xf>
    <xf numFmtId="1" fontId="30" fillId="0" borderId="8" xfId="0" applyNumberFormat="1" applyFont="1" applyBorder="1" applyAlignment="1">
      <alignment horizontal="right" vertical="center" wrapText="1"/>
    </xf>
    <xf numFmtId="1" fontId="30" fillId="0" borderId="24" xfId="0" applyNumberFormat="1" applyFont="1" applyBorder="1" applyAlignment="1">
      <alignment horizontal="right" vertical="center" wrapText="1"/>
    </xf>
    <xf numFmtId="1" fontId="16" fillId="14" borderId="24" xfId="0" applyNumberFormat="1" applyFont="1" applyFill="1" applyBorder="1" applyAlignment="1">
      <alignment horizontal="right" vertical="center" wrapText="1"/>
    </xf>
    <xf numFmtId="1" fontId="7" fillId="0" borderId="24" xfId="0" applyNumberFormat="1" applyFont="1" applyBorder="1" applyAlignment="1">
      <alignment horizontal="right" vertical="center" wrapText="1"/>
    </xf>
    <xf numFmtId="171" fontId="7" fillId="0" borderId="24" xfId="0" applyNumberFormat="1" applyFont="1" applyBorder="1" applyAlignment="1">
      <alignment horizontal="right" vertical="center" wrapText="1"/>
    </xf>
    <xf numFmtId="0" fontId="7" fillId="2" borderId="26" xfId="0" applyFont="1" applyFill="1" applyBorder="1" applyAlignment="1">
      <alignment horizontal="left" vertical="center" wrapText="1"/>
    </xf>
    <xf numFmtId="1" fontId="7" fillId="2" borderId="24" xfId="0" applyNumberFormat="1" applyFont="1" applyFill="1" applyBorder="1" applyAlignment="1">
      <alignment horizontal="right" vertical="center" wrapText="1"/>
    </xf>
    <xf numFmtId="172" fontId="8" fillId="42" borderId="24" xfId="2" applyNumberFormat="1" applyFont="1" applyFill="1" applyBorder="1" applyAlignment="1">
      <alignment horizontal="left"/>
    </xf>
    <xf numFmtId="166" fontId="8" fillId="42" borderId="24" xfId="2" applyNumberFormat="1" applyFont="1" applyFill="1" applyBorder="1"/>
    <xf numFmtId="0" fontId="14" fillId="7" borderId="26" xfId="0" applyFont="1" applyFill="1" applyBorder="1" applyAlignment="1">
      <alignment horizontal="left" vertical="center" wrapText="1"/>
    </xf>
    <xf numFmtId="173" fontId="7" fillId="7" borderId="24" xfId="0" applyNumberFormat="1" applyFont="1" applyFill="1" applyBorder="1" applyAlignment="1">
      <alignment horizontal="left" vertical="center" wrapText="1"/>
    </xf>
    <xf numFmtId="0" fontId="0" fillId="0" borderId="24" xfId="0" applyBorder="1"/>
    <xf numFmtId="167" fontId="0" fillId="0" borderId="24" xfId="4" applyNumberFormat="1" applyFont="1" applyBorder="1"/>
    <xf numFmtId="167" fontId="1" fillId="0" borderId="24" xfId="4" applyNumberFormat="1" applyFont="1" applyBorder="1"/>
    <xf numFmtId="0" fontId="7" fillId="14" borderId="24" xfId="0" applyFont="1" applyFill="1" applyBorder="1" applyAlignment="1">
      <alignment horizontal="center" vertical="center" wrapText="1"/>
    </xf>
    <xf numFmtId="172" fontId="1" fillId="0" borderId="24" xfId="4" applyNumberFormat="1" applyFont="1" applyBorder="1"/>
    <xf numFmtId="166" fontId="1" fillId="0" borderId="24" xfId="4" applyNumberFormat="1" applyFont="1" applyBorder="1"/>
    <xf numFmtId="0" fontId="58" fillId="7" borderId="24" xfId="0" applyFont="1" applyFill="1" applyBorder="1" applyAlignment="1">
      <alignment wrapText="1"/>
    </xf>
    <xf numFmtId="0" fontId="58" fillId="5" borderId="24" xfId="0" applyFont="1" applyFill="1" applyBorder="1" applyAlignment="1">
      <alignment wrapText="1"/>
    </xf>
    <xf numFmtId="0" fontId="58" fillId="5" borderId="26" xfId="0" applyFont="1" applyFill="1" applyBorder="1" applyAlignment="1">
      <alignment wrapText="1"/>
    </xf>
    <xf numFmtId="0" fontId="58" fillId="47" borderId="24" xfId="0" applyFont="1" applyFill="1" applyBorder="1" applyAlignment="1">
      <alignment wrapText="1"/>
    </xf>
    <xf numFmtId="0" fontId="59" fillId="47" borderId="24" xfId="0" applyFont="1" applyFill="1" applyBorder="1" applyAlignment="1">
      <alignment horizontal="center" vertical="center" wrapText="1"/>
    </xf>
    <xf numFmtId="0" fontId="59" fillId="47" borderId="26" xfId="0" applyFont="1" applyFill="1" applyBorder="1" applyAlignment="1">
      <alignment horizontal="center" vertical="center" wrapText="1"/>
    </xf>
    <xf numFmtId="164" fontId="1" fillId="0" borderId="24" xfId="4" applyNumberFormat="1" applyFont="1" applyBorder="1"/>
    <xf numFmtId="0" fontId="16" fillId="5" borderId="15" xfId="0" applyFont="1" applyFill="1" applyBorder="1" applyAlignment="1">
      <alignment vertical="center" wrapText="1"/>
    </xf>
    <xf numFmtId="0" fontId="7" fillId="11" borderId="29" xfId="0" applyFont="1" applyFill="1" applyBorder="1" applyAlignment="1">
      <alignment horizontal="left" vertical="center" wrapText="1"/>
    </xf>
    <xf numFmtId="2" fontId="7" fillId="25" borderId="33" xfId="0" applyNumberFormat="1" applyFont="1" applyFill="1" applyBorder="1" applyAlignment="1">
      <alignment horizontal="left" vertical="center" wrapText="1"/>
    </xf>
    <xf numFmtId="4" fontId="60" fillId="2" borderId="24" xfId="0" applyNumberFormat="1" applyFont="1" applyFill="1" applyBorder="1" applyAlignment="1">
      <alignment horizontal="left" vertical="center" wrapText="1"/>
    </xf>
    <xf numFmtId="0" fontId="60" fillId="0" borderId="24" xfId="0" applyFont="1" applyBorder="1" applyAlignment="1">
      <alignment horizontal="left" vertical="center" wrapText="1"/>
    </xf>
    <xf numFmtId="0" fontId="60" fillId="2" borderId="5" xfId="0" applyFont="1" applyFill="1" applyBorder="1" applyAlignment="1">
      <alignment horizontal="left" vertical="center" wrapText="1"/>
    </xf>
    <xf numFmtId="168" fontId="7" fillId="42" borderId="27" xfId="0" applyNumberFormat="1" applyFont="1" applyFill="1" applyBorder="1" applyAlignment="1">
      <alignment horizontal="left" vertical="center" wrapText="1"/>
    </xf>
    <xf numFmtId="0" fontId="14" fillId="7" borderId="106" xfId="0" applyFont="1" applyFill="1" applyBorder="1" applyAlignment="1">
      <alignment horizontal="left" vertical="center" wrapText="1"/>
    </xf>
    <xf numFmtId="168" fontId="7" fillId="42" borderId="105" xfId="0" applyNumberFormat="1" applyFont="1" applyFill="1" applyBorder="1" applyAlignment="1">
      <alignment horizontal="left" vertical="center" wrapText="1"/>
    </xf>
    <xf numFmtId="2" fontId="7" fillId="42" borderId="106" xfId="0" applyNumberFormat="1" applyFont="1" applyFill="1" applyBorder="1" applyAlignment="1">
      <alignment horizontal="left" vertical="center" wrapText="1"/>
    </xf>
    <xf numFmtId="0" fontId="7" fillId="7" borderId="107" xfId="0" applyFont="1" applyFill="1" applyBorder="1" applyAlignment="1">
      <alignment horizontal="left" vertical="center" wrapText="1"/>
    </xf>
    <xf numFmtId="0" fontId="7" fillId="7" borderId="108" xfId="0" applyFont="1" applyFill="1" applyBorder="1" applyAlignment="1">
      <alignment horizontal="left" vertical="center" wrapText="1"/>
    </xf>
    <xf numFmtId="2" fontId="7" fillId="7" borderId="109" xfId="0" applyNumberFormat="1" applyFont="1" applyFill="1" applyBorder="1" applyAlignment="1">
      <alignment horizontal="left" vertical="center" wrapText="1"/>
    </xf>
    <xf numFmtId="172" fontId="7" fillId="42" borderId="105" xfId="0" applyNumberFormat="1" applyFont="1" applyFill="1" applyBorder="1" applyAlignment="1">
      <alignment horizontal="left" vertical="center" wrapText="1"/>
    </xf>
    <xf numFmtId="0" fontId="7" fillId="7" borderId="114" xfId="0" applyFont="1" applyFill="1" applyBorder="1" applyAlignment="1">
      <alignment horizontal="left" vertical="center" wrapText="1"/>
    </xf>
    <xf numFmtId="168" fontId="7" fillId="42" borderId="106" xfId="0" applyNumberFormat="1" applyFont="1" applyFill="1" applyBorder="1" applyAlignment="1">
      <alignment horizontal="left" vertical="center" wrapText="1"/>
    </xf>
    <xf numFmtId="168" fontId="7" fillId="7" borderId="109" xfId="0" applyNumberFormat="1" applyFont="1" applyFill="1" applyBorder="1" applyAlignment="1">
      <alignment horizontal="left" vertical="center" wrapText="1"/>
    </xf>
    <xf numFmtId="172" fontId="7" fillId="42" borderId="106" xfId="0" applyNumberFormat="1" applyFont="1" applyFill="1" applyBorder="1" applyAlignment="1">
      <alignment horizontal="left" vertical="center" wrapText="1"/>
    </xf>
    <xf numFmtId="172" fontId="7" fillId="7" borderId="109" xfId="0" applyNumberFormat="1" applyFont="1" applyFill="1" applyBorder="1" applyAlignment="1">
      <alignment horizontal="left" vertical="center" wrapText="1"/>
    </xf>
    <xf numFmtId="0" fontId="7" fillId="12" borderId="26" xfId="0" applyFont="1" applyFill="1" applyBorder="1" applyAlignment="1">
      <alignment horizontal="left" vertical="center" wrapText="1"/>
    </xf>
    <xf numFmtId="0" fontId="42" fillId="11" borderId="26" xfId="0" applyFont="1" applyFill="1" applyBorder="1" applyAlignment="1">
      <alignment vertical="center" wrapText="1"/>
    </xf>
    <xf numFmtId="0" fontId="42" fillId="11" borderId="27" xfId="0" applyFont="1" applyFill="1" applyBorder="1" applyAlignment="1">
      <alignment vertical="center" wrapText="1"/>
    </xf>
    <xf numFmtId="0" fontId="42" fillId="11" borderId="102" xfId="0" applyFont="1" applyFill="1" applyBorder="1" applyAlignment="1">
      <alignment horizontal="left" vertical="center" wrapText="1"/>
    </xf>
    <xf numFmtId="0" fontId="42" fillId="11" borderId="103" xfId="0" applyFont="1" applyFill="1" applyBorder="1" applyAlignment="1">
      <alignment horizontal="left" vertical="center" wrapText="1"/>
    </xf>
    <xf numFmtId="0" fontId="42" fillId="11" borderId="104" xfId="0" applyFont="1" applyFill="1" applyBorder="1" applyAlignment="1">
      <alignment horizontal="left" vertical="center" wrapText="1"/>
    </xf>
    <xf numFmtId="0" fontId="42" fillId="11" borderId="46" xfId="0" applyFont="1" applyFill="1" applyBorder="1" applyAlignment="1">
      <alignment vertical="center" wrapText="1"/>
    </xf>
    <xf numFmtId="0" fontId="42" fillId="11" borderId="47" xfId="0" applyFont="1" applyFill="1" applyBorder="1" applyAlignment="1">
      <alignment vertical="center" wrapText="1"/>
    </xf>
    <xf numFmtId="0" fontId="7" fillId="3" borderId="105" xfId="0" applyFont="1" applyFill="1" applyBorder="1" applyAlignment="1">
      <alignment horizontal="left" vertical="center" wrapText="1"/>
    </xf>
    <xf numFmtId="0" fontId="7" fillId="12" borderId="106" xfId="0" applyFont="1" applyFill="1" applyBorder="1" applyAlignment="1">
      <alignment horizontal="left" vertical="center" wrapText="1"/>
    </xf>
    <xf numFmtId="0" fontId="42" fillId="11" borderId="105" xfId="0" applyFont="1" applyFill="1" applyBorder="1" applyAlignment="1">
      <alignment vertical="center" wrapText="1"/>
    </xf>
    <xf numFmtId="0" fontId="42" fillId="11" borderId="106" xfId="0" applyFont="1" applyFill="1" applyBorder="1" applyAlignment="1">
      <alignment vertical="center" wrapText="1"/>
    </xf>
    <xf numFmtId="0" fontId="7" fillId="3" borderId="107" xfId="0" applyFont="1" applyFill="1" applyBorder="1" applyAlignment="1">
      <alignment horizontal="left" vertical="center" wrapText="1"/>
    </xf>
    <xf numFmtId="0" fontId="7" fillId="12" borderId="108" xfId="0" applyFont="1" applyFill="1" applyBorder="1" applyAlignment="1">
      <alignment horizontal="left" vertical="center" wrapText="1"/>
    </xf>
    <xf numFmtId="164" fontId="7" fillId="3" borderId="108" xfId="0" applyNumberFormat="1" applyFont="1" applyFill="1" applyBorder="1" applyAlignment="1">
      <alignment horizontal="left" vertical="center" wrapText="1"/>
    </xf>
    <xf numFmtId="0" fontId="7" fillId="12" borderId="109" xfId="0" applyFont="1" applyFill="1" applyBorder="1" applyAlignment="1">
      <alignment horizontal="left" vertical="center" wrapText="1"/>
    </xf>
    <xf numFmtId="2" fontId="7" fillId="3" borderId="105" xfId="0" applyNumberFormat="1" applyFont="1" applyFill="1" applyBorder="1" applyAlignment="1">
      <alignment horizontal="left" vertical="center" wrapText="1"/>
    </xf>
    <xf numFmtId="2" fontId="7" fillId="3" borderId="107" xfId="0" applyNumberFormat="1" applyFont="1" applyFill="1" applyBorder="1" applyAlignment="1">
      <alignment horizontal="left" vertical="center" wrapText="1"/>
    </xf>
    <xf numFmtId="0" fontId="42" fillId="11" borderId="11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114" xfId="0" applyFont="1" applyFill="1" applyBorder="1" applyAlignment="1">
      <alignment horizontal="left" vertical="center" wrapText="1"/>
    </xf>
    <xf numFmtId="2" fontId="7" fillId="2" borderId="105" xfId="0" applyNumberFormat="1" applyFont="1" applyFill="1" applyBorder="1" applyAlignment="1">
      <alignment horizontal="left" vertical="center" wrapText="1"/>
    </xf>
    <xf numFmtId="2" fontId="7" fillId="45" borderId="105" xfId="0" applyNumberFormat="1" applyFont="1" applyFill="1" applyBorder="1" applyAlignment="1">
      <alignment horizontal="left" vertical="center" wrapText="1"/>
    </xf>
    <xf numFmtId="0" fontId="7" fillId="12" borderId="121" xfId="0" applyFont="1" applyFill="1" applyBorder="1" applyAlignment="1">
      <alignment horizontal="left" vertical="center" wrapText="1"/>
    </xf>
    <xf numFmtId="2" fontId="7" fillId="2" borderId="107" xfId="0" applyNumberFormat="1" applyFont="1" applyFill="1" applyBorder="1" applyAlignment="1">
      <alignment horizontal="left" vertical="center" wrapText="1"/>
    </xf>
    <xf numFmtId="0" fontId="7" fillId="12" borderId="122" xfId="0" applyFont="1" applyFill="1" applyBorder="1" applyAlignment="1">
      <alignment horizontal="left" vertical="center" wrapText="1"/>
    </xf>
    <xf numFmtId="2" fontId="7" fillId="2" borderId="124" xfId="0" applyNumberFormat="1" applyFont="1" applyFill="1" applyBorder="1" applyAlignment="1">
      <alignment horizontal="left" vertical="center" wrapText="1"/>
    </xf>
    <xf numFmtId="0" fontId="7" fillId="12" borderId="124" xfId="0" applyFont="1" applyFill="1" applyBorder="1" applyAlignment="1">
      <alignment horizontal="left" vertical="center" wrapText="1"/>
    </xf>
    <xf numFmtId="2" fontId="7" fillId="3" borderId="108" xfId="0" applyNumberFormat="1" applyFont="1" applyFill="1" applyBorder="1" applyAlignment="1">
      <alignment horizontal="left" vertical="center" wrapText="1"/>
    </xf>
    <xf numFmtId="0" fontId="7" fillId="12" borderId="49" xfId="0" applyFont="1" applyFill="1" applyBorder="1" applyAlignment="1">
      <alignment horizontal="left" vertical="center" wrapText="1"/>
    </xf>
    <xf numFmtId="0" fontId="60" fillId="2" borderId="123" xfId="0" applyFont="1" applyFill="1" applyBorder="1" applyAlignment="1">
      <alignment horizontal="left" vertical="center" wrapText="1"/>
    </xf>
    <xf numFmtId="0" fontId="60" fillId="0" borderId="22" xfId="0" applyFont="1" applyBorder="1" applyAlignment="1">
      <alignment horizontal="left" vertical="center" wrapText="1"/>
    </xf>
    <xf numFmtId="0" fontId="60" fillId="0" borderId="115" xfId="0" applyFont="1" applyBorder="1" applyAlignment="1">
      <alignment horizontal="left" vertical="center" wrapText="1"/>
    </xf>
    <xf numFmtId="0" fontId="7" fillId="48" borderId="22" xfId="0" applyFont="1" applyFill="1" applyBorder="1" applyAlignment="1">
      <alignment horizontal="left" vertical="center" wrapText="1"/>
    </xf>
    <xf numFmtId="0" fontId="42" fillId="11" borderId="128" xfId="0" applyFont="1" applyFill="1" applyBorder="1" applyAlignment="1">
      <alignment horizontal="left" vertical="center" wrapText="1"/>
    </xf>
    <xf numFmtId="0" fontId="7" fillId="2" borderId="129" xfId="0" applyFont="1" applyFill="1" applyBorder="1" applyAlignment="1">
      <alignment horizontal="left" vertical="center" wrapText="1"/>
    </xf>
    <xf numFmtId="0" fontId="7" fillId="12" borderId="130" xfId="0" applyFont="1" applyFill="1" applyBorder="1" applyAlignment="1">
      <alignment horizontal="left" vertical="center" wrapText="1"/>
    </xf>
    <xf numFmtId="0" fontId="42" fillId="11" borderId="131" xfId="0" applyFont="1" applyFill="1" applyBorder="1" applyAlignment="1">
      <alignment horizontal="left" vertical="center" wrapText="1"/>
    </xf>
    <xf numFmtId="0" fontId="16" fillId="14" borderId="105" xfId="0" applyFont="1" applyFill="1" applyBorder="1" applyAlignment="1">
      <alignment horizontal="left" vertical="center"/>
    </xf>
    <xf numFmtId="0" fontId="42" fillId="11" borderId="105" xfId="0" applyFont="1" applyFill="1" applyBorder="1" applyAlignment="1">
      <alignment horizontal="left" vertical="center" wrapText="1"/>
    </xf>
    <xf numFmtId="0" fontId="7" fillId="2" borderId="107" xfId="0" applyFont="1" applyFill="1" applyBorder="1" applyAlignment="1">
      <alignment horizontal="left" vertical="center" wrapText="1"/>
    </xf>
    <xf numFmtId="0" fontId="13" fillId="5" borderId="24" xfId="0" applyFont="1" applyFill="1" applyBorder="1" applyAlignment="1">
      <alignment vertical="center" wrapText="1"/>
    </xf>
    <xf numFmtId="0" fontId="42" fillId="21" borderId="22" xfId="0" applyFont="1" applyFill="1" applyBorder="1" applyAlignment="1">
      <alignment vertical="center" wrapText="1"/>
    </xf>
    <xf numFmtId="0" fontId="13" fillId="14" borderId="22" xfId="0" applyFont="1" applyFill="1" applyBorder="1" applyAlignment="1">
      <alignment vertical="center" wrapText="1"/>
    </xf>
    <xf numFmtId="0" fontId="42" fillId="11" borderId="132" xfId="0" applyFont="1" applyFill="1" applyBorder="1" applyAlignment="1">
      <alignment horizontal="left" vertical="center" wrapText="1"/>
    </xf>
    <xf numFmtId="0" fontId="7" fillId="12" borderId="133" xfId="0" applyFont="1" applyFill="1" applyBorder="1" applyAlignment="1">
      <alignment horizontal="left" vertical="center" wrapText="1"/>
    </xf>
    <xf numFmtId="0" fontId="16" fillId="5" borderId="24" xfId="0" applyFont="1" applyFill="1" applyBorder="1" applyAlignment="1">
      <alignment vertical="center" wrapText="1"/>
    </xf>
    <xf numFmtId="0" fontId="7" fillId="48" borderId="24" xfId="0" applyFont="1" applyFill="1" applyBorder="1" applyAlignment="1">
      <alignment horizontal="left" vertical="center" wrapText="1"/>
    </xf>
    <xf numFmtId="0" fontId="13" fillId="11" borderId="27" xfId="0" applyFont="1" applyFill="1" applyBorder="1" applyAlignment="1">
      <alignment horizontal="left" vertical="center" wrapText="1"/>
    </xf>
    <xf numFmtId="0" fontId="7" fillId="11" borderId="42" xfId="0" applyFont="1" applyFill="1" applyBorder="1" applyAlignment="1">
      <alignment horizontal="left" vertical="center" wrapText="1"/>
    </xf>
    <xf numFmtId="2" fontId="7" fillId="22" borderId="27" xfId="0" applyNumberFormat="1" applyFont="1" applyFill="1" applyBorder="1" applyAlignment="1">
      <alignment horizontal="left" vertical="center" wrapText="1"/>
    </xf>
    <xf numFmtId="2" fontId="7" fillId="10" borderId="32" xfId="0" applyNumberFormat="1" applyFont="1" applyFill="1" applyBorder="1" applyAlignment="1">
      <alignment horizontal="left" vertical="center" wrapText="1"/>
    </xf>
    <xf numFmtId="2" fontId="7" fillId="10" borderId="27" xfId="0" applyNumberFormat="1" applyFont="1" applyFill="1" applyBorder="1" applyAlignment="1">
      <alignment horizontal="left" vertical="center" wrapText="1"/>
    </xf>
    <xf numFmtId="0" fontId="42" fillId="11" borderId="113" xfId="0" applyFont="1" applyFill="1" applyBorder="1" applyAlignment="1">
      <alignment horizontal="left" vertical="center" wrapText="1"/>
    </xf>
    <xf numFmtId="0" fontId="7" fillId="12" borderId="134" xfId="0" applyFont="1" applyFill="1" applyBorder="1" applyAlignment="1">
      <alignment horizontal="left" vertical="center" wrapText="1"/>
    </xf>
    <xf numFmtId="0" fontId="42" fillId="11" borderId="134" xfId="0" applyFont="1" applyFill="1" applyBorder="1" applyAlignment="1">
      <alignment vertical="center" wrapText="1"/>
    </xf>
    <xf numFmtId="0" fontId="60" fillId="0" borderId="108" xfId="0" applyFont="1" applyBorder="1" applyAlignment="1">
      <alignment horizontal="left" vertical="center" wrapText="1"/>
    </xf>
    <xf numFmtId="0" fontId="7" fillId="12" borderId="135" xfId="0" applyFont="1" applyFill="1" applyBorder="1" applyAlignment="1">
      <alignment horizontal="left" vertical="center" wrapText="1"/>
    </xf>
    <xf numFmtId="0" fontId="42" fillId="11" borderId="16" xfId="0" applyFont="1" applyFill="1" applyBorder="1" applyAlignment="1">
      <alignment horizontal="left" vertical="center" wrapText="1"/>
    </xf>
    <xf numFmtId="171" fontId="7" fillId="3" borderId="24" xfId="0" applyNumberFormat="1" applyFont="1" applyFill="1" applyBorder="1" applyAlignment="1">
      <alignment horizontal="left" vertical="center" wrapText="1"/>
    </xf>
    <xf numFmtId="0" fontId="7" fillId="11" borderId="27" xfId="0" applyFont="1" applyFill="1" applyBorder="1" applyAlignment="1">
      <alignment horizontal="left" vertical="center" wrapText="1"/>
    </xf>
    <xf numFmtId="0" fontId="42" fillId="11" borderId="103" xfId="0" applyFont="1" applyFill="1" applyBorder="1" applyAlignment="1">
      <alignment vertical="center" wrapText="1"/>
    </xf>
    <xf numFmtId="0" fontId="42" fillId="11" borderId="104" xfId="0" applyFont="1" applyFill="1" applyBorder="1" applyAlignment="1">
      <alignment vertical="center" wrapText="1"/>
    </xf>
    <xf numFmtId="0" fontId="7" fillId="11" borderId="106" xfId="0" applyFont="1" applyFill="1" applyBorder="1" applyAlignment="1">
      <alignment horizontal="left" vertical="center" wrapText="1"/>
    </xf>
    <xf numFmtId="0" fontId="42" fillId="11" borderId="102" xfId="0" applyFont="1" applyFill="1" applyBorder="1" applyAlignment="1">
      <alignment vertical="center" wrapText="1"/>
    </xf>
    <xf numFmtId="0" fontId="42" fillId="11" borderId="118" xfId="0" applyFont="1" applyFill="1" applyBorder="1" applyAlignment="1">
      <alignment vertical="center" wrapText="1"/>
    </xf>
    <xf numFmtId="0" fontId="7" fillId="11" borderId="105" xfId="0" applyFont="1" applyFill="1" applyBorder="1" applyAlignment="1">
      <alignment horizontal="left" vertical="center" wrapText="1"/>
    </xf>
    <xf numFmtId="168" fontId="7" fillId="46" borderId="105" xfId="0" applyNumberFormat="1" applyFont="1" applyFill="1" applyBorder="1" applyAlignment="1">
      <alignment horizontal="left" vertical="center" wrapText="1"/>
    </xf>
    <xf numFmtId="1" fontId="7" fillId="3" borderId="105" xfId="0" applyNumberFormat="1" applyFont="1" applyFill="1" applyBorder="1" applyAlignment="1">
      <alignment horizontal="left" vertical="center" wrapText="1"/>
    </xf>
    <xf numFmtId="0" fontId="42" fillId="11" borderId="106" xfId="0" applyFont="1" applyFill="1" applyBorder="1" applyAlignment="1">
      <alignment horizontal="left" vertical="center" wrapText="1"/>
    </xf>
    <xf numFmtId="2" fontId="7" fillId="46" borderId="105" xfId="0" applyNumberFormat="1" applyFont="1" applyFill="1" applyBorder="1" applyAlignment="1">
      <alignment horizontal="left" vertical="center" wrapText="1"/>
    </xf>
    <xf numFmtId="0" fontId="60" fillId="3" borderId="24" xfId="0" applyFont="1" applyFill="1" applyBorder="1" applyAlignment="1">
      <alignment horizontal="left" vertical="center" wrapText="1"/>
    </xf>
    <xf numFmtId="166" fontId="7" fillId="42" borderId="105" xfId="0" applyNumberFormat="1" applyFont="1" applyFill="1" applyBorder="1" applyAlignment="1">
      <alignment horizontal="left" vertical="center" wrapText="1"/>
    </xf>
    <xf numFmtId="2" fontId="7" fillId="42" borderId="137" xfId="0" applyNumberFormat="1" applyFont="1" applyFill="1" applyBorder="1" applyAlignment="1">
      <alignment horizontal="center" vertical="center" wrapText="1"/>
    </xf>
    <xf numFmtId="4" fontId="7" fillId="7" borderId="138" xfId="0" applyNumberFormat="1" applyFont="1" applyFill="1" applyBorder="1" applyAlignment="1">
      <alignment horizontal="center" vertical="center" wrapText="1"/>
    </xf>
    <xf numFmtId="0" fontId="60" fillId="11" borderId="24" xfId="0" applyFont="1" applyFill="1" applyBorder="1" applyAlignment="1">
      <alignment horizontal="left" vertical="center" wrapText="1"/>
    </xf>
    <xf numFmtId="0" fontId="60" fillId="3" borderId="108" xfId="0" applyFont="1" applyFill="1" applyBorder="1" applyAlignment="1">
      <alignment horizontal="left" vertical="center" wrapText="1"/>
    </xf>
    <xf numFmtId="43" fontId="7" fillId="21" borderId="24" xfId="5" applyFont="1" applyFill="1" applyBorder="1" applyAlignment="1">
      <alignment horizontal="left" vertical="center" wrapText="1"/>
    </xf>
    <xf numFmtId="43" fontId="42" fillId="21" borderId="24" xfId="5" applyFont="1" applyFill="1" applyBorder="1" applyAlignment="1">
      <alignment horizontal="left" vertical="center" wrapText="1"/>
    </xf>
    <xf numFmtId="43" fontId="110" fillId="14" borderId="24" xfId="5" applyFont="1" applyFill="1" applyBorder="1" applyAlignment="1">
      <alignment vertical="center"/>
    </xf>
    <xf numFmtId="43" fontId="110" fillId="14" borderId="24" xfId="5" applyFont="1" applyFill="1" applyBorder="1" applyAlignment="1">
      <alignment horizontal="center" vertical="center"/>
    </xf>
    <xf numFmtId="0" fontId="60" fillId="0" borderId="133" xfId="0" applyFont="1" applyBorder="1" applyAlignment="1">
      <alignment horizontal="left" vertical="center" wrapText="1"/>
    </xf>
    <xf numFmtId="0" fontId="60" fillId="2" borderId="14" xfId="0" applyFont="1" applyFill="1" applyBorder="1" applyAlignment="1">
      <alignment horizontal="left" vertical="center" wrapText="1"/>
    </xf>
    <xf numFmtId="0" fontId="63" fillId="11" borderId="26" xfId="0" applyFont="1" applyFill="1" applyBorder="1" applyAlignment="1">
      <alignment horizontal="left" vertical="center" wrapText="1"/>
    </xf>
    <xf numFmtId="0" fontId="60" fillId="0" borderId="26" xfId="0" applyFont="1" applyBorder="1" applyAlignment="1">
      <alignment horizontal="left" vertical="center" wrapText="1"/>
    </xf>
    <xf numFmtId="43" fontId="7" fillId="2" borderId="24" xfId="5" applyFont="1" applyFill="1" applyBorder="1" applyAlignment="1">
      <alignment horizontal="left" vertical="center" wrapText="1"/>
    </xf>
    <xf numFmtId="182" fontId="110" fillId="75" borderId="0" xfId="5" applyNumberFormat="1" applyFont="1" applyFill="1" applyAlignment="1">
      <alignment vertical="center"/>
    </xf>
    <xf numFmtId="2" fontId="7" fillId="76" borderId="24" xfId="0" applyNumberFormat="1" applyFont="1" applyFill="1" applyBorder="1" applyAlignment="1">
      <alignment horizontal="left" vertical="center" wrapText="1"/>
    </xf>
    <xf numFmtId="173" fontId="7" fillId="3" borderId="24" xfId="0" applyNumberFormat="1" applyFont="1" applyFill="1" applyBorder="1" applyAlignment="1">
      <alignment horizontal="left" vertical="center" wrapText="1"/>
    </xf>
    <xf numFmtId="171" fontId="7" fillId="3" borderId="105" xfId="0" applyNumberFormat="1" applyFont="1" applyFill="1" applyBorder="1" applyAlignment="1">
      <alignment horizontal="left" vertical="center" wrapText="1"/>
    </xf>
    <xf numFmtId="0" fontId="7" fillId="14" borderId="26" xfId="0" applyFont="1" applyFill="1" applyBorder="1" applyAlignment="1">
      <alignment horizontal="center" vertical="top" wrapText="1"/>
    </xf>
    <xf numFmtId="0" fontId="7" fillId="14" borderId="28" xfId="0" applyFont="1" applyFill="1" applyBorder="1" applyAlignment="1">
      <alignment horizontal="center" vertical="top" wrapText="1"/>
    </xf>
    <xf numFmtId="0" fontId="7" fillId="14" borderId="27" xfId="0" applyFont="1" applyFill="1" applyBorder="1" applyAlignment="1">
      <alignment horizontal="center" vertical="top" wrapText="1"/>
    </xf>
    <xf numFmtId="0" fontId="5" fillId="26" borderId="58" xfId="0" applyFont="1" applyFill="1" applyBorder="1" applyAlignment="1">
      <alignment horizontal="center"/>
    </xf>
    <xf numFmtId="0" fontId="5" fillId="26" borderId="22" xfId="0" applyFont="1" applyFill="1" applyBorder="1" applyAlignment="1">
      <alignment horizontal="center"/>
    </xf>
    <xf numFmtId="0" fontId="5" fillId="26" borderId="56" xfId="0" applyFont="1" applyFill="1" applyBorder="1" applyAlignment="1">
      <alignment horizontal="center"/>
    </xf>
    <xf numFmtId="0" fontId="6" fillId="14" borderId="22" xfId="3" applyFont="1" applyFill="1" applyBorder="1" applyAlignment="1" applyProtection="1">
      <alignment horizontal="left" vertical="center"/>
    </xf>
    <xf numFmtId="0" fontId="6" fillId="14" borderId="22" xfId="3" applyFont="1" applyFill="1" applyBorder="1" applyAlignment="1" applyProtection="1">
      <alignment horizontal="left"/>
    </xf>
    <xf numFmtId="0" fontId="5" fillId="29" borderId="59" xfId="0" applyFont="1" applyFill="1" applyBorder="1" applyAlignment="1">
      <alignment horizontal="center"/>
    </xf>
    <xf numFmtId="0" fontId="5" fillId="29" borderId="37" xfId="0" applyFont="1" applyFill="1" applyBorder="1" applyAlignment="1">
      <alignment horizontal="center"/>
    </xf>
    <xf numFmtId="0" fontId="5" fillId="29" borderId="62" xfId="0" applyFont="1" applyFill="1" applyBorder="1" applyAlignment="1">
      <alignment horizontal="center"/>
    </xf>
    <xf numFmtId="0" fontId="7" fillId="33" borderId="58" xfId="0" applyFont="1" applyFill="1" applyBorder="1" applyAlignment="1">
      <alignment horizontal="center"/>
    </xf>
    <xf numFmtId="0" fontId="7" fillId="33" borderId="22" xfId="0" applyFont="1" applyFill="1" applyBorder="1" applyAlignment="1">
      <alignment horizontal="center"/>
    </xf>
    <xf numFmtId="0" fontId="7" fillId="33" borderId="56" xfId="0" applyFont="1" applyFill="1" applyBorder="1" applyAlignment="1">
      <alignment horizontal="center"/>
    </xf>
    <xf numFmtId="0" fontId="5" fillId="29" borderId="60" xfId="0" applyFont="1" applyFill="1" applyBorder="1" applyAlignment="1">
      <alignment horizontal="center"/>
    </xf>
    <xf numFmtId="0" fontId="5" fillId="29" borderId="38" xfId="0" applyFont="1" applyFill="1" applyBorder="1" applyAlignment="1">
      <alignment horizontal="center"/>
    </xf>
    <xf numFmtId="0" fontId="5" fillId="29" borderId="64" xfId="0" applyFont="1" applyFill="1" applyBorder="1" applyAlignment="1">
      <alignment horizontal="center"/>
    </xf>
    <xf numFmtId="0" fontId="4" fillId="33" borderId="58" xfId="0" applyFont="1" applyFill="1" applyBorder="1" applyAlignment="1">
      <alignment horizontal="center" vertical="top"/>
    </xf>
    <xf numFmtId="0" fontId="4" fillId="33" borderId="22" xfId="0" applyFont="1" applyFill="1" applyBorder="1" applyAlignment="1">
      <alignment horizontal="center" vertical="top"/>
    </xf>
    <xf numFmtId="0" fontId="7" fillId="14" borderId="22" xfId="0" applyFont="1" applyFill="1" applyBorder="1" applyAlignment="1">
      <alignment horizontal="left" vertical="top" wrapText="1"/>
    </xf>
    <xf numFmtId="0" fontId="7" fillId="14" borderId="22" xfId="0" applyFont="1" applyFill="1" applyBorder="1" applyAlignment="1">
      <alignment horizontal="left" vertical="top"/>
    </xf>
    <xf numFmtId="0" fontId="7" fillId="14" borderId="56" xfId="0" applyFont="1" applyFill="1" applyBorder="1" applyAlignment="1">
      <alignment horizontal="left" vertical="top"/>
    </xf>
    <xf numFmtId="0" fontId="5" fillId="29" borderId="68" xfId="0" applyFont="1" applyFill="1" applyBorder="1" applyAlignment="1">
      <alignment horizontal="center"/>
    </xf>
    <xf numFmtId="0" fontId="4" fillId="33" borderId="55" xfId="0" applyFont="1" applyFill="1" applyBorder="1" applyAlignment="1">
      <alignment horizontal="center" vertical="top"/>
    </xf>
    <xf numFmtId="0" fontId="4" fillId="33" borderId="54" xfId="0" applyFont="1" applyFill="1" applyBorder="1" applyAlignment="1">
      <alignment horizontal="center" vertical="top"/>
    </xf>
    <xf numFmtId="0" fontId="7" fillId="14" borderId="40" xfId="0" applyFont="1" applyFill="1" applyBorder="1" applyAlignment="1">
      <alignment horizontal="left" vertical="top" wrapText="1"/>
    </xf>
    <xf numFmtId="0" fontId="7" fillId="14" borderId="57" xfId="0" applyFont="1" applyFill="1" applyBorder="1" applyAlignment="1">
      <alignment horizontal="left" vertical="top" wrapText="1"/>
    </xf>
    <xf numFmtId="0" fontId="7" fillId="14" borderId="63" xfId="0" applyFont="1" applyFill="1" applyBorder="1" applyAlignment="1">
      <alignment horizontal="left" vertical="top" wrapText="1"/>
    </xf>
    <xf numFmtId="0" fontId="7" fillId="14" borderId="70" xfId="0" applyFont="1" applyFill="1" applyBorder="1" applyAlignment="1">
      <alignment horizontal="left" vertical="top" wrapText="1"/>
    </xf>
    <xf numFmtId="0" fontId="7" fillId="14" borderId="66" xfId="0" applyFont="1" applyFill="1" applyBorder="1" applyAlignment="1">
      <alignment horizontal="left" vertical="top" wrapText="1"/>
    </xf>
    <xf numFmtId="0" fontId="7" fillId="14" borderId="67" xfId="0" applyFont="1" applyFill="1" applyBorder="1" applyAlignment="1">
      <alignment horizontal="left" vertical="top" wrapText="1"/>
    </xf>
    <xf numFmtId="0" fontId="5" fillId="27" borderId="61" xfId="0" applyFont="1" applyFill="1" applyBorder="1" applyAlignment="1">
      <alignment horizontal="center"/>
    </xf>
    <xf numFmtId="0" fontId="5" fillId="27" borderId="39" xfId="0" applyFont="1" applyFill="1" applyBorder="1" applyAlignment="1">
      <alignment horizontal="center"/>
    </xf>
    <xf numFmtId="0" fontId="5" fillId="27" borderId="65" xfId="0" applyFont="1" applyFill="1" applyBorder="1" applyAlignment="1">
      <alignment horizontal="center"/>
    </xf>
    <xf numFmtId="0" fontId="5" fillId="29" borderId="69" xfId="0" applyFont="1" applyFill="1" applyBorder="1" applyAlignment="1">
      <alignment horizontal="center"/>
    </xf>
    <xf numFmtId="0" fontId="7" fillId="14" borderId="56" xfId="0" applyFont="1" applyFill="1" applyBorder="1" applyAlignment="1">
      <alignment horizontal="left" vertical="top" wrapText="1"/>
    </xf>
    <xf numFmtId="0" fontId="24" fillId="18" borderId="24" xfId="0" applyFont="1" applyFill="1" applyBorder="1" applyAlignment="1">
      <alignment vertical="top" wrapText="1"/>
    </xf>
    <xf numFmtId="0" fontId="23" fillId="29" borderId="58" xfId="0" applyFont="1" applyFill="1" applyBorder="1" applyAlignment="1">
      <alignment horizontal="center"/>
    </xf>
    <xf numFmtId="0" fontId="23" fillId="29" borderId="22" xfId="0" applyFont="1" applyFill="1" applyBorder="1" applyAlignment="1">
      <alignment horizontal="center"/>
    </xf>
    <xf numFmtId="0" fontId="23" fillId="29" borderId="56" xfId="0" applyFont="1" applyFill="1" applyBorder="1" applyAlignment="1">
      <alignment horizontal="center"/>
    </xf>
    <xf numFmtId="0" fontId="6" fillId="24" borderId="58" xfId="0" applyFont="1" applyFill="1" applyBorder="1" applyAlignment="1">
      <alignment horizontal="center"/>
    </xf>
    <xf numFmtId="0" fontId="6" fillId="24" borderId="22" xfId="0" applyFont="1" applyFill="1" applyBorder="1" applyAlignment="1">
      <alignment horizontal="center"/>
    </xf>
    <xf numFmtId="0" fontId="6" fillId="24" borderId="56" xfId="0" applyFont="1" applyFill="1" applyBorder="1" applyAlignment="1">
      <alignment horizontal="center"/>
    </xf>
    <xf numFmtId="49" fontId="7" fillId="24" borderId="58" xfId="0" applyNumberFormat="1" applyFont="1" applyFill="1" applyBorder="1" applyAlignment="1">
      <alignment horizontal="left" vertical="center" wrapText="1"/>
    </xf>
    <xf numFmtId="49" fontId="7" fillId="24" borderId="22" xfId="0" applyNumberFormat="1" applyFont="1" applyFill="1" applyBorder="1" applyAlignment="1">
      <alignment horizontal="left" vertical="center"/>
    </xf>
    <xf numFmtId="49" fontId="7" fillId="24" borderId="56" xfId="0" applyNumberFormat="1" applyFont="1" applyFill="1" applyBorder="1" applyAlignment="1">
      <alignment horizontal="left" vertical="center"/>
    </xf>
    <xf numFmtId="49" fontId="7" fillId="24" borderId="58" xfId="0" applyNumberFormat="1" applyFont="1" applyFill="1" applyBorder="1" applyAlignment="1">
      <alignment horizontal="left" vertical="center"/>
    </xf>
    <xf numFmtId="0" fontId="7" fillId="24" borderId="22" xfId="0" applyFont="1" applyFill="1" applyBorder="1" applyAlignment="1">
      <alignment horizontal="left" vertical="top"/>
    </xf>
    <xf numFmtId="0" fontId="7" fillId="24" borderId="56" xfId="0" applyFont="1" applyFill="1" applyBorder="1" applyAlignment="1">
      <alignment horizontal="left" vertical="top"/>
    </xf>
    <xf numFmtId="0" fontId="7" fillId="24" borderId="22" xfId="0" applyFont="1" applyFill="1" applyBorder="1" applyAlignment="1">
      <alignment horizontal="left" vertical="top" wrapText="1"/>
    </xf>
    <xf numFmtId="0" fontId="7" fillId="24" borderId="56" xfId="0" applyFont="1" applyFill="1" applyBorder="1" applyAlignment="1">
      <alignment horizontal="left" vertical="top" wrapText="1"/>
    </xf>
    <xf numFmtId="0" fontId="6" fillId="0" borderId="22" xfId="3" applyFont="1" applyFill="1" applyBorder="1" applyAlignment="1" applyProtection="1">
      <alignment horizontal="left" vertical="center"/>
    </xf>
    <xf numFmtId="0" fontId="5" fillId="28" borderId="58" xfId="0" applyFont="1" applyFill="1" applyBorder="1" applyAlignment="1">
      <alignment horizontal="center"/>
    </xf>
    <xf numFmtId="0" fontId="5" fillId="28" borderId="22" xfId="0" applyFont="1" applyFill="1" applyBorder="1" applyAlignment="1">
      <alignment horizontal="center"/>
    </xf>
    <xf numFmtId="0" fontId="5" fillId="28" borderId="56" xfId="0" applyFont="1" applyFill="1" applyBorder="1" applyAlignment="1">
      <alignment horizontal="center"/>
    </xf>
    <xf numFmtId="0" fontId="1" fillId="14" borderId="31" xfId="0" applyFont="1" applyFill="1" applyBorder="1" applyAlignment="1">
      <alignment horizontal="center"/>
    </xf>
    <xf numFmtId="0" fontId="0" fillId="14" borderId="31" xfId="0" applyFill="1" applyBorder="1" applyAlignment="1">
      <alignment horizontal="center"/>
    </xf>
    <xf numFmtId="0" fontId="0" fillId="14" borderId="32" xfId="0" applyFill="1" applyBorder="1" applyAlignment="1">
      <alignment horizontal="center"/>
    </xf>
    <xf numFmtId="0" fontId="1" fillId="14" borderId="22" xfId="0" applyFont="1" applyFill="1" applyBorder="1" applyAlignment="1">
      <alignment horizontal="center"/>
    </xf>
    <xf numFmtId="0" fontId="1" fillId="14" borderId="91" xfId="0" applyFont="1" applyFill="1" applyBorder="1" applyAlignment="1">
      <alignment horizontal="center"/>
    </xf>
    <xf numFmtId="0" fontId="1" fillId="14" borderId="42" xfId="0" applyFont="1" applyFill="1" applyBorder="1" applyAlignment="1">
      <alignment horizontal="center"/>
    </xf>
    <xf numFmtId="0" fontId="0" fillId="14" borderId="22" xfId="0" applyFill="1" applyBorder="1" applyAlignment="1">
      <alignment horizontal="center"/>
    </xf>
    <xf numFmtId="0" fontId="0" fillId="14" borderId="36" xfId="0" applyFill="1" applyBorder="1" applyAlignment="1">
      <alignment horizontal="center"/>
    </xf>
    <xf numFmtId="0" fontId="5" fillId="38" borderId="68" xfId="3" applyFont="1" applyFill="1" applyBorder="1" applyAlignment="1" applyProtection="1">
      <alignment horizontal="center"/>
    </xf>
    <xf numFmtId="0" fontId="5" fillId="34" borderId="99" xfId="3" applyFont="1" applyFill="1" applyBorder="1" applyAlignment="1" applyProtection="1">
      <alignment horizontal="center"/>
    </xf>
    <xf numFmtId="0" fontId="5" fillId="34" borderId="100" xfId="3" applyFont="1" applyFill="1" applyBorder="1" applyAlignment="1" applyProtection="1">
      <alignment horizontal="center"/>
    </xf>
    <xf numFmtId="0" fontId="5" fillId="34" borderId="101" xfId="3" applyFont="1" applyFill="1" applyBorder="1" applyAlignment="1" applyProtection="1">
      <alignment horizontal="center"/>
    </xf>
    <xf numFmtId="0" fontId="24" fillId="39" borderId="24" xfId="0" applyFont="1" applyFill="1" applyBorder="1" applyAlignment="1">
      <alignment horizontal="center" vertical="center" wrapText="1"/>
    </xf>
    <xf numFmtId="0" fontId="27" fillId="39" borderId="24" xfId="0" applyFont="1" applyFill="1" applyBorder="1" applyAlignment="1">
      <alignment horizontal="center" vertical="center" wrapText="1"/>
    </xf>
    <xf numFmtId="0" fontId="27" fillId="39" borderId="24" xfId="0" applyFont="1" applyFill="1" applyBorder="1" applyAlignment="1">
      <alignment horizontal="center" vertical="center"/>
    </xf>
    <xf numFmtId="0" fontId="27" fillId="39" borderId="41" xfId="0" applyFont="1" applyFill="1" applyBorder="1" applyAlignment="1">
      <alignment horizontal="center" vertical="center"/>
    </xf>
    <xf numFmtId="0" fontId="27" fillId="39" borderId="42" xfId="0" applyFont="1" applyFill="1" applyBorder="1" applyAlignment="1">
      <alignment horizontal="center" vertical="center"/>
    </xf>
    <xf numFmtId="0" fontId="27" fillId="39" borderId="30" xfId="0" applyFont="1" applyFill="1" applyBorder="1" applyAlignment="1">
      <alignment horizontal="center" vertical="center"/>
    </xf>
    <xf numFmtId="0" fontId="27" fillId="39" borderId="32" xfId="0" applyFont="1" applyFill="1" applyBorder="1" applyAlignment="1">
      <alignment horizontal="center" vertical="center"/>
    </xf>
    <xf numFmtId="0" fontId="27" fillId="39" borderId="29" xfId="0" applyFont="1" applyFill="1" applyBorder="1" applyAlignment="1">
      <alignment horizontal="center" vertical="center"/>
    </xf>
    <xf numFmtId="0" fontId="27" fillId="39" borderId="33" xfId="0" applyFont="1" applyFill="1" applyBorder="1" applyAlignment="1">
      <alignment horizontal="center" vertical="center"/>
    </xf>
    <xf numFmtId="0" fontId="27" fillId="39" borderId="41" xfId="0" applyFont="1" applyFill="1" applyBorder="1" applyAlignment="1">
      <alignment horizontal="center" vertical="center" wrapText="1"/>
    </xf>
    <xf numFmtId="0" fontId="27" fillId="39" borderId="30" xfId="0" applyFont="1" applyFill="1" applyBorder="1" applyAlignment="1">
      <alignment horizontal="center" vertical="center" wrapText="1"/>
    </xf>
    <xf numFmtId="0" fontId="16" fillId="14" borderId="26" xfId="0" applyFont="1" applyFill="1" applyBorder="1" applyAlignment="1">
      <alignment horizontal="center" vertical="center" wrapText="1"/>
    </xf>
    <xf numFmtId="0" fontId="16" fillId="14" borderId="27" xfId="0" applyFont="1" applyFill="1" applyBorder="1" applyAlignment="1">
      <alignment horizontal="center" vertical="center" wrapText="1"/>
    </xf>
    <xf numFmtId="0" fontId="30" fillId="0" borderId="26" xfId="0" applyFont="1" applyBorder="1" applyAlignment="1">
      <alignment horizontal="center"/>
    </xf>
    <xf numFmtId="0" fontId="30" fillId="0" borderId="27" xfId="0" applyFont="1" applyBorder="1" applyAlignment="1">
      <alignment horizontal="center"/>
    </xf>
    <xf numFmtId="0" fontId="24" fillId="39" borderId="24" xfId="0" applyFont="1" applyFill="1" applyBorder="1" applyAlignment="1">
      <alignment horizontal="center" vertical="center"/>
    </xf>
    <xf numFmtId="0" fontId="30" fillId="0" borderId="22" xfId="0" applyFont="1" applyBorder="1" applyAlignment="1" applyProtection="1">
      <alignment horizontal="center"/>
      <protection locked="0"/>
    </xf>
    <xf numFmtId="0" fontId="30" fillId="0" borderId="24" xfId="0" applyFont="1" applyBorder="1" applyAlignment="1">
      <alignment horizontal="center"/>
    </xf>
    <xf numFmtId="0" fontId="16" fillId="14" borderId="26" xfId="0" applyFont="1" applyFill="1" applyBorder="1" applyAlignment="1">
      <alignment horizontal="center" vertical="center"/>
    </xf>
    <xf numFmtId="0" fontId="16" fillId="14" borderId="27" xfId="0" applyFont="1" applyFill="1" applyBorder="1" applyAlignment="1">
      <alignment horizontal="center" vertical="center"/>
    </xf>
    <xf numFmtId="0" fontId="28" fillId="18" borderId="0" xfId="0" applyFont="1" applyFill="1" applyAlignment="1">
      <alignment horizontal="center" vertical="center" wrapText="1"/>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24" xfId="0" applyFont="1" applyBorder="1" applyAlignment="1" applyProtection="1">
      <alignment horizontal="center" vertical="center" wrapText="1"/>
      <protection locked="0"/>
    </xf>
    <xf numFmtId="0" fontId="9" fillId="20"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4" xfId="0" applyFont="1" applyFill="1" applyBorder="1" applyAlignment="1">
      <alignment horizontal="center" vertical="center" wrapText="1"/>
    </xf>
    <xf numFmtId="0" fontId="10" fillId="0" borderId="29"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14"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2" fillId="19" borderId="14" xfId="0" applyFont="1" applyFill="1" applyBorder="1" applyAlignment="1">
      <alignment horizontal="left" vertical="center" wrapText="1"/>
    </xf>
    <xf numFmtId="0" fontId="12" fillId="19" borderId="13" xfId="0" applyFont="1" applyFill="1" applyBorder="1" applyAlignment="1">
      <alignment horizontal="left" vertical="center" wrapText="1"/>
    </xf>
    <xf numFmtId="0" fontId="32" fillId="30" borderId="0" xfId="0" applyFont="1" applyFill="1" applyAlignment="1">
      <alignment horizontal="left" wrapText="1"/>
    </xf>
    <xf numFmtId="0" fontId="34" fillId="31" borderId="43" xfId="0" applyFont="1" applyFill="1" applyBorder="1" applyAlignment="1">
      <alignment horizontal="center" vertical="center" wrapText="1"/>
    </xf>
    <xf numFmtId="0" fontId="34" fillId="31" borderId="44" xfId="0" applyFont="1" applyFill="1" applyBorder="1" applyAlignment="1">
      <alignment horizontal="center" vertical="center" wrapText="1"/>
    </xf>
    <xf numFmtId="0" fontId="34" fillId="31" borderId="46" xfId="0" applyFont="1" applyFill="1" applyBorder="1" applyAlignment="1">
      <alignment horizontal="center" vertical="center" wrapText="1"/>
    </xf>
    <xf numFmtId="0" fontId="34" fillId="31" borderId="47" xfId="0" applyFont="1" applyFill="1" applyBorder="1" applyAlignment="1">
      <alignment horizontal="center" vertical="center" wrapText="1"/>
    </xf>
    <xf numFmtId="0" fontId="34" fillId="31" borderId="48" xfId="0" applyFont="1" applyFill="1" applyBorder="1" applyAlignment="1">
      <alignment horizontal="center" vertical="center" wrapText="1"/>
    </xf>
    <xf numFmtId="0" fontId="34" fillId="31" borderId="49" xfId="0" applyFont="1" applyFill="1" applyBorder="1" applyAlignment="1">
      <alignment horizontal="center" vertical="center" wrapText="1"/>
    </xf>
    <xf numFmtId="0" fontId="34" fillId="29" borderId="96" xfId="0" applyFont="1" applyFill="1" applyBorder="1" applyAlignment="1">
      <alignment horizontal="center" wrapText="1"/>
    </xf>
    <xf numFmtId="0" fontId="34" fillId="29" borderId="97" xfId="0" applyFont="1" applyFill="1" applyBorder="1" applyAlignment="1">
      <alignment horizontal="center" wrapText="1"/>
    </xf>
    <xf numFmtId="0" fontId="34" fillId="29" borderId="80" xfId="0" applyFont="1" applyFill="1" applyBorder="1" applyAlignment="1">
      <alignment horizontal="center" wrapText="1"/>
    </xf>
    <xf numFmtId="0" fontId="34" fillId="29" borderId="82" xfId="0" applyFont="1" applyFill="1" applyBorder="1" applyAlignment="1">
      <alignment horizontal="center" wrapText="1"/>
    </xf>
    <xf numFmtId="0" fontId="34" fillId="29" borderId="81" xfId="0" applyFont="1" applyFill="1" applyBorder="1" applyAlignment="1">
      <alignment horizontal="center" wrapText="1"/>
    </xf>
    <xf numFmtId="0" fontId="40" fillId="26" borderId="43" xfId="0" applyFont="1" applyFill="1" applyBorder="1" applyAlignment="1">
      <alignment horizontal="center" vertical="center" wrapText="1"/>
    </xf>
    <xf numFmtId="0" fontId="40" fillId="26" borderId="44" xfId="0" applyFont="1" applyFill="1" applyBorder="1" applyAlignment="1">
      <alignment horizontal="center" vertical="center" wrapText="1"/>
    </xf>
    <xf numFmtId="0" fontId="40" fillId="26" borderId="46" xfId="0" applyFont="1" applyFill="1" applyBorder="1" applyAlignment="1">
      <alignment horizontal="center" vertical="center" wrapText="1"/>
    </xf>
    <xf numFmtId="0" fontId="40" fillId="26" borderId="47" xfId="0" applyFont="1" applyFill="1" applyBorder="1" applyAlignment="1">
      <alignment horizontal="center" vertical="center" wrapText="1"/>
    </xf>
    <xf numFmtId="0" fontId="40" fillId="26" borderId="48" xfId="0" applyFont="1" applyFill="1" applyBorder="1" applyAlignment="1">
      <alignment horizontal="center" vertical="center" wrapText="1"/>
    </xf>
    <xf numFmtId="0" fontId="40" fillId="26" borderId="49" xfId="0" applyFont="1" applyFill="1" applyBorder="1" applyAlignment="1">
      <alignment horizontal="center" vertical="center" wrapText="1"/>
    </xf>
    <xf numFmtId="0" fontId="23" fillId="29" borderId="22" xfId="0" applyFont="1" applyFill="1" applyBorder="1" applyAlignment="1">
      <alignment horizontal="center" wrapText="1"/>
    </xf>
    <xf numFmtId="0" fontId="40" fillId="27" borderId="46" xfId="0" applyFont="1" applyFill="1" applyBorder="1" applyAlignment="1">
      <alignment horizontal="center" vertical="center" wrapText="1"/>
    </xf>
    <xf numFmtId="0" fontId="40" fillId="27" borderId="47" xfId="0" applyFont="1" applyFill="1" applyBorder="1" applyAlignment="1">
      <alignment horizontal="center" vertical="center" wrapText="1"/>
    </xf>
    <xf numFmtId="0" fontId="40" fillId="27" borderId="48" xfId="0" applyFont="1" applyFill="1" applyBorder="1" applyAlignment="1">
      <alignment horizontal="center" vertical="center" wrapText="1"/>
    </xf>
    <xf numFmtId="0" fontId="40" fillId="27" borderId="49" xfId="0" applyFont="1" applyFill="1" applyBorder="1" applyAlignment="1">
      <alignment horizontal="center" vertical="center" wrapText="1"/>
    </xf>
    <xf numFmtId="0" fontId="40" fillId="28" borderId="43" xfId="0" applyFont="1" applyFill="1" applyBorder="1" applyAlignment="1">
      <alignment horizontal="center" vertical="center" wrapText="1"/>
    </xf>
    <xf numFmtId="0" fontId="40" fillId="28" borderId="44" xfId="0" applyFont="1" applyFill="1" applyBorder="1" applyAlignment="1">
      <alignment horizontal="center" vertical="center" wrapText="1"/>
    </xf>
    <xf numFmtId="0" fontId="40" fillId="28" borderId="48" xfId="0" applyFont="1" applyFill="1" applyBorder="1" applyAlignment="1">
      <alignment horizontal="center" vertical="center" wrapText="1"/>
    </xf>
    <xf numFmtId="0" fontId="40" fillId="28" borderId="49" xfId="0" applyFont="1" applyFill="1" applyBorder="1" applyAlignment="1">
      <alignment horizontal="center" vertical="center" wrapText="1"/>
    </xf>
    <xf numFmtId="0" fontId="22" fillId="0" borderId="71" xfId="0" applyFont="1" applyBorder="1" applyAlignment="1">
      <alignment horizontal="left" wrapText="1"/>
    </xf>
    <xf numFmtId="0" fontId="22" fillId="0" borderId="72" xfId="0" applyFont="1" applyBorder="1" applyAlignment="1">
      <alignment horizontal="left" wrapText="1"/>
    </xf>
    <xf numFmtId="0" fontId="22" fillId="0" borderId="85" xfId="0" applyFont="1" applyBorder="1" applyAlignment="1">
      <alignment horizontal="left" wrapText="1"/>
    </xf>
    <xf numFmtId="0" fontId="22" fillId="0" borderId="87" xfId="0" applyFont="1" applyBorder="1" applyAlignment="1">
      <alignment horizontal="left" wrapText="1"/>
    </xf>
    <xf numFmtId="0" fontId="22" fillId="29" borderId="77" xfId="0" applyFont="1" applyFill="1" applyBorder="1" applyAlignment="1">
      <alignment horizontal="center" wrapText="1"/>
    </xf>
    <xf numFmtId="0" fontId="22" fillId="29" borderId="78" xfId="0" applyFont="1" applyFill="1" applyBorder="1" applyAlignment="1">
      <alignment horizontal="center" wrapText="1"/>
    </xf>
    <xf numFmtId="0" fontId="22" fillId="29" borderId="76" xfId="0" applyFont="1" applyFill="1" applyBorder="1" applyAlignment="1">
      <alignment horizontal="center" wrapText="1"/>
    </xf>
    <xf numFmtId="0" fontId="22" fillId="37" borderId="73" xfId="0" applyFont="1" applyFill="1" applyBorder="1" applyAlignment="1">
      <alignment horizontal="center" wrapText="1"/>
    </xf>
    <xf numFmtId="0" fontId="22" fillId="37" borderId="84" xfId="0" applyFont="1" applyFill="1" applyBorder="1" applyAlignment="1">
      <alignment horizontal="center" wrapText="1"/>
    </xf>
    <xf numFmtId="0" fontId="32" fillId="37" borderId="50" xfId="0" applyFont="1" applyFill="1" applyBorder="1" applyAlignment="1">
      <alignment horizontal="center" wrapText="1"/>
    </xf>
    <xf numFmtId="0" fontId="32" fillId="37" borderId="51" xfId="0" applyFont="1" applyFill="1" applyBorder="1" applyAlignment="1">
      <alignment horizontal="center" wrapText="1"/>
    </xf>
    <xf numFmtId="0" fontId="22" fillId="29" borderId="50" xfId="0" applyFont="1" applyFill="1" applyBorder="1" applyAlignment="1">
      <alignment horizontal="center" wrapText="1"/>
    </xf>
    <xf numFmtId="0" fontId="22" fillId="29" borderId="52" xfId="0" applyFont="1" applyFill="1" applyBorder="1" applyAlignment="1">
      <alignment horizontal="center" wrapText="1"/>
    </xf>
    <xf numFmtId="0" fontId="22" fillId="29" borderId="51" xfId="0" applyFont="1" applyFill="1" applyBorder="1" applyAlignment="1">
      <alignment horizontal="center" wrapText="1"/>
    </xf>
    <xf numFmtId="0" fontId="22" fillId="37" borderId="85" xfId="0" applyFont="1" applyFill="1" applyBorder="1" applyAlignment="1">
      <alignment horizontal="center" wrapText="1"/>
    </xf>
    <xf numFmtId="0" fontId="22" fillId="37" borderId="49" xfId="0" applyFont="1" applyFill="1" applyBorder="1" applyAlignment="1">
      <alignment horizontal="center" wrapText="1"/>
    </xf>
    <xf numFmtId="0" fontId="7" fillId="0" borderId="29"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13" fillId="7" borderId="29"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31" fillId="0" borderId="22" xfId="0" applyFont="1" applyBorder="1" applyAlignment="1" applyProtection="1">
      <alignment horizontal="left" vertical="center" wrapText="1"/>
      <protection locked="0"/>
    </xf>
    <xf numFmtId="0" fontId="43" fillId="0" borderId="22" xfId="0" applyFont="1" applyBorder="1" applyAlignment="1" applyProtection="1">
      <alignment horizontal="left" vertical="center" wrapText="1"/>
      <protection locked="0"/>
    </xf>
    <xf numFmtId="0" fontId="31" fillId="5" borderId="22" xfId="0" applyFont="1" applyFill="1" applyBorder="1" applyAlignment="1">
      <alignment horizontal="left" vertical="center" wrapText="1"/>
    </xf>
    <xf numFmtId="0" fontId="13" fillId="7" borderId="24" xfId="0" applyFont="1" applyFill="1" applyBorder="1" applyAlignment="1">
      <alignment horizontal="left" vertical="center" wrapText="1"/>
    </xf>
    <xf numFmtId="0" fontId="14" fillId="7" borderId="24" xfId="0" applyFont="1" applyFill="1" applyBorder="1" applyAlignment="1">
      <alignment horizontal="left" vertical="center" wrapText="1"/>
    </xf>
    <xf numFmtId="0" fontId="13" fillId="7" borderId="111" xfId="0" applyFont="1" applyFill="1" applyBorder="1" applyAlignment="1">
      <alignment horizontal="center" vertical="center" wrapText="1"/>
    </xf>
    <xf numFmtId="0" fontId="13" fillId="7" borderId="112" xfId="0" applyFont="1" applyFill="1" applyBorder="1" applyAlignment="1">
      <alignment horizontal="center" vertical="center" wrapText="1"/>
    </xf>
    <xf numFmtId="0" fontId="13" fillId="7" borderId="113" xfId="0" applyFont="1" applyFill="1" applyBorder="1" applyAlignment="1">
      <alignment horizontal="center" vertical="center" wrapText="1"/>
    </xf>
    <xf numFmtId="0" fontId="14" fillId="7" borderId="105" xfId="0" applyFont="1" applyFill="1" applyBorder="1" applyAlignment="1">
      <alignment horizontal="left" vertical="center" wrapText="1"/>
    </xf>
    <xf numFmtId="0" fontId="14" fillId="7" borderId="110"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3" fillId="7" borderId="136" xfId="0" applyFont="1" applyFill="1" applyBorder="1" applyAlignment="1">
      <alignment horizontal="left" vertical="center" wrapText="1"/>
    </xf>
    <xf numFmtId="0" fontId="14" fillId="7" borderId="137" xfId="0" applyFont="1" applyFill="1" applyBorder="1" applyAlignment="1">
      <alignment horizontal="left" vertical="center" wrapText="1"/>
    </xf>
    <xf numFmtId="0" fontId="14" fillId="7" borderId="26" xfId="0" applyFont="1" applyFill="1" applyBorder="1" applyAlignment="1">
      <alignment horizontal="center" vertical="center" wrapText="1"/>
    </xf>
    <xf numFmtId="0" fontId="7" fillId="0" borderId="2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8" fillId="0" borderId="29" xfId="0" applyFont="1" applyBorder="1" applyAlignment="1">
      <alignment horizontal="left" vertical="center" wrapText="1"/>
    </xf>
    <xf numFmtId="0" fontId="8" fillId="0" borderId="34" xfId="0" applyFont="1" applyBorder="1" applyAlignment="1">
      <alignment horizontal="left" vertical="center" wrapText="1"/>
    </xf>
    <xf numFmtId="0" fontId="8" fillId="0" borderId="33" xfId="0" applyFont="1" applyBorder="1" applyAlignment="1">
      <alignment horizontal="left" vertical="center" wrapText="1"/>
    </xf>
    <xf numFmtId="0" fontId="40" fillId="7" borderId="24" xfId="0" applyFont="1" applyFill="1" applyBorder="1" applyAlignment="1">
      <alignment horizontal="left" vertical="center" wrapText="1"/>
    </xf>
    <xf numFmtId="0" fontId="13" fillId="7" borderId="41" xfId="0" applyFont="1" applyFill="1" applyBorder="1" applyAlignment="1">
      <alignment horizontal="left" vertical="center" wrapText="1"/>
    </xf>
    <xf numFmtId="0" fontId="13" fillId="7" borderId="42" xfId="0" applyFont="1" applyFill="1" applyBorder="1" applyAlignment="1">
      <alignment horizontal="left" vertical="center" wrapText="1"/>
    </xf>
    <xf numFmtId="0" fontId="13" fillId="7" borderId="30" xfId="0" applyFont="1" applyFill="1" applyBorder="1" applyAlignment="1">
      <alignment horizontal="left" vertical="center" wrapText="1"/>
    </xf>
    <xf numFmtId="0" fontId="13" fillId="7" borderId="32" xfId="0" applyFont="1" applyFill="1" applyBorder="1" applyAlignment="1">
      <alignment horizontal="left" vertical="center" wrapText="1"/>
    </xf>
    <xf numFmtId="0" fontId="8" fillId="0" borderId="24" xfId="0" applyFont="1" applyBorder="1" applyAlignment="1">
      <alignment horizontal="left" vertical="center" wrapText="1"/>
    </xf>
    <xf numFmtId="0" fontId="22" fillId="0" borderId="24" xfId="0" applyFont="1" applyBorder="1" applyAlignment="1">
      <alignment horizontal="left" vertical="center" wrapText="1"/>
    </xf>
    <xf numFmtId="0" fontId="14" fillId="0" borderId="22" xfId="0" applyFont="1" applyBorder="1" applyAlignment="1">
      <alignment horizontal="left" vertical="center" wrapText="1"/>
    </xf>
    <xf numFmtId="0" fontId="13" fillId="7" borderId="26" xfId="0" applyFont="1" applyFill="1" applyBorder="1" applyAlignment="1">
      <alignment horizontal="left" vertical="center" wrapText="1"/>
    </xf>
    <xf numFmtId="0" fontId="13" fillId="7" borderId="28" xfId="0" applyFont="1" applyFill="1" applyBorder="1" applyAlignment="1">
      <alignment horizontal="left" vertical="center" wrapText="1"/>
    </xf>
    <xf numFmtId="0" fontId="13" fillId="7" borderId="27" xfId="0" applyFont="1" applyFill="1" applyBorder="1" applyAlignment="1">
      <alignment horizontal="left" vertical="center" wrapText="1"/>
    </xf>
    <xf numFmtId="0" fontId="7" fillId="0" borderId="29" xfId="2" applyFont="1" applyBorder="1" applyAlignment="1">
      <alignment horizontal="left" vertical="center"/>
    </xf>
    <xf numFmtId="0" fontId="7" fillId="0" borderId="34" xfId="2" applyFont="1" applyBorder="1" applyAlignment="1">
      <alignment horizontal="left" vertical="center"/>
    </xf>
    <xf numFmtId="0" fontId="7" fillId="0" borderId="33" xfId="2" applyFont="1" applyBorder="1" applyAlignment="1">
      <alignment horizontal="left" vertical="center"/>
    </xf>
    <xf numFmtId="0" fontId="13" fillId="7" borderId="26" xfId="2" applyFont="1" applyFill="1" applyBorder="1" applyAlignment="1">
      <alignment horizontal="center" vertical="center"/>
    </xf>
    <xf numFmtId="0" fontId="13" fillId="7" borderId="28" xfId="2" applyFont="1" applyFill="1" applyBorder="1" applyAlignment="1">
      <alignment horizontal="center" vertical="center"/>
    </xf>
    <xf numFmtId="0" fontId="13" fillId="7" borderId="24" xfId="2" applyFont="1" applyFill="1" applyBorder="1" applyAlignment="1">
      <alignment horizontal="center" vertical="center"/>
    </xf>
    <xf numFmtId="0" fontId="40" fillId="7" borderId="29" xfId="2" applyFont="1" applyFill="1" applyBorder="1" applyAlignment="1">
      <alignment vertical="center"/>
    </xf>
    <xf numFmtId="0" fontId="40" fillId="7" borderId="24" xfId="2" applyFont="1" applyFill="1" applyBorder="1" applyAlignment="1">
      <alignment vertical="center"/>
    </xf>
    <xf numFmtId="0" fontId="13" fillId="7" borderId="27" xfId="2" applyFont="1" applyFill="1" applyBorder="1" applyAlignment="1">
      <alignment horizontal="center" vertical="center"/>
    </xf>
    <xf numFmtId="0" fontId="13" fillId="7" borderId="29" xfId="2" applyFont="1" applyFill="1" applyBorder="1" applyAlignment="1">
      <alignment horizontal="center" vertical="center"/>
    </xf>
    <xf numFmtId="0" fontId="13" fillId="7" borderId="33" xfId="2" applyFont="1" applyFill="1" applyBorder="1" applyAlignment="1">
      <alignment horizontal="center" vertical="center"/>
    </xf>
    <xf numFmtId="0" fontId="40" fillId="7" borderId="30" xfId="2" applyFont="1" applyFill="1" applyBorder="1" applyAlignment="1">
      <alignment horizontal="center" vertical="center"/>
    </xf>
    <xf numFmtId="0" fontId="40" fillId="7" borderId="31" xfId="2" applyFont="1" applyFill="1" applyBorder="1" applyAlignment="1">
      <alignment horizontal="center" vertical="center"/>
    </xf>
    <xf numFmtId="0" fontId="5" fillId="8" borderId="22" xfId="2" applyFont="1" applyFill="1" applyAlignment="1">
      <alignment horizontal="left" vertical="center"/>
    </xf>
    <xf numFmtId="0" fontId="22" fillId="6" borderId="22" xfId="2" applyFont="1" applyFill="1"/>
    <xf numFmtId="0" fontId="47" fillId="10" borderId="22" xfId="2" applyFont="1" applyFill="1" applyAlignment="1">
      <alignment horizontal="left" vertical="center" wrapText="1"/>
    </xf>
    <xf numFmtId="0" fontId="40" fillId="7" borderId="26" xfId="2" applyFont="1" applyFill="1" applyBorder="1" applyAlignment="1">
      <alignment horizontal="center" vertical="center"/>
    </xf>
    <xf numFmtId="0" fontId="40" fillId="7" borderId="28" xfId="2" applyFont="1" applyFill="1" applyBorder="1" applyAlignment="1">
      <alignment horizontal="center" vertical="center"/>
    </xf>
    <xf numFmtId="0" fontId="8" fillId="0" borderId="29" xfId="2" applyFont="1" applyBorder="1" applyAlignment="1">
      <alignment horizontal="left" vertical="center"/>
    </xf>
    <xf numFmtId="0" fontId="8" fillId="0" borderId="34" xfId="2" applyFont="1" applyBorder="1" applyAlignment="1">
      <alignment horizontal="left" vertical="center"/>
    </xf>
    <xf numFmtId="0" fontId="8" fillId="0" borderId="33" xfId="2" applyFont="1" applyBorder="1" applyAlignment="1">
      <alignment horizontal="left" vertical="center"/>
    </xf>
    <xf numFmtId="0" fontId="8" fillId="0" borderId="29" xfId="2" applyFont="1" applyBorder="1" applyAlignment="1">
      <alignment horizontal="left" vertical="center" wrapText="1"/>
    </xf>
    <xf numFmtId="0" fontId="8" fillId="0" borderId="34" xfId="2" applyFont="1" applyBorder="1" applyAlignment="1">
      <alignment horizontal="left" vertical="center" wrapText="1"/>
    </xf>
    <xf numFmtId="0" fontId="8" fillId="0" borderId="33" xfId="2" applyFont="1" applyBorder="1" applyAlignment="1">
      <alignment horizontal="left" vertical="center" wrapText="1"/>
    </xf>
    <xf numFmtId="0" fontId="5" fillId="8" borderId="22" xfId="2" applyFont="1" applyFill="1" applyAlignment="1" applyProtection="1">
      <alignment horizontal="left" vertical="center"/>
      <protection locked="0"/>
    </xf>
    <xf numFmtId="0" fontId="22" fillId="6" borderId="22" xfId="2" applyFont="1" applyFill="1" applyProtection="1">
      <protection locked="0"/>
    </xf>
    <xf numFmtId="0" fontId="47" fillId="9" borderId="22" xfId="2" applyFont="1" applyFill="1" applyAlignment="1">
      <alignment horizontal="left" vertical="center" wrapText="1"/>
    </xf>
    <xf numFmtId="0" fontId="14" fillId="7" borderId="24" xfId="2" applyFont="1" applyFill="1" applyBorder="1" applyAlignment="1">
      <alignment horizontal="center" vertical="center"/>
    </xf>
    <xf numFmtId="0" fontId="13" fillId="7" borderId="24" xfId="2" applyFont="1" applyFill="1" applyBorder="1" applyAlignment="1">
      <alignment horizontal="center" vertical="center" wrapText="1"/>
    </xf>
    <xf numFmtId="0" fontId="14" fillId="7" borderId="24" xfId="2" applyFont="1" applyFill="1" applyBorder="1" applyAlignment="1">
      <alignment horizontal="center" vertical="center" wrapText="1"/>
    </xf>
    <xf numFmtId="0" fontId="5" fillId="8" borderId="22" xfId="0" applyFont="1" applyFill="1" applyBorder="1" applyAlignment="1">
      <alignment horizontal="left" vertical="center"/>
    </xf>
    <xf numFmtId="0" fontId="22" fillId="6" borderId="22" xfId="0" applyFont="1" applyFill="1" applyBorder="1"/>
    <xf numFmtId="0" fontId="47" fillId="9" borderId="22" xfId="0" applyFont="1" applyFill="1" applyBorder="1" applyAlignment="1">
      <alignment horizontal="left" vertical="center"/>
    </xf>
    <xf numFmtId="0" fontId="47" fillId="5" borderId="22" xfId="0" applyFont="1" applyFill="1" applyBorder="1"/>
    <xf numFmtId="0" fontId="13" fillId="7" borderId="24" xfId="0" applyFont="1" applyFill="1" applyBorder="1" applyAlignment="1">
      <alignment horizontal="center" vertical="center"/>
    </xf>
    <xf numFmtId="0" fontId="40" fillId="7" borderId="24" xfId="0" applyFont="1" applyFill="1" applyBorder="1" applyAlignment="1">
      <alignment vertical="center"/>
    </xf>
    <xf numFmtId="0" fontId="13" fillId="7" borderId="29" xfId="0" applyFont="1" applyFill="1" applyBorder="1" applyAlignment="1">
      <alignment horizontal="center" vertical="center"/>
    </xf>
    <xf numFmtId="0" fontId="13" fillId="7" borderId="33" xfId="0" applyFont="1" applyFill="1" applyBorder="1" applyAlignment="1">
      <alignment horizontal="center" vertical="center"/>
    </xf>
    <xf numFmtId="0" fontId="16" fillId="0" borderId="29" xfId="0" applyFont="1" applyBorder="1" applyAlignment="1">
      <alignment horizontal="left" vertical="center" wrapText="1"/>
    </xf>
    <xf numFmtId="0" fontId="16" fillId="0" borderId="34" xfId="0" applyFont="1" applyBorder="1" applyAlignment="1">
      <alignment horizontal="left" vertical="center" wrapText="1"/>
    </xf>
    <xf numFmtId="0" fontId="16" fillId="0" borderId="33" xfId="0" applyFont="1" applyBorder="1" applyAlignment="1">
      <alignment horizontal="left" vertical="center" wrapText="1"/>
    </xf>
    <xf numFmtId="0" fontId="16" fillId="0" borderId="29" xfId="0" applyFont="1" applyBorder="1" applyAlignment="1">
      <alignment horizontal="left" vertical="center"/>
    </xf>
    <xf numFmtId="0" fontId="16" fillId="0" borderId="34" xfId="0" applyFont="1" applyBorder="1" applyAlignment="1">
      <alignment horizontal="left" vertical="center"/>
    </xf>
    <xf numFmtId="0" fontId="16" fillId="0" borderId="33" xfId="0" applyFont="1" applyBorder="1" applyAlignment="1">
      <alignment horizontal="left" vertical="center"/>
    </xf>
    <xf numFmtId="0" fontId="47" fillId="5" borderId="22" xfId="0" applyFont="1" applyFill="1" applyBorder="1" applyAlignment="1">
      <alignment horizontal="left" vertical="top"/>
    </xf>
    <xf numFmtId="0" fontId="58" fillId="7" borderId="24" xfId="0" applyFont="1" applyFill="1" applyBorder="1" applyAlignment="1">
      <alignment horizontal="center"/>
    </xf>
    <xf numFmtId="0" fontId="7" fillId="14" borderId="24" xfId="0" applyFont="1" applyFill="1" applyBorder="1" applyAlignment="1">
      <alignment horizontal="center" vertical="center" wrapText="1"/>
    </xf>
    <xf numFmtId="0" fontId="42" fillId="11" borderId="117" xfId="0" applyFont="1" applyFill="1" applyBorder="1" applyAlignment="1">
      <alignment horizontal="left" vertical="center" wrapText="1"/>
    </xf>
    <xf numFmtId="0" fontId="16" fillId="5" borderId="126" xfId="0" applyFont="1" applyFill="1" applyBorder="1" applyAlignment="1">
      <alignment horizontal="left" vertical="center" wrapText="1"/>
    </xf>
    <xf numFmtId="0" fontId="42" fillId="11" borderId="125" xfId="0" applyFont="1" applyFill="1" applyBorder="1" applyAlignment="1">
      <alignment horizontal="left" vertical="center" wrapText="1"/>
    </xf>
    <xf numFmtId="0" fontId="16" fillId="5" borderId="127" xfId="0" applyFont="1" applyFill="1" applyBorder="1" applyAlignment="1">
      <alignment horizontal="left" vertical="center" wrapText="1"/>
    </xf>
    <xf numFmtId="0" fontId="42" fillId="11"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2" fillId="11" borderId="20" xfId="0" applyFont="1" applyFill="1" applyBorder="1" applyAlignment="1">
      <alignment horizontal="left" vertical="center" wrapText="1"/>
    </xf>
    <xf numFmtId="0" fontId="16" fillId="5" borderId="19" xfId="0" applyFont="1" applyFill="1" applyBorder="1" applyAlignment="1">
      <alignment horizontal="left" vertical="center" wrapText="1"/>
    </xf>
    <xf numFmtId="0" fontId="16" fillId="5" borderId="120" xfId="0" applyFont="1" applyFill="1" applyBorder="1" applyAlignment="1">
      <alignment horizontal="left" vertical="center" wrapText="1"/>
    </xf>
    <xf numFmtId="0" fontId="42" fillId="11" borderId="118"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42" fillId="11" borderId="22" xfId="0" applyFont="1" applyFill="1" applyBorder="1" applyAlignment="1">
      <alignment horizontal="center" vertical="center" wrapText="1"/>
    </xf>
    <xf numFmtId="0" fontId="42" fillId="11" borderId="36" xfId="0" applyFont="1" applyFill="1" applyBorder="1" applyAlignment="1">
      <alignment horizontal="center" vertical="center" wrapText="1"/>
    </xf>
    <xf numFmtId="0" fontId="42" fillId="11" borderId="119"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42" fillId="11" borderId="44" xfId="0" applyFont="1" applyFill="1" applyBorder="1" applyAlignment="1">
      <alignment horizontal="left" vertical="center" wrapText="1"/>
    </xf>
    <xf numFmtId="0" fontId="16" fillId="5" borderId="121" xfId="0" applyFont="1" applyFill="1" applyBorder="1" applyAlignment="1">
      <alignment horizontal="left" vertical="center" wrapText="1"/>
    </xf>
    <xf numFmtId="0" fontId="42" fillId="11" borderId="46" xfId="0" applyFont="1" applyFill="1" applyBorder="1" applyAlignment="1">
      <alignment horizontal="center" vertical="center" wrapText="1"/>
    </xf>
    <xf numFmtId="0" fontId="16" fillId="0" borderId="24" xfId="2" applyFont="1" applyBorder="1" applyAlignment="1">
      <alignment horizontal="center" vertical="center" wrapText="1"/>
    </xf>
    <xf numFmtId="0" fontId="16" fillId="0" borderId="24" xfId="2" applyFont="1" applyBorder="1" applyAlignment="1">
      <alignment wrapText="1"/>
    </xf>
    <xf numFmtId="0" fontId="47" fillId="4" borderId="22" xfId="2" applyFont="1" applyFill="1" applyAlignment="1">
      <alignment horizontal="left" vertical="center" wrapText="1"/>
    </xf>
    <xf numFmtId="0" fontId="53" fillId="4" borderId="22" xfId="2" applyFont="1" applyFill="1" applyAlignment="1">
      <alignment horizontal="left" vertical="center" wrapText="1"/>
    </xf>
    <xf numFmtId="0" fontId="16" fillId="0" borderId="8"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9" xfId="2" applyFont="1" applyBorder="1" applyAlignment="1">
      <alignment horizontal="center" vertical="center" wrapText="1"/>
    </xf>
    <xf numFmtId="11" fontId="6" fillId="0" borderId="22" xfId="0" applyNumberFormat="1" applyFont="1" applyBorder="1" applyAlignment="1" applyProtection="1">
      <alignment horizontal="left" vertical="center" wrapText="1"/>
      <protection locked="0"/>
    </xf>
    <xf numFmtId="0" fontId="111" fillId="0" borderId="22" xfId="0" applyFont="1" applyBorder="1" applyAlignment="1">
      <alignment vertical="center" wrapText="1"/>
    </xf>
    <xf numFmtId="0" fontId="13" fillId="0" borderId="22" xfId="0" applyFont="1" applyBorder="1" applyAlignment="1">
      <alignment vertical="center" wrapText="1"/>
    </xf>
    <xf numFmtId="11" fontId="112" fillId="0" borderId="22" xfId="0" applyNumberFormat="1" applyFont="1" applyBorder="1" applyAlignment="1">
      <alignment vertical="center" wrapText="1"/>
    </xf>
  </cellXfs>
  <cellStyles count="268">
    <cellStyle name="%" xfId="7" xr:uid="{4BFC1382-6161-437C-AD6E-058AAF63F5E4}"/>
    <cellStyle name="_Rid_1_S1" xfId="8" xr:uid="{0D9FAAED-6879-4F9D-9D6B-671F3FB65B5D}"/>
    <cellStyle name="_Rid_1_S1 2" xfId="9" xr:uid="{5458AD09-D51B-4DF3-92B9-D07F41D5217C}"/>
    <cellStyle name="_Rid_1_S117_S19_S18" xfId="10" xr:uid="{BEA1AFBE-829E-45FD-93E2-A0F560E61722}"/>
    <cellStyle name="_Rid_1_S117_S23_S22" xfId="11" xr:uid="{5184BD99-E885-4B13-931F-ABE27FEBD161}"/>
    <cellStyle name="_Rid_1_S117_S25_S24" xfId="12" xr:uid="{2B72AE5B-3FA8-45A4-AE83-E57FA9E2F8BD}"/>
    <cellStyle name="_Rid_1_S117_S44_S43" xfId="13" xr:uid="{197F7B49-7EA2-40E0-8E3F-A6532B1AFCD7}"/>
    <cellStyle name="_Rid_1_S117_S46_S45" xfId="14" xr:uid="{164C1D54-65EB-4B02-BB22-399FB7F23DEC}"/>
    <cellStyle name="_Rid_1_S117_S48_S47" xfId="15" xr:uid="{60D7D1AD-6E96-4274-8D48-00D55B6CD8B3}"/>
    <cellStyle name="_Rid_1_S117_S50_S49" xfId="16" xr:uid="{1F564A57-0014-4E01-BCE1-D5A132ABE339}"/>
    <cellStyle name="_Rid_1_S117_S71_S70" xfId="17" xr:uid="{4744A3BD-F04B-4C29-B208-9AD9FD064887}"/>
    <cellStyle name="_Rid_1_S117_S76_S75" xfId="18" xr:uid="{BEAD4CB0-9D69-4BA0-A849-633961DD86E7}"/>
    <cellStyle name="_Rid_1_S130_S110_S109" xfId="19" xr:uid="{F7A089D7-39BE-44E6-BE04-DDAD7BF18D98}"/>
    <cellStyle name="_Rid_1_S130_S112_S111" xfId="20" xr:uid="{B5B03C4B-A13C-4A14-B162-3ECA54F19BEF}"/>
    <cellStyle name="_Rid_1_S130_S18_S17" xfId="21" xr:uid="{BF606F43-7CD6-49F2-A5E8-C09EE6957AB0}"/>
    <cellStyle name="_Rid_1_S130_S24_S23" xfId="22" xr:uid="{F0648840-B392-4C8F-9FD4-37AFB7050E83}"/>
    <cellStyle name="_Rid_1_S130_S43_S42" xfId="23" xr:uid="{D5C00D5C-8B0E-4069-8FAE-35DDEDACB3DF}"/>
    <cellStyle name="_Rid_1_S130_S45_S44" xfId="24" xr:uid="{1DCC5D0B-8CA0-4664-B0C2-CCB4D7E2E700}"/>
    <cellStyle name="_Rid_1_S130_S49_S48" xfId="25" xr:uid="{BCEEAC94-B59A-4D9C-A4F4-0A466AF398C6}"/>
    <cellStyle name="_Rid_1_S130_S68_S67" xfId="26" xr:uid="{44AB816F-2651-46EE-ABA6-5CB9B3803D65}"/>
    <cellStyle name="_Rid_1_S130_S70_S69" xfId="27" xr:uid="{A0756351-7DC7-4EFE-B799-A76829C52E75}"/>
    <cellStyle name="_Rid_1_S130_S89_S88" xfId="28" xr:uid="{26089A31-E81F-4FD1-B69A-9FBE73944E1D}"/>
    <cellStyle name="_Rid_1_S130_S91_S90" xfId="29" xr:uid="{3C4C71BC-ECB2-4916-9AAE-7EBD235DAA1C}"/>
    <cellStyle name="_Rid_1_S166_S146_S145" xfId="30" xr:uid="{161A41AA-A4BC-45D1-9AA7-26DF81AC4FB1}"/>
    <cellStyle name="_Rid_1_S166_S148_S147" xfId="31" xr:uid="{527EB4DB-FE24-494F-8F50-278F72973930}"/>
    <cellStyle name="_Rid_1_S166_S18_S17" xfId="32" xr:uid="{CE4113D4-335A-4BBD-BC6C-C18238F940F4}"/>
    <cellStyle name="_Rid_1_S166_S43_S42" xfId="33" xr:uid="{EC33D67E-05EE-4903-A079-77E95691567E}"/>
    <cellStyle name="_Rid_1_S166_S45_S44" xfId="34" xr:uid="{5FEC2394-1F56-4AA9-B3EB-0C29F3D2615C}"/>
    <cellStyle name="_Rid_1_S166_S49_S48" xfId="35" xr:uid="{B8BBB8B9-522A-421E-A61C-1B5C3EC8F0A7}"/>
    <cellStyle name="_Rid_1_S166_S68_S67" xfId="36" xr:uid="{7C80EF34-D6D1-4AEB-A70A-EFAE6CC54E4A}"/>
    <cellStyle name="_Rid_1_S166_S70_S69" xfId="37" xr:uid="{3A90553C-C1ED-4396-94BE-CBB25805F8EE}"/>
    <cellStyle name="_Rid_1_S166_S89_S88" xfId="38" xr:uid="{171A3129-326C-4EB9-883D-2454421D514A}"/>
    <cellStyle name="_Rid_1_S166_S91_S90" xfId="39" xr:uid="{8E3BEF44-848A-44C6-A9B6-CEF74E3E3618}"/>
    <cellStyle name="_Rid_1_S4" xfId="40" xr:uid="{E5B21417-B475-4708-AE87-313B62058295}"/>
    <cellStyle name="_Rid_1_S84_S18_S17" xfId="41" xr:uid="{4D36016D-0F38-4CE9-80A8-C0DAD6ED3A7D}"/>
    <cellStyle name="_Rid_1_S84_S22_S21" xfId="42" xr:uid="{8F7C0497-D0CA-4500-A047-49F41AED317B}"/>
    <cellStyle name="_Rid_1_S84_S41_S40" xfId="43" xr:uid="{33E40F3E-A841-40E4-B84A-D297DED21910}"/>
    <cellStyle name="_Rid_1_S84_S45_S44" xfId="44" xr:uid="{76548ECC-2865-4468-A0A1-073E193B175F}"/>
    <cellStyle name="_Rid_15_S25_S24" xfId="45" xr:uid="{51FCFBE6-E249-49FD-94BA-6FE389085A0C}"/>
    <cellStyle name="_Rid_15_S30_S29" xfId="46" xr:uid="{DE41A1DC-FC43-4531-B8A9-FECA2F4AC758}"/>
    <cellStyle name="_Rid_16_S1" xfId="47" xr:uid="{BCCC6F69-D983-4773-82C6-0A9F0192EC54}"/>
    <cellStyle name="_Rid_16_S80_S18_S17" xfId="48" xr:uid="{33F0AD4C-0CA1-44AE-B25C-65CF56F8DC41}"/>
    <cellStyle name="_Rid_16_S80_S20_S19" xfId="49" xr:uid="{F40D1F96-2455-4E81-BC80-72F9762B0DE6}"/>
    <cellStyle name="_Rid_16_S80_S39_S38" xfId="50" xr:uid="{D3B6B927-79F2-4FE4-9F75-7F2F4CDDA5BA}"/>
    <cellStyle name="_Rid_16_S80_S41_S40" xfId="51" xr:uid="{1ED054D2-F9D9-4B7F-BC1E-507E0117DE41}"/>
    <cellStyle name="_Rid_16_S80_S60_S59" xfId="52" xr:uid="{00E94B7E-3D18-46C7-A373-10FFFE124734}"/>
    <cellStyle name="_Rid_16_S80_S62_S61" xfId="53" xr:uid="{C26DCDEF-3A23-4548-8E21-8343D333CDA7}"/>
    <cellStyle name="_Rid_17_S1" xfId="54" xr:uid="{E68D1933-24B9-4959-AAB1-8CF99CF4BCD0}"/>
    <cellStyle name="_Rid_17_S80_S39_S38" xfId="55" xr:uid="{14DADE1F-B165-405F-A071-4FACD83FB025}"/>
    <cellStyle name="_Rid_17_S80_S41_S40" xfId="56" xr:uid="{251E8FA6-4757-4D40-AE19-B73AA0C63EB1}"/>
    <cellStyle name="_Rid_17_S80_S60_S59" xfId="57" xr:uid="{04422FD9-3554-480E-8CC1-85376538C7E3}"/>
    <cellStyle name="_Rid_17_S80_S62_S61" xfId="58" xr:uid="{E55BA165-9706-45B0-8D00-DE909070279D}"/>
    <cellStyle name="_Rid_18_S1" xfId="59" xr:uid="{E12B0AD3-CF20-4208-86BA-760AF2AE4839}"/>
    <cellStyle name="_Rid_18_S80_S39_S38" xfId="60" xr:uid="{C410D987-F371-4088-BA0A-A96767CC9FF1}"/>
    <cellStyle name="_Rid_18_S80_S41_S40" xfId="61" xr:uid="{7282D9D8-86F6-40E7-9B5A-09E92C5660A8}"/>
    <cellStyle name="_Rid_18_S80_S60_S59" xfId="62" xr:uid="{328C955B-BA0A-4EEC-856D-D9B8A83A5EDF}"/>
    <cellStyle name="_Rid_18_S80_S62_S61" xfId="63" xr:uid="{D66360F3-85B1-4C64-B8EB-81A8408B5E02}"/>
    <cellStyle name="_Rid_2_S1" xfId="64" xr:uid="{A11134F4-B206-420A-AFB6-0F8AF05270BA}"/>
    <cellStyle name="_Rid_2_S19" xfId="65" xr:uid="{F2F84D5D-0D44-4A22-AD61-741F6D91C4BA}"/>
    <cellStyle name="_Rid_2_S20" xfId="66" xr:uid="{5EB3D5CC-D920-42F0-AC48-4739B16A8F2C}"/>
    <cellStyle name="_Rid_2_S23" xfId="67" xr:uid="{236C9F0E-2F02-4DDC-B488-EFAA64714697}"/>
    <cellStyle name="_Rid_2_S25" xfId="68" xr:uid="{8726D3BF-0728-45C4-A54C-5157A8E0B4CF}"/>
    <cellStyle name="_Rid_2_S27" xfId="69" xr:uid="{51E30AE1-3ECA-41EB-9B60-29A17577E8E7}"/>
    <cellStyle name="_Rid_2_S27_S26" xfId="70" xr:uid="{C6C69922-811E-44F7-B459-6E4222CD5E8A}"/>
    <cellStyle name="_Rid_2_S30" xfId="71" xr:uid="{9A4D07F1-381A-4243-AB9A-64DFF0307162}"/>
    <cellStyle name="_Rid_2_S32" xfId="72" xr:uid="{F661A89E-CC6F-428D-AA6D-8FC53F55EDA9}"/>
    <cellStyle name="_Rid_2_S32_S31" xfId="73" xr:uid="{21E06474-B322-48C5-918E-D1446F2C671C}"/>
    <cellStyle name="_Rid_2_S34_S33" xfId="74" xr:uid="{557C83C0-9FCD-4FDC-9393-DEFA69ACD64E}"/>
    <cellStyle name="_Rid_2_S35" xfId="75" xr:uid="{6CDBA86B-3A4A-410F-8E30-EB722CBE566F}"/>
    <cellStyle name="_Rid_2_S37" xfId="76" xr:uid="{23FA5D4A-EE79-47DD-A1FC-200A311B7FCA}"/>
    <cellStyle name="_Rid_2_S37_S36" xfId="77" xr:uid="{5553C572-FF2E-43DD-91D8-3505A65852F6}"/>
    <cellStyle name="_Rid_2_S39_S38" xfId="78" xr:uid="{1EA59B7D-823E-4E67-A8D9-96E459F2CECA}"/>
    <cellStyle name="_Rid_2_S4" xfId="79" xr:uid="{7F176A30-AC0B-4D9B-BD99-7647D1085753}"/>
    <cellStyle name="_Rid_3_S19" xfId="80" xr:uid="{4C39D223-A401-4628-836F-5128D214871A}"/>
    <cellStyle name="_Rid_3_S20" xfId="81" xr:uid="{D9C8F8C7-9961-4302-9DE1-20B306CE7B46}"/>
    <cellStyle name="_Rid_3_S23" xfId="82" xr:uid="{4074AA83-3965-4DE4-B325-078BD8FD66EA}"/>
    <cellStyle name="_Rid_3_S27" xfId="83" xr:uid="{55335AAF-FA7B-4856-8E15-C6945E14BE49}"/>
    <cellStyle name="_Rid_3_S29_S28" xfId="84" xr:uid="{1AD4CAD4-24B4-43E8-AF3A-A37520C631DD}"/>
    <cellStyle name="_Rid_3_S30" xfId="85" xr:uid="{2BF6BD62-A25F-4D58-B96F-79B51256FE3E}"/>
    <cellStyle name="_Rid_3_S32_S31" xfId="86" xr:uid="{425CD141-468D-4341-A2A0-BB13A8F7AD20}"/>
    <cellStyle name="20% - Énfasis1 2" xfId="87" xr:uid="{5B8D1748-C0E9-457B-856A-AA09A70EF16E}"/>
    <cellStyle name="20% - Énfasis1 2 2" xfId="88" xr:uid="{519E4551-11E2-4FA3-AF3C-326AAE024CC7}"/>
    <cellStyle name="20% - Énfasis2 2" xfId="89" xr:uid="{7E944430-EAA1-4A88-A410-36613D8CBC5E}"/>
    <cellStyle name="20% - Énfasis2 2 2" xfId="90" xr:uid="{95E9B3AC-388A-4068-9D84-14B565954668}"/>
    <cellStyle name="20% - Énfasis3 2" xfId="91" xr:uid="{6C338034-40C8-4AF8-8624-677C390CC1CE}"/>
    <cellStyle name="20% - Énfasis3 2 2" xfId="92" xr:uid="{EBC9F15D-46BB-4620-A7AC-77DE8E19CB64}"/>
    <cellStyle name="20% - Énfasis4 2" xfId="93" xr:uid="{9F3ABD23-C195-41EF-8943-4D178B9494AE}"/>
    <cellStyle name="20% - Énfasis4 2 2" xfId="94" xr:uid="{52ADBCC1-890C-4D9F-BAB0-1685EB1EC089}"/>
    <cellStyle name="20% - Énfasis5 2" xfId="95" xr:uid="{7616FA30-FAD8-447F-8E96-DABD74EB06A9}"/>
    <cellStyle name="20% - Énfasis6 2" xfId="96" xr:uid="{E9449619-F118-408C-9A72-C7D748078A2B}"/>
    <cellStyle name="20% - Énfasis6 2 2" xfId="97" xr:uid="{E2DDD5F1-6DD4-46FC-9D35-84580B7EABAA}"/>
    <cellStyle name="40% - Énfasis1 2" xfId="98" xr:uid="{37BB4784-0A41-4973-AB47-473980BB3FC5}"/>
    <cellStyle name="40% - Énfasis1 2 2" xfId="99" xr:uid="{C36DE88C-F0CE-4F64-907C-7C96ACF34DCB}"/>
    <cellStyle name="40% - Énfasis2 2" xfId="100" xr:uid="{19BDEE1F-3DFB-4F08-B615-8419EC66C254}"/>
    <cellStyle name="40% - Énfasis3 2" xfId="101" xr:uid="{119FC58A-21BE-41AD-80BD-472EC9BCE434}"/>
    <cellStyle name="40% - Énfasis3 2 2" xfId="102" xr:uid="{2C69826A-B3A5-4AB7-83AC-6E28B59C7DAC}"/>
    <cellStyle name="40% - Énfasis4 2" xfId="103" xr:uid="{4F93CB4A-0918-46AE-91E1-13026499BF09}"/>
    <cellStyle name="40% - Énfasis4 2 2" xfId="104" xr:uid="{66B5EE60-77BD-4CD9-AF3F-64F76220333E}"/>
    <cellStyle name="40% - Énfasis5 2" xfId="105" xr:uid="{A927295F-89AA-4DDA-B0CD-23B06165303C}"/>
    <cellStyle name="40% - Énfasis5 2 2" xfId="106" xr:uid="{86887567-81F4-43E0-81EB-5B40775C7650}"/>
    <cellStyle name="40% - Énfasis6 2" xfId="107" xr:uid="{85F4F1A7-7117-416D-BCA3-79261C6A6DFE}"/>
    <cellStyle name="40% - Énfasis6 2 2" xfId="108" xr:uid="{81E486D2-306A-4F9B-A28F-89FAB0FC9AC1}"/>
    <cellStyle name="60% - Énfasis1 2" xfId="109" xr:uid="{6E9B849D-D000-47BB-9AE9-1A2C3F516A2B}"/>
    <cellStyle name="60% - Énfasis1 2 2" xfId="110" xr:uid="{F832B7BE-0D28-45DA-B8DC-BBA6403C5B44}"/>
    <cellStyle name="60% - Énfasis2 2" xfId="111" xr:uid="{405A4E1B-FF70-4448-AD90-58E2228378A7}"/>
    <cellStyle name="60% - Énfasis2 2 2" xfId="112" xr:uid="{EDAE733D-F5F4-4E88-9A1D-46DBF679179D}"/>
    <cellStyle name="60% - Énfasis3 2" xfId="113" xr:uid="{5654EBA1-88E1-4CC8-8E12-3DE08F859EE3}"/>
    <cellStyle name="60% - Énfasis3 2 2" xfId="114" xr:uid="{66277C1F-333D-4B59-8165-D6844E9682C3}"/>
    <cellStyle name="60% - Énfasis4 2" xfId="115" xr:uid="{7EF39771-C3B2-499A-B98B-BDB8EB9B48E1}"/>
    <cellStyle name="60% - Énfasis4 2 2" xfId="116" xr:uid="{1487875D-260E-42D0-B5F6-7CB5A969DB30}"/>
    <cellStyle name="60% - Énfasis5 2" xfId="117" xr:uid="{74ACD9B1-B613-4A25-A263-AB4B805F3E41}"/>
    <cellStyle name="60% - Énfasis5 2 2" xfId="118" xr:uid="{B9EE60BE-32B7-4B8D-8B48-3CB5FAAF2ADE}"/>
    <cellStyle name="60% - Énfasis6 2" xfId="119" xr:uid="{99D67871-8B91-4BC2-B78E-A3C11F03B9EA}"/>
    <cellStyle name="60% - Énfasis6 2 2" xfId="120" xr:uid="{8DA4D92D-E316-46DC-BD49-3F365B36F911}"/>
    <cellStyle name="Buena 2" xfId="121" xr:uid="{9EF8C7C6-7255-4C0F-A4D3-8809B846C96B}"/>
    <cellStyle name="Buena 2 2" xfId="122" xr:uid="{93E524B8-FB12-4947-9C3E-5A9D3098D94F}"/>
    <cellStyle name="Cálculo 2" xfId="123" xr:uid="{16882686-D7D0-4AC3-9410-2ACCA6AE647C}"/>
    <cellStyle name="Cálculo 2 2" xfId="124" xr:uid="{3B5B5593-4A3C-4D1C-B2C8-848295FAA95D}"/>
    <cellStyle name="Celda de comprobación 2" xfId="125" xr:uid="{9AAA1B5A-EA06-4829-B31A-5893863EC0F0}"/>
    <cellStyle name="Celda vinculada 2" xfId="126" xr:uid="{CBB0FC56-A6EA-4661-8106-392C011917C4}"/>
    <cellStyle name="Celda vinculada 2 2" xfId="127" xr:uid="{E0EC0FBE-021C-4AD6-AE37-FD517791528D}"/>
    <cellStyle name="Encabezado 4 2" xfId="128" xr:uid="{8A64C2AB-C046-41FE-8A4C-D07D18E74021}"/>
    <cellStyle name="Encabezado 4 2 2" xfId="129" xr:uid="{E76527FF-13F5-4A46-BFE3-8C1E080959EA}"/>
    <cellStyle name="Énfasis1 2" xfId="130" xr:uid="{9B883383-D419-44FF-8556-CABACBBC068E}"/>
    <cellStyle name="Énfasis1 2 2" xfId="131" xr:uid="{A9E1FB23-84E2-4B4F-8FF3-0697336B14A5}"/>
    <cellStyle name="Énfasis2 2" xfId="132" xr:uid="{297AB4AE-EDB5-4B11-B1B8-209B04356CAB}"/>
    <cellStyle name="Énfasis2 2 2" xfId="133" xr:uid="{FE049D1C-E497-4EA3-B2A3-C4ABD17FA0AD}"/>
    <cellStyle name="Énfasis3 2" xfId="134" xr:uid="{92B0B157-1A8E-4FEC-87D3-1F2AD5EA37C6}"/>
    <cellStyle name="Énfasis3 2 2" xfId="135" xr:uid="{542D5F52-27DC-45B5-A385-621EA8A75ED9}"/>
    <cellStyle name="Énfasis4 2" xfId="136" xr:uid="{62EF4824-D1AA-4597-ABE4-E7AE5CB6F120}"/>
    <cellStyle name="Énfasis4 2 2" xfId="137" xr:uid="{B6772DBE-64FB-4308-AD02-52D50766CB35}"/>
    <cellStyle name="Énfasis5 2" xfId="138" xr:uid="{750378EE-73FD-4CE4-B2C9-0C6A3E687AEF}"/>
    <cellStyle name="Énfasis6 2" xfId="139" xr:uid="{E27F1A4E-809E-4E9E-8E49-0B11A672D9AE}"/>
    <cellStyle name="Énfasis6 2 2" xfId="140" xr:uid="{D84DFC3B-FC86-4031-8E8A-2B5131BFA733}"/>
    <cellStyle name="Entrada 2" xfId="141" xr:uid="{811C373E-2E10-4AEC-AE59-6962BB330E21}"/>
    <cellStyle name="Entrada 2 2" xfId="142" xr:uid="{D85D2B59-0B65-4D2A-A09B-FEFA449982A3}"/>
    <cellStyle name="Estilo 1" xfId="143" xr:uid="{D8B4807B-F8C7-4105-99AC-D6A0D9A28AC5}"/>
    <cellStyle name="Estilo 1 2" xfId="144" xr:uid="{0CFB489F-3644-4206-A50C-9FB3D024193E}"/>
    <cellStyle name="Estilo 1 3" xfId="145" xr:uid="{9E885EEA-4AB5-42CA-90E9-EA23BF67BC02}"/>
    <cellStyle name="Euro" xfId="146" xr:uid="{EE724867-B9D6-4D96-9B34-075F479DCDC1}"/>
    <cellStyle name="F2" xfId="147" xr:uid="{54DAF99A-B37D-4401-B4CC-655A630F4710}"/>
    <cellStyle name="F2 2" xfId="148" xr:uid="{B6BA225F-EBFC-4B28-B8C5-1A93B30ECF97}"/>
    <cellStyle name="F2 3" xfId="149" xr:uid="{8EC5DB31-D3BC-4856-8BE5-BD06C4DFC2AD}"/>
    <cellStyle name="F3" xfId="150" xr:uid="{47DE96AF-66AE-4395-946E-6B8812865188}"/>
    <cellStyle name="F3 2" xfId="151" xr:uid="{B2F1A7A1-0961-4D0A-84AB-8D8B20E263DA}"/>
    <cellStyle name="F3 3" xfId="152" xr:uid="{A6D5FCCA-B52E-41E1-89A6-2A1261260921}"/>
    <cellStyle name="F4" xfId="153" xr:uid="{BE0588E0-50F4-482F-AD25-1B1CC5C34055}"/>
    <cellStyle name="F4 2" xfId="154" xr:uid="{D1A3FA48-EC2E-412E-856F-8A1CA6808F3B}"/>
    <cellStyle name="F4 3" xfId="155" xr:uid="{AF96B683-3707-4D33-A566-4D941484E7F2}"/>
    <cellStyle name="F5" xfId="156" xr:uid="{8139A073-47DA-48A9-9CBF-CFE1241A151E}"/>
    <cellStyle name="F5 2" xfId="157" xr:uid="{4A1789F4-3CDB-427B-9A20-2F6CA2B818AE}"/>
    <cellStyle name="F5 3" xfId="158" xr:uid="{B926049E-6FCE-4466-BA65-256A508E4D15}"/>
    <cellStyle name="F6" xfId="159" xr:uid="{51E1E8CD-BF13-4874-9B81-7CFAAEDD0260}"/>
    <cellStyle name="F6 2" xfId="160" xr:uid="{CA83C371-2D55-4A1A-B905-FC9F16FD2DFA}"/>
    <cellStyle name="F6 3" xfId="161" xr:uid="{78FF4897-8B97-4326-8BC9-D8B94DDD5578}"/>
    <cellStyle name="F7" xfId="162" xr:uid="{8DA0BA6D-579A-47A1-A84A-65D90A7B4313}"/>
    <cellStyle name="F7 2" xfId="163" xr:uid="{A4AE3AD3-BBB1-4C9E-B58D-82D7A96DBEBF}"/>
    <cellStyle name="F7 3" xfId="164" xr:uid="{EB574D8C-383F-4EDF-BF52-4C9C63DA05D9}"/>
    <cellStyle name="F8" xfId="165" xr:uid="{75CAE072-0843-4752-8187-F89FB829AFD3}"/>
    <cellStyle name="F8 2" xfId="166" xr:uid="{1448ED47-327B-494E-90FE-C26CFC3886C1}"/>
    <cellStyle name="F8 3" xfId="167" xr:uid="{17144DD1-8096-462F-A1CE-CE23DFAB100F}"/>
    <cellStyle name="Fijo" xfId="168" xr:uid="{F8E14E7E-C882-4909-8E58-3AF49B188CDC}"/>
    <cellStyle name="Hipervínculo" xfId="3" builtinId="8"/>
    <cellStyle name="Hipervínculo 2" xfId="169" xr:uid="{76DE86AA-A88E-42C0-8A7C-7C890C94F2CC}"/>
    <cellStyle name="Incorrecto 2" xfId="170" xr:uid="{19DF6BC5-7C21-4F94-95C5-FD3E27725F38}"/>
    <cellStyle name="Incorrecto 2 2" xfId="171" xr:uid="{B23217DA-C701-41AA-AA11-352CFDCF0470}"/>
    <cellStyle name="Millares" xfId="5" builtinId="3"/>
    <cellStyle name="Millares 2" xfId="172" xr:uid="{2B6946F5-44BF-4FF4-AD26-FEC0E74072D3}"/>
    <cellStyle name="Millares 2 2" xfId="173" xr:uid="{604E6668-5716-4E69-9FFE-33E8F291B634}"/>
    <cellStyle name="Millares 2 2 2" xfId="174" xr:uid="{3CBE1BBA-E3BF-4F7B-B680-E7049DDE77F7}"/>
    <cellStyle name="Millares 2 2 2 2" xfId="175" xr:uid="{20DF2C0F-8FCA-4ED4-8B36-6B786AC70B74}"/>
    <cellStyle name="Millares 2 2 3" xfId="176" xr:uid="{7E2FDA2A-7C79-48D4-A222-2071F531972A}"/>
    <cellStyle name="Millares 2 3" xfId="177" xr:uid="{9E9D49AE-EDF2-4563-8579-7A75DD77AE9F}"/>
    <cellStyle name="Millares 2 4" xfId="178" xr:uid="{947BA917-F173-4D02-92A2-F7CCD33D7F21}"/>
    <cellStyle name="Millares 2 4 2" xfId="179" xr:uid="{EF4AE9F7-44F1-454A-B268-7C1AC059CFB1}"/>
    <cellStyle name="Millares 2 5" xfId="180" xr:uid="{3FC43014-AFCF-44E4-99A9-276DEB1DEE4F}"/>
    <cellStyle name="Millares 3" xfId="181" xr:uid="{094BDCE6-5E58-403C-B917-E4F29716B032}"/>
    <cellStyle name="Millares 3 2" xfId="182" xr:uid="{29451B4F-F429-4239-8557-A24089FA8836}"/>
    <cellStyle name="Millares 3 2 2" xfId="183" xr:uid="{4D30582B-30FD-402C-B9B0-ACE3AD74D734}"/>
    <cellStyle name="Millares 3 3" xfId="184" xr:uid="{C20EDD49-6BFC-4453-9C0C-7663BFFE7791}"/>
    <cellStyle name="Millares 4" xfId="185" xr:uid="{2FCF6659-3DF3-4B7A-9326-43783A1E1903}"/>
    <cellStyle name="Millares 4 2" xfId="186" xr:uid="{3A2FEE4E-84E0-4D3D-AC06-9FFB8E36E188}"/>
    <cellStyle name="Millares 5" xfId="187" xr:uid="{15C84230-D2B5-4049-8AE1-211AE6897ED6}"/>
    <cellStyle name="Millares 6" xfId="188" xr:uid="{1F17DC5B-9414-4C6C-AC0B-ED848BFEDA98}"/>
    <cellStyle name="Millares 7" xfId="189" xr:uid="{3E770C49-EC49-45E1-A504-704D51B33A63}"/>
    <cellStyle name="Neutral 2" xfId="190" xr:uid="{AAA9EAFD-6CB7-4859-9F9A-9B0310718845}"/>
    <cellStyle name="Neutral 2 2" xfId="191" xr:uid="{8B3DA4A1-1B62-48C3-8AD9-6B9F948B0F63}"/>
    <cellStyle name="Normal" xfId="0" builtinId="0"/>
    <cellStyle name="Normal 10" xfId="192" xr:uid="{5442507E-5608-43C0-8186-2FDD99E5F88E}"/>
    <cellStyle name="Normal 11" xfId="193" xr:uid="{7D2FE2DD-0F11-41D6-9075-D9B2116FEE5D}"/>
    <cellStyle name="Normal 11 2" xfId="194" xr:uid="{B226B50F-C73B-44D7-BD01-B3503CE8CD4B}"/>
    <cellStyle name="Normal 12" xfId="195" xr:uid="{5A4C70FA-1861-4070-B4C4-7AFA00420065}"/>
    <cellStyle name="Normal 13" xfId="196" xr:uid="{CAAEFC8C-1463-4AAB-8A8F-6728CB2967B3}"/>
    <cellStyle name="Normal 14" xfId="6" xr:uid="{8F9A97D4-993A-4848-8308-4E4E62532013}"/>
    <cellStyle name="Normal 2" xfId="2" xr:uid="{80BFCFAD-F66B-48E5-94B4-29E8012021AE}"/>
    <cellStyle name="Normal 2 2" xfId="198" xr:uid="{022B9D8A-C034-426B-93C2-1F04CBCE6A86}"/>
    <cellStyle name="Normal 2 2 2" xfId="199" xr:uid="{2E139B7D-7D07-4226-87C8-0E6EFBB6412C}"/>
    <cellStyle name="Normal 2 2 2 2" xfId="200" xr:uid="{CA509124-C4E1-4AB6-99C1-973A28A7BDB1}"/>
    <cellStyle name="Normal 2 2 2 3" xfId="201" xr:uid="{1A951A5E-EC84-4B39-B51B-6F626E3B1C41}"/>
    <cellStyle name="Normal 2 2 3" xfId="202" xr:uid="{CA90BC71-9887-4897-A48A-8E7D2B8051C1}"/>
    <cellStyle name="Normal 2 2 3 2" xfId="203" xr:uid="{C6ECABE5-E9CC-49C3-A6AA-88391916B77C}"/>
    <cellStyle name="Normal 2 3" xfId="204" xr:uid="{D3891632-FA7D-4B45-A58D-4E105C310DBD}"/>
    <cellStyle name="Normal 2 3 2" xfId="205" xr:uid="{BC6B4BDE-80C3-460D-8B2C-65EC5E133D7B}"/>
    <cellStyle name="Normal 2 3 3" xfId="206" xr:uid="{8605D934-4CE7-4AAC-816D-B9CFB60474F2}"/>
    <cellStyle name="Normal 2 4" xfId="207" xr:uid="{B5A2F7E0-09F3-4908-92DA-87FC5E0C42B9}"/>
    <cellStyle name="Normal 2 4 2" xfId="208" xr:uid="{B002E86F-F012-496A-A89C-0CB47E86FB66}"/>
    <cellStyle name="Normal 2 4 3" xfId="209" xr:uid="{801CB660-54A7-41CA-83E1-C220BC7B273F}"/>
    <cellStyle name="Normal 2 5" xfId="210" xr:uid="{2AA577B4-FAC4-4918-8D27-62CC1569EFD3}"/>
    <cellStyle name="Normal 2 5 2" xfId="211" xr:uid="{D9E1EFFF-3D04-427A-9051-05A35F21E1A8}"/>
    <cellStyle name="Normal 2 6" xfId="197" xr:uid="{674A5C54-2BB0-481A-960D-21F085608D22}"/>
    <cellStyle name="Normal 3" xfId="1" xr:uid="{659A5A0F-4700-472A-835D-A10DF65AB703}"/>
    <cellStyle name="Normal 3 2" xfId="213" xr:uid="{77AB3D1B-7217-4409-9CF4-A42AAAC97252}"/>
    <cellStyle name="Normal 3 2 2" xfId="214" xr:uid="{32E506CF-2BAF-4039-BD08-A34526DC7040}"/>
    <cellStyle name="Normal 3 3" xfId="215" xr:uid="{799D3763-7DBE-4C08-8D3C-42A83CA71D97}"/>
    <cellStyle name="Normal 3 3 2" xfId="216" xr:uid="{48DFE695-50EA-41B5-9453-599F14281135}"/>
    <cellStyle name="Normal 3 4" xfId="217" xr:uid="{73182C3C-D72A-4ABA-962F-5F24E0395480}"/>
    <cellStyle name="Normal 3 5" xfId="218" xr:uid="{094D280B-6BB7-4AC6-8DF4-CE75B78D8420}"/>
    <cellStyle name="Normal 3 6" xfId="219" xr:uid="{E540F2C0-7265-4063-A5BF-EB052CE23544}"/>
    <cellStyle name="Normal 3 7" xfId="212" xr:uid="{3514CD69-5EE2-490F-8A76-2DB9EFE4835E}"/>
    <cellStyle name="Normal 4" xfId="220" xr:uid="{308A0E91-7933-46B9-9F34-FAA81ECAB878}"/>
    <cellStyle name="Normal 4 2" xfId="221" xr:uid="{B68EF1AF-54D2-4A43-96CF-07C1D17554E9}"/>
    <cellStyle name="Normal 4 2 2" xfId="222" xr:uid="{DC56E6E7-8A14-42CA-B70B-29912CB3FFC4}"/>
    <cellStyle name="Normal 4 2 3" xfId="223" xr:uid="{E4C17D8C-E876-4954-9B04-880CE8AA7918}"/>
    <cellStyle name="Normal 4 2 4" xfId="224" xr:uid="{70D30884-81F9-47B0-9554-15E5E7425573}"/>
    <cellStyle name="Normal 4 3" xfId="225" xr:uid="{E717D9F3-C10E-45D1-B8C6-C7BEDF9C7295}"/>
    <cellStyle name="Normal 5" xfId="226" xr:uid="{F9A798D9-4026-4EA3-84B5-73DFB99D4332}"/>
    <cellStyle name="Normal 5 2" xfId="227" xr:uid="{19FF1E86-5E0D-40CF-AF51-8178E9E8C769}"/>
    <cellStyle name="Normal 5 2 2" xfId="228" xr:uid="{A4001012-05FB-4334-9027-1074B2BC0090}"/>
    <cellStyle name="Normal 5 3" xfId="229" xr:uid="{AA8C1C33-8FA9-4F13-9DA8-546895BE728C}"/>
    <cellStyle name="Normal 5 4" xfId="230" xr:uid="{9BCD3B24-6DD3-465B-9CB3-F2D9398C58C1}"/>
    <cellStyle name="Normal 6" xfId="231" xr:uid="{6593F762-1966-465A-91FF-9EF9002E1A6C}"/>
    <cellStyle name="Normal 6 2" xfId="232" xr:uid="{70DFA860-2D11-4F3C-9C01-20C8FC7BC50A}"/>
    <cellStyle name="Normal 7" xfId="233" xr:uid="{7D715916-CE67-4D45-9CB8-9BC51060B918}"/>
    <cellStyle name="Normal 7 2" xfId="234" xr:uid="{ADD18C22-5032-4C65-8EF4-E4E421DBB73F}"/>
    <cellStyle name="Normal 7 3" xfId="235" xr:uid="{C4D220CE-064E-4791-A621-C7704ABB02C2}"/>
    <cellStyle name="Normal 7 4" xfId="236" xr:uid="{44566A54-701D-41EA-BF25-BC565C7BBD4E}"/>
    <cellStyle name="Normal 8" xfId="237" xr:uid="{0711BD5E-D781-4973-8F8C-34159FAE0CD4}"/>
    <cellStyle name="Normal 9" xfId="238" xr:uid="{5E28D44F-B8EE-4376-96B4-385FCD017D55}"/>
    <cellStyle name="Notas 2" xfId="239" xr:uid="{8705DE68-0446-4E9C-B351-A667506E07FF}"/>
    <cellStyle name="Porcentaje" xfId="4" builtinId="5"/>
    <cellStyle name="Porcentaje 2" xfId="240" xr:uid="{8456BD4E-7D25-425D-9BED-E6847F6A2334}"/>
    <cellStyle name="Porcentaje 2 2" xfId="241" xr:uid="{116B9E3A-297C-46F7-85B4-5160E344523F}"/>
    <cellStyle name="Porcentaje 2 3" xfId="242" xr:uid="{F33734FB-97EA-43F1-ABD3-D2DB87AF3E28}"/>
    <cellStyle name="Porcentaje 2 4" xfId="243" xr:uid="{34CDBA8E-5FAA-4D03-8C49-F21A9B1CEFD2}"/>
    <cellStyle name="Porcentaje 3" xfId="244" xr:uid="{8A9A9F03-EE95-4F6F-A852-C9A5AA8AC8EF}"/>
    <cellStyle name="Porcentaje 3 2" xfId="245" xr:uid="{926123E6-7FF4-4C89-AED6-B97877FC1A5F}"/>
    <cellStyle name="Porcentaje 4" xfId="246" xr:uid="{95F0FCC1-BBFE-4B4B-970E-D3FB1BE49042}"/>
    <cellStyle name="Porcentaje 4 2" xfId="247" xr:uid="{D52275E5-B576-485B-80EF-95AA64A6E2DA}"/>
    <cellStyle name="Porcentaje 5" xfId="248" xr:uid="{D6AF317A-45BA-4434-9219-AF250F85DB5D}"/>
    <cellStyle name="Porcentaje 6" xfId="249" xr:uid="{9F9915E2-18B9-4D96-88C0-31EBA7E056FF}"/>
    <cellStyle name="Porcentual 2" xfId="250" xr:uid="{B8B40EF9-5B6A-4012-8F51-C2CE3B50CBB9}"/>
    <cellStyle name="Porcentual 2 2" xfId="251" xr:uid="{C476C6FC-5813-447D-B0A8-393BCF9FF331}"/>
    <cellStyle name="Porcentual 2 3" xfId="252" xr:uid="{4335F1F9-D2CC-4419-8FA4-6BBCB499A43C}"/>
    <cellStyle name="Porcentual 2 4" xfId="253" xr:uid="{DEF0F64F-4222-438B-B5DE-824191DC02FC}"/>
    <cellStyle name="Salida 2" xfId="254" xr:uid="{EFA385C7-DCFF-4B8C-8F66-7B3ABE592D8F}"/>
    <cellStyle name="Salida 2 2" xfId="255" xr:uid="{6C9C5F77-6109-418B-BA96-74D9E12AF623}"/>
    <cellStyle name="Texto de advertencia 2" xfId="256" xr:uid="{3B117DBC-706A-43BC-9D00-BEA5E1413E43}"/>
    <cellStyle name="Texto explicativo 2" xfId="257" xr:uid="{09CA131C-56B6-4C6D-98B2-7385155F8B90}"/>
    <cellStyle name="Título 1 2" xfId="258" xr:uid="{8E6A01EE-D3DC-48E4-B414-BE75959E9755}"/>
    <cellStyle name="Título 1 2 2" xfId="259" xr:uid="{CFD5DC0B-E5B1-4AB8-B476-B562F917CD7C}"/>
    <cellStyle name="Título 2 2" xfId="260" xr:uid="{512CC25E-A225-4689-AB6F-3BECA307376D}"/>
    <cellStyle name="Título 2 2 2" xfId="261" xr:uid="{C08BF3E1-3C52-4F6F-8083-642CCB465B51}"/>
    <cellStyle name="Título 3 2" xfId="262" xr:uid="{C09010AD-E95B-49D3-9990-BA1D127A9A4E}"/>
    <cellStyle name="Título 3 2 2" xfId="263" xr:uid="{23CCF13E-93B5-498F-9A5E-19D49D6CF285}"/>
    <cellStyle name="Título 4" xfId="264" xr:uid="{4492D697-8BD6-4B90-AA4A-98A6A6600802}"/>
    <cellStyle name="Título 4 2" xfId="265" xr:uid="{892B7848-09F3-4C37-BC14-4B66492A83D7}"/>
    <cellStyle name="Total 2" xfId="266" xr:uid="{2B5A1427-3EAE-43FF-9EE3-F9CC2FAB0B10}"/>
    <cellStyle name="Total 2 2" xfId="267" xr:uid="{6332A855-5573-4E6A-93A2-9B273C0EDD2D}"/>
  </cellStyles>
  <dxfs count="14">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1E1A3"/>
        </patternFill>
      </fill>
    </dxf>
    <dxf>
      <fill>
        <patternFill>
          <bgColor rgb="FFFDF5CE"/>
        </patternFill>
      </fill>
    </dxf>
  </dxfs>
  <tableStyles count="2" defaultTableStyle="TableStyleMedium2" defaultPivotStyle="PivotStyleLight16">
    <tableStyle name="Invisible" pivot="0" table="0" count="0" xr9:uid="{467DA7A3-E1EA-4CEA-8B66-FE199B6E586A}"/>
    <tableStyle name="Estilo de tabla 1" pivot="0" count="2" xr9:uid="{8B9BB282-A1A4-4C7F-AD53-EF3B40182104}">
      <tableStyleElement type="wholeTabl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Nunito" pitchFamily="2" charset="0"/>
                <a:ea typeface="+mn-ea"/>
                <a:cs typeface="+mn-cs"/>
              </a:defRPr>
            </a:pPr>
            <a:r>
              <a:rPr lang="en-US" b="1">
                <a:solidFill>
                  <a:sysClr val="windowText" lastClr="000000"/>
                </a:solidFill>
                <a:latin typeface="Nunito" pitchFamily="2" charset="0"/>
              </a:rPr>
              <a:t>Emisiones</a:t>
            </a:r>
            <a:r>
              <a:rPr lang="en-US" b="1" baseline="0">
                <a:solidFill>
                  <a:sysClr val="windowText" lastClr="000000"/>
                </a:solidFill>
                <a:latin typeface="Nunito" pitchFamily="2" charset="0"/>
              </a:rPr>
              <a:t> por Alcance</a:t>
            </a:r>
            <a:endParaRPr lang="en-US" b="1">
              <a:solidFill>
                <a:sysClr val="windowText" lastClr="000000"/>
              </a:solidFill>
              <a:latin typeface="Nunito"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Nunito" pitchFamily="2" charset="0"/>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1D-48F7-8C61-F0E90996A4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1D-48F7-8C61-F0E90996A4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D1D-48F7-8C61-F0E90996A4B0}"/>
              </c:ext>
            </c:extLst>
          </c:dPt>
          <c:dLbls>
            <c:dLbl>
              <c:idx val="0"/>
              <c:layout>
                <c:manualLayout>
                  <c:x val="-2.4539105756656743E-2"/>
                  <c:y val="-0.14659521291181885"/>
                </c:manualLayout>
              </c:layout>
              <c:tx>
                <c:rich>
                  <a:bodyPr/>
                  <a:lstStyle/>
                  <a:p>
                    <a:fld id="{A7AD295D-54AC-4D31-BC43-17B9C1E096AD}" type="PERCENTAGE">
                      <a:rPr lang="en-US">
                        <a:solidFill>
                          <a:sysClr val="windowText" lastClr="000000"/>
                        </a:solidFill>
                      </a:rPr>
                      <a:pPr/>
                      <a:t>[PORCENTAJE]</a:t>
                    </a:fld>
                    <a:endParaRPr lang="en-US"/>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D1D-48F7-8C61-F0E90996A4B0}"/>
                </c:ext>
              </c:extLst>
            </c:dLbl>
            <c:dLbl>
              <c:idx val="2"/>
              <c:tx>
                <c:rich>
                  <a:bodyPr/>
                  <a:lstStyle/>
                  <a:p>
                    <a:fld id="{E35D796E-B86A-45CA-9106-8FD97F7F7BF4}" type="PERCENTAGE">
                      <a:rPr lang="en-US">
                        <a:solidFill>
                          <a:sysClr val="windowText" lastClr="000000"/>
                        </a:solidFill>
                      </a:rPr>
                      <a:pPr/>
                      <a:t>[PORCENTAJE]</a:t>
                    </a:fld>
                    <a:endParaRPr lang="en-US"/>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D1D-48F7-8C61-F0E90996A4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UY"/>
              </a:p>
            </c:txPr>
            <c:showLegendKey val="0"/>
            <c:showVal val="0"/>
            <c:showCatName val="0"/>
            <c:showSerName val="0"/>
            <c:showPercent val="1"/>
            <c:showBubbleSize val="0"/>
            <c:showLeaderLines val="0"/>
            <c:extLst>
              <c:ext xmlns:c15="http://schemas.microsoft.com/office/drawing/2012/chart" uri="{CE6537A1-D6FC-4f65-9D91-7224C49458BB}"/>
            </c:extLst>
          </c:dLbls>
          <c:cat>
            <c:numLit>
              <c:formatCode>General</c:formatCode>
              <c:ptCount val="3"/>
            </c:numLit>
          </c:cat>
          <c:val>
            <c:numRef>
              <c:f>Resultados!$B$6:$B$8</c:f>
              <c:numCache>
                <c:formatCode>0.00</c:formatCode>
                <c:ptCount val="3"/>
                <c:pt idx="0" formatCode="#,##0.00">
                  <c:v>0</c:v>
                </c:pt>
                <c:pt idx="1">
                  <c:v>0</c:v>
                </c:pt>
                <c:pt idx="2">
                  <c:v>0</c:v>
                </c:pt>
              </c:numCache>
            </c:numRef>
          </c:val>
          <c:extLst>
            <c:ext xmlns:c16="http://schemas.microsoft.com/office/drawing/2014/chart" uri="{C3380CC4-5D6E-409C-BE32-E72D297353CC}">
              <c16:uniqueId val="{00000006-ED1D-48F7-8C61-F0E90996A4B0}"/>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U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Nunito" pitchFamily="2" charset="0"/>
                <a:ea typeface="+mn-ea"/>
                <a:cs typeface="+mn-cs"/>
              </a:defRPr>
            </a:pPr>
            <a:r>
              <a:rPr lang="en-US" b="1">
                <a:solidFill>
                  <a:sysClr val="windowText" lastClr="000000"/>
                </a:solidFill>
                <a:latin typeface="Nunito" pitchFamily="2" charset="0"/>
              </a:rPr>
              <a:t>Emisiones del Alcance 1 por tipo de fuente y actividad (ton CO₂</a:t>
            </a:r>
            <a:r>
              <a:rPr lang="en-US" b="1" baseline="0">
                <a:solidFill>
                  <a:sysClr val="windowText" lastClr="000000"/>
                </a:solidFill>
                <a:latin typeface="Nunito" pitchFamily="2" charset="0"/>
              </a:rPr>
              <a:t> eq</a:t>
            </a:r>
            <a:r>
              <a:rPr lang="en-US" b="1">
                <a:solidFill>
                  <a:sysClr val="windowText" lastClr="000000"/>
                </a:solidFill>
                <a:latin typeface="Nunito" pitchFamily="2" charset="0"/>
              </a:rPr>
              <a: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Nunito" pitchFamily="2" charset="0"/>
              <a:ea typeface="+mn-ea"/>
              <a:cs typeface="+mn-cs"/>
            </a:defRPr>
          </a:pPr>
          <a:endParaRPr lang="es-UY"/>
        </a:p>
      </c:txPr>
    </c:title>
    <c:autoTitleDeleted val="0"/>
    <c:plotArea>
      <c:layout/>
      <c:barChart>
        <c:barDir val="bar"/>
        <c:grouping val="clustered"/>
        <c:varyColors val="0"/>
        <c:ser>
          <c:idx val="0"/>
          <c:order val="0"/>
          <c:spPr>
            <a:solidFill>
              <a:schemeClr val="accent1"/>
            </a:solidFill>
            <a:ln>
              <a:noFill/>
            </a:ln>
            <a:effectLst/>
          </c:spPr>
          <c:invertIfNegative val="0"/>
          <c:cat>
            <c:strLit>
              <c:ptCount val="8"/>
              <c:pt idx="0">
                <c:v>Fuentes móviles</c:v>
              </c:pt>
              <c:pt idx="1">
                <c:v>Fuentes fijas</c:v>
              </c:pt>
              <c:pt idx="2">
                <c:v>Procesos industriales</c:v>
              </c:pt>
              <c:pt idx="3">
                <c:v>Uso de productos</c:v>
              </c:pt>
              <c:pt idx="4">
                <c:v>Procesos agrícolas y ganaderos</c:v>
              </c:pt>
              <c:pt idx="5">
                <c:v>Refrigerantes</c:v>
              </c:pt>
              <c:pt idx="6">
                <c:v>Gestión de residuos y aguas</c:v>
              </c:pt>
              <c:pt idx="7">
                <c:v>Equipos eléctricos</c:v>
              </c:pt>
            </c:strLit>
          </c:cat>
          <c:val>
            <c:numRef>
              <c:f>Resultados!$D$43:$D$50</c:f>
              <c:numCache>
                <c:formatCode>#,##0.00</c:formatCode>
                <c:ptCount val="8"/>
                <c:pt idx="0">
                  <c:v>0</c:v>
                </c:pt>
                <c:pt idx="1">
                  <c:v>0</c:v>
                </c:pt>
                <c:pt idx="2">
                  <c:v>0</c:v>
                </c:pt>
                <c:pt idx="3">
                  <c:v>0</c:v>
                </c:pt>
                <c:pt idx="4">
                  <c:v>0</c:v>
                </c:pt>
                <c:pt idx="5" formatCode="0.00">
                  <c:v>0</c:v>
                </c:pt>
                <c:pt idx="6" formatCode="0.00">
                  <c:v>0</c:v>
                </c:pt>
                <c:pt idx="7" formatCode="0.00">
                  <c:v>0</c:v>
                </c:pt>
              </c:numCache>
            </c:numRef>
          </c:val>
          <c:extLst>
            <c:ext xmlns:c16="http://schemas.microsoft.com/office/drawing/2014/chart" uri="{C3380CC4-5D6E-409C-BE32-E72D297353CC}">
              <c16:uniqueId val="{00000000-24A5-4990-B42E-EF68B043297E}"/>
            </c:ext>
          </c:extLst>
        </c:ser>
        <c:dLbls>
          <c:showLegendKey val="0"/>
          <c:showVal val="0"/>
          <c:showCatName val="0"/>
          <c:showSerName val="0"/>
          <c:showPercent val="0"/>
          <c:showBubbleSize val="0"/>
        </c:dLbls>
        <c:gapWidth val="219"/>
        <c:axId val="1368286351"/>
        <c:axId val="1368270543"/>
      </c:barChart>
      <c:catAx>
        <c:axId val="1368286351"/>
        <c:scaling>
          <c:orientation val="minMax"/>
        </c:scaling>
        <c:delete val="0"/>
        <c:axPos val="l"/>
        <c:numFmt formatCode="General" sourceLinked="1"/>
        <c:majorTickMark val="none"/>
        <c:minorTickMark val="none"/>
        <c:tickLblPos val="nextTo"/>
        <c:spPr>
          <a:noFill/>
          <a:ln w="9525" cap="flat" cmpd="sng" algn="ctr">
            <a:noFill/>
            <a:round/>
          </a:ln>
          <a:effectLst/>
        </c:spPr>
        <c:txPr>
          <a:bodyPr rot="0" spcFirstLastPara="1" vertOverflow="ellipsis" wrap="square" anchor="ctr" anchorCtr="1"/>
          <a:lstStyle/>
          <a:p>
            <a:pPr>
              <a:defRPr sz="900" b="0" i="0" u="none" strike="noStrike" kern="1200" baseline="0">
                <a:solidFill>
                  <a:schemeClr val="tx1">
                    <a:lumMod val="50000"/>
                  </a:schemeClr>
                </a:solidFill>
                <a:latin typeface="+mn-lt"/>
                <a:ea typeface="+mn-ea"/>
                <a:cs typeface="+mn-cs"/>
              </a:defRPr>
            </a:pPr>
            <a:endParaRPr lang="es-UY"/>
          </a:p>
        </c:txPr>
        <c:crossAx val="1368270543"/>
        <c:crosses val="autoZero"/>
        <c:auto val="1"/>
        <c:lblAlgn val="ctr"/>
        <c:lblOffset val="100"/>
        <c:noMultiLvlLbl val="0"/>
      </c:catAx>
      <c:valAx>
        <c:axId val="1368270543"/>
        <c:scaling>
          <c:orientation val="minMax"/>
          <c:max val="5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mn-lt"/>
                <a:ea typeface="+mn-ea"/>
                <a:cs typeface="+mn-cs"/>
              </a:defRPr>
            </a:pPr>
            <a:endParaRPr lang="es-UY"/>
          </a:p>
        </c:txPr>
        <c:crossAx val="1368286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Nunito" pitchFamily="2" charset="0"/>
              </a:rPr>
              <a:t>Emisiones del Alcance</a:t>
            </a:r>
            <a:r>
              <a:rPr lang="en-US" b="1" baseline="0">
                <a:solidFill>
                  <a:sysClr val="windowText" lastClr="000000"/>
                </a:solidFill>
                <a:latin typeface="Nunito" pitchFamily="2" charset="0"/>
              </a:rPr>
              <a:t> 3 por actividad </a:t>
            </a:r>
            <a:r>
              <a:rPr lang="en-US" sz="1400" b="1" i="0" u="none" strike="noStrike" baseline="0">
                <a:solidFill>
                  <a:sysClr val="windowText" lastClr="000000"/>
                </a:solidFill>
                <a:effectLst/>
                <a:latin typeface="Nunito" pitchFamily="2" charset="0"/>
              </a:rPr>
              <a:t>(ton CO₂ eq)</a:t>
            </a:r>
            <a:endParaRPr lang="en-US" b="1">
              <a:solidFill>
                <a:sysClr val="windowText" lastClr="000000"/>
              </a:solidFill>
              <a:latin typeface="Nunito"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4"/>
            </a:solidFill>
            <a:ln>
              <a:noFill/>
            </a:ln>
            <a:effectLst/>
          </c:spPr>
          <c:invertIfNegative val="0"/>
          <c:cat>
            <c:strLit>
              <c:ptCount val="6"/>
              <c:pt idx="0">
                <c:v>Transporte de empleados</c:v>
              </c:pt>
              <c:pt idx="1">
                <c:v>Viajes de negocios</c:v>
              </c:pt>
              <c:pt idx="2">
                <c:v>Transporte de carga</c:v>
              </c:pt>
              <c:pt idx="3">
                <c:v>Bienes y servicios comprados</c:v>
              </c:pt>
              <c:pt idx="4">
                <c:v>Residuos generados en operaciones</c:v>
              </c:pt>
              <c:pt idx="5">
                <c:v>Otras fuentes</c:v>
              </c:pt>
            </c:strLit>
          </c:cat>
          <c:val>
            <c:numRef>
              <c:f>Resultados!$D$64:$D$69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4AB-4407-A017-E0E91B7A70ED}"/>
            </c:ext>
          </c:extLst>
        </c:ser>
        <c:dLbls>
          <c:showLegendKey val="0"/>
          <c:showVal val="0"/>
          <c:showCatName val="0"/>
          <c:showSerName val="0"/>
          <c:showPercent val="0"/>
          <c:showBubbleSize val="0"/>
        </c:dLbls>
        <c:gapWidth val="219"/>
        <c:axId val="1368292175"/>
        <c:axId val="1368308399"/>
      </c:barChart>
      <c:catAx>
        <c:axId val="13682921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Nunito" pitchFamily="2" charset="0"/>
                <a:ea typeface="+mn-ea"/>
                <a:cs typeface="+mn-cs"/>
              </a:defRPr>
            </a:pPr>
            <a:endParaRPr lang="es-UY"/>
          </a:p>
        </c:txPr>
        <c:crossAx val="1368308399"/>
        <c:crosses val="autoZero"/>
        <c:auto val="1"/>
        <c:lblAlgn val="ctr"/>
        <c:lblOffset val="100"/>
        <c:noMultiLvlLbl val="0"/>
      </c:catAx>
      <c:valAx>
        <c:axId val="1368308399"/>
        <c:scaling>
          <c:orientation val="minMax"/>
          <c:max val="5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mn-lt"/>
                <a:ea typeface="+mn-ea"/>
                <a:cs typeface="+mn-cs"/>
              </a:defRPr>
            </a:pPr>
            <a:endParaRPr lang="es-UY"/>
          </a:p>
        </c:txPr>
        <c:crossAx val="13682921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Nunito" pitchFamily="2" charset="0"/>
                <a:ea typeface="+mn-ea"/>
                <a:cs typeface="+mn-cs"/>
              </a:defRPr>
            </a:pPr>
            <a:r>
              <a:rPr lang="en-US" b="1">
                <a:solidFill>
                  <a:schemeClr val="tx1"/>
                </a:solidFill>
                <a:latin typeface="Nunito" pitchFamily="2" charset="0"/>
              </a:rPr>
              <a:t>Emisiones de CO₂ eq por consumo</a:t>
            </a:r>
            <a:r>
              <a:rPr lang="en-US" b="1" baseline="0">
                <a:solidFill>
                  <a:schemeClr val="tx1"/>
                </a:solidFill>
                <a:latin typeface="Nunito" pitchFamily="2" charset="0"/>
              </a:rPr>
              <a:t> de combustibles</a:t>
            </a:r>
            <a:r>
              <a:rPr lang="en-US" b="1">
                <a:solidFill>
                  <a:schemeClr val="tx1"/>
                </a:solidFill>
                <a:latin typeface="Nunito" pitchFamily="2" charset="0"/>
              </a:rPr>
              <a:t> según tipo de</a:t>
            </a:r>
            <a:r>
              <a:rPr lang="en-US" b="1" baseline="0">
                <a:solidFill>
                  <a:schemeClr val="tx1"/>
                </a:solidFill>
                <a:latin typeface="Nunito" pitchFamily="2" charset="0"/>
              </a:rPr>
              <a:t> combustible</a:t>
            </a:r>
            <a:endParaRPr lang="en-US" b="1">
              <a:solidFill>
                <a:schemeClr val="tx1"/>
              </a:solidFill>
              <a:latin typeface="Nunito"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Nunito" pitchFamily="2" charset="0"/>
              <a:ea typeface="+mn-ea"/>
              <a:cs typeface="+mn-cs"/>
            </a:defRPr>
          </a:pPr>
          <a:endParaRPr lang="en-US"/>
        </a:p>
      </c:txPr>
    </c:title>
    <c:autoTitleDeleted val="0"/>
    <c:plotArea>
      <c:layout>
        <c:manualLayout>
          <c:layoutTarget val="inner"/>
          <c:xMode val="edge"/>
          <c:yMode val="edge"/>
          <c:x val="1.6866590700604613E-2"/>
          <c:y val="0.16973180569464991"/>
          <c:w val="0.96626681859879082"/>
          <c:h val="0.70845634377383104"/>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7DBE-4E8D-B4B0-4CF83E32F1C2}"/>
              </c:ext>
            </c:extLst>
          </c:dPt>
          <c:dPt>
            <c:idx val="1"/>
            <c:bubble3D val="0"/>
            <c:spPr>
              <a:solidFill>
                <a:schemeClr val="accent3"/>
              </a:solidFill>
              <a:ln>
                <a:noFill/>
              </a:ln>
              <a:effectLst/>
            </c:spPr>
            <c:extLst>
              <c:ext xmlns:c16="http://schemas.microsoft.com/office/drawing/2014/chart" uri="{C3380CC4-5D6E-409C-BE32-E72D297353CC}">
                <c16:uniqueId val="{00000003-7DBE-4E8D-B4B0-4CF83E32F1C2}"/>
              </c:ext>
            </c:extLst>
          </c:dPt>
          <c:dPt>
            <c:idx val="2"/>
            <c:bubble3D val="0"/>
            <c:spPr>
              <a:solidFill>
                <a:schemeClr val="accent5"/>
              </a:solidFill>
              <a:ln>
                <a:noFill/>
              </a:ln>
              <a:effectLst/>
            </c:spPr>
            <c:extLst>
              <c:ext xmlns:c16="http://schemas.microsoft.com/office/drawing/2014/chart" uri="{C3380CC4-5D6E-409C-BE32-E72D297353CC}">
                <c16:uniqueId val="{00000005-7DBE-4E8D-B4B0-4CF83E32F1C2}"/>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7-7DBE-4E8D-B4B0-4CF83E32F1C2}"/>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9-7DBE-4E8D-B4B0-4CF83E32F1C2}"/>
              </c:ext>
            </c:extLst>
          </c:dPt>
          <c:dPt>
            <c:idx val="5"/>
            <c:bubble3D val="0"/>
            <c:spPr>
              <a:solidFill>
                <a:schemeClr val="accent5">
                  <a:lumMod val="60000"/>
                </a:schemeClr>
              </a:solidFill>
              <a:ln>
                <a:noFill/>
              </a:ln>
              <a:effectLst/>
            </c:spPr>
            <c:extLst>
              <c:ext xmlns:c16="http://schemas.microsoft.com/office/drawing/2014/chart" uri="{C3380CC4-5D6E-409C-BE32-E72D297353CC}">
                <c16:uniqueId val="{0000000B-7DBE-4E8D-B4B0-4CF83E32F1C2}"/>
              </c:ext>
            </c:extLst>
          </c:dPt>
          <c:dPt>
            <c:idx val="6"/>
            <c:bubble3D val="0"/>
            <c:spPr>
              <a:solidFill>
                <a:schemeClr val="accent1">
                  <a:lumMod val="80000"/>
                  <a:lumOff val="20000"/>
                </a:schemeClr>
              </a:solidFill>
              <a:ln>
                <a:noFill/>
              </a:ln>
              <a:effectLst/>
            </c:spPr>
            <c:extLst>
              <c:ext xmlns:c16="http://schemas.microsoft.com/office/drawing/2014/chart" uri="{C3380CC4-5D6E-409C-BE32-E72D297353CC}">
                <c16:uniqueId val="{0000000D-7DBE-4E8D-B4B0-4CF83E32F1C2}"/>
              </c:ext>
            </c:extLst>
          </c:dPt>
          <c:dPt>
            <c:idx val="7"/>
            <c:bubble3D val="0"/>
            <c:spPr>
              <a:solidFill>
                <a:schemeClr val="accent3">
                  <a:lumMod val="80000"/>
                  <a:lumOff val="20000"/>
                </a:schemeClr>
              </a:solidFill>
              <a:ln>
                <a:noFill/>
              </a:ln>
              <a:effectLst/>
            </c:spPr>
            <c:extLst>
              <c:ext xmlns:c16="http://schemas.microsoft.com/office/drawing/2014/chart" uri="{C3380CC4-5D6E-409C-BE32-E72D297353CC}">
                <c16:uniqueId val="{0000000F-7DBE-4E8D-B4B0-4CF83E32F1C2}"/>
              </c:ext>
            </c:extLst>
          </c:dPt>
          <c:dPt>
            <c:idx val="8"/>
            <c:bubble3D val="0"/>
            <c:spPr>
              <a:solidFill>
                <a:schemeClr val="accent5">
                  <a:lumMod val="80000"/>
                  <a:lumOff val="20000"/>
                </a:schemeClr>
              </a:solidFill>
              <a:ln>
                <a:noFill/>
              </a:ln>
              <a:effectLst/>
            </c:spPr>
            <c:extLst>
              <c:ext xmlns:c16="http://schemas.microsoft.com/office/drawing/2014/chart" uri="{C3380CC4-5D6E-409C-BE32-E72D297353CC}">
                <c16:uniqueId val="{00000011-7DBE-4E8D-B4B0-4CF83E32F1C2}"/>
              </c:ext>
            </c:extLst>
          </c:dPt>
          <c:dPt>
            <c:idx val="9"/>
            <c:bubble3D val="0"/>
            <c:spPr>
              <a:solidFill>
                <a:schemeClr val="accent1">
                  <a:lumMod val="80000"/>
                </a:schemeClr>
              </a:solidFill>
              <a:ln>
                <a:noFill/>
              </a:ln>
              <a:effectLst/>
            </c:spPr>
            <c:extLst>
              <c:ext xmlns:c16="http://schemas.microsoft.com/office/drawing/2014/chart" uri="{C3380CC4-5D6E-409C-BE32-E72D297353CC}">
                <c16:uniqueId val="{00000013-7DBE-4E8D-B4B0-4CF83E32F1C2}"/>
              </c:ext>
            </c:extLst>
          </c:dPt>
          <c:dPt>
            <c:idx val="10"/>
            <c:bubble3D val="0"/>
            <c:spPr>
              <a:solidFill>
                <a:schemeClr val="accent3">
                  <a:lumMod val="80000"/>
                </a:schemeClr>
              </a:solidFill>
              <a:ln>
                <a:noFill/>
              </a:ln>
              <a:effectLst/>
            </c:spPr>
            <c:extLst>
              <c:ext xmlns:c16="http://schemas.microsoft.com/office/drawing/2014/chart" uri="{C3380CC4-5D6E-409C-BE32-E72D297353CC}">
                <c16:uniqueId val="{00000015-7DBE-4E8D-B4B0-4CF83E32F1C2}"/>
              </c:ext>
            </c:extLst>
          </c:dPt>
          <c:dPt>
            <c:idx val="11"/>
            <c:bubble3D val="0"/>
            <c:spPr>
              <a:solidFill>
                <a:schemeClr val="accent5">
                  <a:lumMod val="80000"/>
                </a:schemeClr>
              </a:solidFill>
              <a:ln>
                <a:noFill/>
              </a:ln>
              <a:effectLst/>
            </c:spPr>
            <c:extLst>
              <c:ext xmlns:c16="http://schemas.microsoft.com/office/drawing/2014/chart" uri="{C3380CC4-5D6E-409C-BE32-E72D297353CC}">
                <c16:uniqueId val="{00000017-7DBE-4E8D-B4B0-4CF83E32F1C2}"/>
              </c:ext>
            </c:extLst>
          </c:dPt>
          <c:dPt>
            <c:idx val="12"/>
            <c:bubble3D val="0"/>
            <c:spPr>
              <a:solidFill>
                <a:schemeClr val="accent1">
                  <a:lumMod val="60000"/>
                  <a:lumOff val="40000"/>
                </a:schemeClr>
              </a:solidFill>
              <a:ln>
                <a:noFill/>
              </a:ln>
              <a:effectLst/>
            </c:spPr>
            <c:extLst>
              <c:ext xmlns:c16="http://schemas.microsoft.com/office/drawing/2014/chart" uri="{C3380CC4-5D6E-409C-BE32-E72D297353CC}">
                <c16:uniqueId val="{00000019-7DBE-4E8D-B4B0-4CF83E32F1C2}"/>
              </c:ext>
            </c:extLst>
          </c:dPt>
          <c:dPt>
            <c:idx val="13"/>
            <c:bubble3D val="0"/>
            <c:spPr>
              <a:solidFill>
                <a:schemeClr val="accent3">
                  <a:lumMod val="60000"/>
                  <a:lumOff val="40000"/>
                </a:schemeClr>
              </a:solidFill>
              <a:ln>
                <a:noFill/>
              </a:ln>
              <a:effectLst/>
            </c:spPr>
            <c:extLst>
              <c:ext xmlns:c16="http://schemas.microsoft.com/office/drawing/2014/chart" uri="{C3380CC4-5D6E-409C-BE32-E72D297353CC}">
                <c16:uniqueId val="{0000001B-7DBE-4E8D-B4B0-4CF83E32F1C2}"/>
              </c:ext>
            </c:extLst>
          </c:dPt>
          <c:cat>
            <c:strRef>
              <c:f>(Resultados!$C$77:$C$84,Resultados!$C$86:$C$87,Resultados!$C$89:$C$92)</c:f>
              <c:strCache>
                <c:ptCount val="14"/>
                <c:pt idx="0">
                  <c:v>Gasoil / Diésel oil</c:v>
                </c:pt>
                <c:pt idx="1">
                  <c:v>Fuel oíl</c:v>
                </c:pt>
                <c:pt idx="2">
                  <c:v>Nafta</c:v>
                </c:pt>
                <c:pt idx="3">
                  <c:v>Queroseno</c:v>
                </c:pt>
                <c:pt idx="4">
                  <c:v>Gasolina Aviación </c:v>
                </c:pt>
                <c:pt idx="5">
                  <c:v>Turbocombustible</c:v>
                </c:pt>
                <c:pt idx="6">
                  <c:v>GLP / Supergas</c:v>
                </c:pt>
                <c:pt idx="7">
                  <c:v>Licor negro</c:v>
                </c:pt>
                <c:pt idx="8">
                  <c:v>Gas Natural</c:v>
                </c:pt>
                <c:pt idx="9">
                  <c:v>Gas de refinería</c:v>
                </c:pt>
                <c:pt idx="10">
                  <c:v>Coque de petróleo</c:v>
                </c:pt>
                <c:pt idx="11">
                  <c:v>Leña</c:v>
                </c:pt>
                <c:pt idx="12">
                  <c:v>Otros residuos de biomasa</c:v>
                </c:pt>
                <c:pt idx="13">
                  <c:v>Turba (peat)</c:v>
                </c:pt>
              </c:strCache>
            </c:strRef>
          </c:cat>
          <c:val>
            <c:numRef>
              <c:f>(Resultados!$D$77:$D$84,Resultados!$D$86:$D$87,Resultados!$D$89:$D$92)</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39CE-4401-95C5-85FA0DEFFCC2}"/>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Nunito" pitchFamily="2" charset="0"/>
                <a:ea typeface="+mn-ea"/>
                <a:cs typeface="+mn-cs"/>
              </a:defRPr>
            </a:pPr>
            <a:r>
              <a:rPr lang="es-PE" b="1">
                <a:solidFill>
                  <a:schemeClr val="tx1"/>
                </a:solidFill>
                <a:latin typeface="Nunito" pitchFamily="2" charset="0"/>
              </a:rPr>
              <a:t>Emisiones por tipo de GEI</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Nunito" pitchFamily="2" charset="0"/>
              <a:ea typeface="+mn-ea"/>
              <a:cs typeface="+mn-cs"/>
            </a:defRPr>
          </a:pPr>
          <a:endParaRPr lang="es-UY"/>
        </a:p>
      </c:txPr>
    </c:title>
    <c:autoTitleDeleted val="0"/>
    <c:plotArea>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8332-4579-8299-4D67C3688334}"/>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8332-4579-8299-4D67C3688334}"/>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8332-4579-8299-4D67C3688334}"/>
              </c:ext>
            </c:extLst>
          </c:dPt>
          <c:cat>
            <c:strRef>
              <c:f>(Resultados!$A$24,Resultados!$A$29,Resultados!$A$34)</c:f>
              <c:strCache>
                <c:ptCount val="3"/>
                <c:pt idx="0">
                  <c:v>Dióxido de carbono (CO2)</c:v>
                </c:pt>
                <c:pt idx="1">
                  <c:v>Metano (CH4)</c:v>
                </c:pt>
                <c:pt idx="2">
                  <c:v>Óxido nitroso (N2O)</c:v>
                </c:pt>
              </c:strCache>
            </c:strRef>
          </c:cat>
          <c:val>
            <c:numRef>
              <c:f>(Resultados!$C$28,Resultados!$C$33,Resultados!$C$38)</c:f>
              <c:numCache>
                <c:formatCode>0.00</c:formatCode>
                <c:ptCount val="3"/>
                <c:pt idx="0">
                  <c:v>0</c:v>
                </c:pt>
                <c:pt idx="1">
                  <c:v>0</c:v>
                </c:pt>
                <c:pt idx="2">
                  <c:v>0</c:v>
                </c:pt>
              </c:numCache>
            </c:numRef>
          </c:val>
          <c:extLst>
            <c:ext xmlns:c16="http://schemas.microsoft.com/office/drawing/2014/chart" uri="{C3380CC4-5D6E-409C-BE32-E72D297353CC}">
              <c16:uniqueId val="{00000001-4D62-40A3-8285-4079E101771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UY"/>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U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6.sv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svg"/><Relationship Id="rId20" Type="http://schemas.openxmlformats.org/officeDocument/2006/relationships/image" Target="../media/image20.sv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24.sv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svg"/><Relationship Id="rId10" Type="http://schemas.openxmlformats.org/officeDocument/2006/relationships/image" Target="../media/image10.sv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2.svg"/><Relationship Id="rId27" Type="http://schemas.openxmlformats.org/officeDocument/2006/relationships/image" Target="../media/image27.png"/><Relationship Id="rId30" Type="http://schemas.openxmlformats.org/officeDocument/2006/relationships/image" Target="../media/image30.sv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12</xdr:col>
      <xdr:colOff>686253</xdr:colOff>
      <xdr:row>0</xdr:row>
      <xdr:rowOff>0</xdr:rowOff>
    </xdr:from>
    <xdr:to>
      <xdr:col>12</xdr:col>
      <xdr:colOff>1217839</xdr:colOff>
      <xdr:row>0</xdr:row>
      <xdr:rowOff>990600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0182" y="0"/>
          <a:ext cx="53158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xdr:colOff>
      <xdr:row>0</xdr:row>
      <xdr:rowOff>28575</xdr:rowOff>
    </xdr:from>
    <xdr:to>
      <xdr:col>2</xdr:col>
      <xdr:colOff>342900</xdr:colOff>
      <xdr:row>0</xdr:row>
      <xdr:rowOff>962025</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8575"/>
          <a:ext cx="9334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275167</xdr:colOff>
      <xdr:row>59</xdr:row>
      <xdr:rowOff>21167</xdr:rowOff>
    </xdr:from>
    <xdr:to>
      <xdr:col>4</xdr:col>
      <xdr:colOff>719667</xdr:colOff>
      <xdr:row>60</xdr:row>
      <xdr:rowOff>116417</xdr:rowOff>
    </xdr:to>
    <xdr:pic>
      <xdr:nvPicPr>
        <xdr:cNvPr id="6" name="Gráfico 20" descr="Coche contorno">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323167" y="14837834"/>
          <a:ext cx="444500" cy="476250"/>
        </a:xfrm>
        <a:prstGeom prst="rect">
          <a:avLst/>
        </a:prstGeom>
      </xdr:spPr>
    </xdr:pic>
    <xdr:clientData/>
  </xdr:twoCellAnchor>
  <xdr:twoCellAnchor editAs="oneCell">
    <xdr:from>
      <xdr:col>4</xdr:col>
      <xdr:colOff>179918</xdr:colOff>
      <xdr:row>51</xdr:row>
      <xdr:rowOff>42335</xdr:rowOff>
    </xdr:from>
    <xdr:to>
      <xdr:col>4</xdr:col>
      <xdr:colOff>635001</xdr:colOff>
      <xdr:row>52</xdr:row>
      <xdr:rowOff>105835</xdr:rowOff>
    </xdr:to>
    <xdr:pic>
      <xdr:nvPicPr>
        <xdr:cNvPr id="7" name="Gráfico 17" descr="Fábrica contorno">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227918" y="11959168"/>
          <a:ext cx="455083" cy="444500"/>
        </a:xfrm>
        <a:prstGeom prst="rect">
          <a:avLst/>
        </a:prstGeom>
      </xdr:spPr>
    </xdr:pic>
    <xdr:clientData/>
  </xdr:twoCellAnchor>
  <xdr:twoCellAnchor editAs="oneCell">
    <xdr:from>
      <xdr:col>4</xdr:col>
      <xdr:colOff>179919</xdr:colOff>
      <xdr:row>49</xdr:row>
      <xdr:rowOff>42333</xdr:rowOff>
    </xdr:from>
    <xdr:to>
      <xdr:col>4</xdr:col>
      <xdr:colOff>603250</xdr:colOff>
      <xdr:row>50</xdr:row>
      <xdr:rowOff>63501</xdr:rowOff>
    </xdr:to>
    <xdr:pic>
      <xdr:nvPicPr>
        <xdr:cNvPr id="8" name="Gráfico 23" descr="Hormigonera contorno">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227919" y="11197166"/>
          <a:ext cx="423331" cy="402168"/>
        </a:xfrm>
        <a:prstGeom prst="rect">
          <a:avLst/>
        </a:prstGeom>
      </xdr:spPr>
    </xdr:pic>
    <xdr:clientData/>
  </xdr:twoCellAnchor>
  <xdr:twoCellAnchor editAs="oneCell">
    <xdr:from>
      <xdr:col>4</xdr:col>
      <xdr:colOff>211669</xdr:colOff>
      <xdr:row>50</xdr:row>
      <xdr:rowOff>52918</xdr:rowOff>
    </xdr:from>
    <xdr:to>
      <xdr:col>4</xdr:col>
      <xdr:colOff>592667</xdr:colOff>
      <xdr:row>51</xdr:row>
      <xdr:rowOff>74084</xdr:rowOff>
    </xdr:to>
    <xdr:pic>
      <xdr:nvPicPr>
        <xdr:cNvPr id="9" name="Gráfico 15" descr="Barril de petróleo contorno">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259669" y="11588751"/>
          <a:ext cx="380998" cy="402166"/>
        </a:xfrm>
        <a:prstGeom prst="rect">
          <a:avLst/>
        </a:prstGeom>
      </xdr:spPr>
    </xdr:pic>
    <xdr:clientData/>
  </xdr:twoCellAnchor>
  <xdr:twoCellAnchor editAs="oneCell">
    <xdr:from>
      <xdr:col>4</xdr:col>
      <xdr:colOff>222249</xdr:colOff>
      <xdr:row>52</xdr:row>
      <xdr:rowOff>84666</xdr:rowOff>
    </xdr:from>
    <xdr:to>
      <xdr:col>4</xdr:col>
      <xdr:colOff>645582</xdr:colOff>
      <xdr:row>53</xdr:row>
      <xdr:rowOff>105833</xdr:rowOff>
    </xdr:to>
    <xdr:pic>
      <xdr:nvPicPr>
        <xdr:cNvPr id="10" name="Gráfico 13" descr="Vaca">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270249" y="12382499"/>
          <a:ext cx="423333" cy="402167"/>
        </a:xfrm>
        <a:prstGeom prst="rect">
          <a:avLst/>
        </a:prstGeom>
      </xdr:spPr>
    </xdr:pic>
    <xdr:clientData/>
  </xdr:twoCellAnchor>
  <xdr:twoCellAnchor editAs="oneCell">
    <xdr:from>
      <xdr:col>4</xdr:col>
      <xdr:colOff>169334</xdr:colOff>
      <xdr:row>53</xdr:row>
      <xdr:rowOff>31749</xdr:rowOff>
    </xdr:from>
    <xdr:to>
      <xdr:col>4</xdr:col>
      <xdr:colOff>656168</xdr:colOff>
      <xdr:row>54</xdr:row>
      <xdr:rowOff>105834</xdr:rowOff>
    </xdr:to>
    <xdr:pic>
      <xdr:nvPicPr>
        <xdr:cNvPr id="11" name="Gráfico 22400" descr="Copo de nieve">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3217334" y="12710582"/>
          <a:ext cx="486834" cy="455085"/>
        </a:xfrm>
        <a:prstGeom prst="rect">
          <a:avLst/>
        </a:prstGeom>
      </xdr:spPr>
    </xdr:pic>
    <xdr:clientData/>
  </xdr:twoCellAnchor>
  <xdr:twoCellAnchor editAs="oneCell">
    <xdr:from>
      <xdr:col>4</xdr:col>
      <xdr:colOff>254000</xdr:colOff>
      <xdr:row>54</xdr:row>
      <xdr:rowOff>74082</xdr:rowOff>
    </xdr:from>
    <xdr:to>
      <xdr:col>4</xdr:col>
      <xdr:colOff>582083</xdr:colOff>
      <xdr:row>55</xdr:row>
      <xdr:rowOff>84667</xdr:rowOff>
    </xdr:to>
    <xdr:pic>
      <xdr:nvPicPr>
        <xdr:cNvPr id="12" name="Gráfico 62" descr="Basura">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302000" y="13133915"/>
          <a:ext cx="328083" cy="391585"/>
        </a:xfrm>
        <a:prstGeom prst="rect">
          <a:avLst/>
        </a:prstGeom>
      </xdr:spPr>
    </xdr:pic>
    <xdr:clientData/>
  </xdr:twoCellAnchor>
  <xdr:twoCellAnchor editAs="oneCell">
    <xdr:from>
      <xdr:col>4</xdr:col>
      <xdr:colOff>222248</xdr:colOff>
      <xdr:row>55</xdr:row>
      <xdr:rowOff>95252</xdr:rowOff>
    </xdr:from>
    <xdr:to>
      <xdr:col>4</xdr:col>
      <xdr:colOff>613834</xdr:colOff>
      <xdr:row>55</xdr:row>
      <xdr:rowOff>529167</xdr:rowOff>
    </xdr:to>
    <xdr:pic>
      <xdr:nvPicPr>
        <xdr:cNvPr id="13" name="Gráfico 22416" descr="Torre de telefonía">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270248" y="13536085"/>
          <a:ext cx="391586" cy="433915"/>
        </a:xfrm>
        <a:prstGeom prst="rect">
          <a:avLst/>
        </a:prstGeom>
      </xdr:spPr>
    </xdr:pic>
    <xdr:clientData/>
  </xdr:twoCellAnchor>
  <xdr:twoCellAnchor editAs="oneCell">
    <xdr:from>
      <xdr:col>4</xdr:col>
      <xdr:colOff>243417</xdr:colOff>
      <xdr:row>57</xdr:row>
      <xdr:rowOff>42334</xdr:rowOff>
    </xdr:from>
    <xdr:to>
      <xdr:col>4</xdr:col>
      <xdr:colOff>634999</xdr:colOff>
      <xdr:row>58</xdr:row>
      <xdr:rowOff>1</xdr:rowOff>
    </xdr:to>
    <xdr:pic>
      <xdr:nvPicPr>
        <xdr:cNvPr id="14" name="Gráfico 22404" descr="Trueno">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3291417" y="14361584"/>
          <a:ext cx="391582" cy="338667"/>
        </a:xfrm>
        <a:prstGeom prst="rect">
          <a:avLst/>
        </a:prstGeom>
      </xdr:spPr>
    </xdr:pic>
    <xdr:clientData/>
  </xdr:twoCellAnchor>
  <xdr:twoCellAnchor editAs="oneCell">
    <xdr:from>
      <xdr:col>4</xdr:col>
      <xdr:colOff>264583</xdr:colOff>
      <xdr:row>60</xdr:row>
      <xdr:rowOff>63498</xdr:rowOff>
    </xdr:from>
    <xdr:to>
      <xdr:col>4</xdr:col>
      <xdr:colOff>709083</xdr:colOff>
      <xdr:row>61</xdr:row>
      <xdr:rowOff>116415</xdr:rowOff>
    </xdr:to>
    <xdr:pic>
      <xdr:nvPicPr>
        <xdr:cNvPr id="15" name="Gráfico 25" descr="Aterrizar contorno">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3312583" y="15451665"/>
          <a:ext cx="444500" cy="433917"/>
        </a:xfrm>
        <a:prstGeom prst="rect">
          <a:avLst/>
        </a:prstGeom>
      </xdr:spPr>
    </xdr:pic>
    <xdr:clientData/>
  </xdr:twoCellAnchor>
  <xdr:twoCellAnchor editAs="oneCell">
    <xdr:from>
      <xdr:col>4</xdr:col>
      <xdr:colOff>264581</xdr:colOff>
      <xdr:row>61</xdr:row>
      <xdr:rowOff>42332</xdr:rowOff>
    </xdr:from>
    <xdr:to>
      <xdr:col>4</xdr:col>
      <xdr:colOff>719664</xdr:colOff>
      <xdr:row>62</xdr:row>
      <xdr:rowOff>126998</xdr:rowOff>
    </xdr:to>
    <xdr:pic>
      <xdr:nvPicPr>
        <xdr:cNvPr id="16" name="Gráfico 45" descr="Camión contorno">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3312581" y="15811499"/>
          <a:ext cx="455083" cy="465666"/>
        </a:xfrm>
        <a:prstGeom prst="rect">
          <a:avLst/>
        </a:prstGeom>
      </xdr:spPr>
    </xdr:pic>
    <xdr:clientData/>
  </xdr:twoCellAnchor>
  <xdr:twoCellAnchor editAs="oneCell">
    <xdr:from>
      <xdr:col>4</xdr:col>
      <xdr:colOff>296333</xdr:colOff>
      <xdr:row>62</xdr:row>
      <xdr:rowOff>84666</xdr:rowOff>
    </xdr:from>
    <xdr:to>
      <xdr:col>4</xdr:col>
      <xdr:colOff>687916</xdr:colOff>
      <xdr:row>63</xdr:row>
      <xdr:rowOff>74082</xdr:rowOff>
    </xdr:to>
    <xdr:pic>
      <xdr:nvPicPr>
        <xdr:cNvPr id="17" name="Gráfico 22415" descr="Papel">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3344333" y="16234833"/>
          <a:ext cx="391583" cy="370416"/>
        </a:xfrm>
        <a:prstGeom prst="rect">
          <a:avLst/>
        </a:prstGeom>
      </xdr:spPr>
    </xdr:pic>
    <xdr:clientData/>
  </xdr:twoCellAnchor>
  <xdr:twoCellAnchor editAs="oneCell">
    <xdr:from>
      <xdr:col>4</xdr:col>
      <xdr:colOff>275164</xdr:colOff>
      <xdr:row>64</xdr:row>
      <xdr:rowOff>74081</xdr:rowOff>
    </xdr:from>
    <xdr:to>
      <xdr:col>4</xdr:col>
      <xdr:colOff>693841</xdr:colOff>
      <xdr:row>64</xdr:row>
      <xdr:rowOff>492758</xdr:rowOff>
    </xdr:to>
    <xdr:pic>
      <xdr:nvPicPr>
        <xdr:cNvPr id="18" name="Gráfico 46" descr="Basura contorno">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3323164" y="16986248"/>
          <a:ext cx="418677" cy="418677"/>
        </a:xfrm>
        <a:prstGeom prst="rect">
          <a:avLst/>
        </a:prstGeom>
      </xdr:spPr>
    </xdr:pic>
    <xdr:clientData/>
  </xdr:twoCellAnchor>
  <xdr:twoCellAnchor editAs="oneCell">
    <xdr:from>
      <xdr:col>4</xdr:col>
      <xdr:colOff>201083</xdr:colOff>
      <xdr:row>48</xdr:row>
      <xdr:rowOff>84667</xdr:rowOff>
    </xdr:from>
    <xdr:to>
      <xdr:col>4</xdr:col>
      <xdr:colOff>571500</xdr:colOff>
      <xdr:row>49</xdr:row>
      <xdr:rowOff>74084</xdr:rowOff>
    </xdr:to>
    <xdr:pic>
      <xdr:nvPicPr>
        <xdr:cNvPr id="20" name="Gráfico 19" descr="Usuari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3249083" y="10858500"/>
          <a:ext cx="370417" cy="370417"/>
        </a:xfrm>
        <a:prstGeom prst="rect">
          <a:avLst/>
        </a:prstGeom>
      </xdr:spPr>
    </xdr:pic>
    <xdr:clientData/>
  </xdr:twoCellAnchor>
  <xdr:twoCellAnchor editAs="oneCell">
    <xdr:from>
      <xdr:col>5</xdr:col>
      <xdr:colOff>616857</xdr:colOff>
      <xdr:row>0</xdr:row>
      <xdr:rowOff>117929</xdr:rowOff>
    </xdr:from>
    <xdr:to>
      <xdr:col>8</xdr:col>
      <xdr:colOff>533605</xdr:colOff>
      <xdr:row>0</xdr:row>
      <xdr:rowOff>800903</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1"/>
        <a:stretch>
          <a:fillRect/>
        </a:stretch>
      </xdr:blipFill>
      <xdr:spPr>
        <a:xfrm>
          <a:off x="4608286" y="117929"/>
          <a:ext cx="2547462" cy="682974"/>
        </a:xfrm>
        <a:prstGeom prst="rect">
          <a:avLst/>
        </a:prstGeom>
      </xdr:spPr>
    </xdr:pic>
    <xdr:clientData/>
  </xdr:twoCellAnchor>
  <xdr:twoCellAnchor editAs="oneCell">
    <xdr:from>
      <xdr:col>11</xdr:col>
      <xdr:colOff>381000</xdr:colOff>
      <xdr:row>0</xdr:row>
      <xdr:rowOff>127000</xdr:rowOff>
    </xdr:from>
    <xdr:to>
      <xdr:col>12</xdr:col>
      <xdr:colOff>402771</xdr:colOff>
      <xdr:row>0</xdr:row>
      <xdr:rowOff>782955</xdr:rowOff>
    </xdr:to>
    <xdr:pic>
      <xdr:nvPicPr>
        <xdr:cNvPr id="22" name="Picture 15">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10615" t="23152" r="11330" b="10959"/>
        <a:stretch/>
      </xdr:blipFill>
      <xdr:spPr bwMode="auto">
        <a:xfrm>
          <a:off x="9398000" y="127000"/>
          <a:ext cx="1028700" cy="6559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388620</xdr:colOff>
          <xdr:row>17</xdr:row>
          <xdr:rowOff>190500</xdr:rowOff>
        </xdr:from>
        <xdr:to>
          <xdr:col>3</xdr:col>
          <xdr:colOff>76200</xdr:colOff>
          <xdr:row>19</xdr:row>
          <xdr:rowOff>22860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1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18</xdr:row>
          <xdr:rowOff>182880</xdr:rowOff>
        </xdr:from>
        <xdr:to>
          <xdr:col>3</xdr:col>
          <xdr:colOff>76200</xdr:colOff>
          <xdr:row>20</xdr:row>
          <xdr:rowOff>7620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1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19</xdr:row>
          <xdr:rowOff>182880</xdr:rowOff>
        </xdr:from>
        <xdr:to>
          <xdr:col>3</xdr:col>
          <xdr:colOff>76200</xdr:colOff>
          <xdr:row>21</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1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20</xdr:row>
          <xdr:rowOff>182880</xdr:rowOff>
        </xdr:from>
        <xdr:to>
          <xdr:col>3</xdr:col>
          <xdr:colOff>76200</xdr:colOff>
          <xdr:row>22</xdr:row>
          <xdr:rowOff>7620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1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20</xdr:row>
          <xdr:rowOff>182880</xdr:rowOff>
        </xdr:from>
        <xdr:to>
          <xdr:col>3</xdr:col>
          <xdr:colOff>76200</xdr:colOff>
          <xdr:row>22</xdr:row>
          <xdr:rowOff>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1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21</xdr:row>
          <xdr:rowOff>182880</xdr:rowOff>
        </xdr:from>
        <xdr:to>
          <xdr:col>3</xdr:col>
          <xdr:colOff>76200</xdr:colOff>
          <xdr:row>23</xdr:row>
          <xdr:rowOff>7620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1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21</xdr:row>
          <xdr:rowOff>182880</xdr:rowOff>
        </xdr:from>
        <xdr:to>
          <xdr:col>3</xdr:col>
          <xdr:colOff>76200</xdr:colOff>
          <xdr:row>23</xdr:row>
          <xdr:rowOff>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1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22</xdr:row>
          <xdr:rowOff>182880</xdr:rowOff>
        </xdr:from>
        <xdr:to>
          <xdr:col>3</xdr:col>
          <xdr:colOff>76200</xdr:colOff>
          <xdr:row>24</xdr:row>
          <xdr:rowOff>7620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1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23</xdr:row>
          <xdr:rowOff>182880</xdr:rowOff>
        </xdr:from>
        <xdr:to>
          <xdr:col>3</xdr:col>
          <xdr:colOff>76200</xdr:colOff>
          <xdr:row>24</xdr:row>
          <xdr:rowOff>220980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1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25</xdr:row>
          <xdr:rowOff>182880</xdr:rowOff>
        </xdr:from>
        <xdr:to>
          <xdr:col>3</xdr:col>
          <xdr:colOff>76200</xdr:colOff>
          <xdr:row>27</xdr:row>
          <xdr:rowOff>7620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1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16</xdr:row>
          <xdr:rowOff>175260</xdr:rowOff>
        </xdr:from>
        <xdr:to>
          <xdr:col>3</xdr:col>
          <xdr:colOff>76200</xdr:colOff>
          <xdr:row>18</xdr:row>
          <xdr:rowOff>38100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1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21</xdr:row>
          <xdr:rowOff>182880</xdr:rowOff>
        </xdr:from>
        <xdr:to>
          <xdr:col>3</xdr:col>
          <xdr:colOff>76200</xdr:colOff>
          <xdr:row>23</xdr:row>
          <xdr:rowOff>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1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22</xdr:row>
          <xdr:rowOff>182880</xdr:rowOff>
        </xdr:from>
        <xdr:to>
          <xdr:col>3</xdr:col>
          <xdr:colOff>76200</xdr:colOff>
          <xdr:row>24</xdr:row>
          <xdr:rowOff>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1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18</xdr:row>
          <xdr:rowOff>182880</xdr:rowOff>
        </xdr:from>
        <xdr:to>
          <xdr:col>8</xdr:col>
          <xdr:colOff>76200</xdr:colOff>
          <xdr:row>20</xdr:row>
          <xdr:rowOff>45720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1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19</xdr:row>
          <xdr:rowOff>182880</xdr:rowOff>
        </xdr:from>
        <xdr:to>
          <xdr:col>8</xdr:col>
          <xdr:colOff>76200</xdr:colOff>
          <xdr:row>21</xdr:row>
          <xdr:rowOff>38100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1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20</xdr:row>
          <xdr:rowOff>182880</xdr:rowOff>
        </xdr:from>
        <xdr:to>
          <xdr:col>8</xdr:col>
          <xdr:colOff>76200</xdr:colOff>
          <xdr:row>22</xdr:row>
          <xdr:rowOff>45720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1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20</xdr:row>
          <xdr:rowOff>182880</xdr:rowOff>
        </xdr:from>
        <xdr:to>
          <xdr:col>8</xdr:col>
          <xdr:colOff>76200</xdr:colOff>
          <xdr:row>22</xdr:row>
          <xdr:rowOff>38100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1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20</xdr:row>
          <xdr:rowOff>182880</xdr:rowOff>
        </xdr:from>
        <xdr:to>
          <xdr:col>8</xdr:col>
          <xdr:colOff>76200</xdr:colOff>
          <xdr:row>22</xdr:row>
          <xdr:rowOff>38100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1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20</xdr:row>
          <xdr:rowOff>182880</xdr:rowOff>
        </xdr:from>
        <xdr:to>
          <xdr:col>8</xdr:col>
          <xdr:colOff>76200</xdr:colOff>
          <xdr:row>22</xdr:row>
          <xdr:rowOff>45720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1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20</xdr:row>
          <xdr:rowOff>182880</xdr:rowOff>
        </xdr:from>
        <xdr:to>
          <xdr:col>8</xdr:col>
          <xdr:colOff>76200</xdr:colOff>
          <xdr:row>22</xdr:row>
          <xdr:rowOff>38100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1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182880</xdr:rowOff>
        </xdr:from>
        <xdr:to>
          <xdr:col>3</xdr:col>
          <xdr:colOff>76200</xdr:colOff>
          <xdr:row>43</xdr:row>
          <xdr:rowOff>45720</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1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49</xdr:row>
          <xdr:rowOff>182880</xdr:rowOff>
        </xdr:from>
        <xdr:to>
          <xdr:col>3</xdr:col>
          <xdr:colOff>76200</xdr:colOff>
          <xdr:row>51</xdr:row>
          <xdr:rowOff>7620</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1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266700</xdr:rowOff>
        </xdr:from>
        <xdr:to>
          <xdr:col>3</xdr:col>
          <xdr:colOff>76200</xdr:colOff>
          <xdr:row>42</xdr:row>
          <xdr:rowOff>137160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1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182880</xdr:rowOff>
        </xdr:from>
        <xdr:to>
          <xdr:col>3</xdr:col>
          <xdr:colOff>76200</xdr:colOff>
          <xdr:row>43</xdr:row>
          <xdr:rowOff>45720</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100-00006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48</xdr:row>
          <xdr:rowOff>182880</xdr:rowOff>
        </xdr:from>
        <xdr:to>
          <xdr:col>3</xdr:col>
          <xdr:colOff>76200</xdr:colOff>
          <xdr:row>50</xdr:row>
          <xdr:rowOff>45720</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100-00006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25</xdr:row>
          <xdr:rowOff>175260</xdr:rowOff>
        </xdr:from>
        <xdr:to>
          <xdr:col>8</xdr:col>
          <xdr:colOff>76200</xdr:colOff>
          <xdr:row>27</xdr:row>
          <xdr:rowOff>30480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100-00007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28</xdr:row>
          <xdr:rowOff>182880</xdr:rowOff>
        </xdr:from>
        <xdr:to>
          <xdr:col>8</xdr:col>
          <xdr:colOff>76200</xdr:colOff>
          <xdr:row>30</xdr:row>
          <xdr:rowOff>38100</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100-00008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28</xdr:row>
          <xdr:rowOff>182880</xdr:rowOff>
        </xdr:from>
        <xdr:to>
          <xdr:col>8</xdr:col>
          <xdr:colOff>76200</xdr:colOff>
          <xdr:row>30</xdr:row>
          <xdr:rowOff>45720</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1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28</xdr:row>
          <xdr:rowOff>182880</xdr:rowOff>
        </xdr:from>
        <xdr:to>
          <xdr:col>8</xdr:col>
          <xdr:colOff>76200</xdr:colOff>
          <xdr:row>30</xdr:row>
          <xdr:rowOff>38100</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1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29</xdr:row>
          <xdr:rowOff>182880</xdr:rowOff>
        </xdr:from>
        <xdr:to>
          <xdr:col>8</xdr:col>
          <xdr:colOff>76200</xdr:colOff>
          <xdr:row>31</xdr:row>
          <xdr:rowOff>30480</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100-00008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29</xdr:row>
          <xdr:rowOff>182880</xdr:rowOff>
        </xdr:from>
        <xdr:to>
          <xdr:col>8</xdr:col>
          <xdr:colOff>76200</xdr:colOff>
          <xdr:row>31</xdr:row>
          <xdr:rowOff>38100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100-00008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29</xdr:row>
          <xdr:rowOff>182880</xdr:rowOff>
        </xdr:from>
        <xdr:to>
          <xdr:col>8</xdr:col>
          <xdr:colOff>76200</xdr:colOff>
          <xdr:row>31</xdr:row>
          <xdr:rowOff>30480</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1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30</xdr:row>
          <xdr:rowOff>182880</xdr:rowOff>
        </xdr:from>
        <xdr:to>
          <xdr:col>8</xdr:col>
          <xdr:colOff>76200</xdr:colOff>
          <xdr:row>32</xdr:row>
          <xdr:rowOff>30480</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1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30</xdr:row>
          <xdr:rowOff>182880</xdr:rowOff>
        </xdr:from>
        <xdr:to>
          <xdr:col>8</xdr:col>
          <xdr:colOff>76200</xdr:colOff>
          <xdr:row>32</xdr:row>
          <xdr:rowOff>38100</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100-00008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30</xdr:row>
          <xdr:rowOff>182880</xdr:rowOff>
        </xdr:from>
        <xdr:to>
          <xdr:col>8</xdr:col>
          <xdr:colOff>76200</xdr:colOff>
          <xdr:row>32</xdr:row>
          <xdr:rowOff>30480</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100-00008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38100</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1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45720</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1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38100</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100-00008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20</xdr:row>
          <xdr:rowOff>182880</xdr:rowOff>
        </xdr:from>
        <xdr:to>
          <xdr:col>8</xdr:col>
          <xdr:colOff>76200</xdr:colOff>
          <xdr:row>22</xdr:row>
          <xdr:rowOff>38100</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1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24</xdr:row>
          <xdr:rowOff>236220</xdr:rowOff>
        </xdr:from>
        <xdr:to>
          <xdr:col>8</xdr:col>
          <xdr:colOff>76200</xdr:colOff>
          <xdr:row>26</xdr:row>
          <xdr:rowOff>30480</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100-00009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28</xdr:row>
          <xdr:rowOff>182880</xdr:rowOff>
        </xdr:from>
        <xdr:to>
          <xdr:col>8</xdr:col>
          <xdr:colOff>76200</xdr:colOff>
          <xdr:row>30</xdr:row>
          <xdr:rowOff>38100</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100-00009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28</xdr:row>
          <xdr:rowOff>182880</xdr:rowOff>
        </xdr:from>
        <xdr:to>
          <xdr:col>8</xdr:col>
          <xdr:colOff>76200</xdr:colOff>
          <xdr:row>30</xdr:row>
          <xdr:rowOff>45720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1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28</xdr:row>
          <xdr:rowOff>182880</xdr:rowOff>
        </xdr:from>
        <xdr:to>
          <xdr:col>8</xdr:col>
          <xdr:colOff>76200</xdr:colOff>
          <xdr:row>30</xdr:row>
          <xdr:rowOff>38100</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1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29</xdr:row>
          <xdr:rowOff>182880</xdr:rowOff>
        </xdr:from>
        <xdr:to>
          <xdr:col>8</xdr:col>
          <xdr:colOff>76200</xdr:colOff>
          <xdr:row>31</xdr:row>
          <xdr:rowOff>30480</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100-00009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29</xdr:row>
          <xdr:rowOff>182880</xdr:rowOff>
        </xdr:from>
        <xdr:to>
          <xdr:col>8</xdr:col>
          <xdr:colOff>76200</xdr:colOff>
          <xdr:row>31</xdr:row>
          <xdr:rowOff>38100</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100-00009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29</xdr:row>
          <xdr:rowOff>182880</xdr:rowOff>
        </xdr:from>
        <xdr:to>
          <xdr:col>8</xdr:col>
          <xdr:colOff>76200</xdr:colOff>
          <xdr:row>31</xdr:row>
          <xdr:rowOff>30480</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1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30</xdr:row>
          <xdr:rowOff>182880</xdr:rowOff>
        </xdr:from>
        <xdr:to>
          <xdr:col>8</xdr:col>
          <xdr:colOff>76200</xdr:colOff>
          <xdr:row>32</xdr:row>
          <xdr:rowOff>30480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1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30</xdr:row>
          <xdr:rowOff>182880</xdr:rowOff>
        </xdr:from>
        <xdr:to>
          <xdr:col>8</xdr:col>
          <xdr:colOff>76200</xdr:colOff>
          <xdr:row>32</xdr:row>
          <xdr:rowOff>38100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1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30</xdr:row>
          <xdr:rowOff>182880</xdr:rowOff>
        </xdr:from>
        <xdr:to>
          <xdr:col>8</xdr:col>
          <xdr:colOff>76200</xdr:colOff>
          <xdr:row>32</xdr:row>
          <xdr:rowOff>30480</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1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38100</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1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45720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1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38100</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1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32</xdr:row>
          <xdr:rowOff>182880</xdr:rowOff>
        </xdr:from>
        <xdr:to>
          <xdr:col>8</xdr:col>
          <xdr:colOff>76200</xdr:colOff>
          <xdr:row>34</xdr:row>
          <xdr:rowOff>30480</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1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32</xdr:row>
          <xdr:rowOff>182880</xdr:rowOff>
        </xdr:from>
        <xdr:to>
          <xdr:col>8</xdr:col>
          <xdr:colOff>76200</xdr:colOff>
          <xdr:row>34</xdr:row>
          <xdr:rowOff>38100</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1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32</xdr:row>
          <xdr:rowOff>182880</xdr:rowOff>
        </xdr:from>
        <xdr:to>
          <xdr:col>8</xdr:col>
          <xdr:colOff>76200</xdr:colOff>
          <xdr:row>34</xdr:row>
          <xdr:rowOff>30480</xdr:rowOff>
        </xdr:to>
        <xdr:sp macro="" textlink="">
          <xdr:nvSpPr>
            <xdr:cNvPr id="44200" name="Check Box 168" hidden="1">
              <a:extLst>
                <a:ext uri="{63B3BB69-23CF-44E3-9099-C40C66FF867C}">
                  <a14:compatExt spid="_x0000_s44200"/>
                </a:ext>
                <a:ext uri="{FF2B5EF4-FFF2-40B4-BE49-F238E27FC236}">
                  <a16:creationId xmlns:a16="http://schemas.microsoft.com/office/drawing/2014/main" id="{00000000-0008-0000-0100-0000A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39</xdr:row>
          <xdr:rowOff>182880</xdr:rowOff>
        </xdr:from>
        <xdr:to>
          <xdr:col>8</xdr:col>
          <xdr:colOff>76200</xdr:colOff>
          <xdr:row>41</xdr:row>
          <xdr:rowOff>38100</xdr:rowOff>
        </xdr:to>
        <xdr:sp macro="" textlink="">
          <xdr:nvSpPr>
            <xdr:cNvPr id="44217" name="Check Box 185" hidden="1">
              <a:extLst>
                <a:ext uri="{63B3BB69-23CF-44E3-9099-C40C66FF867C}">
                  <a14:compatExt spid="_x0000_s44217"/>
                </a:ext>
                <a:ext uri="{FF2B5EF4-FFF2-40B4-BE49-F238E27FC236}">
                  <a16:creationId xmlns:a16="http://schemas.microsoft.com/office/drawing/2014/main" id="{00000000-0008-0000-0100-0000B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39</xdr:row>
          <xdr:rowOff>182880</xdr:rowOff>
        </xdr:from>
        <xdr:to>
          <xdr:col>8</xdr:col>
          <xdr:colOff>76200</xdr:colOff>
          <xdr:row>41</xdr:row>
          <xdr:rowOff>45720</xdr:rowOff>
        </xdr:to>
        <xdr:sp macro="" textlink="">
          <xdr:nvSpPr>
            <xdr:cNvPr id="44218" name="Check Box 186" hidden="1">
              <a:extLst>
                <a:ext uri="{63B3BB69-23CF-44E3-9099-C40C66FF867C}">
                  <a14:compatExt spid="_x0000_s44218"/>
                </a:ext>
                <a:ext uri="{FF2B5EF4-FFF2-40B4-BE49-F238E27FC236}">
                  <a16:creationId xmlns:a16="http://schemas.microsoft.com/office/drawing/2014/main" id="{00000000-0008-0000-0100-0000B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39</xdr:row>
          <xdr:rowOff>182880</xdr:rowOff>
        </xdr:from>
        <xdr:to>
          <xdr:col>8</xdr:col>
          <xdr:colOff>76200</xdr:colOff>
          <xdr:row>41</xdr:row>
          <xdr:rowOff>38100</xdr:rowOff>
        </xdr:to>
        <xdr:sp macro="" textlink="">
          <xdr:nvSpPr>
            <xdr:cNvPr id="44219" name="Check Box 187" hidden="1">
              <a:extLst>
                <a:ext uri="{63B3BB69-23CF-44E3-9099-C40C66FF867C}">
                  <a14:compatExt spid="_x0000_s44219"/>
                </a:ext>
                <a:ext uri="{FF2B5EF4-FFF2-40B4-BE49-F238E27FC236}">
                  <a16:creationId xmlns:a16="http://schemas.microsoft.com/office/drawing/2014/main" id="{00000000-0008-0000-0100-0000B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40</xdr:row>
          <xdr:rowOff>266700</xdr:rowOff>
        </xdr:from>
        <xdr:to>
          <xdr:col>8</xdr:col>
          <xdr:colOff>76200</xdr:colOff>
          <xdr:row>42</xdr:row>
          <xdr:rowOff>121920</xdr:rowOff>
        </xdr:to>
        <xdr:sp macro="" textlink="">
          <xdr:nvSpPr>
            <xdr:cNvPr id="44220" name="Check Box 188" hidden="1">
              <a:extLst>
                <a:ext uri="{63B3BB69-23CF-44E3-9099-C40C66FF867C}">
                  <a14:compatExt spid="_x0000_s44220"/>
                </a:ext>
                <a:ext uri="{FF2B5EF4-FFF2-40B4-BE49-F238E27FC236}">
                  <a16:creationId xmlns:a16="http://schemas.microsoft.com/office/drawing/2014/main" id="{00000000-0008-0000-01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38100</xdr:rowOff>
        </xdr:to>
        <xdr:sp macro="" textlink="">
          <xdr:nvSpPr>
            <xdr:cNvPr id="44223" name="Check Box 191" hidden="1">
              <a:extLst>
                <a:ext uri="{63B3BB69-23CF-44E3-9099-C40C66FF867C}">
                  <a14:compatExt spid="_x0000_s44223"/>
                </a:ext>
                <a:ext uri="{FF2B5EF4-FFF2-40B4-BE49-F238E27FC236}">
                  <a16:creationId xmlns:a16="http://schemas.microsoft.com/office/drawing/2014/main" id="{00000000-0008-0000-01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45720</xdr:rowOff>
        </xdr:to>
        <xdr:sp macro="" textlink="">
          <xdr:nvSpPr>
            <xdr:cNvPr id="44224" name="Check Box 192" hidden="1">
              <a:extLst>
                <a:ext uri="{63B3BB69-23CF-44E3-9099-C40C66FF867C}">
                  <a14:compatExt spid="_x0000_s44224"/>
                </a:ext>
                <a:ext uri="{FF2B5EF4-FFF2-40B4-BE49-F238E27FC236}">
                  <a16:creationId xmlns:a16="http://schemas.microsoft.com/office/drawing/2014/main" id="{00000000-0008-0000-01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38100</xdr:rowOff>
        </xdr:to>
        <xdr:sp macro="" textlink="">
          <xdr:nvSpPr>
            <xdr:cNvPr id="44225" name="Check Box 193" hidden="1">
              <a:extLst>
                <a:ext uri="{63B3BB69-23CF-44E3-9099-C40C66FF867C}">
                  <a14:compatExt spid="_x0000_s44225"/>
                </a:ext>
                <a:ext uri="{FF2B5EF4-FFF2-40B4-BE49-F238E27FC236}">
                  <a16:creationId xmlns:a16="http://schemas.microsoft.com/office/drawing/2014/main" id="{00000000-0008-0000-0100-0000C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39</xdr:row>
          <xdr:rowOff>182880</xdr:rowOff>
        </xdr:from>
        <xdr:to>
          <xdr:col>8</xdr:col>
          <xdr:colOff>76200</xdr:colOff>
          <xdr:row>41</xdr:row>
          <xdr:rowOff>38100</xdr:rowOff>
        </xdr:to>
        <xdr:sp macro="" textlink="">
          <xdr:nvSpPr>
            <xdr:cNvPr id="44232" name="Check Box 200" hidden="1">
              <a:extLst>
                <a:ext uri="{63B3BB69-23CF-44E3-9099-C40C66FF867C}">
                  <a14:compatExt spid="_x0000_s44232"/>
                </a:ext>
                <a:ext uri="{FF2B5EF4-FFF2-40B4-BE49-F238E27FC236}">
                  <a16:creationId xmlns:a16="http://schemas.microsoft.com/office/drawing/2014/main" id="{00000000-0008-0000-0100-0000C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39</xdr:row>
          <xdr:rowOff>182880</xdr:rowOff>
        </xdr:from>
        <xdr:to>
          <xdr:col>8</xdr:col>
          <xdr:colOff>76200</xdr:colOff>
          <xdr:row>41</xdr:row>
          <xdr:rowOff>45720</xdr:rowOff>
        </xdr:to>
        <xdr:sp macro="" textlink="">
          <xdr:nvSpPr>
            <xdr:cNvPr id="44233" name="Check Box 201" hidden="1">
              <a:extLst>
                <a:ext uri="{63B3BB69-23CF-44E3-9099-C40C66FF867C}">
                  <a14:compatExt spid="_x0000_s44233"/>
                </a:ext>
                <a:ext uri="{FF2B5EF4-FFF2-40B4-BE49-F238E27FC236}">
                  <a16:creationId xmlns:a16="http://schemas.microsoft.com/office/drawing/2014/main" id="{00000000-0008-0000-0100-0000C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39</xdr:row>
          <xdr:rowOff>182880</xdr:rowOff>
        </xdr:from>
        <xdr:to>
          <xdr:col>8</xdr:col>
          <xdr:colOff>76200</xdr:colOff>
          <xdr:row>41</xdr:row>
          <xdr:rowOff>38100</xdr:rowOff>
        </xdr:to>
        <xdr:sp macro="" textlink="">
          <xdr:nvSpPr>
            <xdr:cNvPr id="44234" name="Check Box 202" hidden="1">
              <a:extLst>
                <a:ext uri="{63B3BB69-23CF-44E3-9099-C40C66FF867C}">
                  <a14:compatExt spid="_x0000_s44234"/>
                </a:ext>
                <a:ext uri="{FF2B5EF4-FFF2-40B4-BE49-F238E27FC236}">
                  <a16:creationId xmlns:a16="http://schemas.microsoft.com/office/drawing/2014/main" id="{00000000-0008-0000-0100-0000C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38100</xdr:rowOff>
        </xdr:to>
        <xdr:sp macro="" textlink="">
          <xdr:nvSpPr>
            <xdr:cNvPr id="44238" name="Check Box 206" hidden="1">
              <a:extLst>
                <a:ext uri="{63B3BB69-23CF-44E3-9099-C40C66FF867C}">
                  <a14:compatExt spid="_x0000_s44238"/>
                </a:ext>
                <a:ext uri="{FF2B5EF4-FFF2-40B4-BE49-F238E27FC236}">
                  <a16:creationId xmlns:a16="http://schemas.microsoft.com/office/drawing/2014/main" id="{00000000-0008-0000-0100-0000C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45720</xdr:rowOff>
        </xdr:to>
        <xdr:sp macro="" textlink="">
          <xdr:nvSpPr>
            <xdr:cNvPr id="44239" name="Check Box 207" hidden="1">
              <a:extLst>
                <a:ext uri="{63B3BB69-23CF-44E3-9099-C40C66FF867C}">
                  <a14:compatExt spid="_x0000_s44239"/>
                </a:ext>
                <a:ext uri="{FF2B5EF4-FFF2-40B4-BE49-F238E27FC236}">
                  <a16:creationId xmlns:a16="http://schemas.microsoft.com/office/drawing/2014/main" id="{00000000-0008-0000-01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38100</xdr:rowOff>
        </xdr:to>
        <xdr:sp macro="" textlink="">
          <xdr:nvSpPr>
            <xdr:cNvPr id="44240" name="Check Box 208" hidden="1">
              <a:extLst>
                <a:ext uri="{63B3BB69-23CF-44E3-9099-C40C66FF867C}">
                  <a14:compatExt spid="_x0000_s44240"/>
                </a:ext>
                <a:ext uri="{FF2B5EF4-FFF2-40B4-BE49-F238E27FC236}">
                  <a16:creationId xmlns:a16="http://schemas.microsoft.com/office/drawing/2014/main" id="{00000000-0008-0000-01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42</xdr:row>
          <xdr:rowOff>182880</xdr:rowOff>
        </xdr:from>
        <xdr:to>
          <xdr:col>8</xdr:col>
          <xdr:colOff>76200</xdr:colOff>
          <xdr:row>44</xdr:row>
          <xdr:rowOff>38100</xdr:rowOff>
        </xdr:to>
        <xdr:sp macro="" textlink="">
          <xdr:nvSpPr>
            <xdr:cNvPr id="44241" name="Check Box 209" hidden="1">
              <a:extLst>
                <a:ext uri="{63B3BB69-23CF-44E3-9099-C40C66FF867C}">
                  <a14:compatExt spid="_x0000_s44241"/>
                </a:ext>
                <a:ext uri="{FF2B5EF4-FFF2-40B4-BE49-F238E27FC236}">
                  <a16:creationId xmlns:a16="http://schemas.microsoft.com/office/drawing/2014/main" id="{00000000-0008-0000-0100-0000D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42</xdr:row>
          <xdr:rowOff>182880</xdr:rowOff>
        </xdr:from>
        <xdr:to>
          <xdr:col>8</xdr:col>
          <xdr:colOff>76200</xdr:colOff>
          <xdr:row>44</xdr:row>
          <xdr:rowOff>45720</xdr:rowOff>
        </xdr:to>
        <xdr:sp macro="" textlink="">
          <xdr:nvSpPr>
            <xdr:cNvPr id="44242" name="Check Box 210" hidden="1">
              <a:extLst>
                <a:ext uri="{63B3BB69-23CF-44E3-9099-C40C66FF867C}">
                  <a14:compatExt spid="_x0000_s44242"/>
                </a:ext>
                <a:ext uri="{FF2B5EF4-FFF2-40B4-BE49-F238E27FC236}">
                  <a16:creationId xmlns:a16="http://schemas.microsoft.com/office/drawing/2014/main" id="{00000000-0008-0000-0100-0000D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42</xdr:row>
          <xdr:rowOff>182880</xdr:rowOff>
        </xdr:from>
        <xdr:to>
          <xdr:col>8</xdr:col>
          <xdr:colOff>76200</xdr:colOff>
          <xdr:row>44</xdr:row>
          <xdr:rowOff>38100</xdr:rowOff>
        </xdr:to>
        <xdr:sp macro="" textlink="">
          <xdr:nvSpPr>
            <xdr:cNvPr id="44243" name="Check Box 211" hidden="1">
              <a:extLst>
                <a:ext uri="{63B3BB69-23CF-44E3-9099-C40C66FF867C}">
                  <a14:compatExt spid="_x0000_s44243"/>
                </a:ext>
                <a:ext uri="{FF2B5EF4-FFF2-40B4-BE49-F238E27FC236}">
                  <a16:creationId xmlns:a16="http://schemas.microsoft.com/office/drawing/2014/main" id="{00000000-0008-0000-0100-0000D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24</xdr:row>
          <xdr:rowOff>251460</xdr:rowOff>
        </xdr:from>
        <xdr:to>
          <xdr:col>3</xdr:col>
          <xdr:colOff>76200</xdr:colOff>
          <xdr:row>26</xdr:row>
          <xdr:rowOff>38100</xdr:rowOff>
        </xdr:to>
        <xdr:sp macro="" textlink="">
          <xdr:nvSpPr>
            <xdr:cNvPr id="44244" name="Check Box 212" hidden="1">
              <a:extLst>
                <a:ext uri="{63B3BB69-23CF-44E3-9099-C40C66FF867C}">
                  <a14:compatExt spid="_x0000_s44244"/>
                </a:ext>
                <a:ext uri="{FF2B5EF4-FFF2-40B4-BE49-F238E27FC236}">
                  <a16:creationId xmlns:a16="http://schemas.microsoft.com/office/drawing/2014/main" id="{00000000-0008-0000-01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26</xdr:row>
          <xdr:rowOff>182880</xdr:rowOff>
        </xdr:from>
        <xdr:to>
          <xdr:col>3</xdr:col>
          <xdr:colOff>76200</xdr:colOff>
          <xdr:row>28</xdr:row>
          <xdr:rowOff>38100</xdr:rowOff>
        </xdr:to>
        <xdr:sp macro="" textlink="">
          <xdr:nvSpPr>
            <xdr:cNvPr id="44245" name="Check Box 213" hidden="1">
              <a:extLst>
                <a:ext uri="{63B3BB69-23CF-44E3-9099-C40C66FF867C}">
                  <a14:compatExt spid="_x0000_s44245"/>
                </a:ext>
                <a:ext uri="{FF2B5EF4-FFF2-40B4-BE49-F238E27FC236}">
                  <a16:creationId xmlns:a16="http://schemas.microsoft.com/office/drawing/2014/main" id="{00000000-0008-0000-0100-0000D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27</xdr:row>
          <xdr:rowOff>182880</xdr:rowOff>
        </xdr:from>
        <xdr:to>
          <xdr:col>3</xdr:col>
          <xdr:colOff>76200</xdr:colOff>
          <xdr:row>29</xdr:row>
          <xdr:rowOff>38100</xdr:rowOff>
        </xdr:to>
        <xdr:sp macro="" textlink="">
          <xdr:nvSpPr>
            <xdr:cNvPr id="44246" name="Check Box 214" hidden="1">
              <a:extLst>
                <a:ext uri="{63B3BB69-23CF-44E3-9099-C40C66FF867C}">
                  <a14:compatExt spid="_x0000_s44246"/>
                </a:ext>
                <a:ext uri="{FF2B5EF4-FFF2-40B4-BE49-F238E27FC236}">
                  <a16:creationId xmlns:a16="http://schemas.microsoft.com/office/drawing/2014/main" id="{00000000-0008-0000-0100-0000D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289560</xdr:rowOff>
        </xdr:from>
        <xdr:to>
          <xdr:col>3</xdr:col>
          <xdr:colOff>76200</xdr:colOff>
          <xdr:row>38</xdr:row>
          <xdr:rowOff>38100</xdr:rowOff>
        </xdr:to>
        <xdr:sp macro="" textlink="">
          <xdr:nvSpPr>
            <xdr:cNvPr id="44247" name="Check Box 215" hidden="1">
              <a:extLst>
                <a:ext uri="{63B3BB69-23CF-44E3-9099-C40C66FF867C}">
                  <a14:compatExt spid="_x0000_s44247"/>
                </a:ext>
                <a:ext uri="{FF2B5EF4-FFF2-40B4-BE49-F238E27FC236}">
                  <a16:creationId xmlns:a16="http://schemas.microsoft.com/office/drawing/2014/main" id="{00000000-0008-0000-01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22860</xdr:rowOff>
        </xdr:from>
        <xdr:to>
          <xdr:col>3</xdr:col>
          <xdr:colOff>76200</xdr:colOff>
          <xdr:row>36</xdr:row>
          <xdr:rowOff>304800</xdr:rowOff>
        </xdr:to>
        <xdr:sp macro="" textlink="">
          <xdr:nvSpPr>
            <xdr:cNvPr id="44248" name="Check Box 216" hidden="1">
              <a:extLst>
                <a:ext uri="{63B3BB69-23CF-44E3-9099-C40C66FF867C}">
                  <a14:compatExt spid="_x0000_s44248"/>
                </a:ext>
                <a:ext uri="{FF2B5EF4-FFF2-40B4-BE49-F238E27FC236}">
                  <a16:creationId xmlns:a16="http://schemas.microsoft.com/office/drawing/2014/main" id="{00000000-0008-0000-01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33</xdr:row>
          <xdr:rowOff>182880</xdr:rowOff>
        </xdr:from>
        <xdr:to>
          <xdr:col>3</xdr:col>
          <xdr:colOff>76200</xdr:colOff>
          <xdr:row>35</xdr:row>
          <xdr:rowOff>45720</xdr:rowOff>
        </xdr:to>
        <xdr:sp macro="" textlink="">
          <xdr:nvSpPr>
            <xdr:cNvPr id="44249" name="Check Box 217" hidden="1">
              <a:extLst>
                <a:ext uri="{63B3BB69-23CF-44E3-9099-C40C66FF867C}">
                  <a14:compatExt spid="_x0000_s44249"/>
                </a:ext>
                <a:ext uri="{FF2B5EF4-FFF2-40B4-BE49-F238E27FC236}">
                  <a16:creationId xmlns:a16="http://schemas.microsoft.com/office/drawing/2014/main" id="{00000000-0008-0000-0100-0000D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34</xdr:row>
          <xdr:rowOff>182880</xdr:rowOff>
        </xdr:from>
        <xdr:to>
          <xdr:col>3</xdr:col>
          <xdr:colOff>76200</xdr:colOff>
          <xdr:row>36</xdr:row>
          <xdr:rowOff>45720</xdr:rowOff>
        </xdr:to>
        <xdr:sp macro="" textlink="">
          <xdr:nvSpPr>
            <xdr:cNvPr id="44250" name="Check Box 218" hidden="1">
              <a:extLst>
                <a:ext uri="{63B3BB69-23CF-44E3-9099-C40C66FF867C}">
                  <a14:compatExt spid="_x0000_s44250"/>
                </a:ext>
                <a:ext uri="{FF2B5EF4-FFF2-40B4-BE49-F238E27FC236}">
                  <a16:creationId xmlns:a16="http://schemas.microsoft.com/office/drawing/2014/main" id="{00000000-0008-0000-0100-0000D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182880</xdr:rowOff>
        </xdr:from>
        <xdr:to>
          <xdr:col>3</xdr:col>
          <xdr:colOff>76200</xdr:colOff>
          <xdr:row>43</xdr:row>
          <xdr:rowOff>45720</xdr:rowOff>
        </xdr:to>
        <xdr:sp macro="" textlink="">
          <xdr:nvSpPr>
            <xdr:cNvPr id="44252" name="Check Box 220" hidden="1">
              <a:extLst>
                <a:ext uri="{63B3BB69-23CF-44E3-9099-C40C66FF867C}">
                  <a14:compatExt spid="_x0000_s44252"/>
                </a:ext>
                <a:ext uri="{FF2B5EF4-FFF2-40B4-BE49-F238E27FC236}">
                  <a16:creationId xmlns:a16="http://schemas.microsoft.com/office/drawing/2014/main" id="{00000000-0008-0000-0100-0000D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48</xdr:row>
          <xdr:rowOff>182880</xdr:rowOff>
        </xdr:from>
        <xdr:to>
          <xdr:col>3</xdr:col>
          <xdr:colOff>76200</xdr:colOff>
          <xdr:row>50</xdr:row>
          <xdr:rowOff>45720</xdr:rowOff>
        </xdr:to>
        <xdr:sp macro="" textlink="">
          <xdr:nvSpPr>
            <xdr:cNvPr id="44253" name="Check Box 221" hidden="1">
              <a:extLst>
                <a:ext uri="{63B3BB69-23CF-44E3-9099-C40C66FF867C}">
                  <a14:compatExt spid="_x0000_s44253"/>
                </a:ext>
                <a:ext uri="{FF2B5EF4-FFF2-40B4-BE49-F238E27FC236}">
                  <a16:creationId xmlns:a16="http://schemas.microsoft.com/office/drawing/2014/main" id="{00000000-0008-0000-0100-0000D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38100</xdr:rowOff>
        </xdr:to>
        <xdr:sp macro="" textlink="">
          <xdr:nvSpPr>
            <xdr:cNvPr id="44255" name="Check Box 223" hidden="1">
              <a:extLst>
                <a:ext uri="{63B3BB69-23CF-44E3-9099-C40C66FF867C}">
                  <a14:compatExt spid="_x0000_s44255"/>
                </a:ext>
                <a:ext uri="{FF2B5EF4-FFF2-40B4-BE49-F238E27FC236}">
                  <a16:creationId xmlns:a16="http://schemas.microsoft.com/office/drawing/2014/main" id="{00000000-0008-0000-01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45720</xdr:rowOff>
        </xdr:to>
        <xdr:sp macro="" textlink="">
          <xdr:nvSpPr>
            <xdr:cNvPr id="44256" name="Check Box 224" hidden="1">
              <a:extLst>
                <a:ext uri="{63B3BB69-23CF-44E3-9099-C40C66FF867C}">
                  <a14:compatExt spid="_x0000_s44256"/>
                </a:ext>
                <a:ext uri="{FF2B5EF4-FFF2-40B4-BE49-F238E27FC236}">
                  <a16:creationId xmlns:a16="http://schemas.microsoft.com/office/drawing/2014/main" id="{00000000-0008-0000-01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41</xdr:row>
          <xdr:rowOff>182880</xdr:rowOff>
        </xdr:from>
        <xdr:to>
          <xdr:col>8</xdr:col>
          <xdr:colOff>76200</xdr:colOff>
          <xdr:row>43</xdr:row>
          <xdr:rowOff>38100</xdr:rowOff>
        </xdr:to>
        <xdr:sp macro="" textlink="">
          <xdr:nvSpPr>
            <xdr:cNvPr id="44257" name="Check Box 225" hidden="1">
              <a:extLst>
                <a:ext uri="{63B3BB69-23CF-44E3-9099-C40C66FF867C}">
                  <a14:compatExt spid="_x0000_s44257"/>
                </a:ext>
                <a:ext uri="{FF2B5EF4-FFF2-40B4-BE49-F238E27FC236}">
                  <a16:creationId xmlns:a16="http://schemas.microsoft.com/office/drawing/2014/main" id="{00000000-0008-0000-0100-0000E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42</xdr:row>
          <xdr:rowOff>182880</xdr:rowOff>
        </xdr:from>
        <xdr:to>
          <xdr:col>8</xdr:col>
          <xdr:colOff>76200</xdr:colOff>
          <xdr:row>44</xdr:row>
          <xdr:rowOff>38100</xdr:rowOff>
        </xdr:to>
        <xdr:sp macro="" textlink="">
          <xdr:nvSpPr>
            <xdr:cNvPr id="44258" name="Check Box 226" hidden="1">
              <a:extLst>
                <a:ext uri="{63B3BB69-23CF-44E3-9099-C40C66FF867C}">
                  <a14:compatExt spid="_x0000_s44258"/>
                </a:ext>
                <a:ext uri="{FF2B5EF4-FFF2-40B4-BE49-F238E27FC236}">
                  <a16:creationId xmlns:a16="http://schemas.microsoft.com/office/drawing/2014/main" id="{00000000-0008-0000-0100-0000E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42</xdr:row>
          <xdr:rowOff>182880</xdr:rowOff>
        </xdr:from>
        <xdr:to>
          <xdr:col>8</xdr:col>
          <xdr:colOff>76200</xdr:colOff>
          <xdr:row>44</xdr:row>
          <xdr:rowOff>45720</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1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42</xdr:row>
          <xdr:rowOff>182880</xdr:rowOff>
        </xdr:from>
        <xdr:to>
          <xdr:col>8</xdr:col>
          <xdr:colOff>76200</xdr:colOff>
          <xdr:row>44</xdr:row>
          <xdr:rowOff>38100</xdr:rowOff>
        </xdr:to>
        <xdr:sp macro="" textlink="">
          <xdr:nvSpPr>
            <xdr:cNvPr id="44260" name="Check Box 228" hidden="1">
              <a:extLst>
                <a:ext uri="{63B3BB69-23CF-44E3-9099-C40C66FF867C}">
                  <a14:compatExt spid="_x0000_s44260"/>
                </a:ext>
                <a:ext uri="{FF2B5EF4-FFF2-40B4-BE49-F238E27FC236}">
                  <a16:creationId xmlns:a16="http://schemas.microsoft.com/office/drawing/2014/main" id="{00000000-0008-0000-01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38100</xdr:rowOff>
        </xdr:to>
        <xdr:sp macro="" textlink="">
          <xdr:nvSpPr>
            <xdr:cNvPr id="44261" name="Check Box 229" hidden="1">
              <a:extLst>
                <a:ext uri="{63B3BB69-23CF-44E3-9099-C40C66FF867C}">
                  <a14:compatExt spid="_x0000_s44261"/>
                </a:ext>
                <a:ext uri="{FF2B5EF4-FFF2-40B4-BE49-F238E27FC236}">
                  <a16:creationId xmlns:a16="http://schemas.microsoft.com/office/drawing/2014/main" id="{00000000-0008-0000-0100-0000E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45720</xdr:rowOff>
        </xdr:to>
        <xdr:sp macro="" textlink="">
          <xdr:nvSpPr>
            <xdr:cNvPr id="44262" name="Check Box 230" hidden="1">
              <a:extLst>
                <a:ext uri="{63B3BB69-23CF-44E3-9099-C40C66FF867C}">
                  <a14:compatExt spid="_x0000_s44262"/>
                </a:ext>
                <a:ext uri="{FF2B5EF4-FFF2-40B4-BE49-F238E27FC236}">
                  <a16:creationId xmlns:a16="http://schemas.microsoft.com/office/drawing/2014/main" id="{00000000-0008-0000-0100-0000E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182880</xdr:rowOff>
        </xdr:from>
        <xdr:to>
          <xdr:col>8</xdr:col>
          <xdr:colOff>76200</xdr:colOff>
          <xdr:row>33</xdr:row>
          <xdr:rowOff>38100</xdr:rowOff>
        </xdr:to>
        <xdr:sp macro="" textlink="">
          <xdr:nvSpPr>
            <xdr:cNvPr id="44263" name="Check Box 231" hidden="1">
              <a:extLst>
                <a:ext uri="{63B3BB69-23CF-44E3-9099-C40C66FF867C}">
                  <a14:compatExt spid="_x0000_s44263"/>
                </a:ext>
                <a:ext uri="{FF2B5EF4-FFF2-40B4-BE49-F238E27FC236}">
                  <a16:creationId xmlns:a16="http://schemas.microsoft.com/office/drawing/2014/main" id="{00000000-0008-0000-01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32</xdr:row>
          <xdr:rowOff>182880</xdr:rowOff>
        </xdr:from>
        <xdr:to>
          <xdr:col>8</xdr:col>
          <xdr:colOff>76200</xdr:colOff>
          <xdr:row>34</xdr:row>
          <xdr:rowOff>30480</xdr:rowOff>
        </xdr:to>
        <xdr:sp macro="" textlink="">
          <xdr:nvSpPr>
            <xdr:cNvPr id="44264" name="Check Box 232" hidden="1">
              <a:extLst>
                <a:ext uri="{63B3BB69-23CF-44E3-9099-C40C66FF867C}">
                  <a14:compatExt spid="_x0000_s44264"/>
                </a:ext>
                <a:ext uri="{FF2B5EF4-FFF2-40B4-BE49-F238E27FC236}">
                  <a16:creationId xmlns:a16="http://schemas.microsoft.com/office/drawing/2014/main" id="{00000000-0008-0000-0100-0000E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32</xdr:row>
          <xdr:rowOff>182880</xdr:rowOff>
        </xdr:from>
        <xdr:to>
          <xdr:col>8</xdr:col>
          <xdr:colOff>76200</xdr:colOff>
          <xdr:row>34</xdr:row>
          <xdr:rowOff>38100</xdr:rowOff>
        </xdr:to>
        <xdr:sp macro="" textlink="">
          <xdr:nvSpPr>
            <xdr:cNvPr id="44265" name="Check Box 233" hidden="1">
              <a:extLst>
                <a:ext uri="{63B3BB69-23CF-44E3-9099-C40C66FF867C}">
                  <a14:compatExt spid="_x0000_s44265"/>
                </a:ext>
                <a:ext uri="{FF2B5EF4-FFF2-40B4-BE49-F238E27FC236}">
                  <a16:creationId xmlns:a16="http://schemas.microsoft.com/office/drawing/2014/main" id="{00000000-0008-0000-0100-0000E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32</xdr:row>
          <xdr:rowOff>182880</xdr:rowOff>
        </xdr:from>
        <xdr:to>
          <xdr:col>8</xdr:col>
          <xdr:colOff>76200</xdr:colOff>
          <xdr:row>34</xdr:row>
          <xdr:rowOff>30480</xdr:rowOff>
        </xdr:to>
        <xdr:sp macro="" textlink="">
          <xdr:nvSpPr>
            <xdr:cNvPr id="44266" name="Check Box 234" hidden="1">
              <a:extLst>
                <a:ext uri="{63B3BB69-23CF-44E3-9099-C40C66FF867C}">
                  <a14:compatExt spid="_x0000_s44266"/>
                </a:ext>
                <a:ext uri="{FF2B5EF4-FFF2-40B4-BE49-F238E27FC236}">
                  <a16:creationId xmlns:a16="http://schemas.microsoft.com/office/drawing/2014/main" id="{00000000-0008-0000-0100-0000E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12</xdr:row>
          <xdr:rowOff>182880</xdr:rowOff>
        </xdr:from>
        <xdr:to>
          <xdr:col>14</xdr:col>
          <xdr:colOff>76200</xdr:colOff>
          <xdr:row>14</xdr:row>
          <xdr:rowOff>60960</xdr:rowOff>
        </xdr:to>
        <xdr:sp macro="" textlink="">
          <xdr:nvSpPr>
            <xdr:cNvPr id="44267" name="Check Box 235" hidden="1">
              <a:extLst>
                <a:ext uri="{63B3BB69-23CF-44E3-9099-C40C66FF867C}">
                  <a14:compatExt spid="_x0000_s44267"/>
                </a:ext>
                <a:ext uri="{FF2B5EF4-FFF2-40B4-BE49-F238E27FC236}">
                  <a16:creationId xmlns:a16="http://schemas.microsoft.com/office/drawing/2014/main" id="{00000000-0008-0000-0100-0000E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13</xdr:row>
          <xdr:rowOff>182880</xdr:rowOff>
        </xdr:from>
        <xdr:to>
          <xdr:col>14</xdr:col>
          <xdr:colOff>76200</xdr:colOff>
          <xdr:row>15</xdr:row>
          <xdr:rowOff>30480</xdr:rowOff>
        </xdr:to>
        <xdr:sp macro="" textlink="">
          <xdr:nvSpPr>
            <xdr:cNvPr id="44268" name="Check Box 236" hidden="1">
              <a:extLst>
                <a:ext uri="{63B3BB69-23CF-44E3-9099-C40C66FF867C}">
                  <a14:compatExt spid="_x0000_s44268"/>
                </a:ext>
                <a:ext uri="{FF2B5EF4-FFF2-40B4-BE49-F238E27FC236}">
                  <a16:creationId xmlns:a16="http://schemas.microsoft.com/office/drawing/2014/main" id="{00000000-0008-0000-0100-0000E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14</xdr:row>
          <xdr:rowOff>182880</xdr:rowOff>
        </xdr:from>
        <xdr:to>
          <xdr:col>14</xdr:col>
          <xdr:colOff>76200</xdr:colOff>
          <xdr:row>16</xdr:row>
          <xdr:rowOff>30480</xdr:rowOff>
        </xdr:to>
        <xdr:sp macro="" textlink="">
          <xdr:nvSpPr>
            <xdr:cNvPr id="44269" name="Check Box 237" hidden="1">
              <a:extLst>
                <a:ext uri="{63B3BB69-23CF-44E3-9099-C40C66FF867C}">
                  <a14:compatExt spid="_x0000_s44269"/>
                </a:ext>
                <a:ext uri="{FF2B5EF4-FFF2-40B4-BE49-F238E27FC236}">
                  <a16:creationId xmlns:a16="http://schemas.microsoft.com/office/drawing/2014/main" id="{00000000-0008-0000-0100-0000E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15</xdr:row>
          <xdr:rowOff>182880</xdr:rowOff>
        </xdr:from>
        <xdr:to>
          <xdr:col>14</xdr:col>
          <xdr:colOff>76200</xdr:colOff>
          <xdr:row>17</xdr:row>
          <xdr:rowOff>38100</xdr:rowOff>
        </xdr:to>
        <xdr:sp macro="" textlink="">
          <xdr:nvSpPr>
            <xdr:cNvPr id="44270" name="Check Box 238" hidden="1">
              <a:extLst>
                <a:ext uri="{63B3BB69-23CF-44E3-9099-C40C66FF867C}">
                  <a14:compatExt spid="_x0000_s44270"/>
                </a:ext>
                <a:ext uri="{FF2B5EF4-FFF2-40B4-BE49-F238E27FC236}">
                  <a16:creationId xmlns:a16="http://schemas.microsoft.com/office/drawing/2014/main" id="{00000000-0008-0000-0100-0000E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16</xdr:row>
          <xdr:rowOff>182880</xdr:rowOff>
        </xdr:from>
        <xdr:to>
          <xdr:col>14</xdr:col>
          <xdr:colOff>76200</xdr:colOff>
          <xdr:row>18</xdr:row>
          <xdr:rowOff>45720</xdr:rowOff>
        </xdr:to>
        <xdr:sp macro="" textlink="">
          <xdr:nvSpPr>
            <xdr:cNvPr id="44271" name="Check Box 239" hidden="1">
              <a:extLst>
                <a:ext uri="{63B3BB69-23CF-44E3-9099-C40C66FF867C}">
                  <a14:compatExt spid="_x0000_s44271"/>
                </a:ext>
                <a:ext uri="{FF2B5EF4-FFF2-40B4-BE49-F238E27FC236}">
                  <a16:creationId xmlns:a16="http://schemas.microsoft.com/office/drawing/2014/main" id="{00000000-0008-0000-0100-0000E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17</xdr:row>
          <xdr:rowOff>182880</xdr:rowOff>
        </xdr:from>
        <xdr:to>
          <xdr:col>14</xdr:col>
          <xdr:colOff>76200</xdr:colOff>
          <xdr:row>19</xdr:row>
          <xdr:rowOff>45720</xdr:rowOff>
        </xdr:to>
        <xdr:sp macro="" textlink="">
          <xdr:nvSpPr>
            <xdr:cNvPr id="44272" name="Check Box 240" hidden="1">
              <a:extLst>
                <a:ext uri="{63B3BB69-23CF-44E3-9099-C40C66FF867C}">
                  <a14:compatExt spid="_x0000_s44272"/>
                </a:ext>
                <a:ext uri="{FF2B5EF4-FFF2-40B4-BE49-F238E27FC236}">
                  <a16:creationId xmlns:a16="http://schemas.microsoft.com/office/drawing/2014/main" id="{00000000-0008-0000-0100-0000F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19</xdr:row>
          <xdr:rowOff>182880</xdr:rowOff>
        </xdr:from>
        <xdr:to>
          <xdr:col>14</xdr:col>
          <xdr:colOff>76200</xdr:colOff>
          <xdr:row>21</xdr:row>
          <xdr:rowOff>45720</xdr:rowOff>
        </xdr:to>
        <xdr:sp macro="" textlink="">
          <xdr:nvSpPr>
            <xdr:cNvPr id="44273" name="Check Box 241" hidden="1">
              <a:extLst>
                <a:ext uri="{63B3BB69-23CF-44E3-9099-C40C66FF867C}">
                  <a14:compatExt spid="_x0000_s44273"/>
                </a:ext>
                <a:ext uri="{FF2B5EF4-FFF2-40B4-BE49-F238E27FC236}">
                  <a16:creationId xmlns:a16="http://schemas.microsoft.com/office/drawing/2014/main" id="{00000000-0008-0000-0100-0000F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20</xdr:row>
          <xdr:rowOff>182880</xdr:rowOff>
        </xdr:from>
        <xdr:to>
          <xdr:col>14</xdr:col>
          <xdr:colOff>76200</xdr:colOff>
          <xdr:row>22</xdr:row>
          <xdr:rowOff>45720</xdr:rowOff>
        </xdr:to>
        <xdr:sp macro="" textlink="">
          <xdr:nvSpPr>
            <xdr:cNvPr id="44274" name="Check Box 242" hidden="1">
              <a:extLst>
                <a:ext uri="{63B3BB69-23CF-44E3-9099-C40C66FF867C}">
                  <a14:compatExt spid="_x0000_s44274"/>
                </a:ext>
                <a:ext uri="{FF2B5EF4-FFF2-40B4-BE49-F238E27FC236}">
                  <a16:creationId xmlns:a16="http://schemas.microsoft.com/office/drawing/2014/main" id="{00000000-0008-0000-0100-0000F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182880</xdr:rowOff>
        </xdr:from>
        <xdr:to>
          <xdr:col>3</xdr:col>
          <xdr:colOff>76200</xdr:colOff>
          <xdr:row>39</xdr:row>
          <xdr:rowOff>45720</xdr:rowOff>
        </xdr:to>
        <xdr:sp macro="" textlink="">
          <xdr:nvSpPr>
            <xdr:cNvPr id="44275" name="Check Box 243" hidden="1">
              <a:extLst>
                <a:ext uri="{63B3BB69-23CF-44E3-9099-C40C66FF867C}">
                  <a14:compatExt spid="_x0000_s44275"/>
                </a:ext>
                <a:ext uri="{FF2B5EF4-FFF2-40B4-BE49-F238E27FC236}">
                  <a16:creationId xmlns:a16="http://schemas.microsoft.com/office/drawing/2014/main" id="{00000000-0008-0000-01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182880</xdr:rowOff>
        </xdr:from>
        <xdr:to>
          <xdr:col>3</xdr:col>
          <xdr:colOff>76200</xdr:colOff>
          <xdr:row>40</xdr:row>
          <xdr:rowOff>45720</xdr:rowOff>
        </xdr:to>
        <xdr:sp macro="" textlink="">
          <xdr:nvSpPr>
            <xdr:cNvPr id="44276" name="Check Box 244" hidden="1">
              <a:extLst>
                <a:ext uri="{63B3BB69-23CF-44E3-9099-C40C66FF867C}">
                  <a14:compatExt spid="_x0000_s44276"/>
                </a:ext>
                <a:ext uri="{FF2B5EF4-FFF2-40B4-BE49-F238E27FC236}">
                  <a16:creationId xmlns:a16="http://schemas.microsoft.com/office/drawing/2014/main" id="{00000000-0008-0000-01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182880</xdr:rowOff>
        </xdr:from>
        <xdr:to>
          <xdr:col>3</xdr:col>
          <xdr:colOff>76200</xdr:colOff>
          <xdr:row>41</xdr:row>
          <xdr:rowOff>45720</xdr:rowOff>
        </xdr:to>
        <xdr:sp macro="" textlink="">
          <xdr:nvSpPr>
            <xdr:cNvPr id="44277" name="Check Box 245" hidden="1">
              <a:extLst>
                <a:ext uri="{63B3BB69-23CF-44E3-9099-C40C66FF867C}">
                  <a14:compatExt spid="_x0000_s44277"/>
                </a:ext>
                <a:ext uri="{FF2B5EF4-FFF2-40B4-BE49-F238E27FC236}">
                  <a16:creationId xmlns:a16="http://schemas.microsoft.com/office/drawing/2014/main" id="{00000000-0008-0000-0100-0000F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182880</xdr:rowOff>
        </xdr:from>
        <xdr:to>
          <xdr:col>3</xdr:col>
          <xdr:colOff>76200</xdr:colOff>
          <xdr:row>49</xdr:row>
          <xdr:rowOff>45720</xdr:rowOff>
        </xdr:to>
        <xdr:sp macro="" textlink="">
          <xdr:nvSpPr>
            <xdr:cNvPr id="44278" name="Check Box 246" hidden="1">
              <a:extLst>
                <a:ext uri="{63B3BB69-23CF-44E3-9099-C40C66FF867C}">
                  <a14:compatExt spid="_x0000_s44278"/>
                </a:ext>
                <a:ext uri="{FF2B5EF4-FFF2-40B4-BE49-F238E27FC236}">
                  <a16:creationId xmlns:a16="http://schemas.microsoft.com/office/drawing/2014/main" id="{00000000-0008-0000-0100-0000F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182880</xdr:rowOff>
        </xdr:from>
        <xdr:to>
          <xdr:col>3</xdr:col>
          <xdr:colOff>76200</xdr:colOff>
          <xdr:row>49</xdr:row>
          <xdr:rowOff>45720</xdr:rowOff>
        </xdr:to>
        <xdr:sp macro="" textlink="">
          <xdr:nvSpPr>
            <xdr:cNvPr id="44279" name="Check Box 247" hidden="1">
              <a:extLst>
                <a:ext uri="{63B3BB69-23CF-44E3-9099-C40C66FF867C}">
                  <a14:compatExt spid="_x0000_s44279"/>
                </a:ext>
                <a:ext uri="{FF2B5EF4-FFF2-40B4-BE49-F238E27FC236}">
                  <a16:creationId xmlns:a16="http://schemas.microsoft.com/office/drawing/2014/main" id="{00000000-0008-0000-01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46</xdr:row>
          <xdr:rowOff>182880</xdr:rowOff>
        </xdr:from>
        <xdr:to>
          <xdr:col>3</xdr:col>
          <xdr:colOff>76200</xdr:colOff>
          <xdr:row>48</xdr:row>
          <xdr:rowOff>45720</xdr:rowOff>
        </xdr:to>
        <xdr:sp macro="" textlink="">
          <xdr:nvSpPr>
            <xdr:cNvPr id="44280" name="Check Box 248" hidden="1">
              <a:extLst>
                <a:ext uri="{63B3BB69-23CF-44E3-9099-C40C66FF867C}">
                  <a14:compatExt spid="_x0000_s44280"/>
                </a:ext>
                <a:ext uri="{FF2B5EF4-FFF2-40B4-BE49-F238E27FC236}">
                  <a16:creationId xmlns:a16="http://schemas.microsoft.com/office/drawing/2014/main" id="{00000000-0008-0000-01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46</xdr:row>
          <xdr:rowOff>182880</xdr:rowOff>
        </xdr:from>
        <xdr:to>
          <xdr:col>3</xdr:col>
          <xdr:colOff>76200</xdr:colOff>
          <xdr:row>48</xdr:row>
          <xdr:rowOff>45720</xdr:rowOff>
        </xdr:to>
        <xdr:sp macro="" textlink="">
          <xdr:nvSpPr>
            <xdr:cNvPr id="44281" name="Check Box 249" hidden="1">
              <a:extLst>
                <a:ext uri="{63B3BB69-23CF-44E3-9099-C40C66FF867C}">
                  <a14:compatExt spid="_x0000_s44281"/>
                </a:ext>
                <a:ext uri="{FF2B5EF4-FFF2-40B4-BE49-F238E27FC236}">
                  <a16:creationId xmlns:a16="http://schemas.microsoft.com/office/drawing/2014/main" id="{00000000-0008-0000-0100-0000F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182880</xdr:rowOff>
        </xdr:from>
        <xdr:to>
          <xdr:col>3</xdr:col>
          <xdr:colOff>76200</xdr:colOff>
          <xdr:row>47</xdr:row>
          <xdr:rowOff>45720</xdr:rowOff>
        </xdr:to>
        <xdr:sp macro="" textlink="">
          <xdr:nvSpPr>
            <xdr:cNvPr id="44282" name="Check Box 250" hidden="1">
              <a:extLst>
                <a:ext uri="{63B3BB69-23CF-44E3-9099-C40C66FF867C}">
                  <a14:compatExt spid="_x0000_s44282"/>
                </a:ext>
                <a:ext uri="{FF2B5EF4-FFF2-40B4-BE49-F238E27FC236}">
                  <a16:creationId xmlns:a16="http://schemas.microsoft.com/office/drawing/2014/main" id="{00000000-0008-0000-0100-0000F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182880</xdr:rowOff>
        </xdr:from>
        <xdr:to>
          <xdr:col>3</xdr:col>
          <xdr:colOff>76200</xdr:colOff>
          <xdr:row>47</xdr:row>
          <xdr:rowOff>45720</xdr:rowOff>
        </xdr:to>
        <xdr:sp macro="" textlink="">
          <xdr:nvSpPr>
            <xdr:cNvPr id="44283" name="Check Box 251" hidden="1">
              <a:extLst>
                <a:ext uri="{63B3BB69-23CF-44E3-9099-C40C66FF867C}">
                  <a14:compatExt spid="_x0000_s44283"/>
                </a:ext>
                <a:ext uri="{FF2B5EF4-FFF2-40B4-BE49-F238E27FC236}">
                  <a16:creationId xmlns:a16="http://schemas.microsoft.com/office/drawing/2014/main" id="{00000000-0008-0000-01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17</xdr:row>
          <xdr:rowOff>182880</xdr:rowOff>
        </xdr:from>
        <xdr:to>
          <xdr:col>8</xdr:col>
          <xdr:colOff>76200</xdr:colOff>
          <xdr:row>19</xdr:row>
          <xdr:rowOff>45720</xdr:rowOff>
        </xdr:to>
        <xdr:sp macro="" textlink="">
          <xdr:nvSpPr>
            <xdr:cNvPr id="44284" name="Check Box 252" hidden="1">
              <a:extLst>
                <a:ext uri="{63B3BB69-23CF-44E3-9099-C40C66FF867C}">
                  <a14:compatExt spid="_x0000_s44284"/>
                </a:ext>
                <a:ext uri="{FF2B5EF4-FFF2-40B4-BE49-F238E27FC236}">
                  <a16:creationId xmlns:a16="http://schemas.microsoft.com/office/drawing/2014/main" id="{00000000-0008-0000-01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16</xdr:row>
          <xdr:rowOff>182880</xdr:rowOff>
        </xdr:from>
        <xdr:to>
          <xdr:col>8</xdr:col>
          <xdr:colOff>76200</xdr:colOff>
          <xdr:row>18</xdr:row>
          <xdr:rowOff>45720</xdr:rowOff>
        </xdr:to>
        <xdr:sp macro="" textlink="">
          <xdr:nvSpPr>
            <xdr:cNvPr id="44285" name="Check Box 253" hidden="1">
              <a:extLst>
                <a:ext uri="{63B3BB69-23CF-44E3-9099-C40C66FF867C}">
                  <a14:compatExt spid="_x0000_s44285"/>
                </a:ext>
                <a:ext uri="{FF2B5EF4-FFF2-40B4-BE49-F238E27FC236}">
                  <a16:creationId xmlns:a16="http://schemas.microsoft.com/office/drawing/2014/main" id="{00000000-0008-0000-0100-0000F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26</xdr:row>
          <xdr:rowOff>175260</xdr:rowOff>
        </xdr:from>
        <xdr:to>
          <xdr:col>8</xdr:col>
          <xdr:colOff>76200</xdr:colOff>
          <xdr:row>28</xdr:row>
          <xdr:rowOff>30480</xdr:rowOff>
        </xdr:to>
        <xdr:sp macro="" textlink="">
          <xdr:nvSpPr>
            <xdr:cNvPr id="44286" name="Check Box 254" hidden="1">
              <a:extLst>
                <a:ext uri="{63B3BB69-23CF-44E3-9099-C40C66FF867C}">
                  <a14:compatExt spid="_x0000_s44286"/>
                </a:ext>
                <a:ext uri="{FF2B5EF4-FFF2-40B4-BE49-F238E27FC236}">
                  <a16:creationId xmlns:a16="http://schemas.microsoft.com/office/drawing/2014/main" id="{00000000-0008-0000-0100-0000F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27</xdr:row>
          <xdr:rowOff>175260</xdr:rowOff>
        </xdr:from>
        <xdr:to>
          <xdr:col>8</xdr:col>
          <xdr:colOff>76200</xdr:colOff>
          <xdr:row>29</xdr:row>
          <xdr:rowOff>30480</xdr:rowOff>
        </xdr:to>
        <xdr:sp macro="" textlink="">
          <xdr:nvSpPr>
            <xdr:cNvPr id="44287" name="Check Box 255" hidden="1">
              <a:extLst>
                <a:ext uri="{63B3BB69-23CF-44E3-9099-C40C66FF867C}">
                  <a14:compatExt spid="_x0000_s44287"/>
                </a:ext>
                <a:ext uri="{FF2B5EF4-FFF2-40B4-BE49-F238E27FC236}">
                  <a16:creationId xmlns:a16="http://schemas.microsoft.com/office/drawing/2014/main" id="{00000000-0008-0000-01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38</xdr:row>
          <xdr:rowOff>182880</xdr:rowOff>
        </xdr:from>
        <xdr:to>
          <xdr:col>8</xdr:col>
          <xdr:colOff>76200</xdr:colOff>
          <xdr:row>40</xdr:row>
          <xdr:rowOff>38100</xdr:rowOff>
        </xdr:to>
        <xdr:sp macro="" textlink="">
          <xdr:nvSpPr>
            <xdr:cNvPr id="44288" name="Check Box 256" hidden="1">
              <a:extLst>
                <a:ext uri="{63B3BB69-23CF-44E3-9099-C40C66FF867C}">
                  <a14:compatExt spid="_x0000_s44288"/>
                </a:ext>
                <a:ext uri="{FF2B5EF4-FFF2-40B4-BE49-F238E27FC236}">
                  <a16:creationId xmlns:a16="http://schemas.microsoft.com/office/drawing/2014/main" id="{00000000-0008-0000-01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38</xdr:row>
          <xdr:rowOff>182880</xdr:rowOff>
        </xdr:from>
        <xdr:to>
          <xdr:col>8</xdr:col>
          <xdr:colOff>76200</xdr:colOff>
          <xdr:row>40</xdr:row>
          <xdr:rowOff>45720</xdr:rowOff>
        </xdr:to>
        <xdr:sp macro="" textlink="">
          <xdr:nvSpPr>
            <xdr:cNvPr id="44289" name="Check Box 257" hidden="1">
              <a:extLst>
                <a:ext uri="{63B3BB69-23CF-44E3-9099-C40C66FF867C}">
                  <a14:compatExt spid="_x0000_s44289"/>
                </a:ext>
                <a:ext uri="{FF2B5EF4-FFF2-40B4-BE49-F238E27FC236}">
                  <a16:creationId xmlns:a16="http://schemas.microsoft.com/office/drawing/2014/main" id="{00000000-0008-0000-0100-00000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38</xdr:row>
          <xdr:rowOff>182880</xdr:rowOff>
        </xdr:from>
        <xdr:to>
          <xdr:col>8</xdr:col>
          <xdr:colOff>76200</xdr:colOff>
          <xdr:row>40</xdr:row>
          <xdr:rowOff>38100</xdr:rowOff>
        </xdr:to>
        <xdr:sp macro="" textlink="">
          <xdr:nvSpPr>
            <xdr:cNvPr id="44290" name="Check Box 258" hidden="1">
              <a:extLst>
                <a:ext uri="{63B3BB69-23CF-44E3-9099-C40C66FF867C}">
                  <a14:compatExt spid="_x0000_s44290"/>
                </a:ext>
                <a:ext uri="{FF2B5EF4-FFF2-40B4-BE49-F238E27FC236}">
                  <a16:creationId xmlns:a16="http://schemas.microsoft.com/office/drawing/2014/main" id="{00000000-0008-0000-0100-00000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38</xdr:row>
          <xdr:rowOff>182880</xdr:rowOff>
        </xdr:from>
        <xdr:to>
          <xdr:col>8</xdr:col>
          <xdr:colOff>76200</xdr:colOff>
          <xdr:row>40</xdr:row>
          <xdr:rowOff>38100</xdr:rowOff>
        </xdr:to>
        <xdr:sp macro="" textlink="">
          <xdr:nvSpPr>
            <xdr:cNvPr id="44291" name="Check Box 259" hidden="1">
              <a:extLst>
                <a:ext uri="{63B3BB69-23CF-44E3-9099-C40C66FF867C}">
                  <a14:compatExt spid="_x0000_s44291"/>
                </a:ext>
                <a:ext uri="{FF2B5EF4-FFF2-40B4-BE49-F238E27FC236}">
                  <a16:creationId xmlns:a16="http://schemas.microsoft.com/office/drawing/2014/main" id="{00000000-0008-0000-01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38</xdr:row>
          <xdr:rowOff>182880</xdr:rowOff>
        </xdr:from>
        <xdr:to>
          <xdr:col>8</xdr:col>
          <xdr:colOff>76200</xdr:colOff>
          <xdr:row>40</xdr:row>
          <xdr:rowOff>45720</xdr:rowOff>
        </xdr:to>
        <xdr:sp macro="" textlink="">
          <xdr:nvSpPr>
            <xdr:cNvPr id="44292" name="Check Box 260" hidden="1">
              <a:extLst>
                <a:ext uri="{63B3BB69-23CF-44E3-9099-C40C66FF867C}">
                  <a14:compatExt spid="_x0000_s44292"/>
                </a:ext>
                <a:ext uri="{FF2B5EF4-FFF2-40B4-BE49-F238E27FC236}">
                  <a16:creationId xmlns:a16="http://schemas.microsoft.com/office/drawing/2014/main" id="{00000000-0008-0000-01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38</xdr:row>
          <xdr:rowOff>182880</xdr:rowOff>
        </xdr:from>
        <xdr:to>
          <xdr:col>8</xdr:col>
          <xdr:colOff>76200</xdr:colOff>
          <xdr:row>40</xdr:row>
          <xdr:rowOff>38100</xdr:rowOff>
        </xdr:to>
        <xdr:sp macro="" textlink="">
          <xdr:nvSpPr>
            <xdr:cNvPr id="44293" name="Check Box 261" hidden="1">
              <a:extLst>
                <a:ext uri="{63B3BB69-23CF-44E3-9099-C40C66FF867C}">
                  <a14:compatExt spid="_x0000_s44293"/>
                </a:ext>
                <a:ext uri="{FF2B5EF4-FFF2-40B4-BE49-F238E27FC236}">
                  <a16:creationId xmlns:a16="http://schemas.microsoft.com/office/drawing/2014/main" id="{00000000-0008-0000-0100-00000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37</xdr:row>
          <xdr:rowOff>182880</xdr:rowOff>
        </xdr:from>
        <xdr:to>
          <xdr:col>8</xdr:col>
          <xdr:colOff>76200</xdr:colOff>
          <xdr:row>39</xdr:row>
          <xdr:rowOff>38100</xdr:rowOff>
        </xdr:to>
        <xdr:sp macro="" textlink="">
          <xdr:nvSpPr>
            <xdr:cNvPr id="44294" name="Check Box 262" hidden="1">
              <a:extLst>
                <a:ext uri="{63B3BB69-23CF-44E3-9099-C40C66FF867C}">
                  <a14:compatExt spid="_x0000_s44294"/>
                </a:ext>
                <a:ext uri="{FF2B5EF4-FFF2-40B4-BE49-F238E27FC236}">
                  <a16:creationId xmlns:a16="http://schemas.microsoft.com/office/drawing/2014/main" id="{00000000-0008-0000-0100-00000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37</xdr:row>
          <xdr:rowOff>182880</xdr:rowOff>
        </xdr:from>
        <xdr:to>
          <xdr:col>8</xdr:col>
          <xdr:colOff>76200</xdr:colOff>
          <xdr:row>39</xdr:row>
          <xdr:rowOff>45720</xdr:rowOff>
        </xdr:to>
        <xdr:sp macro="" textlink="">
          <xdr:nvSpPr>
            <xdr:cNvPr id="44295" name="Check Box 263" hidden="1">
              <a:extLst>
                <a:ext uri="{63B3BB69-23CF-44E3-9099-C40C66FF867C}">
                  <a14:compatExt spid="_x0000_s44295"/>
                </a:ext>
                <a:ext uri="{FF2B5EF4-FFF2-40B4-BE49-F238E27FC236}">
                  <a16:creationId xmlns:a16="http://schemas.microsoft.com/office/drawing/2014/main" id="{00000000-0008-0000-01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37</xdr:row>
          <xdr:rowOff>182880</xdr:rowOff>
        </xdr:from>
        <xdr:to>
          <xdr:col>8</xdr:col>
          <xdr:colOff>76200</xdr:colOff>
          <xdr:row>39</xdr:row>
          <xdr:rowOff>38100</xdr:rowOff>
        </xdr:to>
        <xdr:sp macro="" textlink="">
          <xdr:nvSpPr>
            <xdr:cNvPr id="44296" name="Check Box 264" hidden="1">
              <a:extLst>
                <a:ext uri="{63B3BB69-23CF-44E3-9099-C40C66FF867C}">
                  <a14:compatExt spid="_x0000_s44296"/>
                </a:ext>
                <a:ext uri="{FF2B5EF4-FFF2-40B4-BE49-F238E27FC236}">
                  <a16:creationId xmlns:a16="http://schemas.microsoft.com/office/drawing/2014/main" id="{00000000-0008-0000-01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37</xdr:row>
          <xdr:rowOff>182880</xdr:rowOff>
        </xdr:from>
        <xdr:to>
          <xdr:col>8</xdr:col>
          <xdr:colOff>76200</xdr:colOff>
          <xdr:row>39</xdr:row>
          <xdr:rowOff>38100</xdr:rowOff>
        </xdr:to>
        <xdr:sp macro="" textlink="">
          <xdr:nvSpPr>
            <xdr:cNvPr id="44297" name="Check Box 265" hidden="1">
              <a:extLst>
                <a:ext uri="{63B3BB69-23CF-44E3-9099-C40C66FF867C}">
                  <a14:compatExt spid="_x0000_s44297"/>
                </a:ext>
                <a:ext uri="{FF2B5EF4-FFF2-40B4-BE49-F238E27FC236}">
                  <a16:creationId xmlns:a16="http://schemas.microsoft.com/office/drawing/2014/main" id="{00000000-0008-0000-0100-00000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37</xdr:row>
          <xdr:rowOff>182880</xdr:rowOff>
        </xdr:from>
        <xdr:to>
          <xdr:col>8</xdr:col>
          <xdr:colOff>76200</xdr:colOff>
          <xdr:row>39</xdr:row>
          <xdr:rowOff>45720</xdr:rowOff>
        </xdr:to>
        <xdr:sp macro="" textlink="">
          <xdr:nvSpPr>
            <xdr:cNvPr id="44298" name="Check Box 266" hidden="1">
              <a:extLst>
                <a:ext uri="{63B3BB69-23CF-44E3-9099-C40C66FF867C}">
                  <a14:compatExt spid="_x0000_s44298"/>
                </a:ext>
                <a:ext uri="{FF2B5EF4-FFF2-40B4-BE49-F238E27FC236}">
                  <a16:creationId xmlns:a16="http://schemas.microsoft.com/office/drawing/2014/main" id="{00000000-0008-0000-0100-00000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37</xdr:row>
          <xdr:rowOff>182880</xdr:rowOff>
        </xdr:from>
        <xdr:to>
          <xdr:col>8</xdr:col>
          <xdr:colOff>76200</xdr:colOff>
          <xdr:row>39</xdr:row>
          <xdr:rowOff>38100</xdr:rowOff>
        </xdr:to>
        <xdr:sp macro="" textlink="">
          <xdr:nvSpPr>
            <xdr:cNvPr id="44299" name="Check Box 267" hidden="1">
              <a:extLst>
                <a:ext uri="{63B3BB69-23CF-44E3-9099-C40C66FF867C}">
                  <a14:compatExt spid="_x0000_s44299"/>
                </a:ext>
                <a:ext uri="{FF2B5EF4-FFF2-40B4-BE49-F238E27FC236}">
                  <a16:creationId xmlns:a16="http://schemas.microsoft.com/office/drawing/2014/main" id="{00000000-0008-0000-01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51905</xdr:colOff>
      <xdr:row>4</xdr:row>
      <xdr:rowOff>94595</xdr:rowOff>
    </xdr:from>
    <xdr:to>
      <xdr:col>11</xdr:col>
      <xdr:colOff>160821</xdr:colOff>
      <xdr:row>20</xdr:row>
      <xdr:rowOff>23640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492330</xdr:colOff>
      <xdr:row>40</xdr:row>
      <xdr:rowOff>186980</xdr:rowOff>
    </xdr:from>
    <xdr:to>
      <xdr:col>17</xdr:col>
      <xdr:colOff>158749</xdr:colOff>
      <xdr:row>52</xdr:row>
      <xdr:rowOff>206375</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440842</xdr:colOff>
      <xdr:row>61</xdr:row>
      <xdr:rowOff>118026</xdr:rowOff>
    </xdr:from>
    <xdr:to>
      <xdr:col>17</xdr:col>
      <xdr:colOff>63500</xdr:colOff>
      <xdr:row>71</xdr:row>
      <xdr:rowOff>196849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378257</xdr:colOff>
      <xdr:row>74</xdr:row>
      <xdr:rowOff>125598</xdr:rowOff>
    </xdr:from>
    <xdr:to>
      <xdr:col>16</xdr:col>
      <xdr:colOff>127001</xdr:colOff>
      <xdr:row>94</xdr:row>
      <xdr:rowOff>65766</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59357</xdr:colOff>
      <xdr:row>22</xdr:row>
      <xdr:rowOff>76612</xdr:rowOff>
    </xdr:from>
    <xdr:to>
      <xdr:col>11</xdr:col>
      <xdr:colOff>158750</xdr:colOff>
      <xdr:row>38</xdr:row>
      <xdr:rowOff>111124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Sheets">
  <a:themeElements>
    <a:clrScheme name="Personalizado 1">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ondereciclo.uy/programas"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1193-8FBB-42B5-BBB8-3ED488B15F8E}">
  <sheetPr>
    <tabColor theme="8" tint="0.59999389629810485"/>
  </sheetPr>
  <dimension ref="A1:R81"/>
  <sheetViews>
    <sheetView showGridLines="0" tabSelected="1" topLeftCell="B1" zoomScaleNormal="100" workbookViewId="0">
      <selection activeCell="F49" sqref="F49"/>
    </sheetView>
  </sheetViews>
  <sheetFormatPr baseColWidth="10" defaultColWidth="11.44140625" defaultRowHeight="14.4"/>
  <cols>
    <col min="6" max="6" width="10.33203125" customWidth="1"/>
    <col min="7" max="7" width="13.33203125" customWidth="1"/>
    <col min="8" max="8" width="13.88671875" customWidth="1"/>
    <col min="12" max="12" width="14.44140625" customWidth="1"/>
    <col min="13" max="13" width="17.88671875" customWidth="1"/>
  </cols>
  <sheetData>
    <row r="1" spans="1:18" ht="82.5" customHeight="1">
      <c r="A1" s="1"/>
      <c r="B1" s="2"/>
      <c r="C1" s="1"/>
      <c r="D1" s="1"/>
      <c r="E1" s="1"/>
      <c r="F1" s="1"/>
      <c r="H1" s="1"/>
      <c r="I1" s="1"/>
      <c r="J1" s="1"/>
      <c r="K1" s="1"/>
      <c r="L1" s="1"/>
      <c r="M1" s="1"/>
      <c r="N1" s="3"/>
      <c r="O1" s="1"/>
      <c r="P1" s="1"/>
      <c r="Q1" s="1"/>
      <c r="R1" s="1"/>
    </row>
    <row r="2" spans="1:18" ht="26.4">
      <c r="A2" s="1"/>
      <c r="B2" s="581" t="s">
        <v>416</v>
      </c>
      <c r="C2" s="582"/>
      <c r="D2" s="582"/>
      <c r="E2" s="582"/>
      <c r="F2" s="582"/>
      <c r="G2" s="582"/>
      <c r="H2" s="582"/>
      <c r="I2" s="582"/>
      <c r="J2" s="582"/>
      <c r="K2" s="582"/>
      <c r="L2" s="582"/>
      <c r="M2" s="582"/>
      <c r="N2" s="583"/>
      <c r="O2" s="1"/>
      <c r="P2" s="1"/>
      <c r="Q2" s="1"/>
      <c r="R2" s="1"/>
    </row>
    <row r="3" spans="1:18" ht="15.6">
      <c r="A3" s="1"/>
      <c r="B3" s="4"/>
      <c r="C3" s="5"/>
      <c r="D3" s="5"/>
      <c r="E3" s="5"/>
      <c r="F3" s="5"/>
      <c r="G3" s="5"/>
      <c r="H3" s="5"/>
      <c r="I3" s="5"/>
      <c r="J3" s="5"/>
      <c r="K3" s="5"/>
      <c r="L3" s="5"/>
      <c r="M3" s="5"/>
      <c r="N3" s="6"/>
      <c r="O3" s="1"/>
      <c r="P3" s="1"/>
      <c r="Q3" s="1"/>
      <c r="R3" s="1"/>
    </row>
    <row r="4" spans="1:18" ht="15.6">
      <c r="A4" s="1"/>
      <c r="B4" s="552" t="s">
        <v>401</v>
      </c>
      <c r="C4" s="553"/>
      <c r="D4" s="553"/>
      <c r="E4" s="553"/>
      <c r="F4" s="553"/>
      <c r="G4" s="553"/>
      <c r="H4" s="553"/>
      <c r="I4" s="553"/>
      <c r="J4" s="553"/>
      <c r="K4" s="553"/>
      <c r="L4" s="553"/>
      <c r="M4" s="553"/>
      <c r="N4" s="554"/>
      <c r="O4" s="1"/>
      <c r="P4" s="1"/>
      <c r="Q4" s="1"/>
      <c r="R4" s="1"/>
    </row>
    <row r="5" spans="1:18" ht="15">
      <c r="A5" s="1"/>
      <c r="B5" s="555" t="s">
        <v>402</v>
      </c>
      <c r="C5" s="556"/>
      <c r="D5" s="556"/>
      <c r="E5" s="556"/>
      <c r="F5" s="556"/>
      <c r="G5" s="556"/>
      <c r="H5" s="556"/>
      <c r="I5" s="556"/>
      <c r="J5" s="556"/>
      <c r="K5" s="556"/>
      <c r="L5" s="556"/>
      <c r="M5" s="556"/>
      <c r="N5" s="557"/>
      <c r="O5" s="1"/>
      <c r="P5" s="1"/>
      <c r="Q5" s="1"/>
      <c r="R5" s="1"/>
    </row>
    <row r="6" spans="1:18" ht="15">
      <c r="A6" s="1"/>
      <c r="B6" s="555" t="s">
        <v>512</v>
      </c>
      <c r="C6" s="556"/>
      <c r="D6" s="556"/>
      <c r="E6" s="556"/>
      <c r="F6" s="556"/>
      <c r="G6" s="556"/>
      <c r="H6" s="556"/>
      <c r="I6" s="556"/>
      <c r="J6" s="556"/>
      <c r="K6" s="556"/>
      <c r="L6" s="556"/>
      <c r="M6" s="556"/>
      <c r="N6" s="557"/>
      <c r="O6" s="1"/>
      <c r="P6" s="1"/>
      <c r="Q6" s="1"/>
      <c r="R6" s="1"/>
    </row>
    <row r="7" spans="1:18" ht="15.6">
      <c r="A7" s="1"/>
      <c r="B7" s="584"/>
      <c r="C7" s="585"/>
      <c r="D7" s="585"/>
      <c r="E7" s="585"/>
      <c r="F7" s="585"/>
      <c r="G7" s="585"/>
      <c r="H7" s="585"/>
      <c r="I7" s="585"/>
      <c r="J7" s="585"/>
      <c r="K7" s="585"/>
      <c r="L7" s="585"/>
      <c r="M7" s="585"/>
      <c r="N7" s="586"/>
      <c r="O7" s="1"/>
      <c r="P7" s="1"/>
      <c r="Q7" s="1"/>
      <c r="R7" s="1"/>
    </row>
    <row r="8" spans="1:18" ht="15.6">
      <c r="A8" s="1"/>
      <c r="B8" s="552" t="s">
        <v>403</v>
      </c>
      <c r="C8" s="553"/>
      <c r="D8" s="553"/>
      <c r="E8" s="553"/>
      <c r="F8" s="553"/>
      <c r="G8" s="553"/>
      <c r="H8" s="553"/>
      <c r="I8" s="553"/>
      <c r="J8" s="553"/>
      <c r="K8" s="553"/>
      <c r="L8" s="553"/>
      <c r="M8" s="553"/>
      <c r="N8" s="554"/>
      <c r="O8" s="1"/>
      <c r="P8" s="1"/>
      <c r="Q8" s="1"/>
      <c r="R8" s="1"/>
    </row>
    <row r="9" spans="1:18" ht="15">
      <c r="A9" s="1"/>
      <c r="B9" s="555" t="s">
        <v>404</v>
      </c>
      <c r="C9" s="556"/>
      <c r="D9" s="556"/>
      <c r="E9" s="556"/>
      <c r="F9" s="556"/>
      <c r="G9" s="556"/>
      <c r="H9" s="556"/>
      <c r="I9" s="556"/>
      <c r="J9" s="556"/>
      <c r="K9" s="556"/>
      <c r="L9" s="556"/>
      <c r="M9" s="556"/>
      <c r="N9" s="557"/>
      <c r="O9" s="1"/>
      <c r="P9" s="1"/>
      <c r="Q9" s="1"/>
      <c r="R9" s="1"/>
    </row>
    <row r="10" spans="1:18" ht="15">
      <c r="A10" s="1"/>
      <c r="B10" s="555" t="s">
        <v>405</v>
      </c>
      <c r="C10" s="556"/>
      <c r="D10" s="556"/>
      <c r="E10" s="556"/>
      <c r="F10" s="556"/>
      <c r="G10" s="556"/>
      <c r="H10" s="556"/>
      <c r="I10" s="556"/>
      <c r="J10" s="556"/>
      <c r="K10" s="556"/>
      <c r="L10" s="556"/>
      <c r="M10" s="556"/>
      <c r="N10" s="557"/>
      <c r="O10" s="1"/>
      <c r="P10" s="1"/>
      <c r="Q10" s="1"/>
      <c r="R10" s="1"/>
    </row>
    <row r="11" spans="1:18">
      <c r="A11" s="1"/>
      <c r="B11" s="587" t="s">
        <v>406</v>
      </c>
      <c r="C11" s="588"/>
      <c r="D11" s="588"/>
      <c r="E11" s="588"/>
      <c r="F11" s="588"/>
      <c r="G11" s="588"/>
      <c r="H11" s="588"/>
      <c r="I11" s="588"/>
      <c r="J11" s="588"/>
      <c r="K11" s="588"/>
      <c r="L11" s="588"/>
      <c r="M11" s="588"/>
      <c r="N11" s="589"/>
      <c r="O11" s="1"/>
      <c r="P11" s="1"/>
      <c r="Q11" s="1"/>
      <c r="R11" s="1"/>
    </row>
    <row r="12" spans="1:18">
      <c r="A12" s="1"/>
      <c r="B12" s="590"/>
      <c r="C12" s="588"/>
      <c r="D12" s="588"/>
      <c r="E12" s="588"/>
      <c r="F12" s="588"/>
      <c r="G12" s="588"/>
      <c r="H12" s="588"/>
      <c r="I12" s="588"/>
      <c r="J12" s="588"/>
      <c r="K12" s="588"/>
      <c r="L12" s="588"/>
      <c r="M12" s="588"/>
      <c r="N12" s="589"/>
      <c r="O12" s="1"/>
      <c r="P12" s="1"/>
      <c r="Q12" s="1"/>
      <c r="R12" s="1"/>
    </row>
    <row r="13" spans="1:18">
      <c r="A13" s="1"/>
      <c r="B13" s="590"/>
      <c r="C13" s="588"/>
      <c r="D13" s="588"/>
      <c r="E13" s="588"/>
      <c r="F13" s="588"/>
      <c r="G13" s="588"/>
      <c r="H13" s="588"/>
      <c r="I13" s="588"/>
      <c r="J13" s="588"/>
      <c r="K13" s="588"/>
      <c r="L13" s="588"/>
      <c r="M13" s="588"/>
      <c r="N13" s="589"/>
      <c r="O13" s="1"/>
      <c r="P13" s="1"/>
      <c r="Q13" s="1"/>
      <c r="R13" s="1"/>
    </row>
    <row r="14" spans="1:18">
      <c r="A14" s="1"/>
      <c r="B14" s="590"/>
      <c r="C14" s="588"/>
      <c r="D14" s="588"/>
      <c r="E14" s="588"/>
      <c r="F14" s="588"/>
      <c r="G14" s="588"/>
      <c r="H14" s="588"/>
      <c r="I14" s="588"/>
      <c r="J14" s="588"/>
      <c r="K14" s="588"/>
      <c r="L14" s="588"/>
      <c r="M14" s="588"/>
      <c r="N14" s="589"/>
      <c r="O14" s="1"/>
      <c r="P14" s="1"/>
      <c r="Q14" s="1"/>
      <c r="R14" s="1"/>
    </row>
    <row r="15" spans="1:18">
      <c r="A15" s="1"/>
      <c r="B15" s="590"/>
      <c r="C15" s="588"/>
      <c r="D15" s="588"/>
      <c r="E15" s="588"/>
      <c r="F15" s="588"/>
      <c r="G15" s="588"/>
      <c r="H15" s="588"/>
      <c r="I15" s="588"/>
      <c r="J15" s="588"/>
      <c r="K15" s="588"/>
      <c r="L15" s="588"/>
      <c r="M15" s="588"/>
      <c r="N15" s="589"/>
      <c r="O15" s="1"/>
      <c r="P15" s="1"/>
      <c r="Q15" s="1"/>
      <c r="R15" s="1"/>
    </row>
    <row r="16" spans="1:18">
      <c r="A16" s="1"/>
      <c r="B16" s="590"/>
      <c r="C16" s="588"/>
      <c r="D16" s="588"/>
      <c r="E16" s="588"/>
      <c r="F16" s="588"/>
      <c r="G16" s="588"/>
      <c r="H16" s="588"/>
      <c r="I16" s="588"/>
      <c r="J16" s="588"/>
      <c r="K16" s="588"/>
      <c r="L16" s="588"/>
      <c r="M16" s="588"/>
      <c r="N16" s="589"/>
      <c r="O16" s="1"/>
      <c r="P16" s="1"/>
      <c r="Q16" s="1"/>
      <c r="R16" s="1"/>
    </row>
    <row r="17" spans="1:18">
      <c r="A17" s="1"/>
      <c r="B17" s="590"/>
      <c r="C17" s="588"/>
      <c r="D17" s="588"/>
      <c r="E17" s="588"/>
      <c r="F17" s="588"/>
      <c r="G17" s="588"/>
      <c r="H17" s="588"/>
      <c r="I17" s="588"/>
      <c r="J17" s="588"/>
      <c r="K17" s="588"/>
      <c r="L17" s="588"/>
      <c r="M17" s="588"/>
      <c r="N17" s="589"/>
      <c r="O17" s="1"/>
      <c r="P17" s="1"/>
      <c r="Q17" s="1"/>
      <c r="R17" s="1"/>
    </row>
    <row r="18" spans="1:18">
      <c r="A18" s="1"/>
      <c r="B18" s="590"/>
      <c r="C18" s="588"/>
      <c r="D18" s="588"/>
      <c r="E18" s="588"/>
      <c r="F18" s="588"/>
      <c r="G18" s="588"/>
      <c r="H18" s="588"/>
      <c r="I18" s="588"/>
      <c r="J18" s="588"/>
      <c r="K18" s="588"/>
      <c r="L18" s="588"/>
      <c r="M18" s="588"/>
      <c r="N18" s="589"/>
      <c r="O18" s="1"/>
      <c r="P18" s="1"/>
      <c r="Q18" s="1"/>
      <c r="R18" s="1"/>
    </row>
    <row r="19" spans="1:18" ht="31.5" customHeight="1">
      <c r="A19" s="1"/>
      <c r="B19" s="590"/>
      <c r="C19" s="588"/>
      <c r="D19" s="588"/>
      <c r="E19" s="588"/>
      <c r="F19" s="588"/>
      <c r="G19" s="588"/>
      <c r="H19" s="588"/>
      <c r="I19" s="588"/>
      <c r="J19" s="588"/>
      <c r="K19" s="588"/>
      <c r="L19" s="588"/>
      <c r="M19" s="588"/>
      <c r="N19" s="589"/>
      <c r="O19" s="1"/>
      <c r="P19" s="1"/>
      <c r="Q19" s="1"/>
      <c r="R19" s="1"/>
    </row>
    <row r="20" spans="1:18">
      <c r="A20" s="1"/>
      <c r="B20" s="7"/>
      <c r="C20" s="8"/>
      <c r="D20" s="8"/>
      <c r="E20" s="8"/>
      <c r="F20" s="8"/>
      <c r="G20" s="8"/>
      <c r="H20" s="8"/>
      <c r="I20" s="8"/>
      <c r="J20" s="8"/>
      <c r="K20" s="8"/>
      <c r="L20" s="8"/>
      <c r="M20" s="8"/>
      <c r="N20" s="9"/>
      <c r="O20" s="1"/>
      <c r="P20" s="1"/>
      <c r="Q20" s="1"/>
      <c r="R20" s="1"/>
    </row>
    <row r="21" spans="1:18" ht="15.6">
      <c r="A21" s="1"/>
      <c r="B21" s="552" t="s">
        <v>407</v>
      </c>
      <c r="C21" s="553"/>
      <c r="D21" s="553"/>
      <c r="E21" s="553"/>
      <c r="F21" s="553"/>
      <c r="G21" s="553"/>
      <c r="H21" s="553"/>
      <c r="I21" s="553"/>
      <c r="J21" s="553"/>
      <c r="K21" s="553"/>
      <c r="L21" s="553"/>
      <c r="M21" s="553"/>
      <c r="N21" s="554"/>
      <c r="O21" s="1"/>
      <c r="P21" s="1"/>
      <c r="Q21" s="1"/>
      <c r="R21" s="1"/>
    </row>
    <row r="22" spans="1:18" ht="24.75" customHeight="1">
      <c r="A22" s="1"/>
      <c r="B22" s="561" t="s">
        <v>408</v>
      </c>
      <c r="C22" s="562"/>
      <c r="D22" s="562"/>
      <c r="E22" s="562"/>
      <c r="F22" s="591" t="s">
        <v>409</v>
      </c>
      <c r="G22" s="591"/>
      <c r="H22" s="591"/>
      <c r="I22" s="591"/>
      <c r="J22" s="591"/>
      <c r="K22" s="591"/>
      <c r="L22" s="591"/>
      <c r="M22" s="591"/>
      <c r="N22" s="592"/>
      <c r="O22" s="1"/>
      <c r="P22" s="1"/>
      <c r="Q22" s="1"/>
      <c r="R22" s="1"/>
    </row>
    <row r="23" spans="1:18" ht="15" customHeight="1">
      <c r="A23" s="1"/>
      <c r="B23" s="561" t="s">
        <v>11</v>
      </c>
      <c r="C23" s="562"/>
      <c r="D23" s="562"/>
      <c r="E23" s="562"/>
      <c r="F23" s="593" t="s">
        <v>419</v>
      </c>
      <c r="G23" s="593"/>
      <c r="H23" s="593"/>
      <c r="I23" s="593"/>
      <c r="J23" s="593"/>
      <c r="K23" s="593"/>
      <c r="L23" s="593"/>
      <c r="M23" s="593"/>
      <c r="N23" s="594"/>
      <c r="O23" s="1"/>
      <c r="P23" s="1"/>
      <c r="Q23" s="1"/>
      <c r="R23" s="1"/>
    </row>
    <row r="24" spans="1:18">
      <c r="A24" s="1"/>
      <c r="B24" s="561"/>
      <c r="C24" s="562"/>
      <c r="D24" s="562"/>
      <c r="E24" s="562"/>
      <c r="F24" s="593"/>
      <c r="G24" s="593"/>
      <c r="H24" s="593"/>
      <c r="I24" s="593"/>
      <c r="J24" s="593"/>
      <c r="K24" s="593"/>
      <c r="L24" s="593"/>
      <c r="M24" s="593"/>
      <c r="N24" s="594"/>
      <c r="O24" s="1"/>
      <c r="P24" s="1"/>
      <c r="Q24" s="1"/>
      <c r="R24" s="1"/>
    </row>
    <row r="25" spans="1:18" ht="15">
      <c r="A25" s="1"/>
      <c r="B25" s="10"/>
      <c r="C25" s="11"/>
      <c r="D25" s="11"/>
      <c r="E25" s="11"/>
      <c r="F25" s="12"/>
      <c r="G25" s="12"/>
      <c r="H25" s="12"/>
      <c r="I25" s="12"/>
      <c r="J25" s="12"/>
      <c r="K25" s="12"/>
      <c r="L25" s="12"/>
      <c r="M25" s="12"/>
      <c r="N25" s="13"/>
      <c r="O25" s="1"/>
      <c r="P25" s="1"/>
      <c r="Q25" s="1"/>
      <c r="R25" s="1"/>
    </row>
    <row r="26" spans="1:18" ht="15.6">
      <c r="A26" s="1"/>
      <c r="B26" s="578" t="s">
        <v>11</v>
      </c>
      <c r="C26" s="578"/>
      <c r="D26" s="578"/>
      <c r="E26" s="578"/>
      <c r="F26" s="578"/>
      <c r="G26" s="578"/>
      <c r="H26" s="578"/>
      <c r="I26" s="578"/>
      <c r="J26" s="578"/>
      <c r="K26" s="578"/>
      <c r="L26" s="578"/>
      <c r="M26" s="578"/>
      <c r="N26" s="578"/>
      <c r="O26" s="1"/>
      <c r="P26" s="1"/>
      <c r="Q26" s="1"/>
      <c r="R26" s="1"/>
    </row>
    <row r="27" spans="1:18">
      <c r="A27" s="1"/>
      <c r="B27" s="561" t="s">
        <v>410</v>
      </c>
      <c r="C27" s="562"/>
      <c r="D27" s="562"/>
      <c r="E27" s="562"/>
      <c r="F27" s="563" t="s">
        <v>411</v>
      </c>
      <c r="G27" s="564"/>
      <c r="H27" s="564"/>
      <c r="I27" s="564"/>
      <c r="J27" s="564"/>
      <c r="K27" s="564"/>
      <c r="L27" s="564"/>
      <c r="M27" s="564"/>
      <c r="N27" s="565"/>
      <c r="O27" s="1"/>
      <c r="P27" s="1"/>
      <c r="Q27" s="1"/>
      <c r="R27" s="1"/>
    </row>
    <row r="28" spans="1:18" ht="66.75" customHeight="1">
      <c r="A28" s="1"/>
      <c r="B28" s="561"/>
      <c r="C28" s="562"/>
      <c r="D28" s="562"/>
      <c r="E28" s="562"/>
      <c r="F28" s="564"/>
      <c r="G28" s="564"/>
      <c r="H28" s="564"/>
      <c r="I28" s="564"/>
      <c r="J28" s="564"/>
      <c r="K28" s="564"/>
      <c r="L28" s="564"/>
      <c r="M28" s="564"/>
      <c r="N28" s="565"/>
      <c r="O28" s="1"/>
      <c r="P28" s="1"/>
      <c r="Q28" s="1"/>
      <c r="R28" s="1"/>
    </row>
    <row r="29" spans="1:18">
      <c r="A29" s="1"/>
      <c r="B29" s="561" t="s">
        <v>412</v>
      </c>
      <c r="C29" s="562"/>
      <c r="D29" s="562"/>
      <c r="E29" s="562"/>
      <c r="F29" s="563" t="s">
        <v>717</v>
      </c>
      <c r="G29" s="564"/>
      <c r="H29" s="564"/>
      <c r="I29" s="564"/>
      <c r="J29" s="564"/>
      <c r="K29" s="564"/>
      <c r="L29" s="564"/>
      <c r="M29" s="564"/>
      <c r="N29" s="565"/>
      <c r="O29" s="1"/>
      <c r="P29" s="1"/>
      <c r="Q29" s="1"/>
      <c r="R29" s="1"/>
    </row>
    <row r="30" spans="1:18">
      <c r="A30" s="1"/>
      <c r="B30" s="561"/>
      <c r="C30" s="562"/>
      <c r="D30" s="562"/>
      <c r="E30" s="562"/>
      <c r="F30" s="564"/>
      <c r="G30" s="564"/>
      <c r="H30" s="564"/>
      <c r="I30" s="564"/>
      <c r="J30" s="564"/>
      <c r="K30" s="564"/>
      <c r="L30" s="564"/>
      <c r="M30" s="564"/>
      <c r="N30" s="565"/>
      <c r="O30" s="1"/>
      <c r="P30" s="1"/>
      <c r="Q30" s="1"/>
      <c r="R30" s="1"/>
    </row>
    <row r="31" spans="1:18">
      <c r="A31" s="1"/>
      <c r="B31" s="561"/>
      <c r="C31" s="562"/>
      <c r="D31" s="562"/>
      <c r="E31" s="562"/>
      <c r="F31" s="564"/>
      <c r="G31" s="564"/>
      <c r="H31" s="564"/>
      <c r="I31" s="564"/>
      <c r="J31" s="564"/>
      <c r="K31" s="564"/>
      <c r="L31" s="564"/>
      <c r="M31" s="564"/>
      <c r="N31" s="565"/>
      <c r="O31" s="1"/>
      <c r="P31" s="1"/>
      <c r="Q31" s="1"/>
      <c r="R31" s="1"/>
    </row>
    <row r="32" spans="1:18">
      <c r="A32" s="1"/>
      <c r="B32" s="561"/>
      <c r="C32" s="562"/>
      <c r="D32" s="562"/>
      <c r="E32" s="562"/>
      <c r="F32" s="564"/>
      <c r="G32" s="564"/>
      <c r="H32" s="564"/>
      <c r="I32" s="564"/>
      <c r="J32" s="564"/>
      <c r="K32" s="564"/>
      <c r="L32" s="564"/>
      <c r="M32" s="564"/>
      <c r="N32" s="565"/>
      <c r="O32" s="1"/>
      <c r="P32" s="1"/>
      <c r="Q32" s="1"/>
      <c r="R32" s="1"/>
    </row>
    <row r="33" spans="1:18" ht="59.25" customHeight="1">
      <c r="A33" s="1"/>
      <c r="B33" s="561"/>
      <c r="C33" s="562"/>
      <c r="D33" s="562"/>
      <c r="E33" s="562"/>
      <c r="F33" s="564"/>
      <c r="G33" s="564"/>
      <c r="H33" s="564"/>
      <c r="I33" s="564"/>
      <c r="J33" s="564"/>
      <c r="K33" s="564"/>
      <c r="L33" s="564"/>
      <c r="M33" s="564"/>
      <c r="N33" s="565"/>
      <c r="O33" s="1"/>
      <c r="P33" s="1"/>
      <c r="Q33" s="1"/>
      <c r="R33" s="1"/>
    </row>
    <row r="34" spans="1:18" ht="19.5" customHeight="1">
      <c r="A34" s="1"/>
      <c r="B34" s="578" t="s">
        <v>460</v>
      </c>
      <c r="C34" s="578"/>
      <c r="D34" s="578"/>
      <c r="E34" s="578"/>
      <c r="F34" s="578"/>
      <c r="G34" s="578"/>
      <c r="H34" s="578"/>
      <c r="I34" s="578"/>
      <c r="J34" s="578"/>
      <c r="K34" s="578"/>
      <c r="L34" s="578"/>
      <c r="M34" s="578"/>
      <c r="N34" s="578"/>
      <c r="O34" s="1"/>
      <c r="P34" s="1"/>
      <c r="Q34" s="1"/>
      <c r="R34" s="1"/>
    </row>
    <row r="35" spans="1:18" ht="45.75" customHeight="1">
      <c r="A35" s="1"/>
      <c r="B35" s="561" t="s">
        <v>461</v>
      </c>
      <c r="C35" s="562"/>
      <c r="D35" s="562"/>
      <c r="E35" s="562"/>
      <c r="F35" s="563" t="s">
        <v>473</v>
      </c>
      <c r="G35" s="563"/>
      <c r="H35" s="563"/>
      <c r="I35" s="563"/>
      <c r="J35" s="563"/>
      <c r="K35" s="563"/>
      <c r="L35" s="563"/>
      <c r="M35" s="563"/>
      <c r="N35" s="579"/>
      <c r="O35" s="1"/>
      <c r="P35" s="1"/>
      <c r="Q35" s="1"/>
      <c r="R35" s="1"/>
    </row>
    <row r="36" spans="1:18" ht="43.5" customHeight="1">
      <c r="A36" s="1"/>
      <c r="B36" s="14"/>
      <c r="C36" s="15"/>
      <c r="D36" s="15"/>
      <c r="E36" s="15"/>
      <c r="F36" s="563"/>
      <c r="G36" s="563"/>
      <c r="H36" s="563"/>
      <c r="I36" s="563"/>
      <c r="J36" s="563"/>
      <c r="K36" s="563"/>
      <c r="L36" s="563"/>
      <c r="M36" s="563"/>
      <c r="N36" s="579"/>
      <c r="O36" s="1"/>
      <c r="P36" s="1"/>
      <c r="Q36" s="1"/>
      <c r="R36" s="1"/>
    </row>
    <row r="37" spans="1:18" ht="43.5" customHeight="1">
      <c r="A37" s="1"/>
      <c r="B37" s="14"/>
      <c r="C37" s="15"/>
      <c r="D37" s="15"/>
      <c r="E37" s="15"/>
      <c r="F37" s="16"/>
      <c r="G37" s="17" t="s">
        <v>462</v>
      </c>
      <c r="H37" s="17" t="s">
        <v>463</v>
      </c>
      <c r="I37" s="17" t="s">
        <v>464</v>
      </c>
      <c r="J37" s="580" t="s">
        <v>145</v>
      </c>
      <c r="K37" s="580"/>
      <c r="L37" s="580"/>
      <c r="M37" s="580"/>
      <c r="N37" s="18"/>
      <c r="O37" s="1"/>
      <c r="P37" s="1"/>
      <c r="Q37" s="1"/>
      <c r="R37" s="1"/>
    </row>
    <row r="38" spans="1:18" ht="21.75" customHeight="1">
      <c r="A38" s="1"/>
      <c r="B38" s="14"/>
      <c r="C38" s="15"/>
      <c r="D38" s="15"/>
      <c r="E38" s="15"/>
      <c r="F38" s="16"/>
      <c r="G38" s="19" t="s">
        <v>465</v>
      </c>
      <c r="H38" s="19" t="s">
        <v>469</v>
      </c>
      <c r="I38" s="19">
        <v>1</v>
      </c>
      <c r="J38" s="544" t="s">
        <v>474</v>
      </c>
      <c r="K38" s="545"/>
      <c r="L38" s="545"/>
      <c r="M38" s="546"/>
      <c r="N38" s="18"/>
      <c r="O38" s="1"/>
      <c r="P38" s="1"/>
      <c r="Q38" s="1"/>
      <c r="R38" s="1"/>
    </row>
    <row r="39" spans="1:18" ht="33.75" customHeight="1">
      <c r="A39" s="1"/>
      <c r="B39" s="14"/>
      <c r="C39" s="15"/>
      <c r="D39" s="15"/>
      <c r="E39" s="15"/>
      <c r="F39" s="16"/>
      <c r="G39" s="19" t="s">
        <v>466</v>
      </c>
      <c r="H39" s="19" t="s">
        <v>470</v>
      </c>
      <c r="I39" s="19">
        <v>2</v>
      </c>
      <c r="J39" s="544" t="s">
        <v>475</v>
      </c>
      <c r="K39" s="545"/>
      <c r="L39" s="545"/>
      <c r="M39" s="546"/>
      <c r="N39" s="18"/>
      <c r="O39" s="1"/>
      <c r="P39" s="1"/>
      <c r="Q39" s="1"/>
      <c r="R39" s="1"/>
    </row>
    <row r="40" spans="1:18" ht="35.25" customHeight="1">
      <c r="A40" s="1"/>
      <c r="B40" s="14"/>
      <c r="C40" s="15"/>
      <c r="D40" s="15"/>
      <c r="E40" s="15"/>
      <c r="F40" s="16"/>
      <c r="G40" s="19" t="s">
        <v>467</v>
      </c>
      <c r="H40" s="19" t="s">
        <v>471</v>
      </c>
      <c r="I40" s="19">
        <v>3</v>
      </c>
      <c r="J40" s="544" t="s">
        <v>476</v>
      </c>
      <c r="K40" s="545"/>
      <c r="L40" s="545"/>
      <c r="M40" s="546"/>
      <c r="N40" s="18"/>
      <c r="O40" s="1"/>
      <c r="P40" s="1"/>
      <c r="Q40" s="1"/>
      <c r="R40" s="1"/>
    </row>
    <row r="41" spans="1:18" ht="35.25" customHeight="1">
      <c r="A41" s="1"/>
      <c r="B41" s="14"/>
      <c r="C41" s="15"/>
      <c r="D41" s="15"/>
      <c r="E41" s="15"/>
      <c r="F41" s="16"/>
      <c r="G41" s="19" t="s">
        <v>468</v>
      </c>
      <c r="H41" s="19" t="s">
        <v>472</v>
      </c>
      <c r="I41" s="19">
        <v>4</v>
      </c>
      <c r="J41" s="544" t="s">
        <v>477</v>
      </c>
      <c r="K41" s="545"/>
      <c r="L41" s="545"/>
      <c r="M41" s="546"/>
      <c r="N41" s="18"/>
      <c r="O41" s="1"/>
      <c r="P41" s="1"/>
      <c r="Q41" s="1"/>
      <c r="R41" s="1"/>
    </row>
    <row r="42" spans="1:18" ht="15.6">
      <c r="A42" s="1"/>
      <c r="B42" s="20"/>
      <c r="C42" s="21"/>
      <c r="D42" s="21"/>
      <c r="E42" s="21"/>
      <c r="F42" s="5"/>
      <c r="G42" s="5"/>
      <c r="H42" s="5"/>
      <c r="I42" s="5"/>
      <c r="J42" s="5"/>
      <c r="K42" s="5"/>
      <c r="L42" s="5"/>
      <c r="M42" s="5"/>
      <c r="N42" s="6"/>
      <c r="O42" s="1"/>
      <c r="P42" s="1"/>
      <c r="Q42" s="1"/>
      <c r="R42" s="1"/>
    </row>
    <row r="43" spans="1:18" ht="15.6">
      <c r="A43" s="1"/>
      <c r="B43" s="566" t="s">
        <v>413</v>
      </c>
      <c r="C43" s="566"/>
      <c r="D43" s="566"/>
      <c r="E43" s="566"/>
      <c r="F43" s="566"/>
      <c r="G43" s="566"/>
      <c r="H43" s="566"/>
      <c r="I43" s="566"/>
      <c r="J43" s="566"/>
      <c r="K43" s="566"/>
      <c r="L43" s="566"/>
      <c r="M43" s="566"/>
      <c r="N43" s="566"/>
      <c r="O43" s="1"/>
      <c r="P43" s="1"/>
      <c r="Q43" s="1"/>
      <c r="R43" s="1"/>
    </row>
    <row r="44" spans="1:18">
      <c r="A44" s="1"/>
      <c r="B44" s="561" t="s">
        <v>414</v>
      </c>
      <c r="C44" s="562"/>
      <c r="D44" s="562"/>
      <c r="E44" s="562"/>
      <c r="F44" s="569" t="s">
        <v>415</v>
      </c>
      <c r="G44" s="570"/>
      <c r="H44" s="570"/>
      <c r="I44" s="570"/>
      <c r="J44" s="570"/>
      <c r="K44" s="570"/>
      <c r="L44" s="570"/>
      <c r="M44" s="570"/>
      <c r="N44" s="571"/>
      <c r="O44" s="1"/>
      <c r="P44" s="1"/>
      <c r="Q44" s="1"/>
      <c r="R44" s="1"/>
    </row>
    <row r="45" spans="1:18" ht="41.25" customHeight="1">
      <c r="A45" s="1"/>
      <c r="B45" s="567"/>
      <c r="C45" s="568"/>
      <c r="D45" s="568"/>
      <c r="E45" s="568"/>
      <c r="F45" s="572"/>
      <c r="G45" s="573"/>
      <c r="H45" s="573"/>
      <c r="I45" s="573"/>
      <c r="J45" s="573"/>
      <c r="K45" s="573"/>
      <c r="L45" s="573"/>
      <c r="M45" s="573"/>
      <c r="N45" s="574"/>
      <c r="O45" s="1"/>
      <c r="P45" s="1"/>
      <c r="Q45" s="1"/>
      <c r="R45" s="1"/>
    </row>
    <row r="46" spans="1:18" ht="15.6">
      <c r="A46" s="1"/>
      <c r="B46" s="22"/>
      <c r="C46" s="22"/>
      <c r="D46" s="22"/>
      <c r="E46" s="22"/>
      <c r="F46" s="22"/>
      <c r="G46" s="22"/>
      <c r="H46" s="22"/>
      <c r="I46" s="22"/>
      <c r="J46" s="22"/>
      <c r="K46" s="22"/>
      <c r="L46" s="22"/>
      <c r="M46" s="22"/>
      <c r="N46" s="22"/>
      <c r="O46" s="1"/>
      <c r="P46" s="1"/>
      <c r="Q46" s="1"/>
      <c r="R46" s="1"/>
    </row>
    <row r="47" spans="1:18" ht="22.5" customHeight="1">
      <c r="A47" s="1"/>
      <c r="B47" s="558" t="s">
        <v>420</v>
      </c>
      <c r="C47" s="559"/>
      <c r="D47" s="559"/>
      <c r="E47" s="559"/>
      <c r="F47" s="559"/>
      <c r="G47" s="559"/>
      <c r="H47" s="559"/>
      <c r="I47" s="559"/>
      <c r="J47" s="559"/>
      <c r="K47" s="559"/>
      <c r="L47" s="559"/>
      <c r="M47" s="559"/>
      <c r="N47" s="560"/>
      <c r="O47" s="1"/>
      <c r="P47" s="1"/>
      <c r="Q47" s="1"/>
      <c r="R47" s="1"/>
    </row>
    <row r="48" spans="1:18" ht="25.5" customHeight="1">
      <c r="A48" s="1"/>
      <c r="B48" s="575" t="s">
        <v>421</v>
      </c>
      <c r="C48" s="576"/>
      <c r="D48" s="576"/>
      <c r="E48" s="576"/>
      <c r="F48" s="576"/>
      <c r="G48" s="576"/>
      <c r="H48" s="576"/>
      <c r="I48" s="576"/>
      <c r="J48" s="576"/>
      <c r="K48" s="576"/>
      <c r="L48" s="576"/>
      <c r="M48" s="576"/>
      <c r="N48" s="577"/>
      <c r="O48" s="1"/>
      <c r="P48" s="1"/>
      <c r="Q48" s="1"/>
      <c r="R48" s="1"/>
    </row>
    <row r="49" spans="1:18" ht="30" customHeight="1">
      <c r="A49" s="1"/>
      <c r="B49" s="4"/>
      <c r="C49" s="5"/>
      <c r="D49" s="5"/>
      <c r="E49" s="5"/>
      <c r="F49" s="23" t="s">
        <v>422</v>
      </c>
      <c r="G49" s="23"/>
      <c r="H49" s="23"/>
      <c r="I49" s="23"/>
      <c r="J49" s="23"/>
      <c r="K49" s="5"/>
      <c r="L49" s="5"/>
      <c r="M49" s="5"/>
      <c r="N49" s="6"/>
      <c r="O49" s="1"/>
      <c r="P49" s="1"/>
      <c r="Q49" s="1"/>
      <c r="R49" s="1"/>
    </row>
    <row r="50" spans="1:18" ht="30" customHeight="1">
      <c r="A50" s="1"/>
      <c r="B50" s="4"/>
      <c r="C50" s="5"/>
      <c r="D50" s="5"/>
      <c r="E50" s="5"/>
      <c r="F50" s="551" t="s">
        <v>88</v>
      </c>
      <c r="G50" s="551"/>
      <c r="H50" s="551"/>
      <c r="I50" s="551"/>
      <c r="J50" s="551"/>
      <c r="K50" s="5"/>
      <c r="L50" s="5"/>
      <c r="M50" s="5"/>
      <c r="N50" s="6"/>
      <c r="O50" s="1"/>
      <c r="P50" s="1"/>
      <c r="Q50" s="1"/>
      <c r="R50" s="1"/>
    </row>
    <row r="51" spans="1:18" ht="30" customHeight="1">
      <c r="A51" s="1"/>
      <c r="B51" s="4"/>
      <c r="C51" s="5"/>
      <c r="D51" s="5"/>
      <c r="E51" s="5"/>
      <c r="F51" s="551" t="s">
        <v>87</v>
      </c>
      <c r="G51" s="551"/>
      <c r="H51" s="551"/>
      <c r="I51" s="551"/>
      <c r="J51" s="551"/>
      <c r="K51" s="5"/>
      <c r="L51" s="5"/>
      <c r="M51" s="5"/>
      <c r="N51" s="6"/>
      <c r="O51" s="1"/>
      <c r="P51" s="1"/>
      <c r="Q51" s="1"/>
      <c r="R51" s="1"/>
    </row>
    <row r="52" spans="1:18" ht="30" customHeight="1">
      <c r="A52" s="1"/>
      <c r="B52" s="4"/>
      <c r="C52" s="5"/>
      <c r="D52" s="5"/>
      <c r="E52" s="5"/>
      <c r="F52" s="551" t="s">
        <v>423</v>
      </c>
      <c r="G52" s="551"/>
      <c r="H52" s="551"/>
      <c r="I52" s="551"/>
      <c r="J52" s="551"/>
      <c r="K52" s="5"/>
      <c r="L52" s="5"/>
      <c r="M52" s="5"/>
      <c r="N52" s="6"/>
      <c r="O52" s="1"/>
      <c r="P52" s="1"/>
      <c r="Q52" s="1"/>
      <c r="R52" s="1"/>
    </row>
    <row r="53" spans="1:18" ht="30" customHeight="1">
      <c r="A53" s="1"/>
      <c r="B53" s="4"/>
      <c r="C53" s="5"/>
      <c r="D53" s="5"/>
      <c r="E53" s="5"/>
      <c r="F53" s="551" t="s">
        <v>424</v>
      </c>
      <c r="G53" s="551"/>
      <c r="H53" s="551"/>
      <c r="I53" s="551"/>
      <c r="J53" s="551"/>
      <c r="K53" s="5"/>
      <c r="L53" s="5"/>
      <c r="M53" s="5"/>
      <c r="N53" s="6"/>
      <c r="O53" s="1"/>
      <c r="P53" s="1"/>
      <c r="Q53" s="1"/>
      <c r="R53" s="1"/>
    </row>
    <row r="54" spans="1:18" ht="30" customHeight="1">
      <c r="A54" s="1"/>
      <c r="B54" s="4"/>
      <c r="C54" s="5"/>
      <c r="D54" s="5"/>
      <c r="E54" s="5"/>
      <c r="F54" s="551" t="s">
        <v>425</v>
      </c>
      <c r="G54" s="551"/>
      <c r="H54" s="551"/>
      <c r="I54" s="551"/>
      <c r="J54" s="551"/>
      <c r="K54" s="5"/>
      <c r="L54" s="5"/>
      <c r="M54" s="5"/>
      <c r="N54" s="6"/>
      <c r="O54" s="1"/>
      <c r="P54" s="1"/>
      <c r="Q54" s="1"/>
      <c r="R54" s="1"/>
    </row>
    <row r="55" spans="1:18" ht="30" customHeight="1">
      <c r="A55" s="1"/>
      <c r="B55" s="4"/>
      <c r="C55" s="5"/>
      <c r="D55" s="5"/>
      <c r="E55" s="5"/>
      <c r="F55" s="551" t="s">
        <v>426</v>
      </c>
      <c r="G55" s="551"/>
      <c r="H55" s="551"/>
      <c r="I55" s="551"/>
      <c r="J55" s="551"/>
      <c r="K55" s="5"/>
      <c r="L55" s="5"/>
      <c r="M55" s="5"/>
      <c r="N55" s="6"/>
      <c r="O55" s="1"/>
      <c r="P55" s="1"/>
      <c r="Q55" s="1"/>
      <c r="R55" s="1"/>
    </row>
    <row r="56" spans="1:18" ht="45" customHeight="1">
      <c r="A56" s="1"/>
      <c r="B56" s="4"/>
      <c r="C56" s="5"/>
      <c r="D56" s="5"/>
      <c r="E56" s="5"/>
      <c r="F56" s="550" t="s">
        <v>427</v>
      </c>
      <c r="G56" s="550"/>
      <c r="H56" s="550"/>
      <c r="I56" s="550"/>
      <c r="J56" s="550"/>
      <c r="K56" s="5"/>
      <c r="L56" s="5"/>
      <c r="M56" s="5"/>
      <c r="N56" s="6"/>
      <c r="O56" s="1"/>
      <c r="P56" s="1"/>
      <c r="Q56" s="1"/>
      <c r="R56" s="1"/>
    </row>
    <row r="57" spans="1:18" ht="24" customHeight="1">
      <c r="A57" s="1"/>
      <c r="B57" s="596" t="s">
        <v>428</v>
      </c>
      <c r="C57" s="597"/>
      <c r="D57" s="597"/>
      <c r="E57" s="597"/>
      <c r="F57" s="597"/>
      <c r="G57" s="597"/>
      <c r="H57" s="597"/>
      <c r="I57" s="597"/>
      <c r="J57" s="597"/>
      <c r="K57" s="597"/>
      <c r="L57" s="597"/>
      <c r="M57" s="597"/>
      <c r="N57" s="598"/>
      <c r="O57" s="1"/>
      <c r="P57" s="1"/>
      <c r="Q57" s="1"/>
      <c r="R57" s="1"/>
    </row>
    <row r="58" spans="1:18" ht="30" customHeight="1">
      <c r="A58" s="1"/>
      <c r="B58" s="4"/>
      <c r="C58" s="5"/>
      <c r="D58" s="5"/>
      <c r="E58" s="5"/>
      <c r="F58" s="550" t="s">
        <v>429</v>
      </c>
      <c r="G58" s="550"/>
      <c r="H58" s="550"/>
      <c r="I58" s="550"/>
      <c r="J58" s="550"/>
      <c r="K58" s="5"/>
      <c r="L58" s="5"/>
      <c r="M58" s="5"/>
      <c r="N58" s="6"/>
      <c r="O58" s="1"/>
      <c r="P58" s="1"/>
      <c r="Q58" s="1"/>
      <c r="R58" s="1"/>
    </row>
    <row r="59" spans="1:18" ht="24" customHeight="1">
      <c r="A59" s="1"/>
      <c r="B59" s="547" t="s">
        <v>430</v>
      </c>
      <c r="C59" s="548"/>
      <c r="D59" s="548"/>
      <c r="E59" s="548"/>
      <c r="F59" s="548"/>
      <c r="G59" s="548"/>
      <c r="H59" s="548"/>
      <c r="I59" s="548"/>
      <c r="J59" s="548"/>
      <c r="K59" s="548"/>
      <c r="L59" s="548"/>
      <c r="M59" s="548"/>
      <c r="N59" s="549"/>
      <c r="O59" s="1"/>
      <c r="P59" s="1"/>
      <c r="Q59" s="1"/>
      <c r="R59" s="1"/>
    </row>
    <row r="60" spans="1:18" ht="30" customHeight="1">
      <c r="A60" s="1"/>
      <c r="B60" s="4"/>
      <c r="C60" s="5"/>
      <c r="D60" s="5"/>
      <c r="E60" s="5"/>
      <c r="F60" s="551" t="s">
        <v>171</v>
      </c>
      <c r="G60" s="551"/>
      <c r="H60" s="551"/>
      <c r="I60" s="551"/>
      <c r="J60" s="551"/>
      <c r="K60" s="5"/>
      <c r="L60" s="5"/>
      <c r="M60" s="5"/>
      <c r="N60" s="6"/>
      <c r="O60" s="1"/>
      <c r="P60" s="1"/>
      <c r="Q60" s="1"/>
      <c r="R60" s="1"/>
    </row>
    <row r="61" spans="1:18" ht="30" customHeight="1">
      <c r="A61" s="1"/>
      <c r="B61" s="4"/>
      <c r="C61" s="5"/>
      <c r="D61" s="5"/>
      <c r="E61" s="5"/>
      <c r="F61" s="551" t="s">
        <v>175</v>
      </c>
      <c r="G61" s="551"/>
      <c r="H61" s="551"/>
      <c r="I61" s="551"/>
      <c r="J61" s="551"/>
      <c r="K61" s="5"/>
      <c r="L61" s="5"/>
      <c r="M61" s="5"/>
      <c r="N61" s="6"/>
      <c r="O61" s="1"/>
      <c r="P61" s="1"/>
      <c r="Q61" s="1"/>
      <c r="R61" s="1"/>
    </row>
    <row r="62" spans="1:18" ht="30" customHeight="1">
      <c r="A62" s="1"/>
      <c r="B62" s="4"/>
      <c r="C62" s="5"/>
      <c r="D62" s="5"/>
      <c r="E62" s="5"/>
      <c r="F62" s="551" t="s">
        <v>395</v>
      </c>
      <c r="G62" s="551"/>
      <c r="H62" s="551"/>
      <c r="I62" s="551"/>
      <c r="J62" s="551"/>
      <c r="K62" s="5"/>
      <c r="L62" s="5"/>
      <c r="M62" s="5"/>
      <c r="N62" s="6"/>
      <c r="O62" s="1"/>
      <c r="P62" s="1"/>
      <c r="Q62" s="1"/>
      <c r="R62" s="1"/>
    </row>
    <row r="63" spans="1:18" ht="30" customHeight="1">
      <c r="A63" s="1"/>
      <c r="B63" s="4"/>
      <c r="C63" s="5"/>
      <c r="D63" s="5"/>
      <c r="E63" s="5"/>
      <c r="F63" s="551" t="s">
        <v>226</v>
      </c>
      <c r="G63" s="551"/>
      <c r="H63" s="551"/>
      <c r="I63" s="551"/>
      <c r="J63" s="551"/>
      <c r="K63" s="5"/>
      <c r="L63" s="5"/>
      <c r="M63" s="5"/>
      <c r="N63" s="6"/>
      <c r="O63" s="1"/>
      <c r="P63" s="1"/>
      <c r="Q63" s="1"/>
      <c r="R63" s="1"/>
    </row>
    <row r="64" spans="1:18" ht="30" customHeight="1">
      <c r="A64" s="1"/>
      <c r="B64" s="4"/>
      <c r="C64" s="5"/>
      <c r="D64" s="5"/>
      <c r="E64" s="5"/>
      <c r="F64" s="551" t="s">
        <v>431</v>
      </c>
      <c r="G64" s="551"/>
      <c r="H64" s="551"/>
      <c r="I64" s="551"/>
      <c r="J64" s="551"/>
      <c r="K64" s="5"/>
      <c r="L64" s="5"/>
      <c r="M64" s="5"/>
      <c r="N64" s="6"/>
      <c r="O64" s="1"/>
      <c r="P64" s="1"/>
      <c r="Q64" s="1"/>
      <c r="R64" s="1"/>
    </row>
    <row r="65" spans="1:18" ht="48" customHeight="1">
      <c r="A65" s="1"/>
      <c r="B65" s="4"/>
      <c r="C65" s="5"/>
      <c r="D65" s="5"/>
      <c r="E65" s="5"/>
      <c r="F65" s="595" t="s">
        <v>180</v>
      </c>
      <c r="G65" s="595"/>
      <c r="H65" s="595"/>
      <c r="I65" s="595"/>
      <c r="J65" s="595"/>
      <c r="K65" s="5"/>
      <c r="L65" s="5"/>
      <c r="M65" s="5"/>
      <c r="N65" s="6"/>
      <c r="O65" s="1"/>
      <c r="P65" s="1"/>
      <c r="Q65" s="1"/>
      <c r="R65" s="1"/>
    </row>
    <row r="66" spans="1:18" ht="24" customHeight="1">
      <c r="A66" s="1"/>
      <c r="B66" s="608" t="s">
        <v>455</v>
      </c>
      <c r="C66" s="609"/>
      <c r="D66" s="609"/>
      <c r="E66" s="609"/>
      <c r="F66" s="609"/>
      <c r="G66" s="609"/>
      <c r="H66" s="609"/>
      <c r="I66" s="609"/>
      <c r="J66" s="609"/>
      <c r="K66" s="609"/>
      <c r="L66" s="609"/>
      <c r="M66" s="609"/>
      <c r="N66" s="610"/>
      <c r="O66" s="1"/>
      <c r="P66" s="1"/>
      <c r="Q66" s="1"/>
      <c r="R66" s="1"/>
    </row>
    <row r="67" spans="1:18" ht="27.75" customHeight="1">
      <c r="A67" s="1"/>
      <c r="B67" s="607" t="s">
        <v>665</v>
      </c>
      <c r="C67" s="607"/>
      <c r="D67" s="607"/>
      <c r="E67" s="607"/>
      <c r="F67" s="607"/>
      <c r="G67" s="607"/>
      <c r="H67" s="607"/>
      <c r="I67" s="607"/>
      <c r="J67" s="607"/>
      <c r="K67" s="607"/>
      <c r="L67" s="607"/>
      <c r="M67" s="607"/>
      <c r="N67" s="607"/>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602" t="s">
        <v>578</v>
      </c>
      <c r="C69" s="602"/>
      <c r="D69" s="602"/>
      <c r="E69" s="602"/>
      <c r="F69" s="602"/>
      <c r="G69" s="602"/>
      <c r="H69" s="602"/>
      <c r="I69" s="602"/>
      <c r="J69" s="602"/>
      <c r="K69" s="602"/>
      <c r="L69" s="602"/>
      <c r="M69" s="602"/>
      <c r="N69" s="602"/>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11"/>
      <c r="F71" s="603" t="s">
        <v>582</v>
      </c>
      <c r="G71" s="603"/>
      <c r="H71" s="603"/>
      <c r="I71" s="603"/>
      <c r="J71" s="603"/>
      <c r="K71" s="603"/>
      <c r="L71" s="604"/>
      <c r="M71" s="1"/>
      <c r="N71" s="1"/>
      <c r="O71" s="1"/>
      <c r="P71" s="1"/>
      <c r="Q71" s="1"/>
      <c r="R71" s="1"/>
    </row>
    <row r="72" spans="1:18">
      <c r="A72" s="1"/>
      <c r="B72" s="1"/>
      <c r="C72" s="1"/>
      <c r="D72" s="1"/>
      <c r="E72" s="112"/>
      <c r="F72" s="602" t="s">
        <v>579</v>
      </c>
      <c r="G72" s="605"/>
      <c r="H72" s="605"/>
      <c r="I72" s="605"/>
      <c r="J72" s="605"/>
      <c r="K72" s="605"/>
      <c r="L72" s="606"/>
      <c r="M72" s="1"/>
      <c r="N72" s="1"/>
      <c r="O72" s="1"/>
      <c r="P72" s="1"/>
      <c r="Q72" s="1"/>
      <c r="R72" s="1"/>
    </row>
    <row r="73" spans="1:18">
      <c r="A73" s="1"/>
      <c r="B73" s="1"/>
      <c r="C73" s="1"/>
      <c r="D73" s="1"/>
      <c r="E73" s="113"/>
      <c r="F73" s="602" t="s">
        <v>581</v>
      </c>
      <c r="G73" s="605"/>
      <c r="H73" s="605"/>
      <c r="I73" s="605"/>
      <c r="J73" s="605"/>
      <c r="K73" s="605"/>
      <c r="L73" s="606"/>
      <c r="M73" s="1"/>
      <c r="N73" s="1"/>
      <c r="O73" s="1"/>
      <c r="P73" s="1"/>
      <c r="Q73" s="1"/>
      <c r="R73" s="1"/>
    </row>
    <row r="74" spans="1:18">
      <c r="A74" s="1"/>
      <c r="B74" s="1"/>
      <c r="C74" s="1"/>
      <c r="D74" s="1"/>
      <c r="E74" s="114"/>
      <c r="F74" s="599" t="s">
        <v>580</v>
      </c>
      <c r="G74" s="600"/>
      <c r="H74" s="600"/>
      <c r="I74" s="600"/>
      <c r="J74" s="600"/>
      <c r="K74" s="600"/>
      <c r="L74" s="60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sheetData>
  <mergeCells count="55">
    <mergeCell ref="F64:J64"/>
    <mergeCell ref="F65:J65"/>
    <mergeCell ref="B57:N57"/>
    <mergeCell ref="F74:L74"/>
    <mergeCell ref="B69:N69"/>
    <mergeCell ref="F71:L71"/>
    <mergeCell ref="F72:L72"/>
    <mergeCell ref="F73:L73"/>
    <mergeCell ref="B67:N67"/>
    <mergeCell ref="F60:J60"/>
    <mergeCell ref="F61:J61"/>
    <mergeCell ref="B66:N66"/>
    <mergeCell ref="F62:J62"/>
    <mergeCell ref="F63:J63"/>
    <mergeCell ref="B26:N26"/>
    <mergeCell ref="B27:E28"/>
    <mergeCell ref="F27:N28"/>
    <mergeCell ref="B10:N10"/>
    <mergeCell ref="B11:N19"/>
    <mergeCell ref="B21:N21"/>
    <mergeCell ref="B22:E22"/>
    <mergeCell ref="F22:N22"/>
    <mergeCell ref="F23:N24"/>
    <mergeCell ref="B23:E24"/>
    <mergeCell ref="B2:N2"/>
    <mergeCell ref="B4:N4"/>
    <mergeCell ref="B5:N5"/>
    <mergeCell ref="B6:N6"/>
    <mergeCell ref="B7:N7"/>
    <mergeCell ref="B8:N8"/>
    <mergeCell ref="B9:N9"/>
    <mergeCell ref="B47:N47"/>
    <mergeCell ref="F50:J50"/>
    <mergeCell ref="F51:J51"/>
    <mergeCell ref="B29:E33"/>
    <mergeCell ref="F29:N33"/>
    <mergeCell ref="B43:N43"/>
    <mergeCell ref="B44:E45"/>
    <mergeCell ref="F44:N45"/>
    <mergeCell ref="B48:N48"/>
    <mergeCell ref="B34:N34"/>
    <mergeCell ref="B35:E35"/>
    <mergeCell ref="F35:N36"/>
    <mergeCell ref="J37:M37"/>
    <mergeCell ref="J38:M38"/>
    <mergeCell ref="J40:M40"/>
    <mergeCell ref="J41:M41"/>
    <mergeCell ref="J39:M39"/>
    <mergeCell ref="B59:N59"/>
    <mergeCell ref="F58:J58"/>
    <mergeCell ref="F52:J52"/>
    <mergeCell ref="F53:J53"/>
    <mergeCell ref="F54:J54"/>
    <mergeCell ref="F55:J55"/>
    <mergeCell ref="F56:J56"/>
  </mergeCells>
  <hyperlinks>
    <hyperlink ref="F51:J51" location="'A1-Fuentes fijas'!A1" display="Fuentes Fijas" xr:uid="{E3453B62-404B-4404-AC43-70AE0AE4988A}"/>
    <hyperlink ref="F52:J52" location="'A1-IPPU'!A1" display="Procesos Industriales y Uso de Productos" xr:uid="{2E654AEC-2A7C-4068-8384-5DB42B7B3B58}"/>
    <hyperlink ref="F53:J53" location="'A1- Otros procesos'!A1" display="Otros Procesos" xr:uid="{C83D2890-5652-484A-81BB-FDEEEC258FF7}"/>
    <hyperlink ref="F54:J54" location="'A1-Refrigerantes'!A1" display="Uso de refrigerantes" xr:uid="{9D41D5EE-60FD-4C97-8FCE-C71FD9821B3A}"/>
    <hyperlink ref="F55:J55" location="'A1-Gestión de residuos y aguas '!A1" display="Gestión de residuos y aguas residuales" xr:uid="{D6F032CC-CAEF-4CC5-B829-D14CD9183C57}"/>
    <hyperlink ref="F56:J56" location="'A1-Equipos eléctricos'!A1" display="Equipos electrónicos" xr:uid="{17D15BFD-8061-454E-8EBC-FF9B24BB8148}"/>
    <hyperlink ref="F58:J58" location="'A2-Consumo de electricidad'!A1" display="Consumo de energía" xr:uid="{761DDFC4-0E94-467B-B55C-A45410F868D8}"/>
    <hyperlink ref="F60:J60" location="'A3-Transporte de empleados'!A1" display="Transporte de empleados" xr:uid="{DDC62D28-6B37-42EB-B0A1-39FFC296A345}"/>
    <hyperlink ref="F61:J61" location="'A3-Viajes de negocio'!A1" display="Viajes de negocios" xr:uid="{56060FB6-5190-44EF-92B7-650DBF5FF711}"/>
    <hyperlink ref="F62:J62" location="'A3-Transporte de carga'!A1" display="Transporte de carga" xr:uid="{D177D949-731D-4261-BB15-2FC463B0425E}"/>
    <hyperlink ref="F63:J63" location="'A3-Bienes y servicios comprados'!A1" display="Bienes y servicios comprados" xr:uid="{7BDF1241-F9B8-40B9-8D88-38D273EDD002}"/>
    <hyperlink ref="F64:J64" location="'A3-Otras fuentes'!A1" display="Otras fuentes" xr:uid="{30785810-E456-425A-A641-DDEAC299CF26}"/>
    <hyperlink ref="F65:J65" location="'A3-R. generados en operaciones'!A1" display="Residuos generados en operaciones" xr:uid="{4D21D03D-9C31-4F41-A6E2-6E30E7B07981}"/>
    <hyperlink ref="B66:N66" location="Resultados!A1" display="Resultados" xr:uid="{E9F06368-A5E9-4E33-B861-6034ED3C4A62}"/>
    <hyperlink ref="F50:J50" location="'A1-Fuentes móviles'!A1" display="Fuentes Móviles" xr:uid="{4C9BF783-A019-49CF-A6BB-88C54860B904}"/>
    <hyperlink ref="F49:J49" location="'Datos de la organización'!A1" display="Datos de la organización" xr:uid="{484FCBDB-9C1B-4048-BD5A-CCFD6DD0D81F}"/>
    <hyperlink ref="B67:N67" location="'Medidas de mitigación'!A1" display="Medidas de mitigación" xr:uid="{AC9704E0-CAFF-4DDB-84A7-B8CC362F5765}"/>
  </hyperlink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26EE-C273-4521-8B53-46F5CF9B7110}">
  <sheetPr>
    <tabColor theme="8" tint="-0.499984740745262"/>
  </sheetPr>
  <dimension ref="B1:AD12"/>
  <sheetViews>
    <sheetView showGridLines="0" zoomScale="80" zoomScaleNormal="80" workbookViewId="0">
      <pane xSplit="2" ySplit="1" topLeftCell="V2" activePane="bottomRight" state="frozen"/>
      <selection pane="topRight" activeCell="C1" sqref="C1"/>
      <selection pane="bottomLeft" activeCell="A2" sqref="A2"/>
      <selection pane="bottomRight" activeCell="P26" sqref="P26"/>
    </sheetView>
  </sheetViews>
  <sheetFormatPr baseColWidth="10" defaultColWidth="14.44140625" defaultRowHeight="15.6"/>
  <cols>
    <col min="1" max="1" width="9.88671875" style="192" customWidth="1"/>
    <col min="2" max="2" width="30.33203125" style="192" customWidth="1"/>
    <col min="3" max="3" width="28.33203125" style="192" customWidth="1"/>
    <col min="4" max="4" width="10.33203125" style="192" customWidth="1"/>
    <col min="5" max="5" width="27" style="192" customWidth="1"/>
    <col min="6" max="6" width="10.109375" style="192" customWidth="1"/>
    <col min="7" max="9" width="9.5546875" style="192" customWidth="1"/>
    <col min="10" max="10" width="10.109375" style="192" customWidth="1"/>
    <col min="11" max="11" width="9.5546875" style="192" customWidth="1"/>
    <col min="12" max="12" width="9.33203125" style="192" customWidth="1"/>
    <col min="13" max="13" width="9.88671875" style="192" customWidth="1"/>
    <col min="14" max="14" width="10.6640625" style="192" customWidth="1"/>
    <col min="15" max="15" width="9.33203125" style="192" customWidth="1"/>
    <col min="16" max="16" width="10.44140625" style="192" customWidth="1"/>
    <col min="17" max="17" width="10.109375" style="192" customWidth="1"/>
    <col min="18" max="18" width="14" style="192" customWidth="1"/>
    <col min="19" max="19" width="12.44140625" style="192" customWidth="1"/>
    <col min="20" max="21" width="10.6640625" style="192" hidden="1" customWidth="1"/>
    <col min="22" max="25" width="13.33203125" style="192" customWidth="1"/>
    <col min="26" max="26" width="17" style="192" customWidth="1"/>
    <col min="27" max="30" width="13.33203125" style="192" customWidth="1"/>
    <col min="31" max="16384" width="14.44140625" style="192"/>
  </cols>
  <sheetData>
    <row r="1" spans="2:30"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696"/>
      <c r="AA1" s="191"/>
      <c r="AB1" s="191"/>
      <c r="AC1" s="191"/>
      <c r="AD1" s="191"/>
    </row>
    <row r="2" spans="2:30" ht="37.5" customHeight="1">
      <c r="B2" s="220" t="s">
        <v>8</v>
      </c>
      <c r="C2" s="221"/>
      <c r="D2" s="221"/>
      <c r="E2" s="221"/>
      <c r="F2" s="221"/>
      <c r="G2" s="221"/>
      <c r="H2" s="221"/>
      <c r="I2" s="221"/>
      <c r="J2" s="221"/>
      <c r="K2" s="221"/>
      <c r="L2" s="221"/>
      <c r="M2" s="221"/>
      <c r="N2" s="221"/>
      <c r="O2" s="221"/>
      <c r="P2" s="221"/>
      <c r="Q2" s="221"/>
      <c r="R2" s="221"/>
      <c r="S2" s="221"/>
      <c r="T2" s="221"/>
      <c r="U2" s="221"/>
      <c r="V2" s="221"/>
      <c r="W2" s="221"/>
      <c r="X2" s="221"/>
      <c r="Y2" s="221"/>
      <c r="Z2" s="221"/>
      <c r="AA2" s="191"/>
      <c r="AB2" s="191"/>
      <c r="AC2" s="191"/>
      <c r="AD2" s="191"/>
    </row>
    <row r="3" spans="2:30" ht="30" customHeight="1">
      <c r="B3" s="222"/>
      <c r="C3" s="223"/>
      <c r="D3" s="223"/>
      <c r="E3" s="223"/>
      <c r="F3" s="223"/>
      <c r="G3" s="223"/>
      <c r="H3" s="223"/>
      <c r="I3" s="223"/>
      <c r="J3" s="223"/>
      <c r="K3" s="223"/>
      <c r="L3" s="223"/>
      <c r="M3" s="223"/>
      <c r="N3" s="223"/>
      <c r="O3" s="223"/>
      <c r="P3" s="223"/>
      <c r="Q3" s="223"/>
      <c r="R3" s="223"/>
      <c r="S3" s="223"/>
      <c r="T3" s="223"/>
      <c r="U3" s="223"/>
      <c r="V3" s="223"/>
      <c r="W3" s="223"/>
      <c r="X3" s="223"/>
      <c r="Y3" s="223"/>
      <c r="Z3" s="223"/>
      <c r="AA3" s="191"/>
      <c r="AB3" s="191"/>
      <c r="AC3" s="191"/>
      <c r="AD3" s="191"/>
    </row>
    <row r="4" spans="2:30" ht="39" customHeight="1">
      <c r="B4" s="697" t="s">
        <v>61</v>
      </c>
      <c r="C4" s="697"/>
      <c r="D4" s="697"/>
      <c r="E4" s="697"/>
      <c r="F4" s="697"/>
      <c r="G4" s="697"/>
      <c r="H4" s="697"/>
      <c r="I4" s="697"/>
      <c r="J4" s="697"/>
      <c r="K4" s="697"/>
      <c r="L4" s="697"/>
      <c r="M4" s="697"/>
      <c r="N4" s="697"/>
      <c r="O4" s="697"/>
      <c r="P4" s="697"/>
      <c r="Q4" s="697"/>
      <c r="R4" s="697"/>
      <c r="S4" s="697"/>
      <c r="T4" s="697"/>
      <c r="U4" s="697"/>
      <c r="V4" s="697"/>
      <c r="W4" s="697"/>
      <c r="X4" s="697"/>
      <c r="Y4" s="697"/>
      <c r="Z4" s="697"/>
    </row>
    <row r="5" spans="2:30" ht="12.75" customHeight="1">
      <c r="B5" s="197"/>
      <c r="C5" s="198"/>
      <c r="D5" s="198"/>
      <c r="E5" s="198"/>
      <c r="F5" s="198"/>
      <c r="G5" s="198"/>
      <c r="H5" s="198"/>
      <c r="I5" s="198"/>
      <c r="J5" s="198"/>
      <c r="K5" s="198"/>
      <c r="L5" s="198"/>
      <c r="M5" s="198"/>
      <c r="N5" s="198"/>
      <c r="O5" s="198"/>
      <c r="P5" s="198"/>
      <c r="Q5" s="198"/>
      <c r="R5" s="198"/>
      <c r="S5" s="198"/>
      <c r="T5" s="198"/>
      <c r="U5" s="198"/>
      <c r="V5" s="198"/>
      <c r="W5" s="198"/>
      <c r="X5" s="198"/>
      <c r="Y5" s="198"/>
      <c r="Z5" s="198"/>
    </row>
    <row r="6" spans="2:30" ht="32.25" customHeight="1">
      <c r="B6" s="698" t="s">
        <v>10</v>
      </c>
      <c r="C6" s="698" t="s">
        <v>11</v>
      </c>
      <c r="D6" s="698" t="s">
        <v>44</v>
      </c>
      <c r="E6" s="693" t="s">
        <v>661</v>
      </c>
      <c r="F6" s="698" t="s">
        <v>13</v>
      </c>
      <c r="G6" s="715"/>
      <c r="H6" s="715"/>
      <c r="I6" s="715"/>
      <c r="J6" s="715"/>
      <c r="K6" s="715"/>
      <c r="L6" s="715"/>
      <c r="M6" s="715"/>
      <c r="N6" s="715"/>
      <c r="O6" s="715"/>
      <c r="P6" s="715"/>
      <c r="Q6" s="715"/>
      <c r="R6" s="715"/>
      <c r="S6" s="715"/>
      <c r="T6" s="698" t="s">
        <v>14</v>
      </c>
      <c r="U6" s="715"/>
      <c r="V6" s="698" t="s">
        <v>16</v>
      </c>
      <c r="W6" s="715"/>
      <c r="X6" s="715"/>
      <c r="Y6" s="715"/>
      <c r="Z6" s="698" t="s">
        <v>17</v>
      </c>
    </row>
    <row r="7" spans="2:30" ht="67.5" customHeight="1">
      <c r="B7" s="715"/>
      <c r="C7" s="715"/>
      <c r="D7" s="715"/>
      <c r="E7" s="694"/>
      <c r="F7" s="200" t="s">
        <v>18</v>
      </c>
      <c r="G7" s="200" t="s">
        <v>19</v>
      </c>
      <c r="H7" s="200" t="s">
        <v>20</v>
      </c>
      <c r="I7" s="200" t="s">
        <v>21</v>
      </c>
      <c r="J7" s="200" t="s">
        <v>22</v>
      </c>
      <c r="K7" s="200" t="s">
        <v>23</v>
      </c>
      <c r="L7" s="200" t="s">
        <v>24</v>
      </c>
      <c r="M7" s="200" t="s">
        <v>25</v>
      </c>
      <c r="N7" s="200" t="s">
        <v>26</v>
      </c>
      <c r="O7" s="200" t="s">
        <v>27</v>
      </c>
      <c r="P7" s="200" t="s">
        <v>28</v>
      </c>
      <c r="Q7" s="200" t="s">
        <v>29</v>
      </c>
      <c r="R7" s="201" t="s">
        <v>30</v>
      </c>
      <c r="S7" s="200" t="s">
        <v>31</v>
      </c>
      <c r="T7" s="200" t="s">
        <v>32</v>
      </c>
      <c r="U7" s="200" t="s">
        <v>47</v>
      </c>
      <c r="V7" s="699" t="s">
        <v>39</v>
      </c>
      <c r="W7" s="715"/>
      <c r="X7" s="200" t="s">
        <v>62</v>
      </c>
      <c r="Y7" s="200" t="s">
        <v>40</v>
      </c>
      <c r="Z7" s="715"/>
    </row>
    <row r="8" spans="2:30">
      <c r="B8" s="712" t="s">
        <v>78</v>
      </c>
      <c r="C8" s="224" t="s">
        <v>568</v>
      </c>
      <c r="D8" s="225" t="str">
        <f>VLOOKUP($C8,'A1 y A2-Valores por defecto'!$A$80:$P$99,2,FALSE)</f>
        <v>kg</v>
      </c>
      <c r="E8" s="226"/>
      <c r="F8" s="227"/>
      <c r="G8" s="227"/>
      <c r="H8" s="227"/>
      <c r="I8" s="227"/>
      <c r="J8" s="227"/>
      <c r="K8" s="227"/>
      <c r="L8" s="227"/>
      <c r="M8" s="227"/>
      <c r="N8" s="227"/>
      <c r="O8" s="227"/>
      <c r="P8" s="227"/>
      <c r="Q8" s="227"/>
      <c r="R8" s="228">
        <f t="shared" ref="R8:R10" si="0">SUM(F8:Q8)</f>
        <v>0</v>
      </c>
      <c r="S8" s="228">
        <f t="shared" ref="S8:S10" si="1">COUNT(F8:Q8)</f>
        <v>0</v>
      </c>
      <c r="T8" s="228">
        <f t="shared" ref="T8:T10" si="2">IF(S8&gt;1,AVERAGE(F8:Q8),0)</f>
        <v>0</v>
      </c>
      <c r="U8" s="228">
        <f t="shared" ref="U8:U10" si="3">IF(S8&gt;1,STDEV(F8:Q8),0)</f>
        <v>0</v>
      </c>
      <c r="V8" s="225">
        <f>VLOOKUP($C8,'A1 y A2-Valores por defecto'!$A$80:$P$99,5,FALSE)</f>
        <v>23500</v>
      </c>
      <c r="W8" s="225" t="str">
        <f>VLOOKUP($C8,'A1 y A2-Valores por defecto'!$A$80:$P$99,16,FALSE)</f>
        <v>kgCO2 eq/kg</v>
      </c>
      <c r="X8" s="228">
        <f>$R8*$V8</f>
        <v>0</v>
      </c>
      <c r="Y8" s="228">
        <f>$X8/1000</f>
        <v>0</v>
      </c>
      <c r="Z8" s="228">
        <f>Y8</f>
        <v>0</v>
      </c>
    </row>
    <row r="9" spans="2:30">
      <c r="B9" s="713"/>
      <c r="C9" s="224" t="s">
        <v>568</v>
      </c>
      <c r="D9" s="225" t="str">
        <f>VLOOKUP($C9,'A1 y A2-Valores por defecto'!$A$80:$P$99,2,FALSE)</f>
        <v>kg</v>
      </c>
      <c r="E9" s="226"/>
      <c r="F9" s="227"/>
      <c r="G9" s="227"/>
      <c r="H9" s="227"/>
      <c r="I9" s="227"/>
      <c r="J9" s="227"/>
      <c r="K9" s="227"/>
      <c r="L9" s="227"/>
      <c r="M9" s="227"/>
      <c r="N9" s="227"/>
      <c r="O9" s="227"/>
      <c r="P9" s="227"/>
      <c r="Q9" s="227"/>
      <c r="R9" s="228">
        <f t="shared" si="0"/>
        <v>0</v>
      </c>
      <c r="S9" s="228">
        <f t="shared" si="1"/>
        <v>0</v>
      </c>
      <c r="T9" s="228">
        <f t="shared" si="2"/>
        <v>0</v>
      </c>
      <c r="U9" s="228">
        <f t="shared" si="3"/>
        <v>0</v>
      </c>
      <c r="V9" s="225">
        <f>VLOOKUP($C9,'A1 y A2-Valores por defecto'!$A$80:$P$99,5,FALSE)</f>
        <v>23500</v>
      </c>
      <c r="W9" s="225" t="str">
        <f>VLOOKUP($C9,'A1 y A2-Valores por defecto'!$A$80:$P$99,16,FALSE)</f>
        <v>kgCO2 eq/kg</v>
      </c>
      <c r="X9" s="228">
        <f>$R9*$V9</f>
        <v>0</v>
      </c>
      <c r="Y9" s="228">
        <f t="shared" ref="Y9:Y10" si="4">$X9/1000</f>
        <v>0</v>
      </c>
      <c r="Z9" s="228">
        <f t="shared" ref="Z9:Z10" si="5">Y9</f>
        <v>0</v>
      </c>
    </row>
    <row r="10" spans="2:30">
      <c r="B10" s="714"/>
      <c r="C10" s="224" t="s">
        <v>568</v>
      </c>
      <c r="D10" s="225" t="str">
        <f>VLOOKUP($C10,'A1 y A2-Valores por defecto'!$A$80:$P$99,2,FALSE)</f>
        <v>kg</v>
      </c>
      <c r="E10" s="226"/>
      <c r="F10" s="227"/>
      <c r="G10" s="227"/>
      <c r="H10" s="227"/>
      <c r="I10" s="227"/>
      <c r="J10" s="227"/>
      <c r="K10" s="227"/>
      <c r="L10" s="227"/>
      <c r="M10" s="227"/>
      <c r="N10" s="227"/>
      <c r="O10" s="227"/>
      <c r="P10" s="227"/>
      <c r="Q10" s="227"/>
      <c r="R10" s="228">
        <f t="shared" si="0"/>
        <v>0</v>
      </c>
      <c r="S10" s="228">
        <f t="shared" si="1"/>
        <v>0</v>
      </c>
      <c r="T10" s="228">
        <f t="shared" si="2"/>
        <v>0</v>
      </c>
      <c r="U10" s="228">
        <f t="shared" si="3"/>
        <v>0</v>
      </c>
      <c r="V10" s="225">
        <f>VLOOKUP($C10,'A1 y A2-Valores por defecto'!$A$80:$P$99,5,FALSE)</f>
        <v>23500</v>
      </c>
      <c r="W10" s="225" t="str">
        <f>VLOOKUP($C10,'A1 y A2-Valores por defecto'!$A$80:$P$99,16,FALSE)</f>
        <v>kgCO2 eq/kg</v>
      </c>
      <c r="X10" s="228">
        <f>$R10*$V10</f>
        <v>0</v>
      </c>
      <c r="Y10" s="228">
        <f t="shared" si="4"/>
        <v>0</v>
      </c>
      <c r="Z10" s="228">
        <f t="shared" si="5"/>
        <v>0</v>
      </c>
    </row>
    <row r="11" spans="2:30" ht="30">
      <c r="B11" s="209" t="s">
        <v>285</v>
      </c>
      <c r="C11" s="234"/>
      <c r="D11" s="232"/>
      <c r="E11" s="232"/>
      <c r="F11" s="244"/>
      <c r="G11" s="244"/>
      <c r="H11" s="244"/>
      <c r="I11" s="244"/>
      <c r="J11" s="244"/>
      <c r="K11" s="244"/>
      <c r="L11" s="244"/>
      <c r="M11" s="244"/>
      <c r="N11" s="244"/>
      <c r="O11" s="244"/>
      <c r="P11" s="244"/>
      <c r="Q11" s="244"/>
      <c r="R11" s="235"/>
      <c r="S11" s="235"/>
      <c r="T11" s="235"/>
      <c r="U11" s="235"/>
      <c r="V11" s="232"/>
      <c r="W11" s="232"/>
      <c r="X11" s="232"/>
      <c r="Y11" s="235">
        <f>SUM(Y8:Y10)</f>
        <v>0</v>
      </c>
      <c r="Z11" s="235">
        <f>SUM(Z8:Z10)</f>
        <v>0</v>
      </c>
    </row>
    <row r="12" spans="2:30" ht="25.5" customHeight="1">
      <c r="B12" s="191" t="s">
        <v>79</v>
      </c>
    </row>
  </sheetData>
  <sheetProtection insertRows="0"/>
  <mergeCells count="12">
    <mergeCell ref="B8:B10"/>
    <mergeCell ref="V7:W7"/>
    <mergeCell ref="V6:Y6"/>
    <mergeCell ref="B1:Z1"/>
    <mergeCell ref="B4:Z4"/>
    <mergeCell ref="B6:B7"/>
    <mergeCell ref="C6:C7"/>
    <mergeCell ref="D6:D7"/>
    <mergeCell ref="F6:S6"/>
    <mergeCell ref="T6:U6"/>
    <mergeCell ref="Z6:Z7"/>
    <mergeCell ref="E6:E7"/>
  </mergeCells>
  <phoneticPr fontId="15" type="noConversion"/>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3C45F120-6A57-4E5A-964E-27E05C95B8C2}">
          <x14:formula1>
            <xm:f>'A1 y A2-Valores por defecto'!$A$82</xm:f>
          </x14:formula1>
          <xm:sqref>C8:C10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4A85-4D40-453F-9FBA-7553017F1427}">
  <sheetPr>
    <tabColor theme="5"/>
  </sheetPr>
  <dimension ref="B1:Y15"/>
  <sheetViews>
    <sheetView topLeftCell="H1" workbookViewId="0">
      <selection activeCell="R8" sqref="R8"/>
    </sheetView>
  </sheetViews>
  <sheetFormatPr baseColWidth="10" defaultColWidth="14.44140625" defaultRowHeight="15.6"/>
  <cols>
    <col min="1" max="1" width="9.88671875" style="192" customWidth="1"/>
    <col min="2" max="2" width="35" style="192" customWidth="1"/>
    <col min="3" max="3" width="8.6640625" style="192" customWidth="1"/>
    <col min="4" max="4" width="27.88671875" style="192" customWidth="1"/>
    <col min="5" max="5" width="10.109375" style="192" customWidth="1"/>
    <col min="6" max="8" width="9.5546875" style="192" customWidth="1"/>
    <col min="9" max="9" width="10.109375" style="192" customWidth="1"/>
    <col min="10" max="10" width="9.5546875" style="192" customWidth="1"/>
    <col min="11" max="11" width="9.33203125" style="192" customWidth="1"/>
    <col min="12" max="12" width="9.88671875" style="192" customWidth="1"/>
    <col min="13" max="13" width="10.6640625" style="192" customWidth="1"/>
    <col min="14" max="14" width="9.33203125" style="192" customWidth="1"/>
    <col min="15" max="15" width="10.44140625" style="192" customWidth="1"/>
    <col min="16" max="16" width="10.109375" style="192" customWidth="1"/>
    <col min="17" max="17" width="14" style="192" customWidth="1"/>
    <col min="18" max="18" width="12.44140625" style="192" customWidth="1"/>
    <col min="19" max="19" width="16.33203125" style="192" customWidth="1"/>
    <col min="20" max="20" width="11.6640625" style="192" customWidth="1"/>
    <col min="21" max="21" width="17" style="192" customWidth="1"/>
    <col min="22" max="25" width="13.33203125" style="192" customWidth="1"/>
    <col min="26" max="16384" width="14.44140625" style="192"/>
  </cols>
  <sheetData>
    <row r="1" spans="2:25" ht="37.5" customHeight="1">
      <c r="B1" s="695" t="s">
        <v>8</v>
      </c>
      <c r="C1" s="696"/>
      <c r="D1" s="696"/>
      <c r="E1" s="696"/>
      <c r="F1" s="696"/>
      <c r="G1" s="696"/>
      <c r="H1" s="696"/>
      <c r="I1" s="696"/>
      <c r="J1" s="696"/>
      <c r="K1" s="696"/>
      <c r="L1" s="696"/>
      <c r="M1" s="696"/>
      <c r="N1" s="696"/>
      <c r="O1" s="696"/>
      <c r="P1" s="696"/>
      <c r="Q1" s="696"/>
      <c r="R1" s="696"/>
      <c r="S1" s="696"/>
      <c r="T1" s="696"/>
      <c r="U1" s="696"/>
      <c r="V1" s="191"/>
      <c r="W1" s="191"/>
      <c r="X1" s="191"/>
      <c r="Y1" s="191"/>
    </row>
    <row r="2" spans="2:25" ht="21">
      <c r="B2" s="220" t="s">
        <v>360</v>
      </c>
      <c r="C2" s="221"/>
      <c r="D2" s="221"/>
      <c r="E2" s="221"/>
      <c r="F2" s="221"/>
      <c r="G2" s="221"/>
      <c r="H2" s="221"/>
      <c r="I2" s="221"/>
      <c r="J2" s="221"/>
      <c r="K2" s="221"/>
      <c r="L2" s="221"/>
      <c r="M2" s="221"/>
      <c r="N2" s="221"/>
      <c r="O2" s="221"/>
      <c r="P2" s="221"/>
      <c r="Q2" s="221"/>
      <c r="R2" s="221"/>
      <c r="S2" s="221"/>
      <c r="T2" s="221"/>
      <c r="U2" s="221"/>
      <c r="V2" s="191"/>
      <c r="W2" s="191"/>
      <c r="X2" s="191"/>
      <c r="Y2" s="191"/>
    </row>
    <row r="3" spans="2:25" ht="21">
      <c r="B3" s="222"/>
      <c r="C3" s="223"/>
      <c r="D3" s="223"/>
      <c r="E3" s="223"/>
      <c r="F3" s="223"/>
      <c r="G3" s="223"/>
      <c r="H3" s="223"/>
      <c r="I3" s="223"/>
      <c r="J3" s="223"/>
      <c r="K3" s="223"/>
      <c r="L3" s="223"/>
      <c r="M3" s="223"/>
      <c r="N3" s="223"/>
      <c r="O3" s="223"/>
      <c r="P3" s="223"/>
      <c r="Q3" s="223"/>
      <c r="R3" s="223"/>
      <c r="S3" s="223"/>
      <c r="T3" s="223"/>
      <c r="U3" s="223"/>
      <c r="V3" s="191"/>
      <c r="W3" s="191"/>
      <c r="X3" s="191"/>
      <c r="Y3" s="191"/>
    </row>
    <row r="4" spans="2:25" ht="21">
      <c r="B4" s="697" t="s">
        <v>361</v>
      </c>
      <c r="C4" s="697"/>
      <c r="D4" s="697"/>
      <c r="E4" s="697"/>
      <c r="F4" s="697"/>
      <c r="G4" s="697"/>
      <c r="H4" s="697"/>
      <c r="I4" s="697"/>
      <c r="J4" s="697"/>
      <c r="K4" s="697"/>
      <c r="L4" s="697"/>
      <c r="M4" s="697"/>
      <c r="N4" s="697"/>
      <c r="O4" s="697"/>
      <c r="P4" s="697"/>
      <c r="Q4" s="697"/>
      <c r="R4" s="697"/>
      <c r="S4" s="697"/>
      <c r="T4" s="697"/>
      <c r="U4" s="697"/>
    </row>
    <row r="5" spans="2:25" ht="12.75" customHeight="1">
      <c r="B5" s="197"/>
      <c r="C5" s="198"/>
      <c r="D5" s="198"/>
      <c r="E5" s="198"/>
      <c r="F5" s="198"/>
      <c r="G5" s="198"/>
      <c r="H5" s="198"/>
      <c r="I5" s="198"/>
      <c r="J5" s="198"/>
      <c r="K5" s="198"/>
      <c r="L5" s="198"/>
      <c r="M5" s="198"/>
      <c r="N5" s="198"/>
      <c r="O5" s="198"/>
      <c r="P5" s="198"/>
      <c r="Q5" s="198"/>
      <c r="R5" s="198"/>
      <c r="S5" s="198"/>
      <c r="T5" s="198"/>
      <c r="U5" s="198"/>
    </row>
    <row r="6" spans="2:25">
      <c r="B6" s="698" t="s">
        <v>10</v>
      </c>
      <c r="C6" s="698" t="s">
        <v>44</v>
      </c>
      <c r="D6" s="693" t="s">
        <v>661</v>
      </c>
      <c r="E6" s="698" t="s">
        <v>13</v>
      </c>
      <c r="F6" s="715"/>
      <c r="G6" s="715"/>
      <c r="H6" s="715"/>
      <c r="I6" s="715"/>
      <c r="J6" s="715"/>
      <c r="K6" s="715"/>
      <c r="L6" s="715"/>
      <c r="M6" s="715"/>
      <c r="N6" s="715"/>
      <c r="O6" s="715"/>
      <c r="P6" s="715"/>
      <c r="Q6" s="715"/>
      <c r="R6" s="723" t="s">
        <v>692</v>
      </c>
      <c r="S6" s="724"/>
      <c r="T6" s="725"/>
      <c r="U6" s="698" t="s">
        <v>17</v>
      </c>
    </row>
    <row r="7" spans="2:25" ht="45">
      <c r="B7" s="715"/>
      <c r="C7" s="715"/>
      <c r="D7" s="694"/>
      <c r="E7" s="200" t="s">
        <v>18</v>
      </c>
      <c r="F7" s="200" t="s">
        <v>19</v>
      </c>
      <c r="G7" s="200" t="s">
        <v>20</v>
      </c>
      <c r="H7" s="200" t="s">
        <v>21</v>
      </c>
      <c r="I7" s="200" t="s">
        <v>22</v>
      </c>
      <c r="J7" s="200" t="s">
        <v>23</v>
      </c>
      <c r="K7" s="200" t="s">
        <v>24</v>
      </c>
      <c r="L7" s="200" t="s">
        <v>25</v>
      </c>
      <c r="M7" s="200" t="s">
        <v>26</v>
      </c>
      <c r="N7" s="200" t="s">
        <v>27</v>
      </c>
      <c r="O7" s="200" t="s">
        <v>28</v>
      </c>
      <c r="P7" s="200" t="s">
        <v>29</v>
      </c>
      <c r="Q7" s="201" t="s">
        <v>30</v>
      </c>
      <c r="R7" s="699" t="s">
        <v>695</v>
      </c>
      <c r="S7" s="699"/>
      <c r="T7" s="200" t="s">
        <v>697</v>
      </c>
      <c r="U7" s="715"/>
    </row>
    <row r="8" spans="2:25" ht="30.75" customHeight="1">
      <c r="B8" s="240" t="s">
        <v>569</v>
      </c>
      <c r="C8" s="225" t="s">
        <v>362</v>
      </c>
      <c r="D8" s="226"/>
      <c r="E8" s="227"/>
      <c r="F8" s="227"/>
      <c r="G8" s="227"/>
      <c r="H8" s="227"/>
      <c r="I8" s="227"/>
      <c r="J8" s="227"/>
      <c r="K8" s="227"/>
      <c r="L8" s="227"/>
      <c r="M8" s="227"/>
      <c r="N8" s="227"/>
      <c r="O8" s="227"/>
      <c r="P8" s="227"/>
      <c r="Q8" s="228">
        <f t="shared" ref="Q8" si="0">SUM(E8:P8)</f>
        <v>0</v>
      </c>
      <c r="R8" s="246">
        <f>IFERROR(VLOOKUP('Datos de la organización'!H8,'A1 y A2-Valores por defecto'!$B$204:$C$218,2,0)/10^6,'A1 y A2-Valores por defecto'!C206/10^6)</f>
        <v>6.0139868634940731E-5</v>
      </c>
      <c r="S8" s="225" t="s">
        <v>363</v>
      </c>
      <c r="T8" s="229">
        <f>R8*Q8</f>
        <v>0</v>
      </c>
      <c r="U8" s="228">
        <f>T8</f>
        <v>0</v>
      </c>
    </row>
    <row r="9" spans="2:25">
      <c r="B9" s="209" t="s">
        <v>364</v>
      </c>
      <c r="C9" s="232"/>
      <c r="D9" s="232"/>
      <c r="E9" s="244"/>
      <c r="F9" s="244"/>
      <c r="G9" s="244"/>
      <c r="H9" s="244"/>
      <c r="I9" s="244"/>
      <c r="J9" s="244"/>
      <c r="K9" s="244"/>
      <c r="L9" s="244"/>
      <c r="M9" s="244"/>
      <c r="N9" s="244"/>
      <c r="O9" s="244"/>
      <c r="P9" s="244"/>
      <c r="Q9" s="235"/>
      <c r="R9" s="232"/>
      <c r="S9" s="232"/>
      <c r="T9" s="235">
        <f>T8</f>
        <v>0</v>
      </c>
      <c r="U9" s="235">
        <f>SUM(U8:U8)</f>
        <v>0</v>
      </c>
    </row>
    <row r="10" spans="2:25">
      <c r="B10" s="191" t="s">
        <v>79</v>
      </c>
    </row>
    <row r="12" spans="2:25">
      <c r="V12" s="798"/>
    </row>
    <row r="14" spans="2:25">
      <c r="S14" s="801"/>
      <c r="T14" s="800"/>
      <c r="U14" s="800"/>
      <c r="V14" s="799"/>
    </row>
    <row r="15" spans="2:25">
      <c r="S15" s="722"/>
      <c r="T15" s="722"/>
      <c r="U15" s="247"/>
      <c r="V15" s="247"/>
    </row>
  </sheetData>
  <sheetProtection insertRows="0"/>
  <mergeCells count="10">
    <mergeCell ref="S15:T15"/>
    <mergeCell ref="B1:U1"/>
    <mergeCell ref="B4:U4"/>
    <mergeCell ref="B6:B7"/>
    <mergeCell ref="C6:C7"/>
    <mergeCell ref="E6:Q6"/>
    <mergeCell ref="R6:T6"/>
    <mergeCell ref="U6:U7"/>
    <mergeCell ref="R7:S7"/>
    <mergeCell ref="D6:D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F337A-D676-4E0F-88C3-CAFA2F12531E}">
  <sheetPr>
    <tabColor theme="7"/>
    <outlinePr summaryBelow="0" summaryRight="0"/>
  </sheetPr>
  <dimension ref="A1:W919"/>
  <sheetViews>
    <sheetView showGridLines="0" zoomScale="86" zoomScaleNormal="86" workbookViewId="0">
      <pane xSplit="2" topLeftCell="C1" activePane="topRight" state="frozen"/>
      <selection pane="topRight" activeCell="E8" sqref="E8"/>
    </sheetView>
  </sheetViews>
  <sheetFormatPr baseColWidth="10" defaultColWidth="14.44140625" defaultRowHeight="15" customHeight="1"/>
  <cols>
    <col min="1" max="1" width="8.109375" style="248" customWidth="1"/>
    <col min="2" max="2" width="48.88671875" style="248" customWidth="1"/>
    <col min="3" max="3" width="24.88671875" style="248" customWidth="1"/>
    <col min="4" max="4" width="38.109375" style="248" customWidth="1"/>
    <col min="5" max="9" width="14.44140625" style="248"/>
    <col min="10" max="15" width="0" style="248" hidden="1" customWidth="1"/>
    <col min="16" max="22" width="14.44140625" style="248"/>
    <col min="23" max="23" width="26.6640625" style="248" customWidth="1"/>
    <col min="24" max="16384" width="14.44140625" style="248"/>
  </cols>
  <sheetData>
    <row r="1" spans="1:23" ht="45.75" customHeight="1"/>
    <row r="2" spans="1:23" ht="42" customHeight="1">
      <c r="B2" s="52" t="s">
        <v>170</v>
      </c>
      <c r="C2" s="249"/>
      <c r="D2" s="249"/>
      <c r="E2" s="249"/>
      <c r="F2" s="249"/>
      <c r="G2" s="249"/>
      <c r="H2" s="249"/>
      <c r="I2" s="249"/>
      <c r="J2" s="249"/>
      <c r="K2" s="249"/>
      <c r="L2" s="249"/>
      <c r="M2" s="249"/>
      <c r="N2" s="249"/>
      <c r="O2" s="249"/>
      <c r="P2" s="249"/>
      <c r="Q2" s="249"/>
      <c r="R2" s="249"/>
      <c r="S2" s="249"/>
      <c r="T2" s="249"/>
      <c r="U2" s="249"/>
      <c r="V2" s="249"/>
      <c r="W2" s="249"/>
    </row>
    <row r="3" spans="1:23" ht="23.25" customHeight="1">
      <c r="A3" s="250"/>
      <c r="B3" s="251"/>
      <c r="C3" s="251"/>
      <c r="D3" s="251"/>
      <c r="E3" s="251"/>
      <c r="F3" s="251"/>
      <c r="G3" s="251"/>
      <c r="H3" s="251"/>
      <c r="I3" s="251"/>
      <c r="J3" s="251"/>
      <c r="K3" s="251"/>
      <c r="L3" s="251"/>
      <c r="M3" s="251"/>
      <c r="N3" s="251"/>
      <c r="O3" s="251"/>
      <c r="P3" s="251"/>
      <c r="Q3" s="251"/>
      <c r="R3" s="251"/>
      <c r="S3" s="251"/>
      <c r="T3" s="251"/>
      <c r="U3" s="251"/>
      <c r="V3" s="251"/>
      <c r="W3" s="252"/>
    </row>
    <row r="4" spans="1:23" ht="21" customHeight="1">
      <c r="B4" s="253" t="s">
        <v>171</v>
      </c>
      <c r="C4" s="254"/>
      <c r="D4" s="254"/>
      <c r="E4" s="254"/>
      <c r="F4" s="254"/>
      <c r="G4" s="254"/>
      <c r="H4" s="254"/>
      <c r="I4" s="254"/>
      <c r="J4" s="254"/>
      <c r="K4" s="254"/>
      <c r="L4" s="254"/>
      <c r="M4" s="254"/>
      <c r="N4" s="254"/>
      <c r="O4" s="254"/>
      <c r="P4" s="254"/>
      <c r="Q4" s="254"/>
      <c r="R4" s="254"/>
      <c r="S4" s="254"/>
      <c r="T4" s="254"/>
      <c r="U4" s="254"/>
      <c r="V4" s="254"/>
      <c r="W4" s="254"/>
    </row>
    <row r="5" spans="1:23" ht="15" customHeight="1">
      <c r="B5" s="53"/>
      <c r="C5" s="255"/>
      <c r="D5" s="255"/>
      <c r="E5" s="255"/>
      <c r="F5" s="255"/>
      <c r="G5" s="255"/>
      <c r="H5" s="255"/>
      <c r="I5" s="255"/>
      <c r="J5" s="255"/>
      <c r="K5" s="255"/>
      <c r="L5" s="255"/>
      <c r="M5" s="255"/>
      <c r="N5" s="255"/>
      <c r="O5" s="255"/>
      <c r="P5" s="255"/>
      <c r="Q5" s="255"/>
      <c r="R5" s="255"/>
      <c r="S5" s="255"/>
      <c r="T5" s="255"/>
      <c r="U5" s="255"/>
      <c r="V5" s="255"/>
      <c r="W5" s="255"/>
    </row>
    <row r="6" spans="1:23" ht="50.25" customHeight="1">
      <c r="B6" s="731" t="s">
        <v>10</v>
      </c>
      <c r="C6" s="731" t="s">
        <v>11</v>
      </c>
      <c r="D6" s="735" t="s">
        <v>661</v>
      </c>
      <c r="E6" s="729" t="s">
        <v>13</v>
      </c>
      <c r="F6" s="730"/>
      <c r="G6" s="734"/>
      <c r="H6" s="729" t="s">
        <v>291</v>
      </c>
      <c r="I6" s="730"/>
      <c r="J6" s="54"/>
      <c r="K6" s="55" t="s">
        <v>14</v>
      </c>
      <c r="L6" s="256"/>
      <c r="M6" s="256"/>
      <c r="N6" s="256"/>
      <c r="O6" s="256"/>
      <c r="P6" s="698" t="s">
        <v>692</v>
      </c>
      <c r="Q6" s="699"/>
      <c r="R6" s="699"/>
      <c r="S6" s="698" t="s">
        <v>693</v>
      </c>
      <c r="T6" s="699"/>
      <c r="U6" s="698" t="s">
        <v>694</v>
      </c>
      <c r="V6" s="699"/>
      <c r="W6" s="122" t="s">
        <v>172</v>
      </c>
    </row>
    <row r="7" spans="1:23" ht="69.75" customHeight="1">
      <c r="B7" s="732"/>
      <c r="C7" s="733"/>
      <c r="D7" s="736"/>
      <c r="E7" s="123" t="s">
        <v>288</v>
      </c>
      <c r="F7" s="123" t="s">
        <v>289</v>
      </c>
      <c r="G7" s="123" t="s">
        <v>290</v>
      </c>
      <c r="H7" s="56" t="s">
        <v>44</v>
      </c>
      <c r="I7" s="57" t="s">
        <v>30</v>
      </c>
      <c r="J7" s="58" t="s">
        <v>31</v>
      </c>
      <c r="K7" s="58" t="s">
        <v>32</v>
      </c>
      <c r="L7" s="59" t="s">
        <v>33</v>
      </c>
      <c r="M7" s="58" t="s">
        <v>34</v>
      </c>
      <c r="N7" s="59" t="s">
        <v>35</v>
      </c>
      <c r="O7" s="59" t="s">
        <v>36</v>
      </c>
      <c r="P7" s="200" t="s">
        <v>695</v>
      </c>
      <c r="Q7" s="200" t="s">
        <v>696</v>
      </c>
      <c r="R7" s="200" t="s">
        <v>697</v>
      </c>
      <c r="S7" s="420" t="s">
        <v>698</v>
      </c>
      <c r="T7" s="200" t="s">
        <v>700</v>
      </c>
      <c r="U7" s="200" t="s">
        <v>701</v>
      </c>
      <c r="V7" s="200" t="s">
        <v>703</v>
      </c>
      <c r="W7" s="123" t="s">
        <v>173</v>
      </c>
    </row>
    <row r="8" spans="1:23" ht="21" customHeight="1">
      <c r="B8" s="726" t="s">
        <v>174</v>
      </c>
      <c r="C8" s="90" t="s">
        <v>265</v>
      </c>
      <c r="D8" s="121"/>
      <c r="E8" s="91"/>
      <c r="F8" s="91"/>
      <c r="G8" s="91"/>
      <c r="H8" s="92" t="str">
        <f>VLOOKUP($C8,'A3-Valores por defecto'!$A$9:$H$17,2,FALSE )</f>
        <v>Km*persona</v>
      </c>
      <c r="I8" s="100">
        <f>E8*F8*G8</f>
        <v>0</v>
      </c>
      <c r="J8" s="100">
        <f>COUNT(E8:G8)</f>
        <v>0</v>
      </c>
      <c r="K8" s="100">
        <f>IF(J8&gt;1,AVERAGE(E8:G8),0)</f>
        <v>0</v>
      </c>
      <c r="L8" s="100">
        <f>IF(J8&gt;1,STDEV(E8:G8),0)</f>
        <v>0</v>
      </c>
      <c r="M8" s="100"/>
      <c r="N8" s="100"/>
      <c r="O8" s="100"/>
      <c r="P8" s="93">
        <f>VLOOKUP($C8,'A3-Valores por defecto'!$A$9:$H$17,4,FALSE )</f>
        <v>0.16655</v>
      </c>
      <c r="Q8" s="100">
        <f>$I8*2*$P8</f>
        <v>0</v>
      </c>
      <c r="R8" s="100">
        <f>(Q8)/1000</f>
        <v>0</v>
      </c>
      <c r="S8" s="418">
        <f>VLOOKUP($C8,'A3-Valores por defecto'!$A$9:$H$17,6,FALSE )</f>
        <v>3.9999999999999998E-6</v>
      </c>
      <c r="T8" s="419">
        <f>($I8*2*$S8)/1000</f>
        <v>0</v>
      </c>
      <c r="U8" s="418">
        <f>VLOOKUP($C8,'A3-Valores por defecto'!$A$9:$H$17,8,FALSE )</f>
        <v>1.8799999999999999E-3</v>
      </c>
      <c r="V8" s="100">
        <f>($I8*2*$U8)/1000</f>
        <v>0</v>
      </c>
      <c r="W8" s="100">
        <f>Q8+T8+V8</f>
        <v>0</v>
      </c>
    </row>
    <row r="9" spans="1:23" ht="21" customHeight="1">
      <c r="B9" s="727"/>
      <c r="C9" s="90" t="s">
        <v>266</v>
      </c>
      <c r="D9" s="121"/>
      <c r="E9" s="91"/>
      <c r="F9" s="91"/>
      <c r="G9" s="91"/>
      <c r="H9" s="92" t="str">
        <f>VLOOKUP($C9,'A3-Valores por defecto'!$A$9:$H$17,2,FALSE )</f>
        <v>Km*persona</v>
      </c>
      <c r="I9" s="100">
        <f t="shared" ref="I9:I12" si="0">E9*F9*G9</f>
        <v>0</v>
      </c>
      <c r="J9" s="100">
        <f>COUNT(E9:G9)</f>
        <v>0</v>
      </c>
      <c r="K9" s="100">
        <f>IF(J9&gt;1,AVERAGE(E9:G9),0)</f>
        <v>0</v>
      </c>
      <c r="L9" s="100">
        <f>IF(J9&gt;1,STDEV(E9:G9),0)</f>
        <v>0</v>
      </c>
      <c r="M9" s="94"/>
      <c r="N9" s="95"/>
      <c r="O9" s="95"/>
      <c r="P9" s="93">
        <f>VLOOKUP($C9,'A3-Valores por defecto'!$A$9:$H$17,4,FALSE )</f>
        <v>0.17363000000000001</v>
      </c>
      <c r="Q9" s="100">
        <f t="shared" ref="Q9:Q12" si="1">$I9*2*$P9</f>
        <v>0</v>
      </c>
      <c r="R9" s="100">
        <f t="shared" ref="R9:R12" si="2">(Q9)/1000</f>
        <v>0</v>
      </c>
      <c r="S9" s="418">
        <f>VLOOKUP($C9,'A3-Valores por defecto'!$A$9:$H$17,6,FALSE )</f>
        <v>3.2000000000000003E-4</v>
      </c>
      <c r="T9" s="100">
        <f>($I9*2*$S9)/1000</f>
        <v>0</v>
      </c>
      <c r="U9" s="418">
        <f>VLOOKUP($C9,'A3-Valores por defecto'!$A$9:$H$17,8,FALSE )</f>
        <v>3.6000000000000002E-4</v>
      </c>
      <c r="V9" s="100">
        <f>($I9*2*$U9)/1000</f>
        <v>0</v>
      </c>
      <c r="W9" s="100">
        <f>R9+T9+V9</f>
        <v>0</v>
      </c>
    </row>
    <row r="10" spans="1:23" ht="21" customHeight="1">
      <c r="B10" s="727"/>
      <c r="C10" s="90" t="s">
        <v>265</v>
      </c>
      <c r="D10" s="121"/>
      <c r="E10" s="91"/>
      <c r="F10" s="91"/>
      <c r="G10" s="91"/>
      <c r="H10" s="92" t="str">
        <f>VLOOKUP($C10,'A3-Valores por defecto'!$A$9:$H$17,2,FALSE )</f>
        <v>Km*persona</v>
      </c>
      <c r="I10" s="100">
        <f t="shared" si="0"/>
        <v>0</v>
      </c>
      <c r="J10" s="100">
        <f>COUNT(E10:G10)</f>
        <v>0</v>
      </c>
      <c r="K10" s="100">
        <f>IF(J10&gt;1,AVERAGE(E10:G10),0)</f>
        <v>0</v>
      </c>
      <c r="L10" s="100">
        <f>IF(J10&gt;1,STDEV(E10:G10),0)</f>
        <v>0</v>
      </c>
      <c r="M10" s="94"/>
      <c r="N10" s="95"/>
      <c r="O10" s="95"/>
      <c r="P10" s="93">
        <f>VLOOKUP($C10,'A3-Valores por defecto'!$A$9:$H$17,4,FALSE )</f>
        <v>0.16655</v>
      </c>
      <c r="Q10" s="100">
        <f t="shared" si="1"/>
        <v>0</v>
      </c>
      <c r="R10" s="100">
        <f t="shared" si="2"/>
        <v>0</v>
      </c>
      <c r="S10" s="418">
        <f>VLOOKUP($C10,'A3-Valores por defecto'!$A$9:$H$17,6,FALSE )</f>
        <v>3.9999999999999998E-6</v>
      </c>
      <c r="T10" s="100">
        <f>($I10*2*$S10)/1000</f>
        <v>0</v>
      </c>
      <c r="U10" s="418">
        <f>VLOOKUP($C10,'A3-Valores por defecto'!$A$9:$H$17,8,FALSE )</f>
        <v>1.8799999999999999E-3</v>
      </c>
      <c r="V10" s="100">
        <f>($I10*2*$U10)/1000</f>
        <v>0</v>
      </c>
      <c r="W10" s="100">
        <f>R10+T10+V10</f>
        <v>0</v>
      </c>
    </row>
    <row r="11" spans="1:23" ht="21" customHeight="1">
      <c r="B11" s="727"/>
      <c r="C11" s="90" t="s">
        <v>194</v>
      </c>
      <c r="D11" s="121"/>
      <c r="E11" s="91"/>
      <c r="F11" s="91"/>
      <c r="G11" s="91"/>
      <c r="H11" s="92" t="str">
        <f>VLOOKUP($C11,'A3-Valores por defecto'!$A$9:$H$17,2,FALSE )</f>
        <v>Km*persona</v>
      </c>
      <c r="I11" s="100">
        <f t="shared" si="0"/>
        <v>0</v>
      </c>
      <c r="J11" s="100">
        <f>COUNT(E11:G11)</f>
        <v>0</v>
      </c>
      <c r="K11" s="100">
        <f>IF(J11&gt;1,AVERAGE(E11:G11),0)</f>
        <v>0</v>
      </c>
      <c r="L11" s="100">
        <f>IF(J11&gt;1,STDEV(E11:G11),0)</f>
        <v>0</v>
      </c>
      <c r="M11" s="94"/>
      <c r="N11" s="95"/>
      <c r="O11" s="95"/>
      <c r="P11" s="93">
        <f>VLOOKUP($C11,'A3-Valores por defecto'!$A$9:$H$17,4,FALSE )</f>
        <v>0.19782</v>
      </c>
      <c r="Q11" s="100">
        <f t="shared" si="1"/>
        <v>0</v>
      </c>
      <c r="R11" s="100">
        <f t="shared" si="2"/>
        <v>0</v>
      </c>
      <c r="S11" s="418">
        <f>VLOOKUP($C11,'A3-Valores por defecto'!$A$9:$H$17,6,FALSE )</f>
        <v>5.0000000000000002E-5</v>
      </c>
      <c r="T11" s="100">
        <f>($I11*2*$S11)/1000</f>
        <v>0</v>
      </c>
      <c r="U11" s="418">
        <f>VLOOKUP($C11,'A3-Valores por defecto'!$A$9:$H$17,8,FALSE )</f>
        <v>4.0999999999999999E-4</v>
      </c>
      <c r="V11" s="100">
        <f>($I11*2*$U11)/1000</f>
        <v>0</v>
      </c>
      <c r="W11" s="100">
        <f>R11+T11+V11</f>
        <v>0</v>
      </c>
    </row>
    <row r="12" spans="1:23" ht="21" customHeight="1">
      <c r="B12" s="728"/>
      <c r="C12" s="90" t="s">
        <v>265</v>
      </c>
      <c r="D12" s="121"/>
      <c r="E12" s="91"/>
      <c r="F12" s="91"/>
      <c r="G12" s="91"/>
      <c r="H12" s="92" t="str">
        <f>VLOOKUP($C12,'A3-Valores por defecto'!$A$9:$H$17,2,FALSE )</f>
        <v>Km*persona</v>
      </c>
      <c r="I12" s="100">
        <f t="shared" si="0"/>
        <v>0</v>
      </c>
      <c r="J12" s="100">
        <f>COUNT(E12:G12)</f>
        <v>0</v>
      </c>
      <c r="K12" s="100">
        <f>IF(J12&gt;1,AVERAGE(E12:G12),0)</f>
        <v>0</v>
      </c>
      <c r="L12" s="100">
        <f>IF(J12&gt;1,STDEV(E12:G12),0)</f>
        <v>0</v>
      </c>
      <c r="M12" s="94"/>
      <c r="N12" s="95"/>
      <c r="O12" s="95"/>
      <c r="P12" s="93">
        <f>VLOOKUP($C12,'A3-Valores por defecto'!$A$9:$H$17,4,FALSE )</f>
        <v>0.16655</v>
      </c>
      <c r="Q12" s="100">
        <f t="shared" si="1"/>
        <v>0</v>
      </c>
      <c r="R12" s="100">
        <f t="shared" si="2"/>
        <v>0</v>
      </c>
      <c r="S12" s="418">
        <f>VLOOKUP($C12,'A3-Valores por defecto'!$A$9:$H$17,6,FALSE )</f>
        <v>3.9999999999999998E-6</v>
      </c>
      <c r="T12" s="100">
        <f>($I12*2*$S12)/1000</f>
        <v>0</v>
      </c>
      <c r="U12" s="418">
        <f>VLOOKUP($C12,'A3-Valores por defecto'!$A$9:$H$17,8,FALSE )</f>
        <v>1.8799999999999999E-3</v>
      </c>
      <c r="V12" s="100">
        <f>($I12*2*$U12)/1000</f>
        <v>0</v>
      </c>
      <c r="W12" s="100">
        <f>R12+T12+V12</f>
        <v>0</v>
      </c>
    </row>
    <row r="13" spans="1:23" ht="15" customHeight="1">
      <c r="B13" s="60" t="s">
        <v>272</v>
      </c>
      <c r="C13" s="51"/>
      <c r="D13" s="51"/>
      <c r="E13" s="51"/>
      <c r="F13" s="51"/>
      <c r="G13" s="51"/>
      <c r="H13" s="61"/>
      <c r="I13" s="62"/>
      <c r="J13" s="62"/>
      <c r="K13" s="62"/>
      <c r="L13" s="62"/>
      <c r="M13" s="62"/>
      <c r="N13" s="62"/>
      <c r="O13" s="62"/>
      <c r="P13" s="61"/>
      <c r="Q13" s="61"/>
      <c r="R13" s="62">
        <f>SUM(R8:R12)</f>
        <v>0</v>
      </c>
      <c r="S13" s="61"/>
      <c r="T13" s="62">
        <f>SUM(T8:T12)</f>
        <v>0</v>
      </c>
      <c r="U13" s="61"/>
      <c r="V13" s="62">
        <f>SUM(V8:V12)</f>
        <v>0</v>
      </c>
      <c r="W13" s="62">
        <f>SUM(W8:W12)</f>
        <v>0</v>
      </c>
    </row>
    <row r="14" spans="1:23" ht="23.25" customHeight="1"/>
    <row r="15" spans="1:23" ht="15.75" customHeight="1"/>
    <row r="16" spans="1:2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sheetData>
  <sheetProtection insertRows="0"/>
  <mergeCells count="9">
    <mergeCell ref="B8:B12"/>
    <mergeCell ref="S6:T6"/>
    <mergeCell ref="U6:V6"/>
    <mergeCell ref="H6:I6"/>
    <mergeCell ref="B6:B7"/>
    <mergeCell ref="C6:C7"/>
    <mergeCell ref="E6:G6"/>
    <mergeCell ref="P6:R6"/>
    <mergeCell ref="D6:D7"/>
  </mergeCells>
  <dataValidations count="1">
    <dataValidation type="list" allowBlank="1" showErrorMessage="1" sqref="C14:D14" xr:uid="{7ABF68C8-A096-4A70-A850-D5820FC4E58E}">
      <formula1>#REF!</formula1>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1DDBAEF-4BA7-4C98-8620-2F671458C476}">
          <x14:formula1>
            <xm:f>'A3-Valores por defecto'!$A$9:$A$17</xm:f>
          </x14:formula1>
          <xm:sqref>C8:C12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40680-7018-43D2-B55D-87EDCFD11A66}">
  <sheetPr>
    <tabColor theme="7"/>
    <outlinePr summaryBelow="0" summaryRight="0"/>
  </sheetPr>
  <dimension ref="A1:AB921"/>
  <sheetViews>
    <sheetView showGridLines="0" zoomScale="93" zoomScaleNormal="93" zoomScaleSheetLayoutView="89" workbookViewId="0">
      <pane xSplit="2" topLeftCell="P1" activePane="topRight" state="frozen"/>
      <selection pane="topRight" activeCell="A3" sqref="A1:XFD1048576"/>
    </sheetView>
  </sheetViews>
  <sheetFormatPr baseColWidth="10" defaultColWidth="14.44140625" defaultRowHeight="15" customHeight="1"/>
  <cols>
    <col min="1" max="1" width="8.109375" style="248" customWidth="1"/>
    <col min="2" max="2" width="48.88671875" style="248" customWidth="1"/>
    <col min="3" max="4" width="33.33203125" style="248" customWidth="1"/>
    <col min="5" max="9" width="14.44140625" style="248"/>
    <col min="10" max="15" width="0" style="248" hidden="1" customWidth="1"/>
    <col min="16" max="20" width="14.44140625" style="248"/>
    <col min="21" max="21" width="21.88671875" style="248" customWidth="1"/>
    <col min="22" max="24" width="14.44140625" style="248"/>
    <col min="25" max="25" width="17" style="248" customWidth="1"/>
    <col min="26" max="27" width="14.44140625" style="248"/>
    <col min="28" max="28" width="26.6640625" style="248" customWidth="1"/>
    <col min="29" max="16384" width="14.44140625" style="248"/>
  </cols>
  <sheetData>
    <row r="1" spans="1:28" ht="45.75" customHeight="1"/>
    <row r="2" spans="1:28" ht="42" customHeight="1">
      <c r="B2" s="52" t="s">
        <v>170</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row>
    <row r="3" spans="1:28" ht="23.25" customHeight="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row>
    <row r="4" spans="1:28" ht="21" customHeight="1">
      <c r="B4" s="253" t="s">
        <v>175</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row>
    <row r="5" spans="1:28" ht="15" customHeight="1">
      <c r="B5" s="53"/>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row>
    <row r="6" spans="1:28" ht="83.25" customHeight="1">
      <c r="B6" s="735" t="s">
        <v>10</v>
      </c>
      <c r="C6" s="735" t="s">
        <v>11</v>
      </c>
      <c r="D6" s="735" t="s">
        <v>661</v>
      </c>
      <c r="E6" s="729" t="s">
        <v>13</v>
      </c>
      <c r="F6" s="730"/>
      <c r="G6" s="734"/>
      <c r="H6" s="737" t="s">
        <v>291</v>
      </c>
      <c r="I6" s="738"/>
      <c r="J6" s="257"/>
      <c r="K6" s="65" t="s">
        <v>14</v>
      </c>
      <c r="L6" s="66"/>
      <c r="M6" s="66"/>
      <c r="N6" s="66"/>
      <c r="O6" s="54"/>
      <c r="P6" s="698" t="s">
        <v>692</v>
      </c>
      <c r="Q6" s="699"/>
      <c r="R6" s="699"/>
      <c r="S6" s="699"/>
      <c r="T6" s="698" t="s">
        <v>693</v>
      </c>
      <c r="U6" s="699"/>
      <c r="V6" s="699"/>
      <c r="W6" s="699"/>
      <c r="X6" s="698" t="s">
        <v>694</v>
      </c>
      <c r="Y6" s="699"/>
      <c r="Z6" s="699"/>
      <c r="AA6" s="699"/>
      <c r="AB6" s="122" t="s">
        <v>172</v>
      </c>
    </row>
    <row r="7" spans="1:28" ht="63.75" customHeight="1">
      <c r="B7" s="736"/>
      <c r="C7" s="736"/>
      <c r="D7" s="736"/>
      <c r="E7" s="123" t="s">
        <v>294</v>
      </c>
      <c r="F7" s="123" t="s">
        <v>292</v>
      </c>
      <c r="G7" s="123" t="s">
        <v>293</v>
      </c>
      <c r="H7" s="55" t="s">
        <v>44</v>
      </c>
      <c r="I7" s="124" t="s">
        <v>30</v>
      </c>
      <c r="J7" s="125" t="s">
        <v>31</v>
      </c>
      <c r="K7" s="125" t="s">
        <v>32</v>
      </c>
      <c r="L7" s="123" t="s">
        <v>33</v>
      </c>
      <c r="M7" s="125" t="s">
        <v>34</v>
      </c>
      <c r="N7" s="123" t="s">
        <v>35</v>
      </c>
      <c r="O7" s="123" t="s">
        <v>36</v>
      </c>
      <c r="P7" s="699" t="s">
        <v>695</v>
      </c>
      <c r="Q7" s="699"/>
      <c r="R7" s="200" t="s">
        <v>696</v>
      </c>
      <c r="S7" s="200" t="s">
        <v>697</v>
      </c>
      <c r="T7" s="699" t="s">
        <v>698</v>
      </c>
      <c r="U7" s="699"/>
      <c r="V7" s="200" t="s">
        <v>699</v>
      </c>
      <c r="W7" s="200" t="s">
        <v>700</v>
      </c>
      <c r="X7" s="699" t="s">
        <v>701</v>
      </c>
      <c r="Y7" s="699"/>
      <c r="Z7" s="200" t="s">
        <v>702</v>
      </c>
      <c r="AA7" s="200" t="s">
        <v>703</v>
      </c>
      <c r="AB7" s="123" t="s">
        <v>173</v>
      </c>
    </row>
    <row r="8" spans="1:28" ht="15" customHeight="1">
      <c r="B8" s="726" t="s">
        <v>176</v>
      </c>
      <c r="C8" s="96" t="s">
        <v>198</v>
      </c>
      <c r="D8" s="118"/>
      <c r="E8" s="97"/>
      <c r="F8" s="97"/>
      <c r="G8" s="97"/>
      <c r="H8" s="98" t="str">
        <f>VLOOKUP(C8,'A3-Valores por defecto'!$A$22:$B$27,2,FALSE)</f>
        <v>km.persona</v>
      </c>
      <c r="I8" s="100">
        <f>E8*F8*G8</f>
        <v>0</v>
      </c>
      <c r="J8" s="100">
        <f t="shared" ref="J8:J14" si="0">COUNT(E8:H8)</f>
        <v>0</v>
      </c>
      <c r="K8" s="100">
        <f t="shared" ref="K8:K14" si="1">IF(J8&gt;1,AVERAGE(E8:H8),0)</f>
        <v>0</v>
      </c>
      <c r="L8" s="100">
        <f t="shared" ref="L8:L14" si="2">IF(J8&gt;1,STDEV(E8:H8),0)</f>
        <v>0</v>
      </c>
      <c r="M8" s="100"/>
      <c r="N8" s="100"/>
      <c r="O8" s="100"/>
      <c r="P8" s="100">
        <f>VLOOKUP($C8,'A3-Valores por defecto'!$A$22:$H$27,4,FALSE)</f>
        <v>0.12870999999999999</v>
      </c>
      <c r="Q8" s="100" t="str">
        <f>VLOOKUP($C8,'A3-Valores por defecto'!$A$22:$H$27,3,FALSE)</f>
        <v>kg CO2 eq de CO2</v>
      </c>
      <c r="R8" s="100"/>
      <c r="S8" s="100">
        <f>($I8*$P8)/1000</f>
        <v>0</v>
      </c>
      <c r="T8" s="100">
        <f>VLOOKUP($C8,'A3-Valores por defecto'!$A$22:$H$27,6,FALSE)</f>
        <v>1E-4</v>
      </c>
      <c r="U8" s="100" t="str">
        <f>VLOOKUP($C8,'A3-Valores por defecto'!$A$22:$H$27,5,FALSE)</f>
        <v>kg de CO2 eq de CH4</v>
      </c>
      <c r="V8" s="100"/>
      <c r="W8" s="100">
        <f t="shared" ref="W8:W14" si="3">($I8*$T8)/1000</f>
        <v>0</v>
      </c>
      <c r="X8" s="100">
        <f>VLOOKUP($C8,'A3-Valores por defecto'!$A$22:$H$27,8,FALSE)</f>
        <v>1.2199999999999999E-3</v>
      </c>
      <c r="Y8" s="100" t="str">
        <f>VLOOKUP($C8,'A3-Valores por defecto'!$A$22:$H$27,7,FALSE)</f>
        <v>kg de CO2 eq de N2O</v>
      </c>
      <c r="Z8" s="100"/>
      <c r="AA8" s="100">
        <f t="shared" ref="AA8:AA14" si="4">($I8*$X8)/1000</f>
        <v>0</v>
      </c>
      <c r="AB8" s="100">
        <f t="shared" ref="AB8:AB14" si="5">S8+W8+AA8</f>
        <v>0</v>
      </c>
    </row>
    <row r="9" spans="1:28" ht="15" customHeight="1">
      <c r="B9" s="727"/>
      <c r="C9" s="96" t="s">
        <v>200</v>
      </c>
      <c r="D9" s="118"/>
      <c r="E9" s="97"/>
      <c r="F9" s="97"/>
      <c r="G9" s="97"/>
      <c r="H9" s="98" t="str">
        <f>VLOOKUP(C9,'A3-Valores por defecto'!$A$22:$B$27,2,FALSE)</f>
        <v>km.persona</v>
      </c>
      <c r="I9" s="100">
        <f t="shared" ref="I9:I14" si="6">E9*F9*G9</f>
        <v>0</v>
      </c>
      <c r="J9" s="100">
        <f t="shared" si="0"/>
        <v>0</v>
      </c>
      <c r="K9" s="100">
        <f t="shared" si="1"/>
        <v>0</v>
      </c>
      <c r="L9" s="100">
        <f t="shared" si="2"/>
        <v>0</v>
      </c>
      <c r="M9" s="100"/>
      <c r="N9" s="100"/>
      <c r="O9" s="100"/>
      <c r="P9" s="100">
        <f>VLOOKUP($C9,'A3-Valores por defecto'!$A$22:$H$27,4,FALSE)</f>
        <v>8.0399999999999999E-2</v>
      </c>
      <c r="Q9" s="100" t="str">
        <f>VLOOKUP($C9,'A3-Valores por defecto'!$A$22:$H$27,3,FALSE)</f>
        <v>kg CO2 eq de CO2</v>
      </c>
      <c r="R9" s="100"/>
      <c r="S9" s="100">
        <f t="shared" ref="S9:S14" si="7">($I9*$P9)/1000</f>
        <v>0</v>
      </c>
      <c r="T9" s="100">
        <f>VLOOKUP($C9,'A3-Valores por defecto'!$A$22:$H$27,6,FALSE)</f>
        <v>1.0000000000000001E-5</v>
      </c>
      <c r="U9" s="100" t="str">
        <f>VLOOKUP($C9,'A3-Valores por defecto'!$A$22:$H$27,5,FALSE)</f>
        <v>kg de CO2 eq de CH4</v>
      </c>
      <c r="V9" s="100"/>
      <c r="W9" s="100">
        <f t="shared" si="3"/>
        <v>0</v>
      </c>
      <c r="X9" s="100">
        <f>VLOOKUP($C9,'A3-Valores por defecto'!$A$22:$H$27,8,FALSE)</f>
        <v>7.6000000000000004E-4</v>
      </c>
      <c r="Y9" s="100" t="str">
        <f>VLOOKUP($C9,'A3-Valores por defecto'!$A$22:$H$27,7,FALSE)</f>
        <v>kg de CO2 eq de N2O</v>
      </c>
      <c r="Z9" s="100"/>
      <c r="AA9" s="100">
        <f t="shared" si="4"/>
        <v>0</v>
      </c>
      <c r="AB9" s="100">
        <f t="shared" si="5"/>
        <v>0</v>
      </c>
    </row>
    <row r="10" spans="1:28" ht="15" customHeight="1">
      <c r="B10" s="728"/>
      <c r="C10" s="96" t="s">
        <v>201</v>
      </c>
      <c r="D10" s="118"/>
      <c r="E10" s="97"/>
      <c r="F10" s="97"/>
      <c r="G10" s="97"/>
      <c r="H10" s="98" t="str">
        <f>VLOOKUP(C10,'A3-Valores por defecto'!$A$22:$B$27,2,FALSE)</f>
        <v>km.persona</v>
      </c>
      <c r="I10" s="100">
        <f t="shared" si="6"/>
        <v>0</v>
      </c>
      <c r="J10" s="100"/>
      <c r="K10" s="100"/>
      <c r="L10" s="100"/>
      <c r="M10" s="100"/>
      <c r="N10" s="100"/>
      <c r="O10" s="100"/>
      <c r="P10" s="100">
        <f>VLOOKUP($C10,'A3-Valores por defecto'!$A$22:$H$27,4,FALSE)</f>
        <v>0.10111000000000001</v>
      </c>
      <c r="Q10" s="100" t="str">
        <f>VLOOKUP($C10,'A3-Valores por defecto'!$A$22:$H$27,3,FALSE)</f>
        <v>kg CO2 eq de CO2</v>
      </c>
      <c r="R10" s="100"/>
      <c r="S10" s="100">
        <f t="shared" si="7"/>
        <v>0</v>
      </c>
      <c r="T10" s="100">
        <f>VLOOKUP($C10,'A3-Valores por defecto'!$A$22:$H$27,6,FALSE)</f>
        <v>1.0000000000000001E-5</v>
      </c>
      <c r="U10" s="100" t="str">
        <f>VLOOKUP($C10,'A3-Valores por defecto'!$A$22:$H$27,5,FALSE)</f>
        <v>kg de CO2 eq de CH4</v>
      </c>
      <c r="V10" s="100"/>
      <c r="W10" s="100">
        <f t="shared" si="3"/>
        <v>0</v>
      </c>
      <c r="X10" s="100">
        <f>VLOOKUP($C10,'A3-Valores por defecto'!$A$22:$H$27,8,FALSE)</f>
        <v>9.6000000000000002E-4</v>
      </c>
      <c r="Y10" s="100" t="str">
        <f>VLOOKUP($C10,'A3-Valores por defecto'!$A$22:$H$27,7,FALSE)</f>
        <v>kg de CO2 eq de N2O</v>
      </c>
      <c r="Z10" s="100"/>
      <c r="AA10" s="100">
        <f t="shared" si="4"/>
        <v>0</v>
      </c>
      <c r="AB10" s="100">
        <f t="shared" si="5"/>
        <v>0</v>
      </c>
    </row>
    <row r="11" spans="1:28" ht="15" customHeight="1">
      <c r="B11" s="726" t="s">
        <v>177</v>
      </c>
      <c r="C11" s="96" t="s">
        <v>203</v>
      </c>
      <c r="D11" s="118"/>
      <c r="E11" s="97"/>
      <c r="F11" s="97"/>
      <c r="G11" s="97"/>
      <c r="H11" s="98" t="str">
        <f>VLOOKUP(C11,'A3-Valores por defecto'!$A$22:$B$27,2,FALSE)</f>
        <v>km.persona</v>
      </c>
      <c r="I11" s="100">
        <f t="shared" si="6"/>
        <v>0</v>
      </c>
      <c r="J11" s="100">
        <f t="shared" si="0"/>
        <v>0</v>
      </c>
      <c r="K11" s="100">
        <f t="shared" si="1"/>
        <v>0</v>
      </c>
      <c r="L11" s="100">
        <f t="shared" si="2"/>
        <v>0</v>
      </c>
      <c r="M11" s="100"/>
      <c r="N11" s="100"/>
      <c r="O11" s="100"/>
      <c r="P11" s="100">
        <f>VLOOKUP($C11,'A3-Valores por defecto'!$A$22:$H$27,4,FALSE)</f>
        <v>0.20638000000000001</v>
      </c>
      <c r="Q11" s="100" t="str">
        <f>VLOOKUP($C11,'A3-Valores por defecto'!$A$22:$H$27,3,FALSE)</f>
        <v>kg CO2 eq de CO2</v>
      </c>
      <c r="R11" s="100"/>
      <c r="S11" s="100">
        <f t="shared" si="7"/>
        <v>0</v>
      </c>
      <c r="T11" s="100">
        <f>VLOOKUP($C11,'A3-Valores por defecto'!$A$22:$H$27,6,FALSE)</f>
        <v>3.9999999999999998E-6</v>
      </c>
      <c r="U11" s="100" t="str">
        <f>VLOOKUP($C11,'A3-Valores por defecto'!$A$22:$H$27,5,FALSE)</f>
        <v>kg de CO2 eq de CH4</v>
      </c>
      <c r="V11" s="100"/>
      <c r="W11" s="100">
        <f t="shared" si="3"/>
        <v>0</v>
      </c>
      <c r="X11" s="100">
        <f>VLOOKUP($C11,'A3-Valores por defecto'!$A$22:$H$27,8,FALSE)</f>
        <v>1.8799999999999999E-3</v>
      </c>
      <c r="Y11" s="100" t="str">
        <f>VLOOKUP($C11,'A3-Valores por defecto'!$A$22:$H$27,7,FALSE)</f>
        <v>kg de CO2 eq de N2O</v>
      </c>
      <c r="Z11" s="100"/>
      <c r="AA11" s="100">
        <f t="shared" si="4"/>
        <v>0</v>
      </c>
      <c r="AB11" s="100">
        <f t="shared" si="5"/>
        <v>0</v>
      </c>
    </row>
    <row r="12" spans="1:28" ht="15.75" customHeight="1">
      <c r="B12" s="728"/>
      <c r="C12" s="96" t="s">
        <v>202</v>
      </c>
      <c r="D12" s="118"/>
      <c r="E12" s="97"/>
      <c r="F12" s="97"/>
      <c r="G12" s="97"/>
      <c r="H12" s="98" t="str">
        <f>VLOOKUP(C12,'A3-Valores por defecto'!$A$22:$B$27,2,FALSE)</f>
        <v>km.persona</v>
      </c>
      <c r="I12" s="100">
        <f t="shared" si="6"/>
        <v>0</v>
      </c>
      <c r="J12" s="100">
        <f t="shared" si="0"/>
        <v>0</v>
      </c>
      <c r="K12" s="100">
        <f t="shared" si="1"/>
        <v>0</v>
      </c>
      <c r="L12" s="100">
        <f t="shared" si="2"/>
        <v>0</v>
      </c>
      <c r="M12" s="100"/>
      <c r="N12" s="100"/>
      <c r="O12" s="100"/>
      <c r="P12" s="100">
        <f>VLOOKUP($C12,'A3-Valores por defecto'!$A$22:$H$27,4,FALSE)</f>
        <v>0.10144</v>
      </c>
      <c r="Q12" s="100" t="str">
        <f>VLOOKUP($C12,'A3-Valores por defecto'!$A$22:$H$27,3,FALSE)</f>
        <v>kg CO2 eq de CO2</v>
      </c>
      <c r="R12" s="100"/>
      <c r="S12" s="100">
        <f t="shared" si="7"/>
        <v>0</v>
      </c>
      <c r="T12" s="100">
        <f>VLOOKUP($C12,'A3-Valores por defecto'!$A$22:$H$27,6,FALSE)</f>
        <v>1.0000000000000001E-5</v>
      </c>
      <c r="U12" s="100" t="str">
        <f>VLOOKUP($C12,'A3-Valores por defecto'!$A$22:$H$27,5,FALSE)</f>
        <v>kg de CO2 eq de CH4</v>
      </c>
      <c r="V12" s="100"/>
      <c r="W12" s="100">
        <f t="shared" si="3"/>
        <v>0</v>
      </c>
      <c r="X12" s="100">
        <f>VLOOKUP($C12,'A3-Valores por defecto'!$A$22:$H$27,8,FALSE)</f>
        <v>8.1999999999999998E-4</v>
      </c>
      <c r="Y12" s="100" t="str">
        <f>VLOOKUP($C12,'A3-Valores por defecto'!$A$22:$H$27,7,FALSE)</f>
        <v>kg de CO2 eq de N2O</v>
      </c>
      <c r="Z12" s="100"/>
      <c r="AA12" s="100">
        <f t="shared" si="4"/>
        <v>0</v>
      </c>
      <c r="AB12" s="100">
        <f t="shared" si="5"/>
        <v>0</v>
      </c>
    </row>
    <row r="13" spans="1:28" ht="15.75" customHeight="1">
      <c r="B13" s="726" t="s">
        <v>178</v>
      </c>
      <c r="C13" s="96" t="s">
        <v>204</v>
      </c>
      <c r="D13" s="118"/>
      <c r="E13" s="97"/>
      <c r="F13" s="97"/>
      <c r="G13" s="97"/>
      <c r="H13" s="98" t="str">
        <f>VLOOKUP(C13,'A3-Valores por defecto'!$A$22:$B$27,2,FALSE)</f>
        <v>km.persona</v>
      </c>
      <c r="I13" s="100">
        <f t="shared" si="6"/>
        <v>0</v>
      </c>
      <c r="J13" s="100">
        <f t="shared" si="0"/>
        <v>0</v>
      </c>
      <c r="K13" s="100">
        <f t="shared" si="1"/>
        <v>0</v>
      </c>
      <c r="L13" s="100">
        <f t="shared" si="2"/>
        <v>0</v>
      </c>
      <c r="M13" s="100"/>
      <c r="N13" s="100"/>
      <c r="O13" s="100"/>
      <c r="P13" s="100">
        <f>VLOOKUP($C13,'A3-Valores por defecto'!$A$22:$H$27,4,FALSE)</f>
        <v>0.11131000000000001</v>
      </c>
      <c r="Q13" s="100" t="str">
        <f>VLOOKUP($C13,'A3-Valores por defecto'!$A$22:$H$27,3,FALSE)</f>
        <v>kg CO2 eq de CO2</v>
      </c>
      <c r="R13" s="100"/>
      <c r="S13" s="100">
        <f t="shared" si="7"/>
        <v>0</v>
      </c>
      <c r="T13" s="100">
        <f>VLOOKUP($C13,'A3-Valores por defecto'!$A$22:$H$27,6,FALSE)</f>
        <v>3.0000000000000001E-5</v>
      </c>
      <c r="U13" s="100" t="str">
        <f>VLOOKUP($C13,'A3-Valores por defecto'!$A$22:$H$27,5,FALSE)</f>
        <v>kg de CO2 eq de CH4</v>
      </c>
      <c r="V13" s="100"/>
      <c r="W13" s="100">
        <f t="shared" si="3"/>
        <v>0</v>
      </c>
      <c r="X13" s="100">
        <f>VLOOKUP($C13,'A3-Valores por defecto'!$A$22:$H$27,8,FALSE)</f>
        <v>1.5200000000000001E-3</v>
      </c>
      <c r="Y13" s="100" t="str">
        <f>VLOOKUP($C13,'A3-Valores por defecto'!$A$22:$H$27,7,FALSE)</f>
        <v>kg de CO2 eq de N2O</v>
      </c>
      <c r="Z13" s="100"/>
      <c r="AA13" s="100">
        <f t="shared" si="4"/>
        <v>0</v>
      </c>
      <c r="AB13" s="100">
        <f t="shared" si="5"/>
        <v>0</v>
      </c>
    </row>
    <row r="14" spans="1:28" ht="15" customHeight="1">
      <c r="B14" s="728"/>
      <c r="C14" s="96" t="s">
        <v>204</v>
      </c>
      <c r="D14" s="118"/>
      <c r="E14" s="97"/>
      <c r="F14" s="97"/>
      <c r="G14" s="97"/>
      <c r="H14" s="98" t="str">
        <f>VLOOKUP(C14,'A3-Valores por defecto'!$A$22:$B$27,2,FALSE)</f>
        <v>km.persona</v>
      </c>
      <c r="I14" s="100">
        <f t="shared" si="6"/>
        <v>0</v>
      </c>
      <c r="J14" s="100">
        <f t="shared" si="0"/>
        <v>0</v>
      </c>
      <c r="K14" s="100">
        <f t="shared" si="1"/>
        <v>0</v>
      </c>
      <c r="L14" s="100">
        <f t="shared" si="2"/>
        <v>0</v>
      </c>
      <c r="M14" s="100"/>
      <c r="N14" s="100"/>
      <c r="O14" s="100"/>
      <c r="P14" s="100">
        <f>VLOOKUP($C14,'A3-Valores por defecto'!$A$22:$H$27,4,FALSE)</f>
        <v>0.11131000000000001</v>
      </c>
      <c r="Q14" s="100" t="str">
        <f>VLOOKUP($C14,'A3-Valores por defecto'!$A$22:$H$27,3,FALSE)</f>
        <v>kg CO2 eq de CO2</v>
      </c>
      <c r="R14" s="100"/>
      <c r="S14" s="100">
        <f t="shared" si="7"/>
        <v>0</v>
      </c>
      <c r="T14" s="100">
        <f>VLOOKUP($C14,'A3-Valores por defecto'!$A$22:$H$27,6,FALSE)</f>
        <v>3.0000000000000001E-5</v>
      </c>
      <c r="U14" s="100" t="str">
        <f>VLOOKUP($C14,'A3-Valores por defecto'!$A$22:$H$27,5,FALSE)</f>
        <v>kg de CO2 eq de CH4</v>
      </c>
      <c r="V14" s="100"/>
      <c r="W14" s="100">
        <f t="shared" si="3"/>
        <v>0</v>
      </c>
      <c r="X14" s="100">
        <f>VLOOKUP($C14,'A3-Valores por defecto'!$A$22:$H$27,8,FALSE)</f>
        <v>1.5200000000000001E-3</v>
      </c>
      <c r="Y14" s="100" t="str">
        <f>VLOOKUP($C14,'A3-Valores por defecto'!$A$22:$H$27,7,FALSE)</f>
        <v>kg de CO2 eq de N2O</v>
      </c>
      <c r="Z14" s="100"/>
      <c r="AA14" s="100">
        <f t="shared" si="4"/>
        <v>0</v>
      </c>
      <c r="AB14" s="100">
        <f t="shared" si="5"/>
        <v>0</v>
      </c>
    </row>
    <row r="15" spans="1:28" ht="15" customHeight="1">
      <c r="B15" s="67" t="s">
        <v>273</v>
      </c>
      <c r="C15" s="51"/>
      <c r="D15" s="51"/>
      <c r="E15" s="51"/>
      <c r="F15" s="51"/>
      <c r="G15" s="51"/>
      <c r="H15" s="61"/>
      <c r="I15" s="61"/>
      <c r="J15" s="61"/>
      <c r="K15" s="61"/>
      <c r="L15" s="61"/>
      <c r="M15" s="61"/>
      <c r="N15" s="61"/>
      <c r="O15" s="61"/>
      <c r="P15" s="62"/>
      <c r="Q15" s="62"/>
      <c r="R15" s="62"/>
      <c r="S15" s="62">
        <f>SUM(S8:S14)</f>
        <v>0</v>
      </c>
      <c r="T15" s="62"/>
      <c r="U15" s="62"/>
      <c r="V15" s="62"/>
      <c r="W15" s="62">
        <f>SUM(W8:W14)</f>
        <v>0</v>
      </c>
      <c r="X15" s="62"/>
      <c r="Y15" s="62"/>
      <c r="Z15" s="62"/>
      <c r="AA15" s="62">
        <f>SUM(AA8:AA14)</f>
        <v>0</v>
      </c>
      <c r="AB15" s="62">
        <f>SUM(AB8:AB14)</f>
        <v>0</v>
      </c>
    </row>
    <row r="16" spans="1:28" ht="23.25" customHeight="1">
      <c r="A16" s="250"/>
      <c r="B16" s="63"/>
      <c r="C16" s="64"/>
      <c r="D16" s="64"/>
      <c r="E16" s="64"/>
      <c r="F16" s="64"/>
      <c r="G16" s="64"/>
      <c r="H16" s="64"/>
      <c r="I16" s="64"/>
      <c r="J16" s="64"/>
      <c r="K16" s="250"/>
      <c r="L16" s="250"/>
      <c r="M16" s="250"/>
      <c r="N16" s="250"/>
      <c r="O16" s="250"/>
      <c r="P16" s="258"/>
      <c r="Q16" s="258"/>
      <c r="R16" s="258"/>
      <c r="S16" s="258"/>
      <c r="T16" s="250"/>
      <c r="U16" s="250"/>
      <c r="V16" s="250"/>
      <c r="W16" s="250"/>
      <c r="X16" s="250"/>
      <c r="Y16" s="250"/>
      <c r="Z16" s="250"/>
      <c r="AA16" s="250"/>
      <c r="AB16" s="250"/>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sheetData>
  <sheetProtection insertRows="0"/>
  <dataConsolidate/>
  <mergeCells count="14">
    <mergeCell ref="B8:B10"/>
    <mergeCell ref="B11:B12"/>
    <mergeCell ref="B13:B14"/>
    <mergeCell ref="T6:W6"/>
    <mergeCell ref="X6:AA6"/>
    <mergeCell ref="P7:Q7"/>
    <mergeCell ref="T7:U7"/>
    <mergeCell ref="X7:Y7"/>
    <mergeCell ref="H6:I6"/>
    <mergeCell ref="B6:B7"/>
    <mergeCell ref="C6:C7"/>
    <mergeCell ref="E6:G6"/>
    <mergeCell ref="P6:S6"/>
    <mergeCell ref="D6:D7"/>
  </mergeCells>
  <dataValidations count="1">
    <dataValidation type="list" allowBlank="1" showErrorMessage="1" sqref="C3:D3 C16:D16" xr:uid="{7FA4DDD8-FDC6-42EC-A044-58296A41081D}">
      <formula1>#REF!</formula1>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8713A57-4BB4-40DE-ABBE-F54E02498F8C}">
          <x14:formula1>
            <xm:f>'A3-Valores por defecto'!$A$22:$A$24</xm:f>
          </x14:formula1>
          <xm:sqref>C8:C10</xm:sqref>
        </x14:dataValidation>
        <x14:dataValidation type="list" allowBlank="1" showInputMessage="1" showErrorMessage="1" xr:uid="{B9722E5F-8BD4-46DD-901E-5EF18CD37CC5}">
          <x14:formula1>
            <xm:f>'A3-Valores por defecto'!$A$25:$A$26</xm:f>
          </x14:formula1>
          <xm:sqref>C11:C12</xm:sqref>
        </x14:dataValidation>
        <x14:dataValidation type="list" allowBlank="1" showInputMessage="1" showErrorMessage="1" xr:uid="{1C5A7715-D908-440E-9994-F0FEF057FF5E}">
          <x14:formula1>
            <xm:f>'A3-Valores por defecto'!$A$27</xm:f>
          </x14:formula1>
          <xm:sqref>C13:C14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C7DC7-1057-49B6-9D32-50F252C08CD6}">
  <sheetPr>
    <tabColor theme="7"/>
    <outlinePr summaryBelow="0" summaryRight="0"/>
  </sheetPr>
  <dimension ref="A1:AC927"/>
  <sheetViews>
    <sheetView showGridLines="0" zoomScale="90" zoomScaleNormal="90" workbookViewId="0">
      <pane xSplit="2" topLeftCell="S1" activePane="topRight" state="frozen"/>
      <selection pane="topRight" activeCell="B2" sqref="B2:AC2"/>
    </sheetView>
  </sheetViews>
  <sheetFormatPr baseColWidth="10" defaultColWidth="14.44140625" defaultRowHeight="15" customHeight="1"/>
  <cols>
    <col min="1" max="1" width="8.109375" style="248" customWidth="1"/>
    <col min="2" max="2" width="48.88671875" style="248" customWidth="1"/>
    <col min="3" max="3" width="40.33203125" style="248" customWidth="1"/>
    <col min="4" max="4" width="37.6640625" style="248" customWidth="1"/>
    <col min="5" max="10" width="14.44140625" style="248"/>
    <col min="11" max="16" width="0" style="248" hidden="1" customWidth="1"/>
    <col min="17" max="17" width="14.44140625" style="248"/>
    <col min="18" max="18" width="17.33203125" style="248" customWidth="1"/>
    <col min="19" max="19" width="14.44140625" style="248"/>
    <col min="20" max="20" width="18.44140625" style="248" customWidth="1"/>
    <col min="21" max="21" width="14.44140625" style="248"/>
    <col min="22" max="22" width="23.109375" style="248" customWidth="1"/>
    <col min="23" max="25" width="14.44140625" style="248"/>
    <col min="26" max="26" width="23.88671875" style="248" customWidth="1"/>
    <col min="27" max="28" width="14.44140625" style="248"/>
    <col min="29" max="29" width="26.6640625" style="248" customWidth="1"/>
    <col min="30" max="16384" width="14.44140625" style="248"/>
  </cols>
  <sheetData>
    <row r="1" spans="1:29" ht="45.75" customHeight="1"/>
    <row r="2" spans="1:29" ht="42" customHeight="1">
      <c r="B2" s="739" t="s">
        <v>170</v>
      </c>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row>
    <row r="3" spans="1:29" ht="23.25" customHeight="1">
      <c r="A3" s="250"/>
      <c r="B3" s="68"/>
      <c r="C3" s="69"/>
      <c r="D3" s="69"/>
      <c r="E3" s="69"/>
      <c r="F3" s="69"/>
      <c r="G3" s="69"/>
      <c r="H3" s="69"/>
      <c r="I3" s="69"/>
      <c r="J3" s="69"/>
      <c r="K3" s="69"/>
      <c r="L3" s="252"/>
      <c r="M3" s="252"/>
      <c r="N3" s="252"/>
      <c r="O3" s="252"/>
      <c r="P3" s="252"/>
      <c r="Q3" s="259"/>
      <c r="R3" s="259"/>
      <c r="S3" s="259"/>
      <c r="T3" s="259"/>
      <c r="U3" s="252"/>
      <c r="V3" s="252"/>
      <c r="W3" s="252"/>
      <c r="X3" s="252"/>
      <c r="Y3" s="252"/>
      <c r="Z3" s="252"/>
      <c r="AA3" s="252"/>
      <c r="AB3" s="252"/>
      <c r="AC3" s="252"/>
    </row>
    <row r="4" spans="1:29" ht="21" customHeight="1">
      <c r="B4" s="741" t="s">
        <v>395</v>
      </c>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row>
    <row r="5" spans="1:29" ht="15" customHeight="1">
      <c r="B5" s="70"/>
      <c r="C5" s="255"/>
      <c r="D5" s="255"/>
      <c r="E5" s="255"/>
      <c r="F5" s="255"/>
      <c r="G5" s="255"/>
      <c r="H5" s="255"/>
      <c r="I5" s="255"/>
      <c r="J5" s="255"/>
      <c r="K5" s="255"/>
      <c r="L5" s="255"/>
      <c r="M5" s="255"/>
      <c r="N5" s="255"/>
      <c r="O5" s="255"/>
      <c r="P5" s="255"/>
      <c r="Q5" s="251"/>
      <c r="R5" s="251"/>
      <c r="S5" s="251"/>
      <c r="T5" s="251"/>
      <c r="U5" s="251"/>
      <c r="V5" s="251"/>
      <c r="W5" s="251"/>
      <c r="X5" s="251"/>
      <c r="Y5" s="251"/>
      <c r="Z5" s="251"/>
      <c r="AA5" s="251"/>
      <c r="AB5" s="251"/>
      <c r="AC5" s="251"/>
    </row>
    <row r="6" spans="1:29" ht="50.25" customHeight="1">
      <c r="B6" s="731" t="s">
        <v>10</v>
      </c>
      <c r="C6" s="731" t="s">
        <v>11</v>
      </c>
      <c r="D6" s="735" t="s">
        <v>661</v>
      </c>
      <c r="E6" s="729" t="s">
        <v>13</v>
      </c>
      <c r="F6" s="730"/>
      <c r="G6" s="730"/>
      <c r="H6" s="734"/>
      <c r="I6" s="742" t="s">
        <v>291</v>
      </c>
      <c r="J6" s="743"/>
      <c r="K6" s="260"/>
      <c r="L6" s="55" t="s">
        <v>14</v>
      </c>
      <c r="M6" s="256"/>
      <c r="N6" s="256"/>
      <c r="O6" s="256"/>
      <c r="P6" s="256"/>
      <c r="Q6" s="698" t="s">
        <v>692</v>
      </c>
      <c r="R6" s="699"/>
      <c r="S6" s="699"/>
      <c r="T6" s="699"/>
      <c r="U6" s="698" t="s">
        <v>693</v>
      </c>
      <c r="V6" s="699"/>
      <c r="W6" s="699"/>
      <c r="X6" s="699"/>
      <c r="Y6" s="698" t="s">
        <v>694</v>
      </c>
      <c r="Z6" s="699"/>
      <c r="AA6" s="699"/>
      <c r="AB6" s="699"/>
      <c r="AC6" s="122" t="s">
        <v>172</v>
      </c>
    </row>
    <row r="7" spans="1:29" ht="50.25" customHeight="1">
      <c r="B7" s="733"/>
      <c r="C7" s="733"/>
      <c r="D7" s="736"/>
      <c r="E7" s="123" t="s">
        <v>296</v>
      </c>
      <c r="F7" s="123" t="s">
        <v>396</v>
      </c>
      <c r="G7" s="123" t="s">
        <v>397</v>
      </c>
      <c r="H7" s="123" t="s">
        <v>295</v>
      </c>
      <c r="I7" s="55" t="s">
        <v>44</v>
      </c>
      <c r="J7" s="124" t="s">
        <v>30</v>
      </c>
      <c r="K7" s="71" t="s">
        <v>31</v>
      </c>
      <c r="L7" s="71" t="s">
        <v>32</v>
      </c>
      <c r="M7" s="72" t="s">
        <v>33</v>
      </c>
      <c r="N7" s="71" t="s">
        <v>34</v>
      </c>
      <c r="O7" s="72" t="s">
        <v>35</v>
      </c>
      <c r="P7" s="72" t="s">
        <v>36</v>
      </c>
      <c r="Q7" s="699" t="s">
        <v>695</v>
      </c>
      <c r="R7" s="699"/>
      <c r="S7" s="200" t="s">
        <v>696</v>
      </c>
      <c r="T7" s="200" t="s">
        <v>697</v>
      </c>
      <c r="U7" s="699" t="s">
        <v>698</v>
      </c>
      <c r="V7" s="699"/>
      <c r="W7" s="200" t="s">
        <v>699</v>
      </c>
      <c r="X7" s="200" t="s">
        <v>700</v>
      </c>
      <c r="Y7" s="699" t="s">
        <v>701</v>
      </c>
      <c r="Z7" s="699"/>
      <c r="AA7" s="200" t="s">
        <v>702</v>
      </c>
      <c r="AB7" s="200" t="s">
        <v>703</v>
      </c>
      <c r="AC7" s="123" t="s">
        <v>173</v>
      </c>
    </row>
    <row r="8" spans="1:29" ht="15" customHeight="1">
      <c r="B8" s="744" t="s">
        <v>570</v>
      </c>
      <c r="C8" s="96" t="s">
        <v>448</v>
      </c>
      <c r="D8" s="118"/>
      <c r="E8" s="99"/>
      <c r="F8" s="97"/>
      <c r="G8" s="97"/>
      <c r="H8" s="97"/>
      <c r="I8" s="98" t="str">
        <f>VLOOKUP($C8,'A3-Valores por defecto'!$B$32:$I$54,2,FALSE)</f>
        <v>tonelada.km</v>
      </c>
      <c r="J8" s="100">
        <f t="shared" ref="J8:J19" si="0">F8*H8*G8</f>
        <v>0</v>
      </c>
      <c r="K8" s="100">
        <f>COUNT(E8:I8)</f>
        <v>0</v>
      </c>
      <c r="L8" s="100">
        <f>IF(K8&gt;1,AVERAGE(E8:I8),0)</f>
        <v>0</v>
      </c>
      <c r="M8" s="100">
        <f>IF(K8&gt;1,STDEV(E8:I8),0)</f>
        <v>0</v>
      </c>
      <c r="N8" s="100"/>
      <c r="O8" s="100"/>
      <c r="P8" s="100"/>
      <c r="Q8" s="100">
        <f>VLOOKUP($C8,'A3-Valores por defecto'!$B$32:$I$54,4,FALSE)</f>
        <v>0.33572000000000002</v>
      </c>
      <c r="R8" s="98" t="str">
        <f>VLOOKUP($C8,'A3-Valores por defecto'!$B$32:$I$54,3,FALSE)</f>
        <v>kg CO2 eq de CO2</v>
      </c>
      <c r="S8" s="100"/>
      <c r="T8" s="100">
        <f t="shared" ref="T8:T32" si="1">($J8*$Q8)/1000</f>
        <v>0</v>
      </c>
      <c r="U8" s="100">
        <f>VLOOKUP($C8,'A3-Valores por defecto'!$B$32:$I$54,6,FALSE)</f>
        <v>6.9999999999999994E-5</v>
      </c>
      <c r="V8" s="98" t="str">
        <f>VLOOKUP($C8,'A3-Valores por defecto'!$B$32:$I$54,5,FALSE)</f>
        <v>kg de CO2 eq de CH4</v>
      </c>
      <c r="W8" s="100"/>
      <c r="X8" s="100">
        <f t="shared" ref="X8:X19" si="2">($J8*$U8)/1000</f>
        <v>0</v>
      </c>
      <c r="Y8" s="100">
        <f>VLOOKUP($C8,'A3-Valores por defecto'!$B$32:$I$54,8,FALSE)</f>
        <v>4.2199999999999998E-3</v>
      </c>
      <c r="Z8" s="98" t="str">
        <f>VLOOKUP($C8,'A3-Valores por defecto'!$B$32:$I$54,7,FALSE)</f>
        <v>kg de CO2 eq de N2O</v>
      </c>
      <c r="AA8" s="100"/>
      <c r="AB8" s="100">
        <f t="shared" ref="AB8:AB19" si="3">($J8*$Y8)/1000</f>
        <v>0</v>
      </c>
      <c r="AC8" s="100">
        <f t="shared" ref="AC8:AC19" si="4">T8+X8+AB8</f>
        <v>0</v>
      </c>
    </row>
    <row r="9" spans="1:29" ht="15" customHeight="1">
      <c r="B9" s="745"/>
      <c r="C9" s="96" t="s">
        <v>449</v>
      </c>
      <c r="D9" s="118"/>
      <c r="E9" s="99"/>
      <c r="F9" s="97"/>
      <c r="G9" s="97"/>
      <c r="H9" s="97"/>
      <c r="I9" s="98" t="str">
        <f>VLOOKUP($C9,'A3-Valores por defecto'!$B$32:$I$54,2,FALSE)</f>
        <v>tonelada.km</v>
      </c>
      <c r="J9" s="100">
        <f t="shared" si="0"/>
        <v>0</v>
      </c>
      <c r="K9" s="100"/>
      <c r="L9" s="100"/>
      <c r="M9" s="100"/>
      <c r="N9" s="100"/>
      <c r="O9" s="100"/>
      <c r="P9" s="100"/>
      <c r="Q9" s="100">
        <f>VLOOKUP($C9,'A3-Valores por defecto'!$B$32:$I$54,4,FALSE)</f>
        <v>0.17913000000000001</v>
      </c>
      <c r="R9" s="98" t="str">
        <f>VLOOKUP($C9,'A3-Valores por defecto'!$B$32:$I$54,3,FALSE)</f>
        <v>kg CO2 eq de CO2</v>
      </c>
      <c r="S9" s="100"/>
      <c r="T9" s="100">
        <f t="shared" si="1"/>
        <v>0</v>
      </c>
      <c r="U9" s="100">
        <f>VLOOKUP($C9,'A3-Valores por defecto'!$B$32:$I$54,6,FALSE)</f>
        <v>4.0000000000000003E-5</v>
      </c>
      <c r="V9" s="98" t="str">
        <f>VLOOKUP($C9,'A3-Valores por defecto'!$B$32:$I$54,5,FALSE)</f>
        <v>kg de CO2 eq de CH4</v>
      </c>
      <c r="W9" s="100"/>
      <c r="X9" s="100">
        <f t="shared" si="2"/>
        <v>0</v>
      </c>
      <c r="Y9" s="100">
        <f>VLOOKUP($C9,'A3-Valores por defecto'!$B$32:$I$54,8,FALSE)</f>
        <v>2.2599999999999999E-3</v>
      </c>
      <c r="Z9" s="98" t="str">
        <f>VLOOKUP($C9,'A3-Valores por defecto'!$B$32:$I$54,7,FALSE)</f>
        <v>kg de CO2 eq de N2O</v>
      </c>
      <c r="AA9" s="100"/>
      <c r="AB9" s="100">
        <f t="shared" si="3"/>
        <v>0</v>
      </c>
      <c r="AC9" s="100">
        <f t="shared" si="4"/>
        <v>0</v>
      </c>
    </row>
    <row r="10" spans="1:29" ht="15" customHeight="1">
      <c r="B10" s="746"/>
      <c r="C10" s="96" t="s">
        <v>447</v>
      </c>
      <c r="D10" s="118"/>
      <c r="E10" s="99"/>
      <c r="F10" s="97"/>
      <c r="G10" s="97"/>
      <c r="H10" s="97"/>
      <c r="I10" s="98" t="str">
        <f>VLOOKUP($C10,'A3-Valores por defecto'!$B$32:$I$54,2,FALSE)</f>
        <v>tonelada.km</v>
      </c>
      <c r="J10" s="100">
        <f t="shared" si="0"/>
        <v>0</v>
      </c>
      <c r="K10" s="100"/>
      <c r="L10" s="100"/>
      <c r="M10" s="100"/>
      <c r="N10" s="100"/>
      <c r="O10" s="100"/>
      <c r="P10" s="100"/>
      <c r="Q10" s="100">
        <f>VLOOKUP($C10,'A3-Valores por defecto'!$B$32:$I$54,4,FALSE)</f>
        <v>0.48058000000000001</v>
      </c>
      <c r="R10" s="98" t="str">
        <f>VLOOKUP($C10,'A3-Valores por defecto'!$B$32:$I$54,3,FALSE)</f>
        <v>kg CO2 eq de CO2</v>
      </c>
      <c r="S10" s="100"/>
      <c r="T10" s="100">
        <f t="shared" si="1"/>
        <v>0</v>
      </c>
      <c r="U10" s="100">
        <f>VLOOKUP($C10,'A3-Valores por defecto'!$B$32:$I$54,6,FALSE)</f>
        <v>1E-4</v>
      </c>
      <c r="V10" s="98" t="str">
        <f>VLOOKUP($C10,'A3-Valores por defecto'!$B$32:$I$54,5,FALSE)</f>
        <v>kg de CO2 eq de CH4</v>
      </c>
      <c r="W10" s="100"/>
      <c r="X10" s="100">
        <f t="shared" si="2"/>
        <v>0</v>
      </c>
      <c r="Y10" s="100">
        <f>VLOOKUP($C10,'A3-Valores por defecto'!$B$32:$I$54,8,FALSE)</f>
        <v>6.0499999999999998E-3</v>
      </c>
      <c r="Z10" s="98" t="str">
        <f>VLOOKUP($C10,'A3-Valores por defecto'!$B$32:$I$54,7,FALSE)</f>
        <v>kg de CO2 eq de N2O</v>
      </c>
      <c r="AA10" s="100"/>
      <c r="AB10" s="100">
        <f t="shared" si="3"/>
        <v>0</v>
      </c>
      <c r="AC10" s="100">
        <f t="shared" si="4"/>
        <v>0</v>
      </c>
    </row>
    <row r="11" spans="1:29" ht="15" customHeight="1">
      <c r="B11" s="744" t="s">
        <v>571</v>
      </c>
      <c r="C11" s="96" t="s">
        <v>209</v>
      </c>
      <c r="D11" s="118"/>
      <c r="E11" s="99"/>
      <c r="F11" s="97"/>
      <c r="G11" s="97"/>
      <c r="H11" s="97"/>
      <c r="I11" s="98" t="str">
        <f>VLOOKUP($C11,'A3-Valores por defecto'!$B$32:$I$54,2,FALSE)</f>
        <v>tonelada.km</v>
      </c>
      <c r="J11" s="100">
        <f t="shared" si="0"/>
        <v>0</v>
      </c>
      <c r="K11" s="100">
        <f>COUNT(E11:I11)</f>
        <v>0</v>
      </c>
      <c r="L11" s="100">
        <f>IF(K11&gt;1,AVERAGE(E11:I11),0)</f>
        <v>0</v>
      </c>
      <c r="M11" s="100">
        <f>IF(K11&gt;1,STDEV(E11:I11),0)</f>
        <v>0</v>
      </c>
      <c r="N11" s="100"/>
      <c r="O11" s="100"/>
      <c r="P11" s="100"/>
      <c r="Q11" s="100">
        <f>VLOOKUP($C11,'A3-Valores por defecto'!$B$32:$I$54,4,FALSE)</f>
        <v>2.35236</v>
      </c>
      <c r="R11" s="98" t="str">
        <f>VLOOKUP($C11,'A3-Valores por defecto'!$B$32:$I$54,3,FALSE)</f>
        <v>kg CO2 eq de CO2</v>
      </c>
      <c r="S11" s="100"/>
      <c r="T11" s="100">
        <f t="shared" si="1"/>
        <v>0</v>
      </c>
      <c r="U11" s="100">
        <f>VLOOKUP($C11,'A3-Valores por defecto'!$B$32:$I$54,6,FALSE)</f>
        <v>1.8799999999999999E-3</v>
      </c>
      <c r="V11" s="98" t="str">
        <f>VLOOKUP($C11,'A3-Valores por defecto'!$B$32:$I$54,5,FALSE)</f>
        <v>kg de CO2 eq de CH4</v>
      </c>
      <c r="W11" s="100"/>
      <c r="X11" s="100">
        <f t="shared" si="2"/>
        <v>0</v>
      </c>
      <c r="Y11" s="100">
        <f>VLOOKUP($C11,'A3-Valores por defecto'!$B$32:$I$54,8,FALSE)</f>
        <v>2.2259999999999999E-2</v>
      </c>
      <c r="Z11" s="98" t="str">
        <f>VLOOKUP($C11,'A3-Valores por defecto'!$B$32:$I$54,7,FALSE)</f>
        <v>kg de CO2 eq de N2O</v>
      </c>
      <c r="AA11" s="100"/>
      <c r="AB11" s="100">
        <f t="shared" si="3"/>
        <v>0</v>
      </c>
      <c r="AC11" s="100">
        <f t="shared" si="4"/>
        <v>0</v>
      </c>
    </row>
    <row r="12" spans="1:29" ht="15" customHeight="1">
      <c r="B12" s="745"/>
      <c r="C12" s="96" t="s">
        <v>210</v>
      </c>
      <c r="D12" s="118"/>
      <c r="E12" s="99"/>
      <c r="F12" s="97"/>
      <c r="G12" s="97"/>
      <c r="H12" s="97"/>
      <c r="I12" s="98" t="str">
        <f>VLOOKUP($C12,'A3-Valores por defecto'!$B$32:$I$54,2,FALSE)</f>
        <v>tonelada.km</v>
      </c>
      <c r="J12" s="100">
        <f t="shared" si="0"/>
        <v>0</v>
      </c>
      <c r="K12" s="100"/>
      <c r="L12" s="100"/>
      <c r="M12" s="100"/>
      <c r="N12" s="100"/>
      <c r="O12" s="100"/>
      <c r="P12" s="100"/>
      <c r="Q12" s="100">
        <f>VLOOKUP($C12,'A3-Valores por defecto'!$B$32:$I$54,4,FALSE)</f>
        <v>1.2056800000000001</v>
      </c>
      <c r="R12" s="98" t="str">
        <f>VLOOKUP($C12,'A3-Valores por defecto'!$B$32:$I$54,3,FALSE)</f>
        <v>kg CO2 eq de CO2</v>
      </c>
      <c r="S12" s="100"/>
      <c r="T12" s="100">
        <f t="shared" si="1"/>
        <v>0</v>
      </c>
      <c r="U12" s="100">
        <f>VLOOKUP($C12,'A3-Valores por defecto'!$B$32:$I$54,6,FALSE)</f>
        <v>8.0000000000000007E-5</v>
      </c>
      <c r="V12" s="98" t="str">
        <f>VLOOKUP($C12,'A3-Valores por defecto'!$B$32:$I$54,5,FALSE)</f>
        <v>kg de CO2 eq de CH4</v>
      </c>
      <c r="W12" s="100"/>
      <c r="X12" s="100">
        <f t="shared" si="2"/>
        <v>0</v>
      </c>
      <c r="Y12" s="100">
        <f>VLOOKUP($C12,'A3-Valores por defecto'!$B$32:$I$54,8,FALSE)</f>
        <v>1.141E-2</v>
      </c>
      <c r="Z12" s="98" t="str">
        <f>VLOOKUP($C12,'A3-Valores por defecto'!$B$32:$I$54,7,FALSE)</f>
        <v>kg de CO2 eq de N2O</v>
      </c>
      <c r="AA12" s="100"/>
      <c r="AB12" s="100">
        <f t="shared" si="3"/>
        <v>0</v>
      </c>
      <c r="AC12" s="100">
        <f t="shared" si="4"/>
        <v>0</v>
      </c>
    </row>
    <row r="13" spans="1:29" ht="15" customHeight="1">
      <c r="B13" s="746"/>
      <c r="C13" s="96" t="s">
        <v>211</v>
      </c>
      <c r="D13" s="118"/>
      <c r="E13" s="99"/>
      <c r="F13" s="97"/>
      <c r="G13" s="97"/>
      <c r="H13" s="97"/>
      <c r="I13" s="98" t="str">
        <f>VLOOKUP($C13,'A3-Valores por defecto'!$B$32:$I$54,2,FALSE)</f>
        <v>tonelada.km</v>
      </c>
      <c r="J13" s="100">
        <f t="shared" si="0"/>
        <v>0</v>
      </c>
      <c r="K13" s="100"/>
      <c r="L13" s="100"/>
      <c r="M13" s="100"/>
      <c r="N13" s="100"/>
      <c r="O13" s="100"/>
      <c r="P13" s="100"/>
      <c r="Q13" s="100">
        <f>VLOOKUP($C13,'A3-Valores por defecto'!$B$32:$I$54,4,FALSE)</f>
        <v>0.53358000000000005</v>
      </c>
      <c r="R13" s="98" t="str">
        <f>VLOOKUP($C13,'A3-Valores por defecto'!$B$32:$I$54,3,FALSE)</f>
        <v>kg CO2 eq de CO2</v>
      </c>
      <c r="S13" s="100"/>
      <c r="T13" s="100">
        <f t="shared" si="1"/>
        <v>0</v>
      </c>
      <c r="U13" s="100">
        <f>VLOOKUP($C13,'A3-Valores por defecto'!$B$32:$I$54,6,FALSE)</f>
        <v>4.0000000000000003E-5</v>
      </c>
      <c r="V13" s="98" t="str">
        <f>VLOOKUP($C13,'A3-Valores por defecto'!$B$32:$I$54,5,FALSE)</f>
        <v>kg de CO2 eq de CH4</v>
      </c>
      <c r="W13" s="100"/>
      <c r="X13" s="100">
        <f t="shared" si="2"/>
        <v>0</v>
      </c>
      <c r="Y13" s="100">
        <f>VLOOKUP($C13,'A3-Valores por defecto'!$B$32:$I$54,8,FALSE)</f>
        <v>5.0499999999999998E-3</v>
      </c>
      <c r="Z13" s="98" t="str">
        <f>VLOOKUP($C13,'A3-Valores por defecto'!$B$32:$I$54,7,FALSE)</f>
        <v>kg de CO2 eq de N2O</v>
      </c>
      <c r="AA13" s="100"/>
      <c r="AB13" s="100">
        <f t="shared" si="3"/>
        <v>0</v>
      </c>
      <c r="AC13" s="100">
        <f t="shared" si="4"/>
        <v>0</v>
      </c>
    </row>
    <row r="14" spans="1:29" ht="15" customHeight="1">
      <c r="B14" s="744" t="s">
        <v>572</v>
      </c>
      <c r="C14" s="96" t="s">
        <v>213</v>
      </c>
      <c r="D14" s="118"/>
      <c r="E14" s="99"/>
      <c r="F14" s="97"/>
      <c r="G14" s="97"/>
      <c r="H14" s="97"/>
      <c r="I14" s="98" t="str">
        <f>VLOOKUP($C14,'A3-Valores por defecto'!$B$32:$I$54,2,FALSE)</f>
        <v>tonelada.km</v>
      </c>
      <c r="J14" s="100">
        <f t="shared" si="0"/>
        <v>0</v>
      </c>
      <c r="K14" s="100">
        <f>COUNT(E14:I14)</f>
        <v>0</v>
      </c>
      <c r="L14" s="100">
        <f>IF(K14&gt;1,AVERAGE(E14:I14),0)</f>
        <v>0</v>
      </c>
      <c r="M14" s="100">
        <f>IF(K14&gt;1,STDEV(E14:I14),0)</f>
        <v>0</v>
      </c>
      <c r="N14" s="100"/>
      <c r="O14" s="100"/>
      <c r="P14" s="100"/>
      <c r="Q14" s="100">
        <f>VLOOKUP($C14,'A3-Valores por defecto'!$B$32:$I$54,4,FALSE)</f>
        <v>4.5100000000000001E-3</v>
      </c>
      <c r="R14" s="98" t="str">
        <f>VLOOKUP($C14,'A3-Valores por defecto'!$B$32:$I$54,3,FALSE)</f>
        <v>kg CO2 eq de CO2</v>
      </c>
      <c r="S14" s="100"/>
      <c r="T14" s="100">
        <f t="shared" si="1"/>
        <v>0</v>
      </c>
      <c r="U14" s="100">
        <f>VLOOKUP($C14,'A3-Valores por defecto'!$B$32:$I$54,6,FALSE)</f>
        <v>9.9999999999999995E-7</v>
      </c>
      <c r="V14" s="98" t="str">
        <f>VLOOKUP($C14,'A3-Valores por defecto'!$B$32:$I$54,5,FALSE)</f>
        <v>kg de CO2 eq de CH4</v>
      </c>
      <c r="W14" s="100"/>
      <c r="X14" s="100">
        <f t="shared" si="2"/>
        <v>0</v>
      </c>
      <c r="Y14" s="100">
        <f>VLOOKUP($C14,'A3-Valores por defecto'!$B$32:$I$54,8,FALSE)</f>
        <v>6.0999999999999999E-5</v>
      </c>
      <c r="Z14" s="98" t="str">
        <f>VLOOKUP($C14,'A3-Valores por defecto'!$B$32:$I$54,7,FALSE)</f>
        <v>kg de CO2 eq de N2O</v>
      </c>
      <c r="AA14" s="100"/>
      <c r="AB14" s="100">
        <f t="shared" si="3"/>
        <v>0</v>
      </c>
      <c r="AC14" s="100">
        <f t="shared" si="4"/>
        <v>0</v>
      </c>
    </row>
    <row r="15" spans="1:29" ht="15" customHeight="1">
      <c r="B15" s="745"/>
      <c r="C15" s="96" t="s">
        <v>214</v>
      </c>
      <c r="D15" s="118"/>
      <c r="E15" s="99"/>
      <c r="F15" s="97"/>
      <c r="G15" s="97"/>
      <c r="H15" s="97"/>
      <c r="I15" s="98" t="str">
        <f>VLOOKUP($C15,'A3-Valores por defecto'!$B$32:$I$54,2,FALSE)</f>
        <v>tonelada.km</v>
      </c>
      <c r="J15" s="100">
        <f t="shared" si="0"/>
        <v>0</v>
      </c>
      <c r="K15" s="100"/>
      <c r="L15" s="100"/>
      <c r="M15" s="100"/>
      <c r="N15" s="100"/>
      <c r="O15" s="100"/>
      <c r="P15" s="100"/>
      <c r="Q15" s="100">
        <f>VLOOKUP($C15,'A3-Valores por defecto'!$B$32:$I$54,4,FALSE)</f>
        <v>8.9099999999999995E-3</v>
      </c>
      <c r="R15" s="98" t="str">
        <f>VLOOKUP($C15,'A3-Valores por defecto'!$B$32:$I$54,3,FALSE)</f>
        <v>kg CO2 eq de CO2</v>
      </c>
      <c r="S15" s="100"/>
      <c r="T15" s="100">
        <f t="shared" si="1"/>
        <v>0</v>
      </c>
      <c r="U15" s="100">
        <f>VLOOKUP($C15,'A3-Valores por defecto'!$B$32:$I$54,6,FALSE)</f>
        <v>3.0000000000000001E-6</v>
      </c>
      <c r="V15" s="98" t="str">
        <f>VLOOKUP($C15,'A3-Valores por defecto'!$B$32:$I$54,5,FALSE)</f>
        <v>kg de CO2 eq de CH4</v>
      </c>
      <c r="W15" s="100"/>
      <c r="X15" s="100">
        <f t="shared" si="2"/>
        <v>0</v>
      </c>
      <c r="Y15" s="100">
        <f>VLOOKUP($C15,'A3-Valores por defecto'!$B$32:$I$54,8,FALSE)</f>
        <v>1.21E-4</v>
      </c>
      <c r="Z15" s="98" t="str">
        <f>VLOOKUP($C15,'A3-Valores por defecto'!$B$32:$I$54,7,FALSE)</f>
        <v>kg de CO2 eq de N2O</v>
      </c>
      <c r="AA15" s="100"/>
      <c r="AB15" s="100">
        <f t="shared" si="3"/>
        <v>0</v>
      </c>
      <c r="AC15" s="100">
        <f t="shared" si="4"/>
        <v>0</v>
      </c>
    </row>
    <row r="16" spans="1:29" ht="15" customHeight="1">
      <c r="B16" s="746"/>
      <c r="C16" s="96" t="s">
        <v>216</v>
      </c>
      <c r="D16" s="118"/>
      <c r="E16" s="99"/>
      <c r="F16" s="97"/>
      <c r="G16" s="97"/>
      <c r="H16" s="97"/>
      <c r="I16" s="98" t="str">
        <f>VLOOKUP($C16,'A3-Valores por defecto'!$B$32:$I$54,2,FALSE)</f>
        <v>tonelada.km</v>
      </c>
      <c r="J16" s="100">
        <f t="shared" si="0"/>
        <v>0</v>
      </c>
      <c r="K16" s="100"/>
      <c r="L16" s="100"/>
      <c r="M16" s="100"/>
      <c r="N16" s="100"/>
      <c r="O16" s="100"/>
      <c r="P16" s="100"/>
      <c r="Q16" s="100">
        <f>VLOOKUP($C16,'A3-Valores por defecto'!$B$32:$I$54,4,FALSE)</f>
        <v>1.1390000000000001E-2</v>
      </c>
      <c r="R16" s="98" t="str">
        <f>VLOOKUP($C16,'A3-Valores por defecto'!$B$32:$I$54,3,FALSE)</f>
        <v>kg CO2 eq de CO2</v>
      </c>
      <c r="S16" s="100"/>
      <c r="T16" s="100">
        <f t="shared" si="1"/>
        <v>0</v>
      </c>
      <c r="U16" s="100">
        <f>VLOOKUP($C16,'A3-Valores por defecto'!$B$32:$I$54,6,FALSE)</f>
        <v>3.0000000000000001E-6</v>
      </c>
      <c r="V16" s="98" t="str">
        <f>VLOOKUP($C16,'A3-Valores por defecto'!$B$32:$I$54,5,FALSE)</f>
        <v>kg de CO2 eq de CH4</v>
      </c>
      <c r="W16" s="100"/>
      <c r="X16" s="100">
        <f t="shared" si="2"/>
        <v>0</v>
      </c>
      <c r="Y16" s="100">
        <f>VLOOKUP($C16,'A3-Valores por defecto'!$B$32:$I$54,8,FALSE)</f>
        <v>1.55E-4</v>
      </c>
      <c r="Z16" s="98" t="str">
        <f>VLOOKUP($C16,'A3-Valores por defecto'!$B$32:$I$54,7,FALSE)</f>
        <v>kg de CO2 eq de N2O</v>
      </c>
      <c r="AA16" s="100"/>
      <c r="AB16" s="100">
        <f t="shared" si="3"/>
        <v>0</v>
      </c>
      <c r="AC16" s="100">
        <f t="shared" si="4"/>
        <v>0</v>
      </c>
    </row>
    <row r="17" spans="2:29" ht="15" customHeight="1">
      <c r="B17" s="744" t="s">
        <v>573</v>
      </c>
      <c r="C17" s="96" t="s">
        <v>221</v>
      </c>
      <c r="D17" s="118"/>
      <c r="E17" s="99"/>
      <c r="F17" s="97"/>
      <c r="G17" s="97"/>
      <c r="H17" s="97"/>
      <c r="I17" s="98" t="str">
        <f>VLOOKUP($C17,'A3-Valores por defecto'!$B$32:$I$54,2,FALSE)</f>
        <v>tonelada.km</v>
      </c>
      <c r="J17" s="100">
        <f t="shared" si="0"/>
        <v>0</v>
      </c>
      <c r="K17" s="100">
        <f>COUNT(E17:I17)</f>
        <v>0</v>
      </c>
      <c r="L17" s="100">
        <f>IF(K17&gt;1,AVERAGE(E17:I17),0)</f>
        <v>0</v>
      </c>
      <c r="M17" s="100">
        <f>IF(K17&gt;1,STDEV(E17:I17),0)</f>
        <v>0</v>
      </c>
      <c r="N17" s="100"/>
      <c r="O17" s="100"/>
      <c r="P17" s="100"/>
      <c r="Q17" s="100">
        <f>VLOOKUP($C17,'A3-Valores por defecto'!$B$32:$I$54,4,FALSE)</f>
        <v>1.592E-2</v>
      </c>
      <c r="R17" s="98" t="str">
        <f>VLOOKUP($C17,'A3-Valores por defecto'!$B$32:$I$54,3,FALSE)</f>
        <v>kg CO2 eq de CO2</v>
      </c>
      <c r="S17" s="100"/>
      <c r="T17" s="100">
        <f t="shared" si="1"/>
        <v>0</v>
      </c>
      <c r="U17" s="100">
        <f>VLOOKUP($C17,'A3-Valores por defecto'!$B$32:$I$54,6,FALSE)</f>
        <v>5.0000000000000004E-6</v>
      </c>
      <c r="V17" s="98" t="str">
        <f>VLOOKUP($C17,'A3-Valores por defecto'!$B$32:$I$54,5,FALSE)</f>
        <v>kg de CO2 eq de CH4</v>
      </c>
      <c r="W17" s="100"/>
      <c r="X17" s="100">
        <f t="shared" si="2"/>
        <v>0</v>
      </c>
      <c r="Y17" s="100">
        <f>VLOOKUP($C17,'A3-Valores por defecto'!$B$32:$I$54,8,FALSE)</f>
        <v>2.1699999999999999E-4</v>
      </c>
      <c r="Z17" s="98" t="str">
        <f>VLOOKUP($C17,'A3-Valores por defecto'!$B$32:$I$54,7,FALSE)</f>
        <v>kg de CO2 eq de N2O</v>
      </c>
      <c r="AA17" s="100"/>
      <c r="AB17" s="100">
        <f t="shared" si="3"/>
        <v>0</v>
      </c>
      <c r="AC17" s="100">
        <f t="shared" si="4"/>
        <v>0</v>
      </c>
    </row>
    <row r="18" spans="2:29" ht="15" customHeight="1">
      <c r="B18" s="745"/>
      <c r="C18" s="96" t="s">
        <v>220</v>
      </c>
      <c r="D18" s="118"/>
      <c r="E18" s="99"/>
      <c r="F18" s="97"/>
      <c r="G18" s="97"/>
      <c r="H18" s="97"/>
      <c r="I18" s="98" t="str">
        <f>VLOOKUP($C18,'A3-Valores por defecto'!$B$32:$I$54,2,FALSE)</f>
        <v>tonelada.km</v>
      </c>
      <c r="J18" s="100">
        <f t="shared" si="0"/>
        <v>0</v>
      </c>
      <c r="K18" s="100"/>
      <c r="L18" s="100"/>
      <c r="M18" s="100"/>
      <c r="N18" s="100"/>
      <c r="O18" s="100"/>
      <c r="P18" s="100"/>
      <c r="Q18" s="100">
        <f>VLOOKUP($C18,'A3-Valores por defecto'!$B$32:$I$54,4,FALSE)</f>
        <v>1.3050000000000001E-2</v>
      </c>
      <c r="R18" s="98" t="str">
        <f>VLOOKUP($C18,'A3-Valores por defecto'!$B$32:$I$54,3,FALSE)</f>
        <v>kg CO2 eq de CO2</v>
      </c>
      <c r="S18" s="100"/>
      <c r="T18" s="100">
        <f t="shared" si="1"/>
        <v>0</v>
      </c>
      <c r="U18" s="100">
        <f>VLOOKUP($C18,'A3-Valores por defecto'!$B$32:$I$54,6,FALSE)</f>
        <v>3.9999999999999998E-6</v>
      </c>
      <c r="V18" s="98" t="str">
        <f>VLOOKUP($C18,'A3-Valores por defecto'!$B$32:$I$54,5,FALSE)</f>
        <v>kg de CO2 eq de CH4</v>
      </c>
      <c r="W18" s="100"/>
      <c r="X18" s="100">
        <f t="shared" si="2"/>
        <v>0</v>
      </c>
      <c r="Y18" s="100">
        <f>VLOOKUP($C18,'A3-Valores por defecto'!$B$32:$I$54,8,FALSE)</f>
        <v>1.7799999999999999E-4</v>
      </c>
      <c r="Z18" s="98" t="str">
        <f>VLOOKUP($C18,'A3-Valores por defecto'!$B$32:$I$54,7,FALSE)</f>
        <v>kg de CO2 eq de N2O</v>
      </c>
      <c r="AA18" s="100"/>
      <c r="AB18" s="100">
        <f t="shared" si="3"/>
        <v>0</v>
      </c>
      <c r="AC18" s="100">
        <f t="shared" si="4"/>
        <v>0</v>
      </c>
    </row>
    <row r="19" spans="2:29" ht="15" customHeight="1">
      <c r="B19" s="746"/>
      <c r="C19" s="96" t="s">
        <v>222</v>
      </c>
      <c r="D19" s="118"/>
      <c r="E19" s="99"/>
      <c r="F19" s="97"/>
      <c r="G19" s="97"/>
      <c r="H19" s="97"/>
      <c r="I19" s="98" t="str">
        <f>VLOOKUP($C19,'A3-Valores por defecto'!$B$32:$I$54,2,FALSE)</f>
        <v>tonelada.km</v>
      </c>
      <c r="J19" s="100">
        <f t="shared" si="0"/>
        <v>0</v>
      </c>
      <c r="K19" s="100"/>
      <c r="L19" s="100"/>
      <c r="M19" s="100"/>
      <c r="N19" s="100"/>
      <c r="O19" s="100"/>
      <c r="P19" s="100"/>
      <c r="Q19" s="100">
        <f>VLOOKUP($C19,'A3-Valores por defecto'!$B$32:$I$54,4,FALSE)</f>
        <v>3.805E-2</v>
      </c>
      <c r="R19" s="98" t="str">
        <f>VLOOKUP($C19,'A3-Valores por defecto'!$B$32:$I$54,3,FALSE)</f>
        <v>kg CO2 eq de CO2</v>
      </c>
      <c r="S19" s="100"/>
      <c r="T19" s="100">
        <f t="shared" si="1"/>
        <v>0</v>
      </c>
      <c r="U19" s="100">
        <f>VLOOKUP($C19,'A3-Valores por defecto'!$B$32:$I$54,6,FALSE)</f>
        <v>1.1E-5</v>
      </c>
      <c r="V19" s="98" t="str">
        <f>VLOOKUP($C19,'A3-Valores por defecto'!$B$32:$I$54,5,FALSE)</f>
        <v>kg de CO2 eq de CH4</v>
      </c>
      <c r="W19" s="100"/>
      <c r="X19" s="100">
        <f t="shared" si="2"/>
        <v>0</v>
      </c>
      <c r="Y19" s="100">
        <f>VLOOKUP($C19,'A3-Valores por defecto'!$B$32:$I$54,8,FALSE)</f>
        <v>5.1800000000000001E-4</v>
      </c>
      <c r="Z19" s="98" t="str">
        <f>VLOOKUP($C19,'A3-Valores por defecto'!$B$32:$I$54,7,FALSE)</f>
        <v>kg de CO2 eq de N2O</v>
      </c>
      <c r="AA19" s="100"/>
      <c r="AB19" s="100">
        <f t="shared" si="3"/>
        <v>0</v>
      </c>
      <c r="AC19" s="100">
        <f t="shared" si="4"/>
        <v>0</v>
      </c>
    </row>
    <row r="20" spans="2:29" ht="15" customHeight="1">
      <c r="B20" s="67" t="s">
        <v>398</v>
      </c>
      <c r="C20" s="51"/>
      <c r="D20" s="51"/>
      <c r="E20" s="51"/>
      <c r="F20" s="51"/>
      <c r="G20" s="51"/>
      <c r="H20" s="51"/>
      <c r="I20" s="61"/>
      <c r="J20" s="62"/>
      <c r="K20" s="62"/>
      <c r="L20" s="62"/>
      <c r="M20" s="62"/>
      <c r="N20" s="62"/>
      <c r="O20" s="62"/>
      <c r="P20" s="62"/>
      <c r="Q20" s="62"/>
      <c r="R20" s="62"/>
      <c r="S20" s="62"/>
      <c r="T20" s="62"/>
      <c r="U20" s="62"/>
      <c r="V20" s="62"/>
      <c r="W20" s="62"/>
      <c r="X20" s="62"/>
      <c r="Y20" s="62"/>
      <c r="Z20" s="62"/>
      <c r="AA20" s="62"/>
      <c r="AB20" s="62"/>
      <c r="AC20" s="62">
        <f>SUM(AC8:AC19)</f>
        <v>0</v>
      </c>
    </row>
    <row r="21" spans="2:29" ht="15" customHeight="1">
      <c r="B21" s="744" t="s">
        <v>574</v>
      </c>
      <c r="C21" s="96" t="s">
        <v>448</v>
      </c>
      <c r="D21" s="118"/>
      <c r="E21" s="99"/>
      <c r="F21" s="97"/>
      <c r="G21" s="97"/>
      <c r="H21" s="97"/>
      <c r="I21" s="98" t="str">
        <f>VLOOKUP($C21,'A3-Valores por defecto'!$B$32:$I$54,2,FALSE)</f>
        <v>tonelada.km</v>
      </c>
      <c r="J21" s="100">
        <f t="shared" ref="J21:J32" si="5">F21*H21*G21</f>
        <v>0</v>
      </c>
      <c r="K21" s="100">
        <f>COUNT(E21:I21)</f>
        <v>0</v>
      </c>
      <c r="L21" s="100">
        <f>IF(K21&gt;1,AVERAGE(E21:I21),0)</f>
        <v>0</v>
      </c>
      <c r="M21" s="100">
        <f>IF(K21&gt;1,STDEV(E21:I21),0)</f>
        <v>0</v>
      </c>
      <c r="N21" s="100"/>
      <c r="O21" s="100"/>
      <c r="P21" s="100"/>
      <c r="Q21" s="100">
        <f>VLOOKUP($C21,'A3-Valores por defecto'!$B$32:$I$54,4,FALSE)</f>
        <v>0.33572000000000002</v>
      </c>
      <c r="R21" s="98" t="str">
        <f>VLOOKUP($C21,'A3-Valores por defecto'!$B$32:$I$54,3,FALSE)</f>
        <v>kg CO2 eq de CO2</v>
      </c>
      <c r="S21" s="100"/>
      <c r="T21" s="100">
        <f t="shared" si="1"/>
        <v>0</v>
      </c>
      <c r="U21" s="100">
        <f>VLOOKUP($C21,'A3-Valores por defecto'!$B$32:$I$54,6,FALSE)</f>
        <v>6.9999999999999994E-5</v>
      </c>
      <c r="V21" s="98" t="str">
        <f>VLOOKUP($C21,'A3-Valores por defecto'!$B$32:$I$54,5,FALSE)</f>
        <v>kg de CO2 eq de CH4</v>
      </c>
      <c r="W21" s="100"/>
      <c r="X21" s="100">
        <f t="shared" ref="X21:X32" si="6">($J21*$U21)/1000</f>
        <v>0</v>
      </c>
      <c r="Y21" s="100">
        <f>VLOOKUP($C21,'A3-Valores por defecto'!$B$32:$I$54,8,FALSE)</f>
        <v>4.2199999999999998E-3</v>
      </c>
      <c r="Z21" s="98" t="str">
        <f>VLOOKUP($C21,'A3-Valores por defecto'!$B$32:$I$54,7,FALSE)</f>
        <v>kg de CO2 eq de N2O</v>
      </c>
      <c r="AA21" s="100"/>
      <c r="AB21" s="100">
        <f t="shared" ref="AB21:AB32" si="7">($J21*$Y21)/1000</f>
        <v>0</v>
      </c>
      <c r="AC21" s="100">
        <f t="shared" ref="AC21:AC32" si="8">T21+X21+AB21</f>
        <v>0</v>
      </c>
    </row>
    <row r="22" spans="2:29" ht="15" customHeight="1">
      <c r="B22" s="745"/>
      <c r="C22" s="96" t="s">
        <v>449</v>
      </c>
      <c r="D22" s="118"/>
      <c r="E22" s="99"/>
      <c r="F22" s="97"/>
      <c r="G22" s="97"/>
      <c r="H22" s="97"/>
      <c r="I22" s="98" t="str">
        <f>VLOOKUP($C22,'A3-Valores por defecto'!$B$32:$I$54,2,FALSE)</f>
        <v>tonelada.km</v>
      </c>
      <c r="J22" s="100">
        <f t="shared" si="5"/>
        <v>0</v>
      </c>
      <c r="K22" s="100"/>
      <c r="L22" s="100"/>
      <c r="M22" s="100"/>
      <c r="N22" s="100"/>
      <c r="O22" s="100"/>
      <c r="P22" s="100"/>
      <c r="Q22" s="100">
        <f>VLOOKUP($C22,'A3-Valores por defecto'!$B$32:$I$54,4,FALSE)</f>
        <v>0.17913000000000001</v>
      </c>
      <c r="R22" s="98" t="str">
        <f>VLOOKUP($C22,'A3-Valores por defecto'!$B$32:$I$54,3,FALSE)</f>
        <v>kg CO2 eq de CO2</v>
      </c>
      <c r="S22" s="100"/>
      <c r="T22" s="100">
        <f t="shared" si="1"/>
        <v>0</v>
      </c>
      <c r="U22" s="100">
        <f>VLOOKUP($C22,'A3-Valores por defecto'!$B$32:$I$54,6,FALSE)</f>
        <v>4.0000000000000003E-5</v>
      </c>
      <c r="V22" s="98" t="str">
        <f>VLOOKUP($C22,'A3-Valores por defecto'!$B$32:$I$54,5,FALSE)</f>
        <v>kg de CO2 eq de CH4</v>
      </c>
      <c r="W22" s="100"/>
      <c r="X22" s="100">
        <f t="shared" si="6"/>
        <v>0</v>
      </c>
      <c r="Y22" s="100">
        <f>VLOOKUP($C22,'A3-Valores por defecto'!$B$32:$I$54,8,FALSE)</f>
        <v>2.2599999999999999E-3</v>
      </c>
      <c r="Z22" s="98" t="str">
        <f>VLOOKUP($C22,'A3-Valores por defecto'!$B$32:$I$54,7,FALSE)</f>
        <v>kg de CO2 eq de N2O</v>
      </c>
      <c r="AA22" s="100"/>
      <c r="AB22" s="100">
        <f t="shared" si="7"/>
        <v>0</v>
      </c>
      <c r="AC22" s="100">
        <f t="shared" si="8"/>
        <v>0</v>
      </c>
    </row>
    <row r="23" spans="2:29" ht="15" customHeight="1">
      <c r="B23" s="746"/>
      <c r="C23" s="96" t="s">
        <v>451</v>
      </c>
      <c r="D23" s="118"/>
      <c r="E23" s="99"/>
      <c r="F23" s="97"/>
      <c r="G23" s="97"/>
      <c r="H23" s="97"/>
      <c r="I23" s="98" t="str">
        <f>VLOOKUP($C23,'A3-Valores por defecto'!$B$32:$I$54,2,FALSE)</f>
        <v>tonelada.km</v>
      </c>
      <c r="J23" s="100">
        <f t="shared" si="5"/>
        <v>0</v>
      </c>
      <c r="K23" s="100"/>
      <c r="L23" s="100"/>
      <c r="M23" s="100"/>
      <c r="N23" s="100"/>
      <c r="O23" s="100"/>
      <c r="P23" s="100"/>
      <c r="Q23" s="100">
        <f>VLOOKUP($C23,'A3-Valores por defecto'!$B$32:$I$54,4,FALSE)</f>
        <v>0.12401</v>
      </c>
      <c r="R23" s="98" t="str">
        <f>VLOOKUP($C23,'A3-Valores por defecto'!$B$32:$I$54,3,FALSE)</f>
        <v>kg CO2 eq de CO2</v>
      </c>
      <c r="S23" s="100"/>
      <c r="T23" s="100">
        <f t="shared" si="1"/>
        <v>0</v>
      </c>
      <c r="U23" s="100">
        <f>VLOOKUP($C23,'A3-Valores por defecto'!$B$32:$I$54,6,FALSE)</f>
        <v>2.0000000000000002E-5</v>
      </c>
      <c r="V23" s="98" t="str">
        <f>VLOOKUP($C23,'A3-Valores por defecto'!$B$32:$I$54,5,FALSE)</f>
        <v>kg de CO2 eq de CH4</v>
      </c>
      <c r="W23" s="100"/>
      <c r="X23" s="100">
        <f t="shared" si="6"/>
        <v>0</v>
      </c>
      <c r="Y23" s="100">
        <f>VLOOKUP($C23,'A3-Valores por defecto'!$B$32:$I$54,8,FALSE)</f>
        <v>2.2300000000000002E-3</v>
      </c>
      <c r="Z23" s="98" t="str">
        <f>VLOOKUP($C23,'A3-Valores por defecto'!$B$32:$I$54,7,FALSE)</f>
        <v>kg de CO2 eq de N2O</v>
      </c>
      <c r="AA23" s="100"/>
      <c r="AB23" s="100">
        <f t="shared" si="7"/>
        <v>0</v>
      </c>
      <c r="AC23" s="100">
        <f t="shared" si="8"/>
        <v>0</v>
      </c>
    </row>
    <row r="24" spans="2:29" ht="15" customHeight="1">
      <c r="B24" s="744" t="s">
        <v>575</v>
      </c>
      <c r="C24" s="96" t="s">
        <v>209</v>
      </c>
      <c r="D24" s="118"/>
      <c r="E24" s="99"/>
      <c r="F24" s="97"/>
      <c r="G24" s="97"/>
      <c r="H24" s="97"/>
      <c r="I24" s="98" t="str">
        <f>VLOOKUP($C24,'A3-Valores por defecto'!$B$32:$I$54,2,FALSE)</f>
        <v>tonelada.km</v>
      </c>
      <c r="J24" s="100">
        <f t="shared" si="5"/>
        <v>0</v>
      </c>
      <c r="K24" s="100">
        <f>COUNT(E24:I24)</f>
        <v>0</v>
      </c>
      <c r="L24" s="100">
        <f>IF(K24&gt;1,AVERAGE(E24:I24),0)</f>
        <v>0</v>
      </c>
      <c r="M24" s="100">
        <f>IF(K24&gt;1,STDEV(E24:I24),0)</f>
        <v>0</v>
      </c>
      <c r="N24" s="100"/>
      <c r="O24" s="100"/>
      <c r="P24" s="100"/>
      <c r="Q24" s="100">
        <f>VLOOKUP($C24,'A3-Valores por defecto'!$B$32:$I$54,4,FALSE)</f>
        <v>2.35236</v>
      </c>
      <c r="R24" s="98" t="str">
        <f>VLOOKUP($C24,'A3-Valores por defecto'!$B$32:$I$54,3,FALSE)</f>
        <v>kg CO2 eq de CO2</v>
      </c>
      <c r="S24" s="100"/>
      <c r="T24" s="100">
        <f t="shared" si="1"/>
        <v>0</v>
      </c>
      <c r="U24" s="100">
        <f>VLOOKUP($C24,'A3-Valores por defecto'!$B$32:$I$54,6,FALSE)</f>
        <v>1.8799999999999999E-3</v>
      </c>
      <c r="V24" s="98" t="str">
        <f>VLOOKUP($C24,'A3-Valores por defecto'!$B$32:$I$54,5,FALSE)</f>
        <v>kg de CO2 eq de CH4</v>
      </c>
      <c r="W24" s="100"/>
      <c r="X24" s="100">
        <f t="shared" si="6"/>
        <v>0</v>
      </c>
      <c r="Y24" s="100">
        <f>VLOOKUP($C24,'A3-Valores por defecto'!$B$32:$I$54,8,FALSE)</f>
        <v>2.2259999999999999E-2</v>
      </c>
      <c r="Z24" s="98" t="str">
        <f>VLOOKUP($C24,'A3-Valores por defecto'!$B$32:$I$54,7,FALSE)</f>
        <v>kg de CO2 eq de N2O</v>
      </c>
      <c r="AA24" s="100"/>
      <c r="AB24" s="100">
        <f t="shared" si="7"/>
        <v>0</v>
      </c>
      <c r="AC24" s="100">
        <f t="shared" si="8"/>
        <v>0</v>
      </c>
    </row>
    <row r="25" spans="2:29" ht="15" customHeight="1">
      <c r="B25" s="745"/>
      <c r="C25" s="96" t="s">
        <v>210</v>
      </c>
      <c r="D25" s="118"/>
      <c r="E25" s="99"/>
      <c r="F25" s="97"/>
      <c r="G25" s="97"/>
      <c r="H25" s="97"/>
      <c r="I25" s="98" t="str">
        <f>VLOOKUP($C25,'A3-Valores por defecto'!$B$32:$I$54,2,FALSE)</f>
        <v>tonelada.km</v>
      </c>
      <c r="J25" s="100">
        <f t="shared" si="5"/>
        <v>0</v>
      </c>
      <c r="K25" s="100"/>
      <c r="L25" s="100"/>
      <c r="M25" s="100"/>
      <c r="N25" s="100"/>
      <c r="O25" s="100"/>
      <c r="P25" s="100"/>
      <c r="Q25" s="100">
        <f>VLOOKUP($C25,'A3-Valores por defecto'!$B$32:$I$54,4,FALSE)</f>
        <v>1.2056800000000001</v>
      </c>
      <c r="R25" s="98" t="str">
        <f>VLOOKUP($C25,'A3-Valores por defecto'!$B$32:$I$54,3,FALSE)</f>
        <v>kg CO2 eq de CO2</v>
      </c>
      <c r="S25" s="100"/>
      <c r="T25" s="100">
        <f t="shared" si="1"/>
        <v>0</v>
      </c>
      <c r="U25" s="100">
        <f>VLOOKUP($C25,'A3-Valores por defecto'!$B$32:$I$54,6,FALSE)</f>
        <v>8.0000000000000007E-5</v>
      </c>
      <c r="V25" s="98" t="str">
        <f>VLOOKUP($C25,'A3-Valores por defecto'!$B$32:$I$54,5,FALSE)</f>
        <v>kg de CO2 eq de CH4</v>
      </c>
      <c r="W25" s="100"/>
      <c r="X25" s="100">
        <f t="shared" si="6"/>
        <v>0</v>
      </c>
      <c r="Y25" s="100">
        <f>VLOOKUP($C25,'A3-Valores por defecto'!$B$32:$I$54,8,FALSE)</f>
        <v>1.141E-2</v>
      </c>
      <c r="Z25" s="98" t="str">
        <f>VLOOKUP($C25,'A3-Valores por defecto'!$B$32:$I$54,7,FALSE)</f>
        <v>kg de CO2 eq de N2O</v>
      </c>
      <c r="AA25" s="100"/>
      <c r="AB25" s="100">
        <f t="shared" si="7"/>
        <v>0</v>
      </c>
      <c r="AC25" s="100">
        <f t="shared" si="8"/>
        <v>0</v>
      </c>
    </row>
    <row r="26" spans="2:29" ht="15" customHeight="1">
      <c r="B26" s="746"/>
      <c r="C26" s="96" t="s">
        <v>211</v>
      </c>
      <c r="D26" s="118"/>
      <c r="E26" s="99"/>
      <c r="F26" s="97"/>
      <c r="G26" s="97"/>
      <c r="H26" s="97"/>
      <c r="I26" s="98" t="str">
        <f>VLOOKUP($C26,'A3-Valores por defecto'!$B$32:$I$54,2,FALSE)</f>
        <v>tonelada.km</v>
      </c>
      <c r="J26" s="100">
        <f t="shared" si="5"/>
        <v>0</v>
      </c>
      <c r="K26" s="100"/>
      <c r="L26" s="100"/>
      <c r="M26" s="100"/>
      <c r="N26" s="100"/>
      <c r="O26" s="100"/>
      <c r="P26" s="100"/>
      <c r="Q26" s="100">
        <f>VLOOKUP($C26,'A3-Valores por defecto'!$B$32:$I$54,4,FALSE)</f>
        <v>0.53358000000000005</v>
      </c>
      <c r="R26" s="98" t="str">
        <f>VLOOKUP($C26,'A3-Valores por defecto'!$B$32:$I$54,3,FALSE)</f>
        <v>kg CO2 eq de CO2</v>
      </c>
      <c r="S26" s="100"/>
      <c r="T26" s="100">
        <f t="shared" si="1"/>
        <v>0</v>
      </c>
      <c r="U26" s="100">
        <f>VLOOKUP($C26,'A3-Valores por defecto'!$B$32:$I$54,6,FALSE)</f>
        <v>4.0000000000000003E-5</v>
      </c>
      <c r="V26" s="98" t="str">
        <f>VLOOKUP($C26,'A3-Valores por defecto'!$B$32:$I$54,5,FALSE)</f>
        <v>kg de CO2 eq de CH4</v>
      </c>
      <c r="W26" s="100"/>
      <c r="X26" s="100">
        <f t="shared" si="6"/>
        <v>0</v>
      </c>
      <c r="Y26" s="100">
        <f>VLOOKUP($C26,'A3-Valores por defecto'!$B$32:$I$54,8,FALSE)</f>
        <v>5.0499999999999998E-3</v>
      </c>
      <c r="Z26" s="98" t="str">
        <f>VLOOKUP($C26,'A3-Valores por defecto'!$B$32:$I$54,7,FALSE)</f>
        <v>kg de CO2 eq de N2O</v>
      </c>
      <c r="AA26" s="100"/>
      <c r="AB26" s="100">
        <f t="shared" si="7"/>
        <v>0</v>
      </c>
      <c r="AC26" s="100">
        <f t="shared" si="8"/>
        <v>0</v>
      </c>
    </row>
    <row r="27" spans="2:29" ht="15" customHeight="1">
      <c r="B27" s="747" t="s">
        <v>576</v>
      </c>
      <c r="C27" s="96" t="s">
        <v>213</v>
      </c>
      <c r="D27" s="118"/>
      <c r="E27" s="99"/>
      <c r="F27" s="97"/>
      <c r="G27" s="97"/>
      <c r="H27" s="97"/>
      <c r="I27" s="98" t="str">
        <f>VLOOKUP($C27,'A3-Valores por defecto'!$B$32:$I$54,2,FALSE)</f>
        <v>tonelada.km</v>
      </c>
      <c r="J27" s="100">
        <f t="shared" si="5"/>
        <v>0</v>
      </c>
      <c r="K27" s="100">
        <f>COUNT(E27:I27)</f>
        <v>0</v>
      </c>
      <c r="L27" s="100">
        <f>IF(K27&gt;1,AVERAGE(E27:I27),0)</f>
        <v>0</v>
      </c>
      <c r="M27" s="100">
        <f>IF(K27&gt;1,STDEV(E27:I27),0)</f>
        <v>0</v>
      </c>
      <c r="N27" s="100"/>
      <c r="O27" s="100"/>
      <c r="P27" s="100"/>
      <c r="Q27" s="100">
        <f>VLOOKUP($C27,'A3-Valores por defecto'!$B$32:$I$54,4,FALSE)</f>
        <v>4.5100000000000001E-3</v>
      </c>
      <c r="R27" s="98" t="str">
        <f>VLOOKUP($C27,'A3-Valores por defecto'!$B$32:$I$54,3,FALSE)</f>
        <v>kg CO2 eq de CO2</v>
      </c>
      <c r="S27" s="100"/>
      <c r="T27" s="100">
        <f t="shared" si="1"/>
        <v>0</v>
      </c>
      <c r="U27" s="100">
        <f>VLOOKUP($C27,'A3-Valores por defecto'!$B$32:$I$54,6,FALSE)</f>
        <v>9.9999999999999995E-7</v>
      </c>
      <c r="V27" s="98" t="str">
        <f>VLOOKUP($C27,'A3-Valores por defecto'!$B$32:$I$54,5,FALSE)</f>
        <v>kg de CO2 eq de CH4</v>
      </c>
      <c r="W27" s="100"/>
      <c r="X27" s="100">
        <f t="shared" si="6"/>
        <v>0</v>
      </c>
      <c r="Y27" s="100">
        <f>VLOOKUP($C27,'A3-Valores por defecto'!$B$32:$I$54,8,FALSE)</f>
        <v>6.0999999999999999E-5</v>
      </c>
      <c r="Z27" s="98" t="str">
        <f>VLOOKUP($C27,'A3-Valores por defecto'!$B$32:$I$54,7,FALSE)</f>
        <v>kg de CO2 eq de N2O</v>
      </c>
      <c r="AA27" s="100"/>
      <c r="AB27" s="100">
        <f t="shared" si="7"/>
        <v>0</v>
      </c>
      <c r="AC27" s="100">
        <f t="shared" si="8"/>
        <v>0</v>
      </c>
    </row>
    <row r="28" spans="2:29" ht="15" customHeight="1">
      <c r="B28" s="748"/>
      <c r="C28" s="96" t="s">
        <v>214</v>
      </c>
      <c r="D28" s="118"/>
      <c r="E28" s="99"/>
      <c r="F28" s="97"/>
      <c r="G28" s="97"/>
      <c r="H28" s="97"/>
      <c r="I28" s="98" t="str">
        <f>VLOOKUP($C28,'A3-Valores por defecto'!$B$32:$I$54,2,FALSE)</f>
        <v>tonelada.km</v>
      </c>
      <c r="J28" s="100">
        <f t="shared" si="5"/>
        <v>0</v>
      </c>
      <c r="K28" s="100"/>
      <c r="L28" s="100"/>
      <c r="M28" s="100"/>
      <c r="N28" s="100"/>
      <c r="O28" s="100"/>
      <c r="P28" s="100"/>
      <c r="Q28" s="100">
        <f>VLOOKUP($C28,'A3-Valores por defecto'!$B$32:$I$54,4,FALSE)</f>
        <v>8.9099999999999995E-3</v>
      </c>
      <c r="R28" s="98" t="str">
        <f>VLOOKUP($C28,'A3-Valores por defecto'!$B$32:$I$54,3,FALSE)</f>
        <v>kg CO2 eq de CO2</v>
      </c>
      <c r="S28" s="100"/>
      <c r="T28" s="100">
        <f t="shared" si="1"/>
        <v>0</v>
      </c>
      <c r="U28" s="100">
        <f>VLOOKUP($C28,'A3-Valores por defecto'!$B$32:$I$54,6,FALSE)</f>
        <v>3.0000000000000001E-6</v>
      </c>
      <c r="V28" s="98" t="str">
        <f>VLOOKUP($C28,'A3-Valores por defecto'!$B$32:$I$54,5,FALSE)</f>
        <v>kg de CO2 eq de CH4</v>
      </c>
      <c r="W28" s="100"/>
      <c r="X28" s="100">
        <f t="shared" si="6"/>
        <v>0</v>
      </c>
      <c r="Y28" s="100">
        <f>VLOOKUP($C28,'A3-Valores por defecto'!$B$32:$I$54,8,FALSE)</f>
        <v>1.21E-4</v>
      </c>
      <c r="Z28" s="98" t="str">
        <f>VLOOKUP($C28,'A3-Valores por defecto'!$B$32:$I$54,7,FALSE)</f>
        <v>kg de CO2 eq de N2O</v>
      </c>
      <c r="AA28" s="100"/>
      <c r="AB28" s="100">
        <f t="shared" si="7"/>
        <v>0</v>
      </c>
      <c r="AC28" s="100">
        <f t="shared" si="8"/>
        <v>0</v>
      </c>
    </row>
    <row r="29" spans="2:29" ht="15" customHeight="1">
      <c r="B29" s="749"/>
      <c r="C29" s="96" t="s">
        <v>216</v>
      </c>
      <c r="D29" s="118"/>
      <c r="E29" s="99"/>
      <c r="F29" s="97"/>
      <c r="G29" s="97"/>
      <c r="H29" s="97"/>
      <c r="I29" s="98" t="str">
        <f>VLOOKUP($C29,'A3-Valores por defecto'!$B$32:$I$54,2,FALSE)</f>
        <v>tonelada.km</v>
      </c>
      <c r="J29" s="100">
        <f t="shared" si="5"/>
        <v>0</v>
      </c>
      <c r="K29" s="100"/>
      <c r="L29" s="100"/>
      <c r="M29" s="100"/>
      <c r="N29" s="100"/>
      <c r="O29" s="100"/>
      <c r="P29" s="100"/>
      <c r="Q29" s="100">
        <f>VLOOKUP($C29,'A3-Valores por defecto'!$B$32:$I$54,4,FALSE)</f>
        <v>1.1390000000000001E-2</v>
      </c>
      <c r="R29" s="98" t="str">
        <f>VLOOKUP($C29,'A3-Valores por defecto'!$B$32:$I$54,3,FALSE)</f>
        <v>kg CO2 eq de CO2</v>
      </c>
      <c r="S29" s="100"/>
      <c r="T29" s="100">
        <f t="shared" si="1"/>
        <v>0</v>
      </c>
      <c r="U29" s="100">
        <f>VLOOKUP($C29,'A3-Valores por defecto'!$B$32:$I$54,6,FALSE)</f>
        <v>3.0000000000000001E-6</v>
      </c>
      <c r="V29" s="98" t="str">
        <f>VLOOKUP($C29,'A3-Valores por defecto'!$B$32:$I$54,5,FALSE)</f>
        <v>kg de CO2 eq de CH4</v>
      </c>
      <c r="W29" s="100"/>
      <c r="X29" s="100">
        <f t="shared" si="6"/>
        <v>0</v>
      </c>
      <c r="Y29" s="100">
        <f>VLOOKUP($C29,'A3-Valores por defecto'!$B$32:$I$54,8,FALSE)</f>
        <v>1.55E-4</v>
      </c>
      <c r="Z29" s="98" t="str">
        <f>VLOOKUP($C29,'A3-Valores por defecto'!$B$32:$I$54,7,FALSE)</f>
        <v>kg de CO2 eq de N2O</v>
      </c>
      <c r="AA29" s="100"/>
      <c r="AB29" s="100">
        <f t="shared" si="7"/>
        <v>0</v>
      </c>
      <c r="AC29" s="100">
        <f t="shared" si="8"/>
        <v>0</v>
      </c>
    </row>
    <row r="30" spans="2:29" ht="15" customHeight="1">
      <c r="B30" s="747" t="s">
        <v>577</v>
      </c>
      <c r="C30" s="96" t="s">
        <v>221</v>
      </c>
      <c r="D30" s="118"/>
      <c r="E30" s="99"/>
      <c r="F30" s="97"/>
      <c r="G30" s="97"/>
      <c r="H30" s="97"/>
      <c r="I30" s="98" t="str">
        <f>VLOOKUP($C30,'A3-Valores por defecto'!$B$32:$I$54,2,FALSE)</f>
        <v>tonelada.km</v>
      </c>
      <c r="J30" s="100">
        <f t="shared" si="5"/>
        <v>0</v>
      </c>
      <c r="K30" s="100">
        <f>COUNT(E30:I30)</f>
        <v>0</v>
      </c>
      <c r="L30" s="100">
        <f>IF(K30&gt;1,AVERAGE(E30:I30),0)</f>
        <v>0</v>
      </c>
      <c r="M30" s="100">
        <f>IF(K30&gt;1,STDEV(E30:I30),0)</f>
        <v>0</v>
      </c>
      <c r="N30" s="100"/>
      <c r="O30" s="100"/>
      <c r="P30" s="100"/>
      <c r="Q30" s="100">
        <f>VLOOKUP($C30,'A3-Valores por defecto'!$B$32:$I$54,4,FALSE)</f>
        <v>1.592E-2</v>
      </c>
      <c r="R30" s="98" t="str">
        <f>VLOOKUP($C30,'A3-Valores por defecto'!$B$32:$I$54,3,FALSE)</f>
        <v>kg CO2 eq de CO2</v>
      </c>
      <c r="S30" s="100"/>
      <c r="T30" s="100">
        <f t="shared" si="1"/>
        <v>0</v>
      </c>
      <c r="U30" s="100">
        <f>VLOOKUP($C30,'A3-Valores por defecto'!$B$32:$I$54,6,FALSE)</f>
        <v>5.0000000000000004E-6</v>
      </c>
      <c r="V30" s="98" t="str">
        <f>VLOOKUP($C30,'A3-Valores por defecto'!$B$32:$I$54,5,FALSE)</f>
        <v>kg de CO2 eq de CH4</v>
      </c>
      <c r="W30" s="100"/>
      <c r="X30" s="100">
        <f t="shared" si="6"/>
        <v>0</v>
      </c>
      <c r="Y30" s="100">
        <f>VLOOKUP($C30,'A3-Valores por defecto'!$B$32:$I$54,8,FALSE)</f>
        <v>2.1699999999999999E-4</v>
      </c>
      <c r="Z30" s="98" t="str">
        <f>VLOOKUP($C30,'A3-Valores por defecto'!$B$32:$I$54,7,FALSE)</f>
        <v>kg de CO2 eq de N2O</v>
      </c>
      <c r="AA30" s="100"/>
      <c r="AB30" s="100">
        <f t="shared" si="7"/>
        <v>0</v>
      </c>
      <c r="AC30" s="100">
        <f t="shared" si="8"/>
        <v>0</v>
      </c>
    </row>
    <row r="31" spans="2:29" ht="15" customHeight="1">
      <c r="B31" s="748"/>
      <c r="C31" s="96" t="s">
        <v>220</v>
      </c>
      <c r="D31" s="118"/>
      <c r="E31" s="99"/>
      <c r="F31" s="97"/>
      <c r="G31" s="97"/>
      <c r="H31" s="97"/>
      <c r="I31" s="98" t="str">
        <f>VLOOKUP($C31,'A3-Valores por defecto'!$B$32:$I$54,2,FALSE)</f>
        <v>tonelada.km</v>
      </c>
      <c r="J31" s="100">
        <f t="shared" si="5"/>
        <v>0</v>
      </c>
      <c r="K31" s="100"/>
      <c r="L31" s="100"/>
      <c r="M31" s="100"/>
      <c r="N31" s="100"/>
      <c r="O31" s="100"/>
      <c r="P31" s="100"/>
      <c r="Q31" s="100">
        <f>VLOOKUP($C31,'A3-Valores por defecto'!$B$32:$I$54,4,FALSE)</f>
        <v>1.3050000000000001E-2</v>
      </c>
      <c r="R31" s="98" t="str">
        <f>VLOOKUP($C31,'A3-Valores por defecto'!$B$32:$I$54,3,FALSE)</f>
        <v>kg CO2 eq de CO2</v>
      </c>
      <c r="S31" s="100"/>
      <c r="T31" s="100">
        <f t="shared" si="1"/>
        <v>0</v>
      </c>
      <c r="U31" s="100">
        <f>VLOOKUP($C31,'A3-Valores por defecto'!$B$32:$I$54,6,FALSE)</f>
        <v>3.9999999999999998E-6</v>
      </c>
      <c r="V31" s="98" t="str">
        <f>VLOOKUP($C31,'A3-Valores por defecto'!$B$32:$I$54,5,FALSE)</f>
        <v>kg de CO2 eq de CH4</v>
      </c>
      <c r="W31" s="100"/>
      <c r="X31" s="100">
        <f t="shared" si="6"/>
        <v>0</v>
      </c>
      <c r="Y31" s="100">
        <f>VLOOKUP($C31,'A3-Valores por defecto'!$B$32:$I$54,8,FALSE)</f>
        <v>1.7799999999999999E-4</v>
      </c>
      <c r="Z31" s="98" t="str">
        <f>VLOOKUP($C31,'A3-Valores por defecto'!$B$32:$I$54,7,FALSE)</f>
        <v>kg de CO2 eq de N2O</v>
      </c>
      <c r="AA31" s="100"/>
      <c r="AB31" s="100">
        <f t="shared" si="7"/>
        <v>0</v>
      </c>
      <c r="AC31" s="100">
        <f t="shared" si="8"/>
        <v>0</v>
      </c>
    </row>
    <row r="32" spans="2:29" ht="15" customHeight="1">
      <c r="B32" s="749"/>
      <c r="C32" s="96" t="s">
        <v>222</v>
      </c>
      <c r="D32" s="118"/>
      <c r="E32" s="99"/>
      <c r="F32" s="97"/>
      <c r="G32" s="97"/>
      <c r="H32" s="97"/>
      <c r="I32" s="98" t="str">
        <f>VLOOKUP($C32,'A3-Valores por defecto'!$B$32:$I$54,2,FALSE)</f>
        <v>tonelada.km</v>
      </c>
      <c r="J32" s="100">
        <f t="shared" si="5"/>
        <v>0</v>
      </c>
      <c r="K32" s="100"/>
      <c r="L32" s="100"/>
      <c r="M32" s="100"/>
      <c r="N32" s="100"/>
      <c r="O32" s="100"/>
      <c r="P32" s="100"/>
      <c r="Q32" s="100">
        <f>VLOOKUP($C32,'A3-Valores por defecto'!$B$32:$I$54,4,FALSE)</f>
        <v>3.805E-2</v>
      </c>
      <c r="R32" s="98" t="str">
        <f>VLOOKUP($C32,'A3-Valores por defecto'!$B$32:$I$54,3,FALSE)</f>
        <v>kg CO2 eq de CO2</v>
      </c>
      <c r="S32" s="100"/>
      <c r="T32" s="100">
        <f t="shared" si="1"/>
        <v>0</v>
      </c>
      <c r="U32" s="100">
        <f>VLOOKUP($C32,'A3-Valores por defecto'!$B$32:$I$54,6,FALSE)</f>
        <v>1.1E-5</v>
      </c>
      <c r="V32" s="98" t="str">
        <f>VLOOKUP($C32,'A3-Valores por defecto'!$B$32:$I$54,5,FALSE)</f>
        <v>kg de CO2 eq de CH4</v>
      </c>
      <c r="W32" s="100"/>
      <c r="X32" s="100">
        <f t="shared" si="6"/>
        <v>0</v>
      </c>
      <c r="Y32" s="100">
        <f>VLOOKUP($C32,'A3-Valores por defecto'!$B$32:$I$54,8,FALSE)</f>
        <v>5.1800000000000001E-4</v>
      </c>
      <c r="Z32" s="98" t="str">
        <f>VLOOKUP($C32,'A3-Valores por defecto'!$B$32:$I$54,7,FALSE)</f>
        <v>kg de CO2 eq de N2O</v>
      </c>
      <c r="AA32" s="100"/>
      <c r="AB32" s="100">
        <f t="shared" si="7"/>
        <v>0</v>
      </c>
      <c r="AC32" s="100">
        <f t="shared" si="8"/>
        <v>0</v>
      </c>
    </row>
    <row r="33" spans="2:29" ht="15" customHeight="1">
      <c r="B33" s="67" t="s">
        <v>399</v>
      </c>
      <c r="C33" s="51"/>
      <c r="D33" s="51"/>
      <c r="E33" s="51"/>
      <c r="F33" s="51"/>
      <c r="G33" s="51"/>
      <c r="H33" s="51"/>
      <c r="I33" s="61"/>
      <c r="J33" s="62"/>
      <c r="K33" s="62"/>
      <c r="L33" s="62"/>
      <c r="M33" s="62"/>
      <c r="N33" s="62"/>
      <c r="O33" s="62"/>
      <c r="P33" s="62"/>
      <c r="Q33" s="62"/>
      <c r="R33" s="62"/>
      <c r="S33" s="62"/>
      <c r="T33" s="62"/>
      <c r="U33" s="62"/>
      <c r="V33" s="62"/>
      <c r="W33" s="62"/>
      <c r="X33" s="62"/>
      <c r="Y33" s="62"/>
      <c r="Z33" s="62"/>
      <c r="AA33" s="62"/>
      <c r="AB33" s="62"/>
      <c r="AC33" s="62">
        <f>SUM(AC21:AC32)</f>
        <v>0</v>
      </c>
    </row>
    <row r="34" spans="2:29" ht="15" customHeight="1">
      <c r="B34" s="67" t="s">
        <v>303</v>
      </c>
      <c r="C34" s="51"/>
      <c r="D34" s="51"/>
      <c r="E34" s="51"/>
      <c r="F34" s="51"/>
      <c r="G34" s="51"/>
      <c r="H34" s="51"/>
      <c r="I34" s="61"/>
      <c r="J34" s="62"/>
      <c r="K34" s="62"/>
      <c r="L34" s="62"/>
      <c r="M34" s="62"/>
      <c r="N34" s="62"/>
      <c r="O34" s="62"/>
      <c r="P34" s="62"/>
      <c r="Q34" s="62"/>
      <c r="R34" s="62"/>
      <c r="S34" s="62"/>
      <c r="T34" s="62">
        <f>SUM(T21:T30)</f>
        <v>0</v>
      </c>
      <c r="U34" s="62"/>
      <c r="V34" s="62"/>
      <c r="W34" s="62"/>
      <c r="X34" s="62">
        <f>SUM(X8:X32)</f>
        <v>0</v>
      </c>
      <c r="Y34" s="62"/>
      <c r="Z34" s="62"/>
      <c r="AA34" s="62"/>
      <c r="AB34" s="62">
        <f>SUM(AB8:AB32)</f>
        <v>0</v>
      </c>
      <c r="AC34" s="62">
        <f>AC20+AC33</f>
        <v>0</v>
      </c>
    </row>
    <row r="35" spans="2:29" ht="15.75" customHeight="1"/>
    <row r="36" spans="2:29" ht="15.75" customHeight="1"/>
    <row r="37" spans="2:29" ht="15.75" customHeight="1"/>
    <row r="38" spans="2:29" ht="15.75" customHeight="1"/>
    <row r="39" spans="2:29" ht="15.75" customHeight="1"/>
    <row r="40" spans="2:29" ht="15.75" customHeight="1"/>
    <row r="41" spans="2:29" ht="15.75" customHeight="1"/>
    <row r="42" spans="2:29" ht="15.75" customHeight="1"/>
    <row r="43" spans="2:29" ht="15.75" customHeight="1"/>
    <row r="44" spans="2:29" ht="15.75" customHeight="1"/>
    <row r="45" spans="2:29" ht="15.75" customHeight="1"/>
    <row r="46" spans="2:29" ht="15.75" customHeight="1"/>
    <row r="47" spans="2:29" ht="15.75" customHeight="1"/>
    <row r="48" spans="2:2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sheetProtection insertRows="0"/>
  <mergeCells count="21">
    <mergeCell ref="B24:B26"/>
    <mergeCell ref="B27:B29"/>
    <mergeCell ref="B30:B32"/>
    <mergeCell ref="B8:B10"/>
    <mergeCell ref="B11:B13"/>
    <mergeCell ref="B14:B16"/>
    <mergeCell ref="B17:B19"/>
    <mergeCell ref="B21:B23"/>
    <mergeCell ref="Y6:AB6"/>
    <mergeCell ref="Q7:R7"/>
    <mergeCell ref="U7:V7"/>
    <mergeCell ref="Y7:Z7"/>
    <mergeCell ref="B2:AC2"/>
    <mergeCell ref="B4:AC4"/>
    <mergeCell ref="B6:B7"/>
    <mergeCell ref="C6:C7"/>
    <mergeCell ref="E6:H6"/>
    <mergeCell ref="I6:J6"/>
    <mergeCell ref="Q6:T6"/>
    <mergeCell ref="U6:X6"/>
    <mergeCell ref="D6:D7"/>
  </mergeCells>
  <dataValidations count="1">
    <dataValidation type="list" allowBlank="1" showErrorMessage="1" sqref="D3" xr:uid="{7C50E77E-D390-4794-8CBD-E5B2604B9B95}">
      <formula1>#REF!</formula1>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7B1ED1-A8B1-480C-95F9-FFCBC362966E}">
          <x14:formula1>
            <xm:f>'A3-Valores por defecto'!$B$32:$B$38</xm:f>
          </x14:formula1>
          <xm:sqref>C8:C10 C21:C23</xm:sqref>
        </x14:dataValidation>
        <x14:dataValidation type="list" allowBlank="1" showInputMessage="1" showErrorMessage="1" xr:uid="{127E5773-35CE-4085-8CDD-469D11D17852}">
          <x14:formula1>
            <xm:f>'A3-Valores por defecto'!$B$39:$B$42</xm:f>
          </x14:formula1>
          <xm:sqref>C11:C13 C24:C26</xm:sqref>
        </x14:dataValidation>
        <x14:dataValidation type="list" allowBlank="1" showInputMessage="1" showErrorMessage="1" xr:uid="{17FE04AE-4E44-4EE7-B563-D2194AEAA1F4}">
          <x14:formula1>
            <xm:f>'A3-Valores por defecto'!$B$43:$B$47</xm:f>
          </x14:formula1>
          <xm:sqref>C14:C16 C27:C29</xm:sqref>
        </x14:dataValidation>
        <x14:dataValidation type="list" allowBlank="1" showInputMessage="1" showErrorMessage="1" xr:uid="{915DC46C-5050-47ED-81EF-4EFCEA9DAD1A}">
          <x14:formula1>
            <xm:f>'A3-Valores por defecto'!$B$48:$B$54</xm:f>
          </x14:formula1>
          <xm:sqref>C17:C19 C30:C32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5C8E-EE36-46D9-8AB4-F7C784CA890A}">
  <sheetPr>
    <tabColor theme="7"/>
    <outlinePr summaryBelow="0" summaryRight="0"/>
  </sheetPr>
  <dimension ref="A1:AE915"/>
  <sheetViews>
    <sheetView showGridLines="0" zoomScale="93" zoomScaleNormal="93" workbookViewId="0">
      <pane xSplit="2" topLeftCell="S1" activePane="topRight" state="frozen"/>
      <selection pane="topRight" sqref="A1:XFD1048576"/>
    </sheetView>
  </sheetViews>
  <sheetFormatPr baseColWidth="10" defaultColWidth="14.44140625" defaultRowHeight="15" customHeight="1"/>
  <cols>
    <col min="1" max="1" width="8.109375" style="248" customWidth="1"/>
    <col min="2" max="2" width="36.6640625" style="248" customWidth="1"/>
    <col min="3" max="4" width="32.44140625" style="248" customWidth="1"/>
    <col min="5" max="5" width="22.88671875" style="248" customWidth="1"/>
    <col min="6" max="19" width="14.44140625" style="248"/>
    <col min="20" max="21" width="0" style="248" hidden="1" customWidth="1"/>
    <col min="22" max="22" width="14.44140625" style="248"/>
    <col min="23" max="23" width="16.44140625" style="248" customWidth="1"/>
    <col min="24" max="30" width="14.44140625" style="248"/>
    <col min="31" max="31" width="26.6640625" style="248" customWidth="1"/>
    <col min="32" max="16384" width="14.44140625" style="248"/>
  </cols>
  <sheetData>
    <row r="1" spans="1:31" ht="45.75" customHeight="1"/>
    <row r="2" spans="1:31" ht="42" customHeight="1">
      <c r="B2" s="750" t="s">
        <v>170</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row>
    <row r="3" spans="1:31" ht="23.25" customHeight="1">
      <c r="A3" s="250"/>
      <c r="AE3" s="250"/>
    </row>
    <row r="4" spans="1:31" ht="21" customHeight="1">
      <c r="A4" s="261"/>
      <c r="B4" s="752" t="s">
        <v>391</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row>
    <row r="5" spans="1:31" ht="15" customHeight="1">
      <c r="A5" s="261"/>
      <c r="B5" s="53"/>
      <c r="C5" s="255"/>
      <c r="D5" s="255"/>
      <c r="E5" s="255"/>
      <c r="F5" s="255"/>
      <c r="G5" s="255"/>
      <c r="H5" s="255"/>
      <c r="I5" s="255"/>
      <c r="J5" s="255"/>
      <c r="K5" s="255"/>
      <c r="L5" s="255"/>
      <c r="M5" s="255"/>
      <c r="N5" s="255"/>
      <c r="O5" s="255"/>
      <c r="P5" s="255"/>
      <c r="Q5" s="255"/>
      <c r="R5" s="255"/>
      <c r="S5" s="255"/>
      <c r="T5" s="255"/>
      <c r="U5" s="255"/>
      <c r="V5" s="262"/>
      <c r="W5" s="262"/>
      <c r="X5" s="262"/>
      <c r="Y5" s="262"/>
      <c r="Z5" s="262"/>
      <c r="AA5" s="262"/>
      <c r="AB5" s="262"/>
      <c r="AC5" s="262"/>
      <c r="AD5" s="262"/>
      <c r="AE5" s="262"/>
    </row>
    <row r="6" spans="1:31" ht="46.5" customHeight="1">
      <c r="B6" s="753" t="s">
        <v>10</v>
      </c>
      <c r="C6" s="731" t="s">
        <v>11</v>
      </c>
      <c r="D6" s="735" t="s">
        <v>661</v>
      </c>
      <c r="E6" s="731" t="s">
        <v>44</v>
      </c>
      <c r="F6" s="731" t="s">
        <v>13</v>
      </c>
      <c r="G6" s="733"/>
      <c r="H6" s="733"/>
      <c r="I6" s="733"/>
      <c r="J6" s="733"/>
      <c r="K6" s="733"/>
      <c r="L6" s="733"/>
      <c r="M6" s="733"/>
      <c r="N6" s="733"/>
      <c r="O6" s="733"/>
      <c r="P6" s="733"/>
      <c r="Q6" s="733"/>
      <c r="R6" s="733"/>
      <c r="S6" s="733"/>
      <c r="T6" s="731" t="s">
        <v>14</v>
      </c>
      <c r="U6" s="733"/>
      <c r="V6" s="698" t="s">
        <v>692</v>
      </c>
      <c r="W6" s="699"/>
      <c r="X6" s="699"/>
      <c r="Y6" s="699"/>
      <c r="Z6" s="754" t="s">
        <v>268</v>
      </c>
      <c r="AA6" s="733"/>
      <c r="AB6" s="733"/>
      <c r="AC6" s="733"/>
      <c r="AD6" s="733"/>
      <c r="AE6" s="122" t="s">
        <v>172</v>
      </c>
    </row>
    <row r="7" spans="1:31" ht="75.75" customHeight="1">
      <c r="B7" s="733"/>
      <c r="C7" s="733"/>
      <c r="D7" s="736"/>
      <c r="E7" s="733"/>
      <c r="F7" s="125" t="s">
        <v>18</v>
      </c>
      <c r="G7" s="125" t="s">
        <v>19</v>
      </c>
      <c r="H7" s="125" t="s">
        <v>20</v>
      </c>
      <c r="I7" s="125" t="s">
        <v>21</v>
      </c>
      <c r="J7" s="125" t="s">
        <v>22</v>
      </c>
      <c r="K7" s="125" t="s">
        <v>23</v>
      </c>
      <c r="L7" s="125" t="s">
        <v>24</v>
      </c>
      <c r="M7" s="125" t="s">
        <v>25</v>
      </c>
      <c r="N7" s="125" t="s">
        <v>26</v>
      </c>
      <c r="O7" s="125" t="s">
        <v>27</v>
      </c>
      <c r="P7" s="125" t="s">
        <v>28</v>
      </c>
      <c r="Q7" s="125" t="s">
        <v>29</v>
      </c>
      <c r="R7" s="124" t="s">
        <v>30</v>
      </c>
      <c r="S7" s="125" t="s">
        <v>31</v>
      </c>
      <c r="T7" s="125" t="s">
        <v>32</v>
      </c>
      <c r="U7" s="123" t="s">
        <v>47</v>
      </c>
      <c r="V7" s="699" t="s">
        <v>695</v>
      </c>
      <c r="W7" s="699"/>
      <c r="X7" s="200" t="s">
        <v>696</v>
      </c>
      <c r="Y7" s="200" t="s">
        <v>697</v>
      </c>
      <c r="Z7" s="755" t="s">
        <v>271</v>
      </c>
      <c r="AA7" s="733"/>
      <c r="AB7" s="123" t="s">
        <v>392</v>
      </c>
      <c r="AC7" s="123" t="s">
        <v>269</v>
      </c>
      <c r="AD7" s="123" t="s">
        <v>270</v>
      </c>
      <c r="AE7" s="123" t="s">
        <v>173</v>
      </c>
    </row>
    <row r="8" spans="1:31" ht="15" customHeight="1">
      <c r="B8" s="726" t="s">
        <v>179</v>
      </c>
      <c r="C8" s="96" t="s">
        <v>298</v>
      </c>
      <c r="D8" s="118"/>
      <c r="E8" s="98" t="str">
        <f>VLOOKUP($C8,'A3-Valores por defecto'!$B$59:$E$60,2,FALSE)</f>
        <v>Toneladas</v>
      </c>
      <c r="F8" s="97"/>
      <c r="G8" s="97"/>
      <c r="H8" s="97"/>
      <c r="I8" s="97"/>
      <c r="J8" s="97"/>
      <c r="K8" s="97"/>
      <c r="L8" s="97"/>
      <c r="M8" s="97"/>
      <c r="N8" s="97"/>
      <c r="O8" s="97"/>
      <c r="P8" s="97"/>
      <c r="Q8" s="97"/>
      <c r="R8" s="100">
        <f>SUM(F8:Q8)</f>
        <v>0</v>
      </c>
      <c r="S8" s="100">
        <f>COUNT(F8:Q8)</f>
        <v>0</v>
      </c>
      <c r="T8" s="100">
        <f>IF(S8&gt;1,AVERAGE(F8:Q8),0)</f>
        <v>0</v>
      </c>
      <c r="U8" s="100">
        <f>IF(S8&gt;1,STDEV(F8:Q8),0)</f>
        <v>0</v>
      </c>
      <c r="V8" s="98">
        <f>VLOOKUP($C8,'A3-Valores por defecto'!$B$59:$E$60,4,FALSE)</f>
        <v>0.73939999999999995</v>
      </c>
      <c r="W8" s="98" t="str">
        <f>VLOOKUP($C8,'A3-Valores por defecto'!$B$59:$E$60,3,FALSE)</f>
        <v>KgCO2eq/kg papel</v>
      </c>
      <c r="X8" s="100"/>
      <c r="Y8" s="100">
        <f>($R8*$V8)/1000</f>
        <v>0</v>
      </c>
      <c r="Z8" s="100">
        <v>0</v>
      </c>
      <c r="AA8" s="100">
        <v>0</v>
      </c>
      <c r="AB8" s="100"/>
      <c r="AC8" s="100"/>
      <c r="AD8" s="100"/>
      <c r="AE8" s="100">
        <f>Y8+AC8</f>
        <v>0</v>
      </c>
    </row>
    <row r="9" spans="1:31" ht="15" customHeight="1">
      <c r="B9" s="728"/>
      <c r="C9" s="101" t="s">
        <v>297</v>
      </c>
      <c r="D9" s="119"/>
      <c r="E9" s="98" t="str">
        <f>VLOOKUP($C9,'A3-Valores por defecto'!$B$59:$E$60,2,FALSE)</f>
        <v>Toneladas</v>
      </c>
      <c r="F9" s="97"/>
      <c r="G9" s="97"/>
      <c r="H9" s="97"/>
      <c r="I9" s="97"/>
      <c r="J9" s="97"/>
      <c r="K9" s="97"/>
      <c r="L9" s="97"/>
      <c r="M9" s="97"/>
      <c r="N9" s="97"/>
      <c r="O9" s="97"/>
      <c r="P9" s="97"/>
      <c r="Q9" s="97"/>
      <c r="R9" s="100">
        <f>SUM(F9:Q9)</f>
        <v>0</v>
      </c>
      <c r="S9" s="100">
        <f>COUNT(F9:Q9)</f>
        <v>0</v>
      </c>
      <c r="T9" s="100">
        <f>IF(S9&gt;1,AVERAGE(F9:Q9),0)</f>
        <v>0</v>
      </c>
      <c r="U9" s="100">
        <f>IF(S9&gt;1,STDEV(F9:Q9),0)</f>
        <v>0</v>
      </c>
      <c r="V9" s="98">
        <f>VLOOKUP($C9,'A3-Valores por defecto'!$B$59:$E$60,4,FALSE)</f>
        <v>0.9194</v>
      </c>
      <c r="W9" s="98" t="str">
        <f>VLOOKUP($C9,'A3-Valores por defecto'!$B$59:$E$60,3,FALSE)</f>
        <v>KgCO2 eq/kg papel</v>
      </c>
      <c r="X9" s="100"/>
      <c r="Y9" s="100">
        <f>($R9*$V9)/1000</f>
        <v>0</v>
      </c>
      <c r="Z9" s="100">
        <v>0</v>
      </c>
      <c r="AA9" s="100">
        <v>0</v>
      </c>
      <c r="AB9" s="100"/>
      <c r="AC9" s="100"/>
      <c r="AD9" s="100"/>
      <c r="AE9" s="100">
        <f>Y9+AC9</f>
        <v>0</v>
      </c>
    </row>
    <row r="10" spans="1:31" ht="34.5" customHeight="1">
      <c r="B10" s="89" t="s">
        <v>393</v>
      </c>
      <c r="C10" s="102" t="s">
        <v>264</v>
      </c>
      <c r="D10" s="120"/>
      <c r="E10" s="98" t="str">
        <f>VLOOKUP($C10,'A3-Valores por defecto'!$B$63:$G$63,2,FALSE)</f>
        <v>N° de pantallas plasma TFT</v>
      </c>
      <c r="F10" s="97"/>
      <c r="G10" s="97"/>
      <c r="H10" s="97"/>
      <c r="I10" s="97"/>
      <c r="J10" s="97"/>
      <c r="K10" s="97"/>
      <c r="L10" s="97"/>
      <c r="M10" s="97"/>
      <c r="N10" s="97"/>
      <c r="O10" s="97"/>
      <c r="P10" s="97"/>
      <c r="Q10" s="97"/>
      <c r="R10" s="100">
        <f>SUM(F10:Q10)</f>
        <v>0</v>
      </c>
      <c r="S10" s="100">
        <f>COUNT(F10:Q10)</f>
        <v>0</v>
      </c>
      <c r="T10" s="100">
        <f>IF(S10&gt;1,AVERAGE(F10:Q10),0)</f>
        <v>0</v>
      </c>
      <c r="U10" s="100">
        <f>IF(S10&gt;1,STDEV(F10:Q10),0)</f>
        <v>0</v>
      </c>
      <c r="V10" s="98">
        <v>0</v>
      </c>
      <c r="W10" s="98">
        <v>0</v>
      </c>
      <c r="X10" s="100"/>
      <c r="Y10" s="100"/>
      <c r="Z10" s="98">
        <f>VLOOKUP($C10,'A3-Valores por defecto'!$B$63:$G$63,4,FALSE)</f>
        <v>0.9</v>
      </c>
      <c r="AA10" s="103" t="str">
        <f>VLOOKUP($C10,'A3-Valores por defecto'!$B$63:$G$63,3,FALSE)</f>
        <v xml:space="preserve">g/m2 </v>
      </c>
      <c r="AB10" s="100">
        <f>($R10*Z10*'A3-Valores por defecto'!$G$63/1000)</f>
        <v>0</v>
      </c>
      <c r="AC10" s="100">
        <f>$AB10*'A3-Valores por defecto'!$B$138</f>
        <v>0</v>
      </c>
      <c r="AD10" s="100"/>
      <c r="AE10" s="100">
        <f>Y10+AC10</f>
        <v>0</v>
      </c>
    </row>
    <row r="11" spans="1:31" s="264" customFormat="1" ht="15" customHeight="1">
      <c r="A11" s="263"/>
      <c r="B11" s="115" t="s">
        <v>662</v>
      </c>
      <c r="C11" s="102" t="s">
        <v>663</v>
      </c>
      <c r="D11" s="120"/>
      <c r="E11" s="98" t="str">
        <f>VLOOKUP($C$11,'A3-Valores por defecto'!$B$61:$E$61,2,FALSE)</f>
        <v>Metros cúbicos</v>
      </c>
      <c r="F11" s="97"/>
      <c r="G11" s="97"/>
      <c r="H11" s="97"/>
      <c r="I11" s="97"/>
      <c r="J11" s="97"/>
      <c r="K11" s="97"/>
      <c r="L11" s="97"/>
      <c r="M11" s="97"/>
      <c r="N11" s="97"/>
      <c r="O11" s="97"/>
      <c r="P11" s="97"/>
      <c r="Q11" s="97"/>
      <c r="R11" s="100">
        <f>SUM(F11:Q11)</f>
        <v>0</v>
      </c>
      <c r="S11" s="100">
        <f>COUNT(F11:Q11)</f>
        <v>0</v>
      </c>
      <c r="T11" s="116">
        <f>SUM(H11:S11)</f>
        <v>0</v>
      </c>
      <c r="U11" s="116">
        <f>COUNT(H11:S11)</f>
        <v>2</v>
      </c>
      <c r="V11" s="98">
        <f>VLOOKUP($C$11,'A3-Valores por defecto'!$B$61:$E$61,4,FALSE)</f>
        <v>0.14899999999999999</v>
      </c>
      <c r="W11" s="98" t="str">
        <f>VLOOKUP($C$11,'A3-Valores por defecto'!$B$61:$E$61,3,FALSE)</f>
        <v>KgCO2eq/m3</v>
      </c>
      <c r="X11" s="100"/>
      <c r="Y11" s="100"/>
      <c r="Z11" s="100">
        <v>0</v>
      </c>
      <c r="AA11" s="100">
        <v>0</v>
      </c>
      <c r="AB11" s="100">
        <f>($R11*Z11*'A3-Valores por defecto'!$G$63/1000)</f>
        <v>0</v>
      </c>
      <c r="AC11" s="100">
        <f>$AB11*'A3-Valores por defecto'!$B$138</f>
        <v>0</v>
      </c>
      <c r="AD11" s="100"/>
      <c r="AE11" s="100">
        <f>Y11+AC11</f>
        <v>0</v>
      </c>
    </row>
    <row r="12" spans="1:31" ht="15" customHeight="1">
      <c r="B12" s="67" t="s">
        <v>394</v>
      </c>
      <c r="C12" s="51"/>
      <c r="D12" s="51"/>
      <c r="E12" s="61"/>
      <c r="F12" s="51"/>
      <c r="G12" s="51"/>
      <c r="H12" s="51"/>
      <c r="I12" s="51"/>
      <c r="J12" s="51"/>
      <c r="K12" s="51"/>
      <c r="L12" s="51"/>
      <c r="M12" s="51"/>
      <c r="N12" s="51"/>
      <c r="O12" s="51"/>
      <c r="P12" s="51"/>
      <c r="Q12" s="51"/>
      <c r="R12" s="62"/>
      <c r="S12" s="62"/>
      <c r="T12" s="62"/>
      <c r="U12" s="62"/>
      <c r="V12" s="62"/>
      <c r="W12" s="62"/>
      <c r="X12" s="62"/>
      <c r="Y12" s="62">
        <f>SUM(Y8:Y9)</f>
        <v>0</v>
      </c>
      <c r="Z12" s="62"/>
      <c r="AA12" s="62"/>
      <c r="AB12" s="62"/>
      <c r="AC12" s="62"/>
      <c r="AD12" s="62"/>
      <c r="AE12" s="62">
        <f>SUM(AE8:AE11)</f>
        <v>0</v>
      </c>
    </row>
    <row r="13" spans="1:31" ht="15.75" customHeight="1"/>
    <row r="14" spans="1:31" ht="15.75" customHeight="1"/>
    <row r="15" spans="1:31" ht="15.75" customHeight="1"/>
    <row r="16" spans="1:31" ht="15.75" customHeight="1"/>
    <row r="17" s="248" customFormat="1" ht="15.75" customHeight="1"/>
    <row r="18" s="248" customFormat="1" ht="15.75" customHeight="1"/>
    <row r="19" s="248" customFormat="1" ht="15.75" customHeight="1"/>
    <row r="20" s="248" customFormat="1" ht="15.75" customHeight="1"/>
    <row r="21" s="248" customFormat="1" ht="15.75" customHeight="1"/>
    <row r="22" s="248" customFormat="1" ht="15.75" customHeight="1"/>
    <row r="23" s="248" customFormat="1" ht="15.75" customHeight="1"/>
    <row r="24" s="248" customFormat="1" ht="15.75" customHeight="1"/>
    <row r="25" s="248" customFormat="1" ht="15.75" customHeight="1"/>
    <row r="26" s="248" customFormat="1" ht="15.75" customHeight="1"/>
    <row r="27" s="248" customFormat="1" ht="15.75" customHeight="1"/>
    <row r="28" s="248" customFormat="1" ht="15.75" customHeight="1"/>
    <row r="29" s="248" customFormat="1" ht="15.75" customHeight="1"/>
    <row r="30" s="248" customFormat="1" ht="15.75" customHeight="1"/>
    <row r="31" s="248" customFormat="1" ht="15.75" customHeight="1"/>
    <row r="32" s="248" customFormat="1" ht="15.75" customHeight="1"/>
    <row r="33" s="248" customFormat="1" ht="15.75" customHeight="1"/>
    <row r="34" s="248" customFormat="1" ht="15.75" customHeight="1"/>
    <row r="35" s="248" customFormat="1" ht="15.75" customHeight="1"/>
    <row r="36" s="248" customFormat="1" ht="15.75" customHeight="1"/>
    <row r="37" s="248" customFormat="1" ht="15.75" customHeight="1"/>
    <row r="38" s="248" customFormat="1" ht="15.75" customHeight="1"/>
    <row r="39" s="248" customFormat="1" ht="15.75" customHeight="1"/>
    <row r="40" s="248" customFormat="1" ht="15.75" customHeight="1"/>
    <row r="41" s="248" customFormat="1" ht="15.75" customHeight="1"/>
    <row r="42" s="248" customFormat="1" ht="15.75" customHeight="1"/>
    <row r="43" s="248" customFormat="1" ht="15.75" customHeight="1"/>
    <row r="44" s="248" customFormat="1" ht="15.75" customHeight="1"/>
    <row r="45" s="248" customFormat="1" ht="15.75" customHeight="1"/>
    <row r="46" s="248" customFormat="1" ht="15.75" customHeight="1"/>
    <row r="47" s="248" customFormat="1" ht="15.75" customHeight="1"/>
    <row r="48" s="248" customFormat="1" ht="15.75" customHeight="1"/>
    <row r="49" s="248" customFormat="1" ht="15.75" customHeight="1"/>
    <row r="50" s="248" customFormat="1" ht="15.75" customHeight="1"/>
    <row r="51" s="248" customFormat="1" ht="15.75" customHeight="1"/>
    <row r="52" s="248" customFormat="1" ht="15.75" customHeight="1"/>
    <row r="53" s="248" customFormat="1" ht="15.75" customHeight="1"/>
    <row r="54" s="248" customFormat="1" ht="15.75" customHeight="1"/>
    <row r="55" s="248" customFormat="1" ht="15.75" customHeight="1"/>
    <row r="56" s="248" customFormat="1" ht="15.75" customHeight="1"/>
    <row r="57" s="248" customFormat="1" ht="15.75" customHeight="1"/>
    <row r="58" s="248" customFormat="1" ht="15.75" customHeight="1"/>
    <row r="59" s="248" customFormat="1" ht="15.75" customHeight="1"/>
    <row r="60" s="248" customFormat="1" ht="15.75" customHeight="1"/>
    <row r="61" s="248" customFormat="1" ht="15.75" customHeight="1"/>
    <row r="62" s="248" customFormat="1" ht="15.75" customHeight="1"/>
    <row r="63" s="248" customFormat="1" ht="15.75" customHeight="1"/>
    <row r="64" s="248" customFormat="1" ht="15.75" customHeight="1"/>
    <row r="65" s="248" customFormat="1" ht="15.75" customHeight="1"/>
    <row r="66" s="248" customFormat="1" ht="15.75" customHeight="1"/>
    <row r="67" s="248" customFormat="1" ht="15.75" customHeight="1"/>
    <row r="68" s="248" customFormat="1" ht="15.75" customHeight="1"/>
    <row r="69" s="248" customFormat="1" ht="15.75" customHeight="1"/>
    <row r="70" s="248" customFormat="1" ht="15.75" customHeight="1"/>
    <row r="71" s="248" customFormat="1" ht="15.75" customHeight="1"/>
    <row r="72" s="248" customFormat="1" ht="15.75" customHeight="1"/>
    <row r="73" s="248" customFormat="1" ht="15.75" customHeight="1"/>
    <row r="74" s="248" customFormat="1" ht="15.75" customHeight="1"/>
    <row r="75" s="248" customFormat="1" ht="15.75" customHeight="1"/>
    <row r="76" s="248" customFormat="1" ht="15.75" customHeight="1"/>
    <row r="77" s="248" customFormat="1" ht="15.75" customHeight="1"/>
    <row r="78" s="248" customFormat="1" ht="15.75" customHeight="1"/>
    <row r="79" s="248" customFormat="1" ht="15.75" customHeight="1"/>
    <row r="80" s="248" customFormat="1" ht="15.75" customHeight="1"/>
    <row r="81" s="248" customFormat="1" ht="15.75" customHeight="1"/>
    <row r="82" s="248" customFormat="1" ht="15.75" customHeight="1"/>
    <row r="83" s="248" customFormat="1" ht="15.75" customHeight="1"/>
    <row r="84" s="248" customFormat="1" ht="15.75" customHeight="1"/>
    <row r="85" s="248" customFormat="1" ht="15.75" customHeight="1"/>
    <row r="86" s="248" customFormat="1" ht="15.75" customHeight="1"/>
    <row r="87" s="248" customFormat="1" ht="15.75" customHeight="1"/>
    <row r="88" s="248" customFormat="1" ht="15.75" customHeight="1"/>
    <row r="89" s="248" customFormat="1" ht="15.75" customHeight="1"/>
    <row r="90" s="248" customFormat="1" ht="15.75" customHeight="1"/>
    <row r="91" s="248" customFormat="1" ht="15.75" customHeight="1"/>
    <row r="92" s="248" customFormat="1" ht="15.75" customHeight="1"/>
    <row r="93" s="248" customFormat="1" ht="15.75" customHeight="1"/>
    <row r="94" s="248" customFormat="1" ht="15.75" customHeight="1"/>
    <row r="95" s="248" customFormat="1" ht="15.75" customHeight="1"/>
    <row r="96" s="248" customFormat="1" ht="15.75" customHeight="1"/>
    <row r="97" s="248" customFormat="1" ht="15.75" customHeight="1"/>
    <row r="98" s="248" customFormat="1" ht="15.75" customHeight="1"/>
    <row r="99" s="248" customFormat="1" ht="15.75" customHeight="1"/>
    <row r="100" s="248" customFormat="1" ht="15.75" customHeight="1"/>
    <row r="101" s="248" customFormat="1" ht="15.75" customHeight="1"/>
    <row r="102" s="248" customFormat="1" ht="15.75" customHeight="1"/>
    <row r="103" s="248" customFormat="1" ht="15.75" customHeight="1"/>
    <row r="104" s="248" customFormat="1" ht="15.75" customHeight="1"/>
    <row r="105" s="248" customFormat="1" ht="15.75" customHeight="1"/>
    <row r="106" s="248" customFormat="1" ht="15.75" customHeight="1"/>
    <row r="107" s="248" customFormat="1" ht="15.75" customHeight="1"/>
    <row r="108" s="248" customFormat="1" ht="15.75" customHeight="1"/>
    <row r="109" s="248" customFormat="1" ht="15.75" customHeight="1"/>
    <row r="110" s="248" customFormat="1" ht="15.75" customHeight="1"/>
    <row r="111" s="248" customFormat="1" ht="15.75" customHeight="1"/>
    <row r="112" s="248" customFormat="1" ht="15.75" customHeight="1"/>
    <row r="113" s="248" customFormat="1" ht="15.75" customHeight="1"/>
    <row r="114" s="248" customFormat="1" ht="15.75" customHeight="1"/>
    <row r="115" s="248" customFormat="1" ht="15.75" customHeight="1"/>
    <row r="116" s="248" customFormat="1" ht="15.75" customHeight="1"/>
    <row r="117" s="248" customFormat="1" ht="15.75" customHeight="1"/>
    <row r="118" s="248" customFormat="1" ht="15.75" customHeight="1"/>
    <row r="119" s="248" customFormat="1" ht="15.75" customHeight="1"/>
    <row r="120" s="248" customFormat="1" ht="15.75" customHeight="1"/>
    <row r="121" s="248" customFormat="1" ht="15.75" customHeight="1"/>
    <row r="122" s="248" customFormat="1" ht="15.75" customHeight="1"/>
    <row r="123" s="248" customFormat="1" ht="15.75" customHeight="1"/>
    <row r="124" s="248" customFormat="1" ht="15.75" customHeight="1"/>
    <row r="125" s="248" customFormat="1" ht="15.75" customHeight="1"/>
    <row r="126" s="248" customFormat="1" ht="15.75" customHeight="1"/>
    <row r="127" s="248" customFormat="1" ht="15.75" customHeight="1"/>
    <row r="128" s="248" customFormat="1" ht="15.75" customHeight="1"/>
    <row r="129" s="248" customFormat="1" ht="15.75" customHeight="1"/>
    <row r="130" s="248" customFormat="1" ht="15.75" customHeight="1"/>
    <row r="131" s="248" customFormat="1" ht="15.75" customHeight="1"/>
    <row r="132" s="248" customFormat="1" ht="15.75" customHeight="1"/>
    <row r="133" s="248" customFormat="1" ht="15.75" customHeight="1"/>
    <row r="134" s="248" customFormat="1" ht="15.75" customHeight="1"/>
    <row r="135" s="248" customFormat="1" ht="15.75" customHeight="1"/>
    <row r="136" s="248" customFormat="1" ht="15.75" customHeight="1"/>
    <row r="137" s="248" customFormat="1" ht="15.75" customHeight="1"/>
    <row r="138" s="248" customFormat="1" ht="15.75" customHeight="1"/>
    <row r="139" s="248" customFormat="1" ht="15.75" customHeight="1"/>
    <row r="140" s="248" customFormat="1" ht="15.75" customHeight="1"/>
    <row r="141" s="248" customFormat="1" ht="15.75" customHeight="1"/>
    <row r="142" s="248" customFormat="1" ht="15.75" customHeight="1"/>
    <row r="143" s="248" customFormat="1" ht="15.75" customHeight="1"/>
    <row r="144" s="248" customFormat="1" ht="15.75" customHeight="1"/>
    <row r="145" s="248" customFormat="1" ht="15.75" customHeight="1"/>
    <row r="146" s="248" customFormat="1" ht="15.75" customHeight="1"/>
    <row r="147" s="248" customFormat="1" ht="15.75" customHeight="1"/>
    <row r="148" s="248" customFormat="1" ht="15.75" customHeight="1"/>
    <row r="149" s="248" customFormat="1" ht="15.75" customHeight="1"/>
    <row r="150" s="248" customFormat="1" ht="15.75" customHeight="1"/>
    <row r="151" s="248" customFormat="1" ht="15.75" customHeight="1"/>
    <row r="152" s="248" customFormat="1" ht="15.75" customHeight="1"/>
    <row r="153" s="248" customFormat="1" ht="15.75" customHeight="1"/>
    <row r="154" s="248" customFormat="1" ht="15.75" customHeight="1"/>
    <row r="155" s="248" customFormat="1" ht="15.75" customHeight="1"/>
    <row r="156" s="248" customFormat="1" ht="15.75" customHeight="1"/>
    <row r="157" s="248" customFormat="1" ht="15.75" customHeight="1"/>
    <row r="158" s="248" customFormat="1" ht="15.75" customHeight="1"/>
    <row r="159" s="248" customFormat="1" ht="15.75" customHeight="1"/>
    <row r="160" s="248" customFormat="1" ht="15.75" customHeight="1"/>
    <row r="161" s="248" customFormat="1" ht="15.75" customHeight="1"/>
    <row r="162" s="248" customFormat="1" ht="15.75" customHeight="1"/>
    <row r="163" s="248" customFormat="1" ht="15.75" customHeight="1"/>
    <row r="164" s="248" customFormat="1" ht="15.75" customHeight="1"/>
    <row r="165" s="248" customFormat="1" ht="15.75" customHeight="1"/>
    <row r="166" s="248" customFormat="1" ht="15.75" customHeight="1"/>
    <row r="167" s="248" customFormat="1" ht="15.75" customHeight="1"/>
    <row r="168" s="248" customFormat="1" ht="15.75" customHeight="1"/>
    <row r="169" s="248" customFormat="1" ht="15.75" customHeight="1"/>
    <row r="170" s="248" customFormat="1" ht="15.75" customHeight="1"/>
    <row r="171" s="248" customFormat="1" ht="15.75" customHeight="1"/>
    <row r="172" s="248" customFormat="1" ht="15.75" customHeight="1"/>
    <row r="173" s="248" customFormat="1" ht="15.75" customHeight="1"/>
    <row r="174" s="248" customFormat="1" ht="15.75" customHeight="1"/>
    <row r="175" s="248" customFormat="1" ht="15.75" customHeight="1"/>
    <row r="176" s="248" customFormat="1" ht="15.75" customHeight="1"/>
    <row r="177" s="248" customFormat="1" ht="15.75" customHeight="1"/>
    <row r="178" s="248" customFormat="1" ht="15.75" customHeight="1"/>
    <row r="179" s="248" customFormat="1" ht="15.75" customHeight="1"/>
    <row r="180" s="248" customFormat="1" ht="15.75" customHeight="1"/>
    <row r="181" s="248" customFormat="1" ht="15.75" customHeight="1"/>
    <row r="182" s="248" customFormat="1" ht="15.75" customHeight="1"/>
    <row r="183" s="248" customFormat="1" ht="15.75" customHeight="1"/>
    <row r="184" s="248" customFormat="1" ht="15.75" customHeight="1"/>
    <row r="185" s="248" customFormat="1" ht="15.75" customHeight="1"/>
    <row r="186" s="248" customFormat="1" ht="15.75" customHeight="1"/>
    <row r="187" s="248" customFormat="1" ht="15.75" customHeight="1"/>
    <row r="188" s="248" customFormat="1" ht="15.75" customHeight="1"/>
    <row r="189" s="248" customFormat="1" ht="15.75" customHeight="1"/>
    <row r="190" s="248" customFormat="1" ht="15.75" customHeight="1"/>
    <row r="191" s="248" customFormat="1" ht="15.75" customHeight="1"/>
    <row r="192" s="248" customFormat="1" ht="15.75" customHeight="1"/>
    <row r="193" s="248" customFormat="1" ht="15.75" customHeight="1"/>
    <row r="194" s="248" customFormat="1" ht="15.75" customHeight="1"/>
    <row r="195" s="248" customFormat="1" ht="15.75" customHeight="1"/>
    <row r="196" s="248" customFormat="1" ht="15.75" customHeight="1"/>
    <row r="197" s="248" customFormat="1" ht="15.75" customHeight="1"/>
    <row r="198" s="248" customFormat="1" ht="15.75" customHeight="1"/>
    <row r="199" s="248" customFormat="1" ht="15.75" customHeight="1"/>
    <row r="200" s="248" customFormat="1" ht="15.75" customHeight="1"/>
    <row r="201" s="248" customFormat="1" ht="15.75" customHeight="1"/>
    <row r="202" s="248" customFormat="1" ht="15.75" customHeight="1"/>
    <row r="203" s="248" customFormat="1" ht="15.75" customHeight="1"/>
    <row r="204" s="248" customFormat="1" ht="15.75" customHeight="1"/>
    <row r="205" s="248" customFormat="1" ht="15.75" customHeight="1"/>
    <row r="206" s="248" customFormat="1" ht="15.75" customHeight="1"/>
    <row r="207" s="248" customFormat="1" ht="15.75" customHeight="1"/>
    <row r="208" s="248" customFormat="1" ht="15.75" customHeight="1"/>
    <row r="209" s="248" customFormat="1" ht="15.75" customHeight="1"/>
    <row r="210" s="248" customFormat="1" ht="15.75" customHeight="1"/>
    <row r="211" s="248" customFormat="1" ht="15.75" customHeight="1"/>
    <row r="212" s="248" customFormat="1" ht="15.75" customHeight="1"/>
    <row r="213" s="248" customFormat="1" ht="15.75" customHeight="1"/>
    <row r="214" s="248" customFormat="1" ht="15.75" customHeight="1"/>
    <row r="215" s="248" customFormat="1" ht="15.75" customHeight="1"/>
    <row r="216" s="248" customFormat="1" ht="15.75" customHeight="1"/>
    <row r="217" s="248" customFormat="1" ht="15.75" customHeight="1"/>
    <row r="218" s="248" customFormat="1" ht="15.75" customHeight="1"/>
    <row r="219" s="248" customFormat="1" ht="15.75" customHeight="1"/>
    <row r="220" s="248" customFormat="1" ht="15.75" customHeight="1"/>
    <row r="221" s="248" customFormat="1" ht="15.75" customHeight="1"/>
    <row r="222" s="248" customFormat="1" ht="15.75" customHeight="1"/>
    <row r="223" s="248" customFormat="1" ht="15.75" customHeight="1"/>
    <row r="224" s="248" customFormat="1" ht="15.75" customHeight="1"/>
    <row r="225" s="248" customFormat="1" ht="15.75" customHeight="1"/>
    <row r="226" s="248" customFormat="1" ht="15.75" customHeight="1"/>
    <row r="227" s="248" customFormat="1" ht="15.75" customHeight="1"/>
    <row r="228" s="248" customFormat="1" ht="15.75" customHeight="1"/>
    <row r="229" s="248" customFormat="1" ht="15.75" customHeight="1"/>
    <row r="230" s="248" customFormat="1" ht="15.75" customHeight="1"/>
    <row r="231" s="248" customFormat="1" ht="15.75" customHeight="1"/>
    <row r="232" s="248" customFormat="1" ht="15.75" customHeight="1"/>
    <row r="233" s="248" customFormat="1" ht="15.75" customHeight="1"/>
    <row r="234" s="248" customFormat="1" ht="15.75" customHeight="1"/>
    <row r="235" s="248" customFormat="1" ht="15.75" customHeight="1"/>
    <row r="236" s="248" customFormat="1" ht="15.75" customHeight="1"/>
    <row r="237" s="248" customFormat="1" ht="15.75" customHeight="1"/>
    <row r="238" s="248" customFormat="1" ht="15.75" customHeight="1"/>
    <row r="239" s="248" customFormat="1" ht="15.75" customHeight="1"/>
    <row r="240" s="248" customFormat="1" ht="15.75" customHeight="1"/>
    <row r="241" s="248" customFormat="1" ht="15.75" customHeight="1"/>
    <row r="242" s="248" customFormat="1" ht="15.75" customHeight="1"/>
    <row r="243" s="248" customFormat="1" ht="15.75" customHeight="1"/>
    <row r="244" s="248" customFormat="1" ht="15.75" customHeight="1"/>
    <row r="245" s="248" customFormat="1" ht="15.75" customHeight="1"/>
    <row r="246" s="248" customFormat="1" ht="15.75" customHeight="1"/>
    <row r="247" s="248" customFormat="1" ht="15.75" customHeight="1"/>
    <row r="248" s="248" customFormat="1" ht="15.75" customHeight="1"/>
    <row r="249" s="248" customFormat="1" ht="15.75" customHeight="1"/>
    <row r="250" s="248" customFormat="1" ht="15.75" customHeight="1"/>
    <row r="251" s="248" customFormat="1" ht="15.75" customHeight="1"/>
    <row r="252" s="248" customFormat="1" ht="15.75" customHeight="1"/>
    <row r="253" s="248" customFormat="1" ht="15.75" customHeight="1"/>
    <row r="254" s="248" customFormat="1" ht="15.75" customHeight="1"/>
    <row r="255" s="248" customFormat="1" ht="15.75" customHeight="1"/>
    <row r="256" s="248" customFormat="1" ht="15.75" customHeight="1"/>
    <row r="257" s="248" customFormat="1" ht="15.75" customHeight="1"/>
    <row r="258" s="248" customFormat="1" ht="15.75" customHeight="1"/>
    <row r="259" s="248" customFormat="1" ht="15.75" customHeight="1"/>
    <row r="260" s="248" customFormat="1" ht="15.75" customHeight="1"/>
    <row r="261" s="248" customFormat="1" ht="15.75" customHeight="1"/>
    <row r="262" s="248" customFormat="1" ht="15.75" customHeight="1"/>
    <row r="263" s="248" customFormat="1" ht="15.75" customHeight="1"/>
    <row r="264" s="248" customFormat="1" ht="15.75" customHeight="1"/>
    <row r="265" s="248" customFormat="1" ht="15.75" customHeight="1"/>
    <row r="266" s="248" customFormat="1" ht="15.75" customHeight="1"/>
    <row r="267" s="248" customFormat="1" ht="15.75" customHeight="1"/>
    <row r="268" s="248" customFormat="1" ht="15.75" customHeight="1"/>
    <row r="269" s="248" customFormat="1" ht="15.75" customHeight="1"/>
    <row r="270" s="248" customFormat="1" ht="15.75" customHeight="1"/>
    <row r="271" s="248" customFormat="1" ht="15.75" customHeight="1"/>
    <row r="272" s="248" customFormat="1" ht="15.75" customHeight="1"/>
    <row r="273" s="248" customFormat="1" ht="15.75" customHeight="1"/>
    <row r="274" s="248" customFormat="1" ht="15.75" customHeight="1"/>
    <row r="275" s="248" customFormat="1" ht="15.75" customHeight="1"/>
    <row r="276" s="248" customFormat="1" ht="15.75" customHeight="1"/>
    <row r="277" s="248" customFormat="1" ht="15.75" customHeight="1"/>
    <row r="278" s="248" customFormat="1" ht="15.75" customHeight="1"/>
    <row r="279" s="248" customFormat="1" ht="15.75" customHeight="1"/>
    <row r="280" s="248" customFormat="1" ht="15.75" customHeight="1"/>
    <row r="281" s="248" customFormat="1" ht="15.75" customHeight="1"/>
    <row r="282" s="248" customFormat="1" ht="15.75" customHeight="1"/>
    <row r="283" s="248" customFormat="1" ht="15.75" customHeight="1"/>
    <row r="284" s="248" customFormat="1" ht="15.75" customHeight="1"/>
    <row r="285" s="248" customFormat="1" ht="15.75" customHeight="1"/>
    <row r="286" s="248" customFormat="1" ht="15.75" customHeight="1"/>
    <row r="287" s="248" customFormat="1" ht="15.75" customHeight="1"/>
    <row r="288" s="248" customFormat="1" ht="15.75" customHeight="1"/>
    <row r="289" s="248" customFormat="1" ht="15.75" customHeight="1"/>
    <row r="290" s="248" customFormat="1" ht="15.75" customHeight="1"/>
    <row r="291" s="248" customFormat="1" ht="15.75" customHeight="1"/>
    <row r="292" s="248" customFormat="1" ht="15.75" customHeight="1"/>
    <row r="293" s="248" customFormat="1" ht="15.75" customHeight="1"/>
    <row r="294" s="248" customFormat="1" ht="15.75" customHeight="1"/>
    <row r="295" s="248" customFormat="1" ht="15.75" customHeight="1"/>
    <row r="296" s="248" customFormat="1" ht="15.75" customHeight="1"/>
    <row r="297" s="248" customFormat="1" ht="15.75" customHeight="1"/>
    <row r="298" s="248" customFormat="1" ht="15.75" customHeight="1"/>
    <row r="299" s="248" customFormat="1" ht="15.75" customHeight="1"/>
    <row r="300" s="248" customFormat="1" ht="15.75" customHeight="1"/>
    <row r="301" s="248" customFormat="1" ht="15.75" customHeight="1"/>
    <row r="302" s="248" customFormat="1" ht="15.75" customHeight="1"/>
    <row r="303" s="248" customFormat="1" ht="15.75" customHeight="1"/>
    <row r="304" s="248" customFormat="1" ht="15.75" customHeight="1"/>
    <row r="305" s="248" customFormat="1" ht="15.75" customHeight="1"/>
    <row r="306" s="248" customFormat="1" ht="15.75" customHeight="1"/>
    <row r="307" s="248" customFormat="1" ht="15.75" customHeight="1"/>
    <row r="308" s="248" customFormat="1" ht="15.75" customHeight="1"/>
    <row r="309" s="248" customFormat="1" ht="15.75" customHeight="1"/>
    <row r="310" s="248" customFormat="1" ht="15.75" customHeight="1"/>
    <row r="311" s="248" customFormat="1" ht="15.75" customHeight="1"/>
    <row r="312" s="248" customFormat="1" ht="15.75" customHeight="1"/>
    <row r="313" s="248" customFormat="1" ht="15.75" customHeight="1"/>
    <row r="314" s="248" customFormat="1" ht="15.75" customHeight="1"/>
    <row r="315" s="248" customFormat="1" ht="15.75" customHeight="1"/>
    <row r="316" s="248" customFormat="1" ht="15.75" customHeight="1"/>
    <row r="317" s="248" customFormat="1" ht="15.75" customHeight="1"/>
    <row r="318" s="248" customFormat="1" ht="15.75" customHeight="1"/>
    <row r="319" s="248" customFormat="1" ht="15.75" customHeight="1"/>
    <row r="320" s="248" customFormat="1" ht="15.75" customHeight="1"/>
    <row r="321" s="248" customFormat="1" ht="15.75" customHeight="1"/>
    <row r="322" s="248" customFormat="1" ht="15.75" customHeight="1"/>
    <row r="323" s="248" customFormat="1" ht="15.75" customHeight="1"/>
    <row r="324" s="248" customFormat="1" ht="15.75" customHeight="1"/>
    <row r="325" s="248" customFormat="1" ht="15.75" customHeight="1"/>
    <row r="326" s="248" customFormat="1" ht="15.75" customHeight="1"/>
    <row r="327" s="248" customFormat="1" ht="15.75" customHeight="1"/>
    <row r="328" s="248" customFormat="1" ht="15.75" customHeight="1"/>
    <row r="329" s="248" customFormat="1" ht="15.75" customHeight="1"/>
    <row r="330" s="248" customFormat="1" ht="15.75" customHeight="1"/>
    <row r="331" s="248" customFormat="1" ht="15.75" customHeight="1"/>
    <row r="332" s="248" customFormat="1" ht="15.75" customHeight="1"/>
    <row r="333" s="248" customFormat="1" ht="15.75" customHeight="1"/>
    <row r="334" s="248" customFormat="1" ht="15.75" customHeight="1"/>
    <row r="335" s="248" customFormat="1" ht="15.75" customHeight="1"/>
    <row r="336" s="248" customFormat="1" ht="15.75" customHeight="1"/>
    <row r="337" s="248" customFormat="1" ht="15.75" customHeight="1"/>
    <row r="338" s="248" customFormat="1" ht="15.75" customHeight="1"/>
    <row r="339" s="248" customFormat="1" ht="15.75" customHeight="1"/>
    <row r="340" s="248" customFormat="1" ht="15.75" customHeight="1"/>
    <row r="341" s="248" customFormat="1" ht="15.75" customHeight="1"/>
    <row r="342" s="248" customFormat="1" ht="15.75" customHeight="1"/>
    <row r="343" s="248" customFormat="1" ht="15.75" customHeight="1"/>
    <row r="344" s="248" customFormat="1" ht="15.75" customHeight="1"/>
    <row r="345" s="248" customFormat="1" ht="15.75" customHeight="1"/>
    <row r="346" s="248" customFormat="1" ht="15.75" customHeight="1"/>
    <row r="347" s="248" customFormat="1" ht="15.75" customHeight="1"/>
    <row r="348" s="248" customFormat="1" ht="15.75" customHeight="1"/>
    <row r="349" s="248" customFormat="1" ht="15.75" customHeight="1"/>
    <row r="350" s="248" customFormat="1" ht="15.75" customHeight="1"/>
    <row r="351" s="248" customFormat="1" ht="15.75" customHeight="1"/>
    <row r="352" s="248" customFormat="1" ht="15.75" customHeight="1"/>
    <row r="353" s="248" customFormat="1" ht="15.75" customHeight="1"/>
    <row r="354" s="248" customFormat="1" ht="15.75" customHeight="1"/>
    <row r="355" s="248" customFormat="1" ht="15.75" customHeight="1"/>
    <row r="356" s="248" customFormat="1" ht="15.75" customHeight="1"/>
    <row r="357" s="248" customFormat="1" ht="15.75" customHeight="1"/>
    <row r="358" s="248" customFormat="1" ht="15.75" customHeight="1"/>
    <row r="359" s="248" customFormat="1" ht="15.75" customHeight="1"/>
    <row r="360" s="248" customFormat="1" ht="15.75" customHeight="1"/>
    <row r="361" s="248" customFormat="1" ht="15.75" customHeight="1"/>
    <row r="362" s="248" customFormat="1" ht="15.75" customHeight="1"/>
    <row r="363" s="248" customFormat="1" ht="15.75" customHeight="1"/>
    <row r="364" s="248" customFormat="1" ht="15.75" customHeight="1"/>
    <row r="365" s="248" customFormat="1" ht="15.75" customHeight="1"/>
    <row r="366" s="248" customFormat="1" ht="15.75" customHeight="1"/>
    <row r="367" s="248" customFormat="1" ht="15.75" customHeight="1"/>
    <row r="368" s="248" customFormat="1" ht="15.75" customHeight="1"/>
    <row r="369" s="248" customFormat="1" ht="15.75" customHeight="1"/>
    <row r="370" s="248" customFormat="1" ht="15.75" customHeight="1"/>
    <row r="371" s="248" customFormat="1" ht="15.75" customHeight="1"/>
    <row r="372" s="248" customFormat="1" ht="15.75" customHeight="1"/>
    <row r="373" s="248" customFormat="1" ht="15.75" customHeight="1"/>
    <row r="374" s="248" customFormat="1" ht="15.75" customHeight="1"/>
    <row r="375" s="248" customFormat="1" ht="15.75" customHeight="1"/>
    <row r="376" s="248" customFormat="1" ht="15.75" customHeight="1"/>
    <row r="377" s="248" customFormat="1" ht="15.75" customHeight="1"/>
    <row r="378" s="248" customFormat="1" ht="15.75" customHeight="1"/>
    <row r="379" s="248" customFormat="1" ht="15.75" customHeight="1"/>
    <row r="380" s="248" customFormat="1" ht="15.75" customHeight="1"/>
    <row r="381" s="248" customFormat="1" ht="15.75" customHeight="1"/>
    <row r="382" s="248" customFormat="1" ht="15.75" customHeight="1"/>
    <row r="383" s="248" customFormat="1" ht="15.75" customHeight="1"/>
    <row r="384" s="248" customFormat="1" ht="15.75" customHeight="1"/>
    <row r="385" s="248" customFormat="1" ht="15.75" customHeight="1"/>
    <row r="386" s="248" customFormat="1" ht="15.75" customHeight="1"/>
    <row r="387" s="248" customFormat="1" ht="15.75" customHeight="1"/>
    <row r="388" s="248" customFormat="1" ht="15.75" customHeight="1"/>
    <row r="389" s="248" customFormat="1" ht="15.75" customHeight="1"/>
    <row r="390" s="248" customFormat="1" ht="15.75" customHeight="1"/>
    <row r="391" s="248" customFormat="1" ht="15.75" customHeight="1"/>
    <row r="392" s="248" customFormat="1" ht="15.75" customHeight="1"/>
    <row r="393" s="248" customFormat="1" ht="15.75" customHeight="1"/>
    <row r="394" s="248" customFormat="1" ht="15.75" customHeight="1"/>
    <row r="395" s="248" customFormat="1" ht="15.75" customHeight="1"/>
    <row r="396" s="248" customFormat="1" ht="15.75" customHeight="1"/>
    <row r="397" s="248" customFormat="1" ht="15.75" customHeight="1"/>
    <row r="398" s="248" customFormat="1" ht="15.75" customHeight="1"/>
    <row r="399" s="248" customFormat="1" ht="15.75" customHeight="1"/>
    <row r="400" s="248" customFormat="1" ht="15.75" customHeight="1"/>
    <row r="401" s="248" customFormat="1" ht="15.75" customHeight="1"/>
    <row r="402" s="248" customFormat="1" ht="15.75" customHeight="1"/>
    <row r="403" s="248" customFormat="1" ht="15.75" customHeight="1"/>
    <row r="404" s="248" customFormat="1" ht="15.75" customHeight="1"/>
    <row r="405" s="248" customFormat="1" ht="15.75" customHeight="1"/>
    <row r="406" s="248" customFormat="1" ht="15.75" customHeight="1"/>
    <row r="407" s="248" customFormat="1" ht="15.75" customHeight="1"/>
    <row r="408" s="248" customFormat="1" ht="15.75" customHeight="1"/>
    <row r="409" s="248" customFormat="1" ht="15.75" customHeight="1"/>
    <row r="410" s="248" customFormat="1" ht="15.75" customHeight="1"/>
    <row r="411" s="248" customFormat="1" ht="15.75" customHeight="1"/>
    <row r="412" s="248" customFormat="1" ht="15.75" customHeight="1"/>
    <row r="413" s="248" customFormat="1" ht="15.75" customHeight="1"/>
    <row r="414" s="248" customFormat="1" ht="15.75" customHeight="1"/>
    <row r="415" s="248" customFormat="1" ht="15.75" customHeight="1"/>
    <row r="416" s="248" customFormat="1" ht="15.75" customHeight="1"/>
    <row r="417" s="248" customFormat="1" ht="15.75" customHeight="1"/>
    <row r="418" s="248" customFormat="1" ht="15.75" customHeight="1"/>
    <row r="419" s="248" customFormat="1" ht="15.75" customHeight="1"/>
    <row r="420" s="248" customFormat="1" ht="15.75" customHeight="1"/>
    <row r="421" s="248" customFormat="1" ht="15.75" customHeight="1"/>
    <row r="422" s="248" customFormat="1" ht="15.75" customHeight="1"/>
    <row r="423" s="248" customFormat="1" ht="15.75" customHeight="1"/>
    <row r="424" s="248" customFormat="1" ht="15.75" customHeight="1"/>
    <row r="425" s="248" customFormat="1" ht="15.75" customHeight="1"/>
    <row r="426" s="248" customFormat="1" ht="15.75" customHeight="1"/>
    <row r="427" s="248" customFormat="1" ht="15.75" customHeight="1"/>
    <row r="428" s="248" customFormat="1" ht="15.75" customHeight="1"/>
    <row r="429" s="248" customFormat="1" ht="15.75" customHeight="1"/>
    <row r="430" s="248" customFormat="1" ht="15.75" customHeight="1"/>
    <row r="431" s="248" customFormat="1" ht="15.75" customHeight="1"/>
    <row r="432" s="248" customFormat="1" ht="15.75" customHeight="1"/>
    <row r="433" s="248" customFormat="1" ht="15.75" customHeight="1"/>
    <row r="434" s="248" customFormat="1" ht="15.75" customHeight="1"/>
    <row r="435" s="248" customFormat="1" ht="15.75" customHeight="1"/>
    <row r="436" s="248" customFormat="1" ht="15.75" customHeight="1"/>
    <row r="437" s="248" customFormat="1" ht="15.75" customHeight="1"/>
    <row r="438" s="248" customFormat="1" ht="15.75" customHeight="1"/>
    <row r="439" s="248" customFormat="1" ht="15.75" customHeight="1"/>
    <row r="440" s="248" customFormat="1" ht="15.75" customHeight="1"/>
    <row r="441" s="248" customFormat="1" ht="15.75" customHeight="1"/>
    <row r="442" s="248" customFormat="1" ht="15.75" customHeight="1"/>
    <row r="443" s="248" customFormat="1" ht="15.75" customHeight="1"/>
    <row r="444" s="248" customFormat="1" ht="15.75" customHeight="1"/>
    <row r="445" s="248" customFormat="1" ht="15.75" customHeight="1"/>
    <row r="446" s="248" customFormat="1" ht="15.75" customHeight="1"/>
    <row r="447" s="248" customFormat="1" ht="15.75" customHeight="1"/>
    <row r="448" s="248" customFormat="1" ht="15.75" customHeight="1"/>
    <row r="449" s="248" customFormat="1" ht="15.75" customHeight="1"/>
    <row r="450" s="248" customFormat="1" ht="15.75" customHeight="1"/>
    <row r="451" s="248" customFormat="1" ht="15.75" customHeight="1"/>
    <row r="452" s="248" customFormat="1" ht="15.75" customHeight="1"/>
    <row r="453" s="248" customFormat="1" ht="15.75" customHeight="1"/>
    <row r="454" s="248" customFormat="1" ht="15.75" customHeight="1"/>
    <row r="455" s="248" customFormat="1" ht="15.75" customHeight="1"/>
    <row r="456" s="248" customFormat="1" ht="15.75" customHeight="1"/>
    <row r="457" s="248" customFormat="1" ht="15.75" customHeight="1"/>
    <row r="458" s="248" customFormat="1" ht="15.75" customHeight="1"/>
    <row r="459" s="248" customFormat="1" ht="15.75" customHeight="1"/>
    <row r="460" s="248" customFormat="1" ht="15.75" customHeight="1"/>
    <row r="461" s="248" customFormat="1" ht="15.75" customHeight="1"/>
    <row r="462" s="248" customFormat="1" ht="15.75" customHeight="1"/>
    <row r="463" s="248" customFormat="1" ht="15.75" customHeight="1"/>
    <row r="464" s="248" customFormat="1" ht="15.75" customHeight="1"/>
    <row r="465" s="248" customFormat="1" ht="15.75" customHeight="1"/>
    <row r="466" s="248" customFormat="1" ht="15.75" customHeight="1"/>
    <row r="467" s="248" customFormat="1" ht="15.75" customHeight="1"/>
    <row r="468" s="248" customFormat="1" ht="15.75" customHeight="1"/>
    <row r="469" s="248" customFormat="1" ht="15.75" customHeight="1"/>
    <row r="470" s="248" customFormat="1" ht="15.75" customHeight="1"/>
    <row r="471" s="248" customFormat="1" ht="15.75" customHeight="1"/>
    <row r="472" s="248" customFormat="1" ht="15.75" customHeight="1"/>
    <row r="473" s="248" customFormat="1" ht="15.75" customHeight="1"/>
    <row r="474" s="248" customFormat="1" ht="15.75" customHeight="1"/>
    <row r="475" s="248" customFormat="1" ht="15.75" customHeight="1"/>
    <row r="476" s="248" customFormat="1" ht="15.75" customHeight="1"/>
    <row r="477" s="248" customFormat="1" ht="15.75" customHeight="1"/>
    <row r="478" s="248" customFormat="1" ht="15.75" customHeight="1"/>
    <row r="479" s="248" customFormat="1" ht="15.75" customHeight="1"/>
    <row r="480" s="248" customFormat="1" ht="15.75" customHeight="1"/>
    <row r="481" s="248" customFormat="1" ht="15.75" customHeight="1"/>
    <row r="482" s="248" customFormat="1" ht="15.75" customHeight="1"/>
    <row r="483" s="248" customFormat="1" ht="15.75" customHeight="1"/>
    <row r="484" s="248" customFormat="1" ht="15.75" customHeight="1"/>
    <row r="485" s="248" customFormat="1" ht="15.75" customHeight="1"/>
    <row r="486" s="248" customFormat="1" ht="15.75" customHeight="1"/>
    <row r="487" s="248" customFormat="1" ht="15.75" customHeight="1"/>
    <row r="488" s="248" customFormat="1" ht="15.75" customHeight="1"/>
    <row r="489" s="248" customFormat="1" ht="15.75" customHeight="1"/>
    <row r="490" s="248" customFormat="1" ht="15.75" customHeight="1"/>
    <row r="491" s="248" customFormat="1" ht="15.75" customHeight="1"/>
    <row r="492" s="248" customFormat="1" ht="15.75" customHeight="1"/>
    <row r="493" s="248" customFormat="1" ht="15.75" customHeight="1"/>
    <row r="494" s="248" customFormat="1" ht="15.75" customHeight="1"/>
    <row r="495" s="248" customFormat="1" ht="15.75" customHeight="1"/>
    <row r="496" s="248" customFormat="1" ht="15.75" customHeight="1"/>
    <row r="497" s="248" customFormat="1" ht="15.75" customHeight="1"/>
    <row r="498" s="248" customFormat="1" ht="15.75" customHeight="1"/>
    <row r="499" s="248" customFormat="1" ht="15.75" customHeight="1"/>
    <row r="500" s="248" customFormat="1" ht="15.75" customHeight="1"/>
    <row r="501" s="248" customFormat="1" ht="15.75" customHeight="1"/>
    <row r="502" s="248" customFormat="1" ht="15.75" customHeight="1"/>
    <row r="503" s="248" customFormat="1" ht="15.75" customHeight="1"/>
    <row r="504" s="248" customFormat="1" ht="15.75" customHeight="1"/>
    <row r="505" s="248" customFormat="1" ht="15.75" customHeight="1"/>
    <row r="506" s="248" customFormat="1" ht="15.75" customHeight="1"/>
    <row r="507" s="248" customFormat="1" ht="15.75" customHeight="1"/>
    <row r="508" s="248" customFormat="1" ht="15.75" customHeight="1"/>
    <row r="509" s="248" customFormat="1" ht="15.75" customHeight="1"/>
    <row r="510" s="248" customFormat="1" ht="15.75" customHeight="1"/>
    <row r="511" s="248" customFormat="1" ht="15.75" customHeight="1"/>
    <row r="512" s="248" customFormat="1" ht="15.75" customHeight="1"/>
    <row r="513" s="248" customFormat="1" ht="15.75" customHeight="1"/>
    <row r="514" s="248" customFormat="1" ht="15.75" customHeight="1"/>
    <row r="515" s="248" customFormat="1" ht="15.75" customHeight="1"/>
    <row r="516" s="248" customFormat="1" ht="15.75" customHeight="1"/>
    <row r="517" s="248" customFormat="1" ht="15.75" customHeight="1"/>
    <row r="518" s="248" customFormat="1" ht="15.75" customHeight="1"/>
    <row r="519" s="248" customFormat="1" ht="15.75" customHeight="1"/>
    <row r="520" s="248" customFormat="1" ht="15.75" customHeight="1"/>
    <row r="521" s="248" customFormat="1" ht="15.75" customHeight="1"/>
    <row r="522" s="248" customFormat="1" ht="15.75" customHeight="1"/>
    <row r="523" s="248" customFormat="1" ht="15.75" customHeight="1"/>
    <row r="524" s="248" customFormat="1" ht="15.75" customHeight="1"/>
    <row r="525" s="248" customFormat="1" ht="15.75" customHeight="1"/>
    <row r="526" s="248" customFormat="1" ht="15.75" customHeight="1"/>
    <row r="527" s="248" customFormat="1" ht="15.75" customHeight="1"/>
    <row r="528" s="248" customFormat="1" ht="15.75" customHeight="1"/>
    <row r="529" s="248" customFormat="1" ht="15.75" customHeight="1"/>
    <row r="530" s="248" customFormat="1" ht="15.75" customHeight="1"/>
    <row r="531" s="248" customFormat="1" ht="15.75" customHeight="1"/>
    <row r="532" s="248" customFormat="1" ht="15.75" customHeight="1"/>
    <row r="533" s="248" customFormat="1" ht="15.75" customHeight="1"/>
    <row r="534" s="248" customFormat="1" ht="15.75" customHeight="1"/>
    <row r="535" s="248" customFormat="1" ht="15.75" customHeight="1"/>
    <row r="536" s="248" customFormat="1" ht="15.75" customHeight="1"/>
    <row r="537" s="248" customFormat="1" ht="15.75" customHeight="1"/>
    <row r="538" s="248" customFormat="1" ht="15.75" customHeight="1"/>
    <row r="539" s="248" customFormat="1" ht="15.75" customHeight="1"/>
    <row r="540" s="248" customFormat="1" ht="15.75" customHeight="1"/>
    <row r="541" s="248" customFormat="1" ht="15.75" customHeight="1"/>
    <row r="542" s="248" customFormat="1" ht="15.75" customHeight="1"/>
    <row r="543" s="248" customFormat="1" ht="15.75" customHeight="1"/>
    <row r="544" s="248" customFormat="1" ht="15.75" customHeight="1"/>
    <row r="545" s="248" customFormat="1" ht="15.75" customHeight="1"/>
    <row r="546" s="248" customFormat="1" ht="15.75" customHeight="1"/>
    <row r="547" s="248" customFormat="1" ht="15.75" customHeight="1"/>
    <row r="548" s="248" customFormat="1" ht="15.75" customHeight="1"/>
    <row r="549" s="248" customFormat="1" ht="15.75" customHeight="1"/>
    <row r="550" s="248" customFormat="1" ht="15.75" customHeight="1"/>
    <row r="551" s="248" customFormat="1" ht="15.75" customHeight="1"/>
    <row r="552" s="248" customFormat="1" ht="15.75" customHeight="1"/>
    <row r="553" s="248" customFormat="1" ht="15.75" customHeight="1"/>
    <row r="554" s="248" customFormat="1" ht="15.75" customHeight="1"/>
    <row r="555" s="248" customFormat="1" ht="15.75" customHeight="1"/>
    <row r="556" s="248" customFormat="1" ht="15.75" customHeight="1"/>
    <row r="557" s="248" customFormat="1" ht="15.75" customHeight="1"/>
    <row r="558" s="248" customFormat="1" ht="15.75" customHeight="1"/>
    <row r="559" s="248" customFormat="1" ht="15.75" customHeight="1"/>
    <row r="560" s="248" customFormat="1" ht="15.75" customHeight="1"/>
    <row r="561" s="248" customFormat="1" ht="15.75" customHeight="1"/>
    <row r="562" s="248" customFormat="1" ht="15.75" customHeight="1"/>
    <row r="563" s="248" customFormat="1" ht="15.75" customHeight="1"/>
    <row r="564" s="248" customFormat="1" ht="15.75" customHeight="1"/>
    <row r="565" s="248" customFormat="1" ht="15.75" customHeight="1"/>
    <row r="566" s="248" customFormat="1" ht="15.75" customHeight="1"/>
    <row r="567" s="248" customFormat="1" ht="15.75" customHeight="1"/>
    <row r="568" s="248" customFormat="1" ht="15.75" customHeight="1"/>
    <row r="569" s="248" customFormat="1" ht="15.75" customHeight="1"/>
    <row r="570" s="248" customFormat="1" ht="15.75" customHeight="1"/>
    <row r="571" s="248" customFormat="1" ht="15.75" customHeight="1"/>
    <row r="572" s="248" customFormat="1" ht="15.75" customHeight="1"/>
    <row r="573" s="248" customFormat="1" ht="15.75" customHeight="1"/>
    <row r="574" s="248" customFormat="1" ht="15.75" customHeight="1"/>
    <row r="575" s="248" customFormat="1" ht="15.75" customHeight="1"/>
    <row r="576" s="248" customFormat="1" ht="15.75" customHeight="1"/>
    <row r="577" s="248" customFormat="1" ht="15.75" customHeight="1"/>
    <row r="578" s="248" customFormat="1" ht="15.75" customHeight="1"/>
    <row r="579" s="248" customFormat="1" ht="15.75" customHeight="1"/>
    <row r="580" s="248" customFormat="1" ht="15.75" customHeight="1"/>
    <row r="581" s="248" customFormat="1" ht="15.75" customHeight="1"/>
    <row r="582" s="248" customFormat="1" ht="15.75" customHeight="1"/>
    <row r="583" s="248" customFormat="1" ht="15.75" customHeight="1"/>
    <row r="584" s="248" customFormat="1" ht="15.75" customHeight="1"/>
    <row r="585" s="248" customFormat="1" ht="15.75" customHeight="1"/>
    <row r="586" s="248" customFormat="1" ht="15.75" customHeight="1"/>
    <row r="587" s="248" customFormat="1" ht="15.75" customHeight="1"/>
    <row r="588" s="248" customFormat="1" ht="15.75" customHeight="1"/>
    <row r="589" s="248" customFormat="1" ht="15.75" customHeight="1"/>
    <row r="590" s="248" customFormat="1" ht="15.75" customHeight="1"/>
    <row r="591" s="248" customFormat="1" ht="15.75" customHeight="1"/>
    <row r="592" s="248" customFormat="1" ht="15.75" customHeight="1"/>
    <row r="593" s="248" customFormat="1" ht="15.75" customHeight="1"/>
    <row r="594" s="248" customFormat="1" ht="15.75" customHeight="1"/>
    <row r="595" s="248" customFormat="1" ht="15.75" customHeight="1"/>
    <row r="596" s="248" customFormat="1" ht="15.75" customHeight="1"/>
    <row r="597" s="248" customFormat="1" ht="15.75" customHeight="1"/>
    <row r="598" s="248" customFormat="1" ht="15.75" customHeight="1"/>
    <row r="599" s="248" customFormat="1" ht="15.75" customHeight="1"/>
    <row r="600" s="248" customFormat="1" ht="15.75" customHeight="1"/>
    <row r="601" s="248" customFormat="1" ht="15.75" customHeight="1"/>
    <row r="602" s="248" customFormat="1" ht="15.75" customHeight="1"/>
    <row r="603" s="248" customFormat="1" ht="15.75" customHeight="1"/>
    <row r="604" s="248" customFormat="1" ht="15.75" customHeight="1"/>
    <row r="605" s="248" customFormat="1" ht="15.75" customHeight="1"/>
    <row r="606" s="248" customFormat="1" ht="15.75" customHeight="1"/>
    <row r="607" s="248" customFormat="1" ht="15.75" customHeight="1"/>
    <row r="608" s="248" customFormat="1" ht="15.75" customHeight="1"/>
    <row r="609" s="248" customFormat="1" ht="15.75" customHeight="1"/>
    <row r="610" s="248" customFormat="1" ht="15.75" customHeight="1"/>
    <row r="611" s="248" customFormat="1" ht="15.75" customHeight="1"/>
    <row r="612" s="248" customFormat="1" ht="15.75" customHeight="1"/>
    <row r="613" s="248" customFormat="1" ht="15.75" customHeight="1"/>
    <row r="614" s="248" customFormat="1" ht="15.75" customHeight="1"/>
    <row r="615" s="248" customFormat="1" ht="15.75" customHeight="1"/>
    <row r="616" s="248" customFormat="1" ht="15.75" customHeight="1"/>
    <row r="617" s="248" customFormat="1" ht="15.75" customHeight="1"/>
    <row r="618" s="248" customFormat="1" ht="15.75" customHeight="1"/>
    <row r="619" s="248" customFormat="1" ht="15.75" customHeight="1"/>
    <row r="620" s="248" customFormat="1" ht="15.75" customHeight="1"/>
    <row r="621" s="248" customFormat="1" ht="15.75" customHeight="1"/>
    <row r="622" s="248" customFormat="1" ht="15.75" customHeight="1"/>
    <row r="623" s="248" customFormat="1" ht="15.75" customHeight="1"/>
    <row r="624" s="248" customFormat="1" ht="15.75" customHeight="1"/>
    <row r="625" s="248" customFormat="1" ht="15.75" customHeight="1"/>
    <row r="626" s="248" customFormat="1" ht="15.75" customHeight="1"/>
    <row r="627" s="248" customFormat="1" ht="15.75" customHeight="1"/>
    <row r="628" s="248" customFormat="1" ht="15.75" customHeight="1"/>
    <row r="629" s="248" customFormat="1" ht="15.75" customHeight="1"/>
    <row r="630" s="248" customFormat="1" ht="15.75" customHeight="1"/>
    <row r="631" s="248" customFormat="1" ht="15.75" customHeight="1"/>
    <row r="632" s="248" customFormat="1" ht="15.75" customHeight="1"/>
    <row r="633" s="248" customFormat="1" ht="15.75" customHeight="1"/>
    <row r="634" s="248" customFormat="1" ht="15.75" customHeight="1"/>
    <row r="635" s="248" customFormat="1" ht="15.75" customHeight="1"/>
    <row r="636" s="248" customFormat="1" ht="15.75" customHeight="1"/>
    <row r="637" s="248" customFormat="1" ht="15.75" customHeight="1"/>
    <row r="638" s="248" customFormat="1" ht="15.75" customHeight="1"/>
    <row r="639" s="248" customFormat="1" ht="15.75" customHeight="1"/>
    <row r="640" s="248" customFormat="1" ht="15.75" customHeight="1"/>
    <row r="641" s="248" customFormat="1" ht="15.75" customHeight="1"/>
    <row r="642" s="248" customFormat="1" ht="15.75" customHeight="1"/>
    <row r="643" s="248" customFormat="1" ht="15.75" customHeight="1"/>
    <row r="644" s="248" customFormat="1" ht="15.75" customHeight="1"/>
    <row r="645" s="248" customFormat="1" ht="15.75" customHeight="1"/>
    <row r="646" s="248" customFormat="1" ht="15.75" customHeight="1"/>
    <row r="647" s="248" customFormat="1" ht="15.75" customHeight="1"/>
    <row r="648" s="248" customFormat="1" ht="15.75" customHeight="1"/>
    <row r="649" s="248" customFormat="1" ht="15.75" customHeight="1"/>
    <row r="650" s="248" customFormat="1" ht="15.75" customHeight="1"/>
    <row r="651" s="248" customFormat="1" ht="15.75" customHeight="1"/>
    <row r="652" s="248" customFormat="1" ht="15.75" customHeight="1"/>
    <row r="653" s="248" customFormat="1" ht="15.75" customHeight="1"/>
    <row r="654" s="248" customFormat="1" ht="15.75" customHeight="1"/>
    <row r="655" s="248" customFormat="1" ht="15.75" customHeight="1"/>
    <row r="656" s="248" customFormat="1" ht="15.75" customHeight="1"/>
    <row r="657" s="248" customFormat="1" ht="15.75" customHeight="1"/>
    <row r="658" s="248" customFormat="1" ht="15.75" customHeight="1"/>
    <row r="659" s="248" customFormat="1" ht="15.75" customHeight="1"/>
    <row r="660" s="248" customFormat="1" ht="15.75" customHeight="1"/>
    <row r="661" s="248" customFormat="1" ht="15.75" customHeight="1"/>
    <row r="662" s="248" customFormat="1" ht="15.75" customHeight="1"/>
    <row r="663" s="248" customFormat="1" ht="15.75" customHeight="1"/>
    <row r="664" s="248" customFormat="1" ht="15.75" customHeight="1"/>
    <row r="665" s="248" customFormat="1" ht="15.75" customHeight="1"/>
    <row r="666" s="248" customFormat="1" ht="15.75" customHeight="1"/>
    <row r="667" s="248" customFormat="1" ht="15.75" customHeight="1"/>
    <row r="668" s="248" customFormat="1" ht="15.75" customHeight="1"/>
    <row r="669" s="248" customFormat="1" ht="15.75" customHeight="1"/>
    <row r="670" s="248" customFormat="1" ht="15.75" customHeight="1"/>
    <row r="671" s="248" customFormat="1" ht="15.75" customHeight="1"/>
    <row r="672" s="248" customFormat="1" ht="15.75" customHeight="1"/>
    <row r="673" s="248" customFormat="1" ht="15.75" customHeight="1"/>
    <row r="674" s="248" customFormat="1" ht="15.75" customHeight="1"/>
    <row r="675" s="248" customFormat="1" ht="15.75" customHeight="1"/>
    <row r="676" s="248" customFormat="1" ht="15.75" customHeight="1"/>
    <row r="677" s="248" customFormat="1" ht="15.75" customHeight="1"/>
    <row r="678" s="248" customFormat="1" ht="15.75" customHeight="1"/>
    <row r="679" s="248" customFormat="1" ht="15.75" customHeight="1"/>
    <row r="680" s="248" customFormat="1" ht="15.75" customHeight="1"/>
    <row r="681" s="248" customFormat="1" ht="15.75" customHeight="1"/>
    <row r="682" s="248" customFormat="1" ht="15.75" customHeight="1"/>
    <row r="683" s="248" customFormat="1" ht="15.75" customHeight="1"/>
    <row r="684" s="248" customFormat="1" ht="15.75" customHeight="1"/>
    <row r="685" s="248" customFormat="1" ht="15.75" customHeight="1"/>
    <row r="686" s="248" customFormat="1" ht="15.75" customHeight="1"/>
    <row r="687" s="248" customFormat="1" ht="15.75" customHeight="1"/>
    <row r="688" s="248" customFormat="1" ht="15.75" customHeight="1"/>
    <row r="689" s="248" customFormat="1" ht="15.75" customHeight="1"/>
    <row r="690" s="248" customFormat="1" ht="15.75" customHeight="1"/>
    <row r="691" s="248" customFormat="1" ht="15.75" customHeight="1"/>
    <row r="692" s="248" customFormat="1" ht="15.75" customHeight="1"/>
    <row r="693" s="248" customFormat="1" ht="15.75" customHeight="1"/>
    <row r="694" s="248" customFormat="1" ht="15.75" customHeight="1"/>
    <row r="695" s="248" customFormat="1" ht="15.75" customHeight="1"/>
    <row r="696" s="248" customFormat="1" ht="15.75" customHeight="1"/>
    <row r="697" s="248" customFormat="1" ht="15.75" customHeight="1"/>
    <row r="698" s="248" customFormat="1" ht="15.75" customHeight="1"/>
    <row r="699" s="248" customFormat="1" ht="15.75" customHeight="1"/>
    <row r="700" s="248" customFormat="1" ht="15.75" customHeight="1"/>
    <row r="701" s="248" customFormat="1" ht="15.75" customHeight="1"/>
    <row r="702" s="248" customFormat="1" ht="15.75" customHeight="1"/>
    <row r="703" s="248" customFormat="1" ht="15.75" customHeight="1"/>
    <row r="704" s="248" customFormat="1" ht="15.75" customHeight="1"/>
    <row r="705" s="248" customFormat="1" ht="15.75" customHeight="1"/>
    <row r="706" s="248" customFormat="1" ht="15.75" customHeight="1"/>
    <row r="707" s="248" customFormat="1" ht="15.75" customHeight="1"/>
    <row r="708" s="248" customFormat="1" ht="15.75" customHeight="1"/>
    <row r="709" s="248" customFormat="1" ht="15.75" customHeight="1"/>
    <row r="710" s="248" customFormat="1" ht="15.75" customHeight="1"/>
    <row r="711" s="248" customFormat="1" ht="15.75" customHeight="1"/>
    <row r="712" s="248" customFormat="1" ht="15.75" customHeight="1"/>
    <row r="713" s="248" customFormat="1" ht="15.75" customHeight="1"/>
    <row r="714" s="248" customFormat="1" ht="15.75" customHeight="1"/>
    <row r="715" s="248" customFormat="1" ht="15.75" customHeight="1"/>
    <row r="716" s="248" customFormat="1" ht="15.75" customHeight="1"/>
    <row r="717" s="248" customFormat="1" ht="15.75" customHeight="1"/>
    <row r="718" s="248" customFormat="1" ht="15.75" customHeight="1"/>
    <row r="719" s="248" customFormat="1" ht="15.75" customHeight="1"/>
    <row r="720" s="248" customFormat="1" ht="15.75" customHeight="1"/>
    <row r="721" s="248" customFormat="1" ht="15.75" customHeight="1"/>
    <row r="722" s="248" customFormat="1" ht="15.75" customHeight="1"/>
    <row r="723" s="248" customFormat="1" ht="15.75" customHeight="1"/>
    <row r="724" s="248" customFormat="1" ht="15.75" customHeight="1"/>
    <row r="725" s="248" customFormat="1" ht="15.75" customHeight="1"/>
    <row r="726" s="248" customFormat="1" ht="15.75" customHeight="1"/>
    <row r="727" s="248" customFormat="1" ht="15.75" customHeight="1"/>
    <row r="728" s="248" customFormat="1" ht="15.75" customHeight="1"/>
    <row r="729" s="248" customFormat="1" ht="15.75" customHeight="1"/>
    <row r="730" s="248" customFormat="1" ht="15.75" customHeight="1"/>
    <row r="731" s="248" customFormat="1" ht="15.75" customHeight="1"/>
    <row r="732" s="248" customFormat="1" ht="15.75" customHeight="1"/>
    <row r="733" s="248" customFormat="1" ht="15.75" customHeight="1"/>
    <row r="734" s="248" customFormat="1" ht="15.75" customHeight="1"/>
    <row r="735" s="248" customFormat="1" ht="15.75" customHeight="1"/>
    <row r="736" s="248" customFormat="1" ht="15.75" customHeight="1"/>
    <row r="737" s="248" customFormat="1" ht="15.75" customHeight="1"/>
    <row r="738" s="248" customFormat="1" ht="15.75" customHeight="1"/>
    <row r="739" s="248" customFormat="1" ht="15.75" customHeight="1"/>
    <row r="740" s="248" customFormat="1" ht="15.75" customHeight="1"/>
    <row r="741" s="248" customFormat="1" ht="15.75" customHeight="1"/>
    <row r="742" s="248" customFormat="1" ht="15.75" customHeight="1"/>
    <row r="743" s="248" customFormat="1" ht="15.75" customHeight="1"/>
    <row r="744" s="248" customFormat="1" ht="15.75" customHeight="1"/>
    <row r="745" s="248" customFormat="1" ht="15.75" customHeight="1"/>
    <row r="746" s="248" customFormat="1" ht="15.75" customHeight="1"/>
    <row r="747" s="248" customFormat="1" ht="15.75" customHeight="1"/>
    <row r="748" s="248" customFormat="1" ht="15.75" customHeight="1"/>
    <row r="749" s="248" customFormat="1" ht="15.75" customHeight="1"/>
    <row r="750" s="248" customFormat="1" ht="15.75" customHeight="1"/>
    <row r="751" s="248" customFormat="1" ht="15.75" customHeight="1"/>
    <row r="752" s="248" customFormat="1" ht="15.75" customHeight="1"/>
    <row r="753" s="248" customFormat="1" ht="15.75" customHeight="1"/>
    <row r="754" s="248" customFormat="1" ht="15.75" customHeight="1"/>
    <row r="755" s="248" customFormat="1" ht="15.75" customHeight="1"/>
    <row r="756" s="248" customFormat="1" ht="15.75" customHeight="1"/>
    <row r="757" s="248" customFormat="1" ht="15.75" customHeight="1"/>
    <row r="758" s="248" customFormat="1" ht="15.75" customHeight="1"/>
    <row r="759" s="248" customFormat="1" ht="15.75" customHeight="1"/>
    <row r="760" s="248" customFormat="1" ht="15.75" customHeight="1"/>
    <row r="761" s="248" customFormat="1" ht="15.75" customHeight="1"/>
    <row r="762" s="248" customFormat="1" ht="15.75" customHeight="1"/>
    <row r="763" s="248" customFormat="1" ht="15.75" customHeight="1"/>
    <row r="764" s="248" customFormat="1" ht="15.75" customHeight="1"/>
    <row r="765" s="248" customFormat="1" ht="15.75" customHeight="1"/>
    <row r="766" s="248" customFormat="1" ht="15.75" customHeight="1"/>
    <row r="767" s="248" customFormat="1" ht="15.75" customHeight="1"/>
    <row r="768" s="248" customFormat="1" ht="15.75" customHeight="1"/>
    <row r="769" s="248" customFormat="1" ht="15.75" customHeight="1"/>
    <row r="770" s="248" customFormat="1" ht="15.75" customHeight="1"/>
    <row r="771" s="248" customFormat="1" ht="15.75" customHeight="1"/>
    <row r="772" s="248" customFormat="1" ht="15.75" customHeight="1"/>
    <row r="773" s="248" customFormat="1" ht="15.75" customHeight="1"/>
    <row r="774" s="248" customFormat="1" ht="15.75" customHeight="1"/>
    <row r="775" s="248" customFormat="1" ht="15.75" customHeight="1"/>
    <row r="776" s="248" customFormat="1" ht="15.75" customHeight="1"/>
    <row r="777" s="248" customFormat="1" ht="15.75" customHeight="1"/>
    <row r="778" s="248" customFormat="1" ht="15.75" customHeight="1"/>
    <row r="779" s="248" customFormat="1" ht="15.75" customHeight="1"/>
    <row r="780" s="248" customFormat="1" ht="15.75" customHeight="1"/>
    <row r="781" s="248" customFormat="1" ht="15.75" customHeight="1"/>
    <row r="782" s="248" customFormat="1" ht="15.75" customHeight="1"/>
    <row r="783" s="248" customFormat="1" ht="15.75" customHeight="1"/>
    <row r="784" s="248" customFormat="1" ht="15.75" customHeight="1"/>
    <row r="785" s="248" customFormat="1" ht="15.75" customHeight="1"/>
    <row r="786" s="248" customFormat="1" ht="15.75" customHeight="1"/>
    <row r="787" s="248" customFormat="1" ht="15.75" customHeight="1"/>
    <row r="788" s="248" customFormat="1" ht="15.75" customHeight="1"/>
    <row r="789" s="248" customFormat="1" ht="15.75" customHeight="1"/>
    <row r="790" s="248" customFormat="1" ht="15.75" customHeight="1"/>
    <row r="791" s="248" customFormat="1" ht="15.75" customHeight="1"/>
    <row r="792" s="248" customFormat="1" ht="15.75" customHeight="1"/>
    <row r="793" s="248" customFormat="1" ht="15.75" customHeight="1"/>
    <row r="794" s="248" customFormat="1" ht="15.75" customHeight="1"/>
    <row r="795" s="248" customFormat="1" ht="15.75" customHeight="1"/>
    <row r="796" s="248" customFormat="1" ht="15.75" customHeight="1"/>
    <row r="797" s="248" customFormat="1" ht="15.75" customHeight="1"/>
    <row r="798" s="248" customFormat="1" ht="15.75" customHeight="1"/>
    <row r="799" s="248" customFormat="1" ht="15.75" customHeight="1"/>
    <row r="800" s="248" customFormat="1" ht="15.75" customHeight="1"/>
    <row r="801" s="248" customFormat="1" ht="15.75" customHeight="1"/>
    <row r="802" s="248" customFormat="1" ht="15.75" customHeight="1"/>
    <row r="803" s="248" customFormat="1" ht="15.75" customHeight="1"/>
    <row r="804" s="248" customFormat="1" ht="15.75" customHeight="1"/>
    <row r="805" s="248" customFormat="1" ht="15.75" customHeight="1"/>
    <row r="806" s="248" customFormat="1" ht="15.75" customHeight="1"/>
    <row r="807" s="248" customFormat="1" ht="15.75" customHeight="1"/>
    <row r="808" s="248" customFormat="1" ht="15.75" customHeight="1"/>
    <row r="809" s="248" customFormat="1" ht="15.75" customHeight="1"/>
    <row r="810" s="248" customFormat="1" ht="15.75" customHeight="1"/>
    <row r="811" s="248" customFormat="1" ht="15.75" customHeight="1"/>
    <row r="812" s="248" customFormat="1" ht="15.75" customHeight="1"/>
    <row r="813" s="248" customFormat="1" ht="15.75" customHeight="1"/>
    <row r="814" s="248" customFormat="1" ht="15.75" customHeight="1"/>
    <row r="815" s="248" customFormat="1" ht="15.75" customHeight="1"/>
    <row r="816" s="248" customFormat="1" ht="15.75" customHeight="1"/>
    <row r="817" s="248" customFormat="1" ht="15.75" customHeight="1"/>
    <row r="818" s="248" customFormat="1" ht="15.75" customHeight="1"/>
    <row r="819" s="248" customFormat="1" ht="15.75" customHeight="1"/>
    <row r="820" s="248" customFormat="1" ht="15.75" customHeight="1"/>
    <row r="821" s="248" customFormat="1" ht="15.75" customHeight="1"/>
    <row r="822" s="248" customFormat="1" ht="15.75" customHeight="1"/>
    <row r="823" s="248" customFormat="1" ht="15.75" customHeight="1"/>
    <row r="824" s="248" customFormat="1" ht="15.75" customHeight="1"/>
    <row r="825" s="248" customFormat="1" ht="15.75" customHeight="1"/>
    <row r="826" s="248" customFormat="1" ht="15.75" customHeight="1"/>
    <row r="827" s="248" customFormat="1" ht="15.75" customHeight="1"/>
    <row r="828" s="248" customFormat="1" ht="15.75" customHeight="1"/>
    <row r="829" s="248" customFormat="1" ht="15.75" customHeight="1"/>
    <row r="830" s="248" customFormat="1" ht="15.75" customHeight="1"/>
    <row r="831" s="248" customFormat="1" ht="15.75" customHeight="1"/>
    <row r="832" s="248" customFormat="1" ht="15.75" customHeight="1"/>
    <row r="833" s="248" customFormat="1" ht="15.75" customHeight="1"/>
    <row r="834" s="248" customFormat="1" ht="15.75" customHeight="1"/>
    <row r="835" s="248" customFormat="1" ht="15.75" customHeight="1"/>
    <row r="836" s="248" customFormat="1" ht="15.75" customHeight="1"/>
    <row r="837" s="248" customFormat="1" ht="15.75" customHeight="1"/>
    <row r="838" s="248" customFormat="1" ht="15.75" customHeight="1"/>
    <row r="839" s="248" customFormat="1" ht="15.75" customHeight="1"/>
    <row r="840" s="248" customFormat="1" ht="15.75" customHeight="1"/>
    <row r="841" s="248" customFormat="1" ht="15.75" customHeight="1"/>
    <row r="842" s="248" customFormat="1" ht="15.75" customHeight="1"/>
    <row r="843" s="248" customFormat="1" ht="15.75" customHeight="1"/>
    <row r="844" s="248" customFormat="1" ht="15.75" customHeight="1"/>
    <row r="845" s="248" customFormat="1" ht="15.75" customHeight="1"/>
    <row r="846" s="248" customFormat="1" ht="15.75" customHeight="1"/>
    <row r="847" s="248" customFormat="1" ht="15.75" customHeight="1"/>
    <row r="848" s="248" customFormat="1" ht="15.75" customHeight="1"/>
    <row r="849" s="248" customFormat="1" ht="15.75" customHeight="1"/>
    <row r="850" s="248" customFormat="1" ht="15.75" customHeight="1"/>
    <row r="851" s="248" customFormat="1" ht="15.75" customHeight="1"/>
    <row r="852" s="248" customFormat="1" ht="15.75" customHeight="1"/>
    <row r="853" s="248" customFormat="1" ht="15.75" customHeight="1"/>
    <row r="854" s="248" customFormat="1" ht="15.75" customHeight="1"/>
    <row r="855" s="248" customFormat="1" ht="15.75" customHeight="1"/>
    <row r="856" s="248" customFormat="1" ht="15.75" customHeight="1"/>
    <row r="857" s="248" customFormat="1" ht="15.75" customHeight="1"/>
    <row r="858" s="248" customFormat="1" ht="15.75" customHeight="1"/>
    <row r="859" s="248" customFormat="1" ht="15.75" customHeight="1"/>
    <row r="860" s="248" customFormat="1" ht="15.75" customHeight="1"/>
    <row r="861" s="248" customFormat="1" ht="15.75" customHeight="1"/>
    <row r="862" s="248" customFormat="1" ht="15.75" customHeight="1"/>
    <row r="863" s="248" customFormat="1" ht="15.75" customHeight="1"/>
    <row r="864" s="248" customFormat="1" ht="15.75" customHeight="1"/>
    <row r="865" s="248" customFormat="1" ht="15.75" customHeight="1"/>
    <row r="866" s="248" customFormat="1" ht="15.75" customHeight="1"/>
    <row r="867" s="248" customFormat="1" ht="15.75" customHeight="1"/>
    <row r="868" s="248" customFormat="1" ht="15.75" customHeight="1"/>
    <row r="869" s="248" customFormat="1" ht="15.75" customHeight="1"/>
    <row r="870" s="248" customFormat="1" ht="15.75" customHeight="1"/>
    <row r="871" s="248" customFormat="1" ht="15.75" customHeight="1"/>
    <row r="872" s="248" customFormat="1" ht="15.75" customHeight="1"/>
    <row r="873" s="248" customFormat="1" ht="15.75" customHeight="1"/>
    <row r="874" s="248" customFormat="1" ht="15.75" customHeight="1"/>
    <row r="875" s="248" customFormat="1" ht="15.75" customHeight="1"/>
    <row r="876" s="248" customFormat="1" ht="15.75" customHeight="1"/>
    <row r="877" s="248" customFormat="1" ht="15.75" customHeight="1"/>
    <row r="878" s="248" customFormat="1" ht="15.75" customHeight="1"/>
    <row r="879" s="248" customFormat="1" ht="15.75" customHeight="1"/>
    <row r="880" s="248" customFormat="1" ht="15.75" customHeight="1"/>
    <row r="881" s="248" customFormat="1" ht="15.75" customHeight="1"/>
    <row r="882" s="248" customFormat="1" ht="15.75" customHeight="1"/>
    <row r="883" s="248" customFormat="1" ht="15.75" customHeight="1"/>
    <row r="884" s="248" customFormat="1" ht="15.75" customHeight="1"/>
    <row r="885" s="248" customFormat="1" ht="15.75" customHeight="1"/>
    <row r="886" s="248" customFormat="1" ht="15.75" customHeight="1"/>
    <row r="887" s="248" customFormat="1" ht="15.75" customHeight="1"/>
    <row r="888" s="248" customFormat="1" ht="15.75" customHeight="1"/>
    <row r="889" s="248" customFormat="1" ht="15.75" customHeight="1"/>
    <row r="890" s="248" customFormat="1" ht="15.75" customHeight="1"/>
    <row r="891" s="248" customFormat="1" ht="15.75" customHeight="1"/>
    <row r="892" s="248" customFormat="1" ht="15.75" customHeight="1"/>
    <row r="893" s="248" customFormat="1" ht="15.75" customHeight="1"/>
    <row r="894" s="248" customFormat="1" ht="15.75" customHeight="1"/>
    <row r="895" s="248" customFormat="1" ht="15.75" customHeight="1"/>
    <row r="896" s="248" customFormat="1" ht="15.75" customHeight="1"/>
    <row r="897" s="248" customFormat="1" ht="15.75" customHeight="1"/>
    <row r="898" s="248" customFormat="1" ht="15.75" customHeight="1"/>
    <row r="899" s="248" customFormat="1" ht="15.75" customHeight="1"/>
    <row r="900" s="248" customFormat="1" ht="15.75" customHeight="1"/>
    <row r="901" s="248" customFormat="1" ht="15.75" customHeight="1"/>
    <row r="902" s="248" customFormat="1" ht="15.75" customHeight="1"/>
    <row r="903" s="248" customFormat="1" ht="15.75" customHeight="1"/>
    <row r="904" s="248" customFormat="1" ht="15.75" customHeight="1"/>
    <row r="905" s="248" customFormat="1" ht="15.75" customHeight="1"/>
    <row r="906" s="248" customFormat="1" ht="15.75" customHeight="1"/>
    <row r="907" s="248" customFormat="1" ht="15.75" customHeight="1"/>
    <row r="908" s="248" customFormat="1" ht="15.75" customHeight="1"/>
    <row r="909" s="248" customFormat="1" ht="15.75" customHeight="1"/>
    <row r="910" s="248" customFormat="1" ht="15.75" customHeight="1"/>
    <row r="911" s="248" customFormat="1" ht="15.75" customHeight="1"/>
    <row r="912" s="248" customFormat="1" ht="15.75" customHeight="1"/>
    <row r="913" s="248" customFormat="1" ht="15.75" customHeight="1"/>
    <row r="914" s="248" customFormat="1" ht="15.75" customHeight="1"/>
    <row r="915" s="248" customFormat="1" ht="15.75" customHeight="1"/>
  </sheetData>
  <sheetProtection insertRows="0"/>
  <mergeCells count="13">
    <mergeCell ref="B8:B9"/>
    <mergeCell ref="B2:AE2"/>
    <mergeCell ref="B4:AE4"/>
    <mergeCell ref="B6:B7"/>
    <mergeCell ref="C6:C7"/>
    <mergeCell ref="E6:E7"/>
    <mergeCell ref="F6:S6"/>
    <mergeCell ref="T6:U6"/>
    <mergeCell ref="V6:Y6"/>
    <mergeCell ref="Z6:AD6"/>
    <mergeCell ref="V7:W7"/>
    <mergeCell ref="Z7:AA7"/>
    <mergeCell ref="D6:D7"/>
  </mergeCell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A02899-9367-46D2-8486-5AF38C5D573B}">
          <x14:formula1>
            <xm:f>'A3-Valores por defecto'!$B$59:$B$60</xm:f>
          </x14:formula1>
          <xm:sqref>C8:C9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E1B3-8A63-4B01-B810-E61AB8100174}">
  <sheetPr>
    <tabColor theme="7"/>
    <outlinePr summaryBelow="0" summaryRight="0"/>
  </sheetPr>
  <dimension ref="A1:AK944"/>
  <sheetViews>
    <sheetView showGridLines="0" zoomScale="80" zoomScaleNormal="80" workbookViewId="0">
      <pane xSplit="2" topLeftCell="O1" activePane="topRight" state="frozen"/>
      <selection pane="topRight" sqref="A1:XFD1048576"/>
    </sheetView>
  </sheetViews>
  <sheetFormatPr baseColWidth="10" defaultColWidth="14.44140625" defaultRowHeight="15" customHeight="1"/>
  <cols>
    <col min="1" max="1" width="8.109375" style="265" customWidth="1"/>
    <col min="2" max="2" width="48.88671875" style="265" customWidth="1"/>
    <col min="3" max="4" width="30.5546875" style="265" customWidth="1"/>
    <col min="5" max="18" width="14.44140625" style="265"/>
    <col min="19" max="24" width="0" style="265" hidden="1" customWidth="1"/>
    <col min="25" max="36" width="14.44140625" style="265"/>
    <col min="37" max="37" width="17.44140625" style="265" customWidth="1"/>
    <col min="38" max="16384" width="14.44140625" style="265"/>
  </cols>
  <sheetData>
    <row r="1" spans="1:37" ht="45.75" customHeight="1"/>
    <row r="2" spans="1:37" ht="42" customHeight="1">
      <c r="B2" s="756" t="s">
        <v>170</v>
      </c>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row>
    <row r="3" spans="1:37" ht="23.25" customHeight="1">
      <c r="A3" s="266"/>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7"/>
    </row>
    <row r="4" spans="1:37" ht="21" customHeight="1">
      <c r="B4" s="758" t="s">
        <v>180</v>
      </c>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c r="AI4" s="759"/>
      <c r="AJ4" s="759"/>
      <c r="AK4" s="759"/>
    </row>
    <row r="5" spans="1:37" ht="15" customHeight="1">
      <c r="B5" s="75"/>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row>
    <row r="6" spans="1:37" ht="54.75" customHeight="1">
      <c r="B6" s="760" t="s">
        <v>10</v>
      </c>
      <c r="C6" s="760" t="s">
        <v>11</v>
      </c>
      <c r="D6" s="762" t="s">
        <v>661</v>
      </c>
      <c r="E6" s="760" t="s">
        <v>12</v>
      </c>
      <c r="F6" s="760" t="s">
        <v>13</v>
      </c>
      <c r="G6" s="761"/>
      <c r="H6" s="761"/>
      <c r="I6" s="761"/>
      <c r="J6" s="761"/>
      <c r="K6" s="761"/>
      <c r="L6" s="761"/>
      <c r="M6" s="761"/>
      <c r="N6" s="761"/>
      <c r="O6" s="761"/>
      <c r="P6" s="761"/>
      <c r="Q6" s="761"/>
      <c r="R6" s="761"/>
      <c r="S6" s="761"/>
      <c r="T6" s="760" t="s">
        <v>14</v>
      </c>
      <c r="U6" s="761"/>
      <c r="V6" s="761"/>
      <c r="W6" s="761"/>
      <c r="X6" s="761"/>
      <c r="Y6" s="698" t="s">
        <v>692</v>
      </c>
      <c r="Z6" s="699"/>
      <c r="AA6" s="699"/>
      <c r="AB6" s="699"/>
      <c r="AC6" s="698" t="s">
        <v>693</v>
      </c>
      <c r="AD6" s="699"/>
      <c r="AE6" s="699"/>
      <c r="AF6" s="699"/>
      <c r="AG6" s="698" t="s">
        <v>694</v>
      </c>
      <c r="AH6" s="699"/>
      <c r="AI6" s="699"/>
      <c r="AJ6" s="699"/>
      <c r="AK6" s="127" t="s">
        <v>172</v>
      </c>
    </row>
    <row r="7" spans="1:37" ht="54.75" customHeight="1">
      <c r="B7" s="761"/>
      <c r="C7" s="761"/>
      <c r="D7" s="763"/>
      <c r="E7" s="761"/>
      <c r="F7" s="76" t="s">
        <v>18</v>
      </c>
      <c r="G7" s="76" t="s">
        <v>19</v>
      </c>
      <c r="H7" s="76" t="s">
        <v>20</v>
      </c>
      <c r="I7" s="76" t="s">
        <v>21</v>
      </c>
      <c r="J7" s="76" t="s">
        <v>22</v>
      </c>
      <c r="K7" s="76" t="s">
        <v>23</v>
      </c>
      <c r="L7" s="76" t="s">
        <v>24</v>
      </c>
      <c r="M7" s="76" t="s">
        <v>25</v>
      </c>
      <c r="N7" s="76" t="s">
        <v>26</v>
      </c>
      <c r="O7" s="76" t="s">
        <v>27</v>
      </c>
      <c r="P7" s="76" t="s">
        <v>28</v>
      </c>
      <c r="Q7" s="76" t="s">
        <v>29</v>
      </c>
      <c r="R7" s="126" t="s">
        <v>30</v>
      </c>
      <c r="S7" s="76" t="s">
        <v>31</v>
      </c>
      <c r="T7" s="76" t="s">
        <v>32</v>
      </c>
      <c r="U7" s="128" t="s">
        <v>33</v>
      </c>
      <c r="V7" s="76" t="s">
        <v>34</v>
      </c>
      <c r="W7" s="128" t="s">
        <v>35</v>
      </c>
      <c r="X7" s="128" t="s">
        <v>36</v>
      </c>
      <c r="Y7" s="699" t="s">
        <v>695</v>
      </c>
      <c r="Z7" s="699"/>
      <c r="AA7" s="200" t="s">
        <v>696</v>
      </c>
      <c r="AB7" s="200" t="s">
        <v>697</v>
      </c>
      <c r="AC7" s="699" t="s">
        <v>698</v>
      </c>
      <c r="AD7" s="699"/>
      <c r="AE7" s="200" t="s">
        <v>699</v>
      </c>
      <c r="AF7" s="200" t="s">
        <v>700</v>
      </c>
      <c r="AG7" s="699" t="s">
        <v>701</v>
      </c>
      <c r="AH7" s="699"/>
      <c r="AI7" s="200" t="s">
        <v>702</v>
      </c>
      <c r="AJ7" s="200" t="s">
        <v>703</v>
      </c>
      <c r="AK7" s="128" t="s">
        <v>173</v>
      </c>
    </row>
    <row r="8" spans="1:37" s="269" customFormat="1" ht="15" customHeight="1">
      <c r="B8" s="764" t="s">
        <v>503</v>
      </c>
      <c r="C8" s="104" t="s">
        <v>233</v>
      </c>
      <c r="D8" s="108"/>
      <c r="E8" s="105" t="str">
        <f>VLOOKUP($C8,'A3-Valores por defecto'!$B$69:$E$73,2,FALSE)</f>
        <v>Toneladas</v>
      </c>
      <c r="F8" s="106"/>
      <c r="G8" s="106"/>
      <c r="H8" s="106"/>
      <c r="I8" s="106"/>
      <c r="J8" s="106"/>
      <c r="K8" s="106"/>
      <c r="L8" s="106"/>
      <c r="M8" s="106"/>
      <c r="N8" s="106"/>
      <c r="O8" s="106"/>
      <c r="P8" s="106"/>
      <c r="Q8" s="106"/>
      <c r="R8" s="107">
        <f t="shared" ref="R8:R40" si="0">SUM(F8:Q8)</f>
        <v>0</v>
      </c>
      <c r="S8" s="107">
        <f t="shared" ref="S8:S40" si="1">COUNT(F8:Q8)</f>
        <v>0</v>
      </c>
      <c r="T8" s="107">
        <f t="shared" ref="T8:T40" si="2">IF(S8&gt;1,AVERAGE(F8:Q8),0)</f>
        <v>0</v>
      </c>
      <c r="U8" s="107">
        <f>IF(S8&gt;1,STDEV(F8:Q8),0)</f>
        <v>0</v>
      </c>
      <c r="V8" s="107"/>
      <c r="W8" s="107"/>
      <c r="X8" s="107"/>
      <c r="Y8" s="107">
        <f>VLOOKUP($C8,'A3-Valores por defecto'!$B$69:$E$73,4,FALSE)</f>
        <v>21.293565891472866</v>
      </c>
      <c r="Z8" s="105" t="str">
        <f>VLOOKUP($C8,'A3-Valores por defecto'!$B$69:$E$73,3,FALSE)</f>
        <v>kg CO2e</v>
      </c>
      <c r="AA8" s="107"/>
      <c r="AB8" s="107">
        <f>($R8*$Y8)/1000</f>
        <v>0</v>
      </c>
      <c r="AC8" s="107"/>
      <c r="AD8" s="107"/>
      <c r="AE8" s="107"/>
      <c r="AF8" s="107"/>
      <c r="AG8" s="107"/>
      <c r="AH8" s="107"/>
      <c r="AI8" s="107"/>
      <c r="AJ8" s="107"/>
      <c r="AK8" s="107">
        <f t="shared" ref="AK8:AK40" si="3">AB8+AF8+AJ8</f>
        <v>0</v>
      </c>
    </row>
    <row r="9" spans="1:37" s="269" customFormat="1" ht="15" customHeight="1">
      <c r="B9" s="765"/>
      <c r="C9" s="104" t="s">
        <v>232</v>
      </c>
      <c r="D9" s="108"/>
      <c r="E9" s="105" t="str">
        <f>VLOOKUP($C9,'A3-Valores por defecto'!$B$69:$E$73,2,FALSE)</f>
        <v>Toneladas</v>
      </c>
      <c r="F9" s="106"/>
      <c r="G9" s="106"/>
      <c r="H9" s="106"/>
      <c r="I9" s="106"/>
      <c r="J9" s="106"/>
      <c r="K9" s="106"/>
      <c r="L9" s="106"/>
      <c r="M9" s="106"/>
      <c r="N9" s="106"/>
      <c r="O9" s="106"/>
      <c r="P9" s="106"/>
      <c r="Q9" s="106"/>
      <c r="R9" s="107">
        <f t="shared" si="0"/>
        <v>0</v>
      </c>
      <c r="S9" s="107">
        <f t="shared" si="1"/>
        <v>0</v>
      </c>
      <c r="T9" s="107">
        <f t="shared" si="2"/>
        <v>0</v>
      </c>
      <c r="U9" s="107">
        <f t="shared" ref="U9:U40" si="4">IF(S9&gt;1,STDEV(F9:Q9),0)</f>
        <v>0</v>
      </c>
      <c r="V9" s="107"/>
      <c r="W9" s="107"/>
      <c r="X9" s="107"/>
      <c r="Y9" s="107">
        <f>VLOOKUP($C9,'A3-Valores por defecto'!$B$69:$E$73,4,FALSE)</f>
        <v>0.98914159999999995</v>
      </c>
      <c r="Z9" s="105" t="str">
        <f>VLOOKUP($C9,'A3-Valores por defecto'!$B$69:$E$73,3,FALSE)</f>
        <v>kg CO2e</v>
      </c>
      <c r="AA9" s="107"/>
      <c r="AB9" s="107">
        <f t="shared" ref="AB9:AB40" si="5">($R9*$Y9)/1000</f>
        <v>0</v>
      </c>
      <c r="AC9" s="107"/>
      <c r="AD9" s="107"/>
      <c r="AE9" s="107"/>
      <c r="AF9" s="107"/>
      <c r="AG9" s="107"/>
      <c r="AH9" s="107"/>
      <c r="AI9" s="107"/>
      <c r="AJ9" s="107"/>
      <c r="AK9" s="107">
        <f t="shared" si="3"/>
        <v>0</v>
      </c>
    </row>
    <row r="10" spans="1:37" s="269" customFormat="1" ht="15" customHeight="1">
      <c r="B10" s="765"/>
      <c r="C10" s="104" t="s">
        <v>234</v>
      </c>
      <c r="D10" s="108"/>
      <c r="E10" s="105" t="str">
        <f>VLOOKUP($C10,'A3-Valores por defecto'!$B$69:$E$73,2,FALSE)</f>
        <v>Toneladas</v>
      </c>
      <c r="F10" s="106"/>
      <c r="G10" s="106"/>
      <c r="H10" s="106"/>
      <c r="I10" s="106"/>
      <c r="J10" s="106"/>
      <c r="K10" s="106"/>
      <c r="L10" s="106"/>
      <c r="M10" s="106"/>
      <c r="N10" s="106"/>
      <c r="O10" s="106"/>
      <c r="P10" s="106"/>
      <c r="Q10" s="106"/>
      <c r="R10" s="107">
        <f t="shared" si="0"/>
        <v>0</v>
      </c>
      <c r="S10" s="107">
        <f t="shared" si="1"/>
        <v>0</v>
      </c>
      <c r="T10" s="107">
        <f t="shared" si="2"/>
        <v>0</v>
      </c>
      <c r="U10" s="107">
        <f t="shared" si="4"/>
        <v>0</v>
      </c>
      <c r="V10" s="107"/>
      <c r="W10" s="107"/>
      <c r="X10" s="107"/>
      <c r="Y10" s="107">
        <f>VLOOKUP($C10,'A3-Valores por defecto'!$B$69:$E$73,4,FALSE)</f>
        <v>21.293565891472866</v>
      </c>
      <c r="Z10" s="105" t="str">
        <f>VLOOKUP($C10,'A3-Valores por defecto'!$B$69:$E$73,3,FALSE)</f>
        <v>kg CO2e</v>
      </c>
      <c r="AA10" s="107"/>
      <c r="AB10" s="107">
        <f t="shared" si="5"/>
        <v>0</v>
      </c>
      <c r="AC10" s="107"/>
      <c r="AD10" s="107"/>
      <c r="AE10" s="107"/>
      <c r="AF10" s="107"/>
      <c r="AG10" s="107"/>
      <c r="AH10" s="107"/>
      <c r="AI10" s="107"/>
      <c r="AJ10" s="107"/>
      <c r="AK10" s="107">
        <f t="shared" si="3"/>
        <v>0</v>
      </c>
    </row>
    <row r="11" spans="1:37" s="269" customFormat="1" ht="15" customHeight="1">
      <c r="B11" s="765"/>
      <c r="C11" s="104" t="s">
        <v>235</v>
      </c>
      <c r="D11" s="108"/>
      <c r="E11" s="105" t="str">
        <f>VLOOKUP($C11,'A3-Valores por defecto'!$B$69:$E$73,2,FALSE)</f>
        <v>Toneladas</v>
      </c>
      <c r="F11" s="106"/>
      <c r="G11" s="106"/>
      <c r="H11" s="106"/>
      <c r="I11" s="106"/>
      <c r="J11" s="106"/>
      <c r="K11" s="106"/>
      <c r="L11" s="106"/>
      <c r="M11" s="106"/>
      <c r="N11" s="106"/>
      <c r="O11" s="106"/>
      <c r="P11" s="106"/>
      <c r="Q11" s="106"/>
      <c r="R11" s="107">
        <f t="shared" si="0"/>
        <v>0</v>
      </c>
      <c r="S11" s="107"/>
      <c r="T11" s="107"/>
      <c r="U11" s="107"/>
      <c r="V11" s="107"/>
      <c r="W11" s="107"/>
      <c r="X11" s="107"/>
      <c r="Y11" s="107">
        <f>VLOOKUP($C11,'A3-Valores por defecto'!$B$69:$E$73,4,FALSE)</f>
        <v>21.293565891472866</v>
      </c>
      <c r="Z11" s="105" t="str">
        <f>VLOOKUP($C11,'A3-Valores por defecto'!$B$69:$E$73,3,FALSE)</f>
        <v>kg CO2e</v>
      </c>
      <c r="AA11" s="107"/>
      <c r="AB11" s="107">
        <f t="shared" si="5"/>
        <v>0</v>
      </c>
      <c r="AC11" s="107"/>
      <c r="AD11" s="107"/>
      <c r="AE11" s="107"/>
      <c r="AF11" s="107"/>
      <c r="AG11" s="107"/>
      <c r="AH11" s="107"/>
      <c r="AI11" s="107"/>
      <c r="AJ11" s="107"/>
      <c r="AK11" s="107">
        <f t="shared" si="3"/>
        <v>0</v>
      </c>
    </row>
    <row r="12" spans="1:37" s="269" customFormat="1" ht="15" customHeight="1">
      <c r="B12" s="766"/>
      <c r="C12" s="104" t="s">
        <v>236</v>
      </c>
      <c r="D12" s="108"/>
      <c r="E12" s="105" t="str">
        <f>VLOOKUP($C12,'A3-Valores por defecto'!$B$69:$E$73,2,FALSE)</f>
        <v>Toneladas</v>
      </c>
      <c r="F12" s="106"/>
      <c r="G12" s="106"/>
      <c r="H12" s="106"/>
      <c r="I12" s="106"/>
      <c r="J12" s="106"/>
      <c r="K12" s="106"/>
      <c r="L12" s="106"/>
      <c r="M12" s="106"/>
      <c r="N12" s="106"/>
      <c r="O12" s="106"/>
      <c r="P12" s="106"/>
      <c r="Q12" s="106"/>
      <c r="R12" s="107">
        <f t="shared" si="0"/>
        <v>0</v>
      </c>
      <c r="S12" s="107"/>
      <c r="T12" s="107"/>
      <c r="U12" s="107"/>
      <c r="V12" s="107"/>
      <c r="W12" s="107"/>
      <c r="X12" s="107"/>
      <c r="Y12" s="107">
        <f>VLOOKUP($C12,'A3-Valores por defecto'!$B$69:$E$73,4,FALSE)</f>
        <v>21.293565891472866</v>
      </c>
      <c r="Z12" s="105" t="str">
        <f>VLOOKUP($C12,'A3-Valores por defecto'!$B$69:$E$73,3,FALSE)</f>
        <v>kg CO2e</v>
      </c>
      <c r="AA12" s="107"/>
      <c r="AB12" s="107">
        <f t="shared" si="5"/>
        <v>0</v>
      </c>
      <c r="AC12" s="107"/>
      <c r="AD12" s="107"/>
      <c r="AE12" s="107"/>
      <c r="AF12" s="107"/>
      <c r="AG12" s="107"/>
      <c r="AH12" s="107"/>
      <c r="AI12" s="107"/>
      <c r="AJ12" s="107"/>
      <c r="AK12" s="107">
        <f t="shared" si="3"/>
        <v>0</v>
      </c>
    </row>
    <row r="13" spans="1:37" s="269" customFormat="1" ht="15" customHeight="1">
      <c r="B13" s="764" t="s">
        <v>504</v>
      </c>
      <c r="C13" s="104" t="s">
        <v>232</v>
      </c>
      <c r="D13" s="108"/>
      <c r="E13" s="105" t="str">
        <f>VLOOKUP($C13,'A3-Valores por defecto'!$B$74:$E$85,2,FALSE)</f>
        <v>Toneladas</v>
      </c>
      <c r="F13" s="106"/>
      <c r="G13" s="106"/>
      <c r="H13" s="106"/>
      <c r="I13" s="106"/>
      <c r="J13" s="106"/>
      <c r="K13" s="106"/>
      <c r="L13" s="106"/>
      <c r="M13" s="106"/>
      <c r="N13" s="106"/>
      <c r="O13" s="106"/>
      <c r="P13" s="106"/>
      <c r="Q13" s="106"/>
      <c r="R13" s="107">
        <f t="shared" si="0"/>
        <v>0</v>
      </c>
      <c r="S13" s="107">
        <f t="shared" si="1"/>
        <v>0</v>
      </c>
      <c r="T13" s="107">
        <f t="shared" si="2"/>
        <v>0</v>
      </c>
      <c r="U13" s="107">
        <f t="shared" si="4"/>
        <v>0</v>
      </c>
      <c r="V13" s="107"/>
      <c r="W13" s="107"/>
      <c r="X13" s="107"/>
      <c r="Y13" s="107">
        <f>VLOOKUP($C13,'A3-Valores por defecto'!$B$74:$E$85,4,FALSE)</f>
        <v>0.98914159999999995</v>
      </c>
      <c r="Z13" s="105" t="str">
        <f>VLOOKUP($C13,'A3-Valores por defecto'!$B$74:$E$85,3,FALSE)</f>
        <v>kg CO2e</v>
      </c>
      <c r="AA13" s="107"/>
      <c r="AB13" s="107">
        <f t="shared" si="5"/>
        <v>0</v>
      </c>
      <c r="AC13" s="107"/>
      <c r="AD13" s="107"/>
      <c r="AE13" s="107"/>
      <c r="AF13" s="107"/>
      <c r="AG13" s="107"/>
      <c r="AH13" s="107"/>
      <c r="AI13" s="107"/>
      <c r="AJ13" s="107"/>
      <c r="AK13" s="107">
        <f t="shared" si="3"/>
        <v>0</v>
      </c>
    </row>
    <row r="14" spans="1:37" s="269" customFormat="1" ht="15" customHeight="1">
      <c r="B14" s="765"/>
      <c r="C14" s="104" t="s">
        <v>238</v>
      </c>
      <c r="D14" s="108"/>
      <c r="E14" s="105" t="str">
        <f>VLOOKUP($C14,'A3-Valores por defecto'!$B$74:$E$85,2,FALSE)</f>
        <v>Toneladas</v>
      </c>
      <c r="F14" s="106"/>
      <c r="G14" s="106"/>
      <c r="H14" s="106"/>
      <c r="I14" s="106"/>
      <c r="J14" s="106"/>
      <c r="K14" s="106"/>
      <c r="L14" s="106"/>
      <c r="M14" s="106"/>
      <c r="N14" s="106"/>
      <c r="O14" s="106"/>
      <c r="P14" s="106"/>
      <c r="Q14" s="106"/>
      <c r="R14" s="107">
        <f t="shared" si="0"/>
        <v>0</v>
      </c>
      <c r="S14" s="107">
        <f t="shared" si="1"/>
        <v>0</v>
      </c>
      <c r="T14" s="107">
        <f t="shared" si="2"/>
        <v>0</v>
      </c>
      <c r="U14" s="107">
        <f t="shared" si="4"/>
        <v>0</v>
      </c>
      <c r="V14" s="107"/>
      <c r="W14" s="107"/>
      <c r="X14" s="107"/>
      <c r="Y14" s="107">
        <f>VLOOKUP($C14,'A3-Valores por defecto'!$B$74:$E$85,4,FALSE)</f>
        <v>21.293565891472866</v>
      </c>
      <c r="Z14" s="105" t="str">
        <f>VLOOKUP($C14,'A3-Valores por defecto'!$B$74:$E$85,3,FALSE)</f>
        <v>kg CO2e</v>
      </c>
      <c r="AA14" s="107"/>
      <c r="AB14" s="107">
        <f t="shared" si="5"/>
        <v>0</v>
      </c>
      <c r="AC14" s="107"/>
      <c r="AD14" s="107"/>
      <c r="AE14" s="107"/>
      <c r="AF14" s="107"/>
      <c r="AG14" s="107"/>
      <c r="AH14" s="107"/>
      <c r="AI14" s="107"/>
      <c r="AJ14" s="107"/>
      <c r="AK14" s="107">
        <f t="shared" si="3"/>
        <v>0</v>
      </c>
    </row>
    <row r="15" spans="1:37" s="269" customFormat="1" ht="15" customHeight="1">
      <c r="B15" s="765"/>
      <c r="C15" s="104" t="s">
        <v>239</v>
      </c>
      <c r="D15" s="108"/>
      <c r="E15" s="105" t="str">
        <f>VLOOKUP($C15,'A3-Valores por defecto'!$B$74:$E$85,2,FALSE)</f>
        <v>Toneladas</v>
      </c>
      <c r="F15" s="106"/>
      <c r="G15" s="106"/>
      <c r="H15" s="106"/>
      <c r="I15" s="106"/>
      <c r="J15" s="106"/>
      <c r="K15" s="106"/>
      <c r="L15" s="106"/>
      <c r="M15" s="106"/>
      <c r="N15" s="106"/>
      <c r="O15" s="106"/>
      <c r="P15" s="106"/>
      <c r="Q15" s="106"/>
      <c r="R15" s="107">
        <f t="shared" si="0"/>
        <v>0</v>
      </c>
      <c r="S15" s="107">
        <f t="shared" si="1"/>
        <v>0</v>
      </c>
      <c r="T15" s="107">
        <f t="shared" si="2"/>
        <v>0</v>
      </c>
      <c r="U15" s="107">
        <f t="shared" si="4"/>
        <v>0</v>
      </c>
      <c r="V15" s="107"/>
      <c r="W15" s="107"/>
      <c r="X15" s="107"/>
      <c r="Y15" s="107">
        <f>VLOOKUP($C15,'A3-Valores por defecto'!$B$74:$E$85,4,FALSE)</f>
        <v>21.293565891472866</v>
      </c>
      <c r="Z15" s="105" t="str">
        <f>VLOOKUP($C15,'A3-Valores por defecto'!$B$74:$E$85,3,FALSE)</f>
        <v>kg CO2e</v>
      </c>
      <c r="AA15" s="107"/>
      <c r="AB15" s="107">
        <f t="shared" si="5"/>
        <v>0</v>
      </c>
      <c r="AC15" s="107"/>
      <c r="AD15" s="107"/>
      <c r="AE15" s="107"/>
      <c r="AF15" s="107"/>
      <c r="AG15" s="107"/>
      <c r="AH15" s="107"/>
      <c r="AI15" s="107"/>
      <c r="AJ15" s="107"/>
      <c r="AK15" s="107">
        <f t="shared" si="3"/>
        <v>0</v>
      </c>
    </row>
    <row r="16" spans="1:37" s="269" customFormat="1" ht="15" customHeight="1">
      <c r="B16" s="765"/>
      <c r="C16" s="104" t="s">
        <v>240</v>
      </c>
      <c r="D16" s="108"/>
      <c r="E16" s="105" t="str">
        <f>VLOOKUP($C16,'A3-Valores por defecto'!$B$74:$E$85,2,FALSE)</f>
        <v>Toneladas</v>
      </c>
      <c r="F16" s="106"/>
      <c r="G16" s="106"/>
      <c r="H16" s="106"/>
      <c r="I16" s="106"/>
      <c r="J16" s="106"/>
      <c r="K16" s="106"/>
      <c r="L16" s="106"/>
      <c r="M16" s="106"/>
      <c r="N16" s="106"/>
      <c r="O16" s="106"/>
      <c r="P16" s="106"/>
      <c r="Q16" s="106"/>
      <c r="R16" s="107">
        <f t="shared" si="0"/>
        <v>0</v>
      </c>
      <c r="S16" s="107"/>
      <c r="T16" s="107"/>
      <c r="U16" s="107"/>
      <c r="V16" s="107"/>
      <c r="W16" s="107"/>
      <c r="X16" s="107"/>
      <c r="Y16" s="107">
        <f>VLOOKUP($C16,'A3-Valores por defecto'!$B$74:$E$85,4,FALSE)</f>
        <v>21.293565891472866</v>
      </c>
      <c r="Z16" s="105" t="str">
        <f>VLOOKUP($C16,'A3-Valores por defecto'!$B$74:$E$85,3,FALSE)</f>
        <v>kg CO2e</v>
      </c>
      <c r="AA16" s="107"/>
      <c r="AB16" s="107">
        <f t="shared" si="5"/>
        <v>0</v>
      </c>
      <c r="AC16" s="107"/>
      <c r="AD16" s="107"/>
      <c r="AE16" s="107"/>
      <c r="AF16" s="107"/>
      <c r="AG16" s="107"/>
      <c r="AH16" s="107"/>
      <c r="AI16" s="107"/>
      <c r="AJ16" s="107"/>
      <c r="AK16" s="107">
        <f t="shared" si="3"/>
        <v>0</v>
      </c>
    </row>
    <row r="17" spans="2:37" s="269" customFormat="1" ht="15" customHeight="1">
      <c r="B17" s="765"/>
      <c r="C17" s="104" t="s">
        <v>241</v>
      </c>
      <c r="D17" s="108"/>
      <c r="E17" s="105" t="str">
        <f>VLOOKUP($C17,'A3-Valores por defecto'!$B$74:$E$85,2,FALSE)</f>
        <v>Toneladas</v>
      </c>
      <c r="F17" s="106"/>
      <c r="G17" s="106"/>
      <c r="H17" s="106"/>
      <c r="I17" s="106"/>
      <c r="J17" s="106"/>
      <c r="K17" s="106"/>
      <c r="L17" s="106"/>
      <c r="M17" s="106"/>
      <c r="N17" s="106"/>
      <c r="O17" s="106"/>
      <c r="P17" s="106"/>
      <c r="Q17" s="106"/>
      <c r="R17" s="107">
        <f t="shared" si="0"/>
        <v>0</v>
      </c>
      <c r="S17" s="107"/>
      <c r="T17" s="107"/>
      <c r="U17" s="107"/>
      <c r="V17" s="107"/>
      <c r="W17" s="107"/>
      <c r="X17" s="107"/>
      <c r="Y17" s="107">
        <f>VLOOKUP($C17,'A3-Valores por defecto'!$B$74:$E$85,4,FALSE)</f>
        <v>21.293565891472866</v>
      </c>
      <c r="Z17" s="105" t="str">
        <f>VLOOKUP($C17,'A3-Valores por defecto'!$B$74:$E$85,3,FALSE)</f>
        <v>kg CO2e</v>
      </c>
      <c r="AA17" s="107"/>
      <c r="AB17" s="107">
        <f t="shared" si="5"/>
        <v>0</v>
      </c>
      <c r="AC17" s="107"/>
      <c r="AD17" s="107"/>
      <c r="AE17" s="107"/>
      <c r="AF17" s="107"/>
      <c r="AG17" s="107"/>
      <c r="AH17" s="107"/>
      <c r="AI17" s="107"/>
      <c r="AJ17" s="107"/>
      <c r="AK17" s="107">
        <f t="shared" si="3"/>
        <v>0</v>
      </c>
    </row>
    <row r="18" spans="2:37" s="269" customFormat="1" ht="15" customHeight="1">
      <c r="B18" s="765"/>
      <c r="C18" s="104" t="s">
        <v>233</v>
      </c>
      <c r="D18" s="108"/>
      <c r="E18" s="105" t="str">
        <f>VLOOKUP($C18,'A3-Valores por defecto'!$B$74:$E$85,2,FALSE)</f>
        <v>Toneladas</v>
      </c>
      <c r="F18" s="106"/>
      <c r="G18" s="106"/>
      <c r="H18" s="106"/>
      <c r="I18" s="106"/>
      <c r="J18" s="106"/>
      <c r="K18" s="106"/>
      <c r="L18" s="106"/>
      <c r="M18" s="106"/>
      <c r="N18" s="106"/>
      <c r="O18" s="106"/>
      <c r="P18" s="106"/>
      <c r="Q18" s="106"/>
      <c r="R18" s="107">
        <f t="shared" si="0"/>
        <v>0</v>
      </c>
      <c r="S18" s="107"/>
      <c r="T18" s="107"/>
      <c r="U18" s="107"/>
      <c r="V18" s="107"/>
      <c r="W18" s="107"/>
      <c r="X18" s="107"/>
      <c r="Y18" s="107">
        <f>VLOOKUP($C18,'A3-Valores por defecto'!$B$74:$E$85,4,FALSE)</f>
        <v>21.293565891472866</v>
      </c>
      <c r="Z18" s="105" t="str">
        <f>VLOOKUP($C18,'A3-Valores por defecto'!$B$74:$E$85,3,FALSE)</f>
        <v>kg CO2e</v>
      </c>
      <c r="AA18" s="107"/>
      <c r="AB18" s="107">
        <f t="shared" si="5"/>
        <v>0</v>
      </c>
      <c r="AC18" s="107"/>
      <c r="AD18" s="107"/>
      <c r="AE18" s="107"/>
      <c r="AF18" s="107"/>
      <c r="AG18" s="107"/>
      <c r="AH18" s="107"/>
      <c r="AI18" s="107"/>
      <c r="AJ18" s="107"/>
      <c r="AK18" s="107">
        <f t="shared" si="3"/>
        <v>0</v>
      </c>
    </row>
    <row r="19" spans="2:37" s="269" customFormat="1" ht="15" customHeight="1">
      <c r="B19" s="765"/>
      <c r="C19" s="104" t="s">
        <v>242</v>
      </c>
      <c r="D19" s="108"/>
      <c r="E19" s="105" t="str">
        <f>VLOOKUP($C19,'A3-Valores por defecto'!$B$74:$E$85,2,FALSE)</f>
        <v>Toneladas</v>
      </c>
      <c r="F19" s="106"/>
      <c r="G19" s="106"/>
      <c r="H19" s="106"/>
      <c r="I19" s="106"/>
      <c r="J19" s="106"/>
      <c r="K19" s="106"/>
      <c r="L19" s="106"/>
      <c r="M19" s="106"/>
      <c r="N19" s="106"/>
      <c r="O19" s="106"/>
      <c r="P19" s="106"/>
      <c r="Q19" s="106"/>
      <c r="R19" s="107">
        <f t="shared" si="0"/>
        <v>0</v>
      </c>
      <c r="S19" s="107"/>
      <c r="T19" s="107"/>
      <c r="U19" s="107"/>
      <c r="V19" s="107"/>
      <c r="W19" s="107"/>
      <c r="X19" s="107"/>
      <c r="Y19" s="107">
        <f>VLOOKUP($C19,'A3-Valores por defecto'!$B$74:$E$85,4,FALSE)</f>
        <v>21.293565891472866</v>
      </c>
      <c r="Z19" s="105" t="str">
        <f>VLOOKUP($C19,'A3-Valores por defecto'!$B$74:$E$85,3,FALSE)</f>
        <v>kg CO2e</v>
      </c>
      <c r="AA19" s="107"/>
      <c r="AB19" s="107">
        <f t="shared" si="5"/>
        <v>0</v>
      </c>
      <c r="AC19" s="107"/>
      <c r="AD19" s="107"/>
      <c r="AE19" s="107"/>
      <c r="AF19" s="107"/>
      <c r="AG19" s="107"/>
      <c r="AH19" s="107"/>
      <c r="AI19" s="107"/>
      <c r="AJ19" s="107"/>
      <c r="AK19" s="107">
        <f t="shared" si="3"/>
        <v>0</v>
      </c>
    </row>
    <row r="20" spans="2:37" s="269" customFormat="1" ht="15" customHeight="1">
      <c r="B20" s="765"/>
      <c r="C20" s="104" t="s">
        <v>243</v>
      </c>
      <c r="D20" s="108"/>
      <c r="E20" s="105" t="str">
        <f>VLOOKUP($C20,'A3-Valores por defecto'!$B$74:$E$85,2,FALSE)</f>
        <v>Toneladas</v>
      </c>
      <c r="F20" s="106"/>
      <c r="G20" s="106"/>
      <c r="H20" s="106"/>
      <c r="I20" s="106"/>
      <c r="J20" s="106"/>
      <c r="K20" s="106"/>
      <c r="L20" s="106"/>
      <c r="M20" s="106"/>
      <c r="N20" s="106"/>
      <c r="O20" s="106"/>
      <c r="P20" s="106"/>
      <c r="Q20" s="106"/>
      <c r="R20" s="107">
        <f t="shared" si="0"/>
        <v>0</v>
      </c>
      <c r="S20" s="107"/>
      <c r="T20" s="107"/>
      <c r="U20" s="107"/>
      <c r="V20" s="107"/>
      <c r="W20" s="107"/>
      <c r="X20" s="107"/>
      <c r="Y20" s="107">
        <f>VLOOKUP($C20,'A3-Valores por defecto'!$B$74:$E$85,4,FALSE)</f>
        <v>21.293565891472866</v>
      </c>
      <c r="Z20" s="105" t="str">
        <f>VLOOKUP($C20,'A3-Valores por defecto'!$B$74:$E$85,3,FALSE)</f>
        <v>kg CO2e</v>
      </c>
      <c r="AA20" s="107"/>
      <c r="AB20" s="107">
        <f t="shared" si="5"/>
        <v>0</v>
      </c>
      <c r="AC20" s="107"/>
      <c r="AD20" s="107"/>
      <c r="AE20" s="107"/>
      <c r="AF20" s="107"/>
      <c r="AG20" s="107"/>
      <c r="AH20" s="107"/>
      <c r="AI20" s="107"/>
      <c r="AJ20" s="107"/>
      <c r="AK20" s="107">
        <f t="shared" si="3"/>
        <v>0</v>
      </c>
    </row>
    <row r="21" spans="2:37" s="269" customFormat="1" ht="15" customHeight="1">
      <c r="B21" s="765"/>
      <c r="C21" s="104" t="s">
        <v>235</v>
      </c>
      <c r="D21" s="108"/>
      <c r="E21" s="105" t="str">
        <f>VLOOKUP($C21,'A3-Valores por defecto'!$B$74:$E$85,2,FALSE)</f>
        <v>Toneladas</v>
      </c>
      <c r="F21" s="106"/>
      <c r="G21" s="106"/>
      <c r="H21" s="106"/>
      <c r="I21" s="106"/>
      <c r="J21" s="106"/>
      <c r="K21" s="106"/>
      <c r="L21" s="106"/>
      <c r="M21" s="106"/>
      <c r="N21" s="106"/>
      <c r="O21" s="106"/>
      <c r="P21" s="106"/>
      <c r="Q21" s="106"/>
      <c r="R21" s="107">
        <f t="shared" si="0"/>
        <v>0</v>
      </c>
      <c r="S21" s="107"/>
      <c r="T21" s="107"/>
      <c r="U21" s="107"/>
      <c r="V21" s="107"/>
      <c r="W21" s="107"/>
      <c r="X21" s="107"/>
      <c r="Y21" s="107">
        <f>VLOOKUP($C21,'A3-Valores por defecto'!$B$74:$E$85,4,FALSE)</f>
        <v>21.293565891472866</v>
      </c>
      <c r="Z21" s="105" t="str">
        <f>VLOOKUP($C21,'A3-Valores por defecto'!$B$74:$E$85,3,FALSE)</f>
        <v>kg CO2e</v>
      </c>
      <c r="AA21" s="107"/>
      <c r="AB21" s="107">
        <f t="shared" si="5"/>
        <v>0</v>
      </c>
      <c r="AC21" s="107"/>
      <c r="AD21" s="107"/>
      <c r="AE21" s="107"/>
      <c r="AF21" s="107"/>
      <c r="AG21" s="107"/>
      <c r="AH21" s="107"/>
      <c r="AI21" s="107"/>
      <c r="AJ21" s="107"/>
      <c r="AK21" s="107">
        <f t="shared" si="3"/>
        <v>0</v>
      </c>
    </row>
    <row r="22" spans="2:37" s="269" customFormat="1" ht="15" customHeight="1">
      <c r="B22" s="765"/>
      <c r="C22" s="104" t="s">
        <v>236</v>
      </c>
      <c r="D22" s="108"/>
      <c r="E22" s="105" t="str">
        <f>VLOOKUP($C22,'A3-Valores por defecto'!$B$74:$E$85,2,FALSE)</f>
        <v>Toneladas</v>
      </c>
      <c r="F22" s="106"/>
      <c r="G22" s="106"/>
      <c r="H22" s="106"/>
      <c r="I22" s="106"/>
      <c r="J22" s="106"/>
      <c r="K22" s="106"/>
      <c r="L22" s="106"/>
      <c r="M22" s="106"/>
      <c r="N22" s="106"/>
      <c r="O22" s="106"/>
      <c r="P22" s="106"/>
      <c r="Q22" s="106"/>
      <c r="R22" s="107">
        <f t="shared" si="0"/>
        <v>0</v>
      </c>
      <c r="S22" s="107"/>
      <c r="T22" s="107"/>
      <c r="U22" s="107"/>
      <c r="V22" s="107"/>
      <c r="W22" s="107"/>
      <c r="X22" s="107"/>
      <c r="Y22" s="107">
        <f>VLOOKUP($C22,'A3-Valores por defecto'!$B$74:$E$85,4,FALSE)</f>
        <v>21.293565891472866</v>
      </c>
      <c r="Z22" s="105" t="str">
        <f>VLOOKUP($C22,'A3-Valores por defecto'!$B$74:$E$85,3,FALSE)</f>
        <v>kg CO2e</v>
      </c>
      <c r="AA22" s="107"/>
      <c r="AB22" s="107">
        <f t="shared" si="5"/>
        <v>0</v>
      </c>
      <c r="AC22" s="107"/>
      <c r="AD22" s="107"/>
      <c r="AE22" s="107"/>
      <c r="AF22" s="107"/>
      <c r="AG22" s="107"/>
      <c r="AH22" s="107"/>
      <c r="AI22" s="107"/>
      <c r="AJ22" s="107"/>
      <c r="AK22" s="107">
        <f t="shared" si="3"/>
        <v>0</v>
      </c>
    </row>
    <row r="23" spans="2:37" s="269" customFormat="1" ht="15" customHeight="1">
      <c r="B23" s="766"/>
      <c r="C23" s="104" t="s">
        <v>156</v>
      </c>
      <c r="D23" s="108"/>
      <c r="E23" s="105" t="str">
        <f>VLOOKUP($C23,'A3-Valores por defecto'!$B$74:$E$85,2,FALSE)</f>
        <v>Toneladas</v>
      </c>
      <c r="F23" s="106"/>
      <c r="G23" s="106"/>
      <c r="H23" s="106"/>
      <c r="I23" s="106"/>
      <c r="J23" s="106"/>
      <c r="K23" s="106"/>
      <c r="L23" s="106"/>
      <c r="M23" s="106"/>
      <c r="N23" s="106"/>
      <c r="O23" s="106"/>
      <c r="P23" s="106"/>
      <c r="Q23" s="106"/>
      <c r="R23" s="107">
        <f t="shared" si="0"/>
        <v>0</v>
      </c>
      <c r="S23" s="107"/>
      <c r="T23" s="107"/>
      <c r="U23" s="107"/>
      <c r="V23" s="107"/>
      <c r="W23" s="107"/>
      <c r="X23" s="107"/>
      <c r="Y23" s="107">
        <f>VLOOKUP($C23,'A3-Valores por defecto'!$B$74:$E$85,4,FALSE)</f>
        <v>21.293565891472866</v>
      </c>
      <c r="Z23" s="105" t="str">
        <f>VLOOKUP($C23,'A3-Valores por defecto'!$B$74:$E$85,3,FALSE)</f>
        <v>kg CO2e</v>
      </c>
      <c r="AA23" s="107"/>
      <c r="AB23" s="107">
        <f t="shared" si="5"/>
        <v>0</v>
      </c>
      <c r="AC23" s="107"/>
      <c r="AD23" s="107"/>
      <c r="AE23" s="107"/>
      <c r="AF23" s="107"/>
      <c r="AG23" s="107"/>
      <c r="AH23" s="107"/>
      <c r="AI23" s="107"/>
      <c r="AJ23" s="107"/>
      <c r="AK23" s="107">
        <f t="shared" si="3"/>
        <v>0</v>
      </c>
    </row>
    <row r="24" spans="2:37" s="269" customFormat="1" ht="15" customHeight="1">
      <c r="B24" s="764" t="s">
        <v>505</v>
      </c>
      <c r="C24" s="104" t="s">
        <v>245</v>
      </c>
      <c r="D24" s="108"/>
      <c r="E24" s="105" t="str">
        <f>VLOOKUP($C24,'A3-Valores por defecto'!$B$85:$E$96,2,FALSE)</f>
        <v>Toneladas</v>
      </c>
      <c r="F24" s="106"/>
      <c r="G24" s="106"/>
      <c r="H24" s="106"/>
      <c r="I24" s="106"/>
      <c r="J24" s="106"/>
      <c r="K24" s="106"/>
      <c r="L24" s="106"/>
      <c r="M24" s="106"/>
      <c r="N24" s="106"/>
      <c r="O24" s="106"/>
      <c r="P24" s="106"/>
      <c r="Q24" s="106"/>
      <c r="R24" s="107">
        <f t="shared" si="0"/>
        <v>0</v>
      </c>
      <c r="S24" s="107">
        <f t="shared" si="1"/>
        <v>0</v>
      </c>
      <c r="T24" s="107">
        <f t="shared" si="2"/>
        <v>0</v>
      </c>
      <c r="U24" s="107">
        <f t="shared" si="4"/>
        <v>0</v>
      </c>
      <c r="V24" s="107"/>
      <c r="W24" s="107"/>
      <c r="X24" s="107"/>
      <c r="Y24" s="107">
        <f>VLOOKUP($C24,'A3-Valores por defecto'!$B$85:$E$96,4,FALSE)</f>
        <v>626.87486615417743</v>
      </c>
      <c r="Z24" s="105" t="str">
        <f>VLOOKUP($C24,'A3-Valores por defecto'!$B$85:$E$96,3,FALSE)</f>
        <v>kg CO2e</v>
      </c>
      <c r="AA24" s="107"/>
      <c r="AB24" s="107">
        <f t="shared" si="5"/>
        <v>0</v>
      </c>
      <c r="AC24" s="107"/>
      <c r="AD24" s="107"/>
      <c r="AE24" s="107"/>
      <c r="AF24" s="107"/>
      <c r="AG24" s="107"/>
      <c r="AH24" s="107"/>
      <c r="AI24" s="107"/>
      <c r="AJ24" s="107"/>
      <c r="AK24" s="107">
        <f t="shared" si="3"/>
        <v>0</v>
      </c>
    </row>
    <row r="25" spans="2:37" s="269" customFormat="1" ht="15" customHeight="1">
      <c r="B25" s="765"/>
      <c r="C25" s="104" t="s">
        <v>243</v>
      </c>
      <c r="D25" s="108"/>
      <c r="E25" s="105" t="str">
        <f>VLOOKUP($C25,'A3-Valores por defecto'!$B$85:$E$96,2,FALSE)</f>
        <v>Toneladas</v>
      </c>
      <c r="F25" s="106"/>
      <c r="G25" s="106"/>
      <c r="H25" s="106"/>
      <c r="I25" s="106"/>
      <c r="J25" s="106"/>
      <c r="K25" s="106"/>
      <c r="L25" s="106"/>
      <c r="M25" s="106"/>
      <c r="N25" s="106"/>
      <c r="O25" s="106"/>
      <c r="P25" s="106"/>
      <c r="Q25" s="106"/>
      <c r="R25" s="107">
        <f t="shared" si="0"/>
        <v>0</v>
      </c>
      <c r="S25" s="107">
        <f t="shared" si="1"/>
        <v>0</v>
      </c>
      <c r="T25" s="107">
        <f t="shared" si="2"/>
        <v>0</v>
      </c>
      <c r="U25" s="107">
        <f t="shared" si="4"/>
        <v>0</v>
      </c>
      <c r="V25" s="107"/>
      <c r="W25" s="107"/>
      <c r="X25" s="107"/>
      <c r="Y25" s="107">
        <f>VLOOKUP($C25,'A3-Valores por defecto'!$B$85:$E$96,4,FALSE)</f>
        <v>467.04579999999999</v>
      </c>
      <c r="Z25" s="105" t="str">
        <f>VLOOKUP($C25,'A3-Valores por defecto'!$B$85:$E$96,3,FALSE)</f>
        <v>kg CO2e</v>
      </c>
      <c r="AA25" s="107"/>
      <c r="AB25" s="107">
        <f t="shared" si="5"/>
        <v>0</v>
      </c>
      <c r="AC25" s="107"/>
      <c r="AD25" s="107"/>
      <c r="AE25" s="107"/>
      <c r="AF25" s="107"/>
      <c r="AG25" s="107"/>
      <c r="AH25" s="107"/>
      <c r="AI25" s="107"/>
      <c r="AJ25" s="107"/>
      <c r="AK25" s="107">
        <f t="shared" si="3"/>
        <v>0</v>
      </c>
    </row>
    <row r="26" spans="2:37" s="269" customFormat="1" ht="15" customHeight="1">
      <c r="B26" s="765"/>
      <c r="C26" s="104" t="s">
        <v>246</v>
      </c>
      <c r="D26" s="108"/>
      <c r="E26" s="105" t="str">
        <f>VLOOKUP($C26,'A3-Valores por defecto'!$B$85:$E$96,2,FALSE)</f>
        <v>Toneladas</v>
      </c>
      <c r="F26" s="106"/>
      <c r="G26" s="106"/>
      <c r="H26" s="106"/>
      <c r="I26" s="106"/>
      <c r="J26" s="106"/>
      <c r="K26" s="106"/>
      <c r="L26" s="106"/>
      <c r="M26" s="106"/>
      <c r="N26" s="106"/>
      <c r="O26" s="106"/>
      <c r="P26" s="106"/>
      <c r="Q26" s="106"/>
      <c r="R26" s="107">
        <f t="shared" si="0"/>
        <v>0</v>
      </c>
      <c r="S26" s="107">
        <f t="shared" si="1"/>
        <v>0</v>
      </c>
      <c r="T26" s="107">
        <f t="shared" si="2"/>
        <v>0</v>
      </c>
      <c r="U26" s="107">
        <f t="shared" si="4"/>
        <v>0</v>
      </c>
      <c r="V26" s="107"/>
      <c r="W26" s="107"/>
      <c r="X26" s="107"/>
      <c r="Y26" s="107">
        <f>VLOOKUP($C26,'A3-Valores por defecto'!$B$85:$E$96,4,FALSE)</f>
        <v>578.95913371117013</v>
      </c>
      <c r="Z26" s="105" t="str">
        <f>VLOOKUP($C26,'A3-Valores por defecto'!$B$85:$E$96,3,FALSE)</f>
        <v>kg CO2e</v>
      </c>
      <c r="AA26" s="107"/>
      <c r="AB26" s="107">
        <f t="shared" si="5"/>
        <v>0</v>
      </c>
      <c r="AC26" s="107"/>
      <c r="AD26" s="107"/>
      <c r="AE26" s="107"/>
      <c r="AF26" s="107"/>
      <c r="AG26" s="107"/>
      <c r="AH26" s="107"/>
      <c r="AI26" s="107"/>
      <c r="AJ26" s="107"/>
      <c r="AK26" s="107">
        <f t="shared" si="3"/>
        <v>0</v>
      </c>
    </row>
    <row r="27" spans="2:37" s="269" customFormat="1" ht="15" customHeight="1">
      <c r="B27" s="765"/>
      <c r="C27" s="104" t="s">
        <v>235</v>
      </c>
      <c r="D27" s="108"/>
      <c r="E27" s="105" t="str">
        <f>VLOOKUP($C27,'A3-Valores por defecto'!$B$85:$E$96,2,FALSE)</f>
        <v>Toneladas</v>
      </c>
      <c r="F27" s="106"/>
      <c r="G27" s="106"/>
      <c r="H27" s="106"/>
      <c r="I27" s="106"/>
      <c r="J27" s="106"/>
      <c r="K27" s="106"/>
      <c r="L27" s="106"/>
      <c r="M27" s="106"/>
      <c r="N27" s="106"/>
      <c r="O27" s="106"/>
      <c r="P27" s="106"/>
      <c r="Q27" s="106"/>
      <c r="R27" s="107">
        <f t="shared" si="0"/>
        <v>0</v>
      </c>
      <c r="S27" s="107"/>
      <c r="T27" s="107"/>
      <c r="U27" s="107"/>
      <c r="V27" s="107"/>
      <c r="W27" s="107"/>
      <c r="X27" s="107"/>
      <c r="Y27" s="107">
        <f>VLOOKUP($C27,'A3-Valores por defecto'!$B$85:$E$96,4,FALSE)</f>
        <v>8.9019922480620153</v>
      </c>
      <c r="Z27" s="105" t="str">
        <f>VLOOKUP($C27,'A3-Valores por defecto'!$B$85:$E$96,3,FALSE)</f>
        <v>kg CO2e</v>
      </c>
      <c r="AA27" s="107"/>
      <c r="AB27" s="107">
        <f t="shared" si="5"/>
        <v>0</v>
      </c>
      <c r="AC27" s="107"/>
      <c r="AD27" s="107"/>
      <c r="AE27" s="107"/>
      <c r="AF27" s="107"/>
      <c r="AG27" s="107"/>
      <c r="AH27" s="107"/>
      <c r="AI27" s="107"/>
      <c r="AJ27" s="107"/>
      <c r="AK27" s="107">
        <f t="shared" si="3"/>
        <v>0</v>
      </c>
    </row>
    <row r="28" spans="2:37" s="269" customFormat="1" ht="15" customHeight="1">
      <c r="B28" s="766"/>
      <c r="C28" s="104" t="s">
        <v>236</v>
      </c>
      <c r="D28" s="108"/>
      <c r="E28" s="105" t="str">
        <f>VLOOKUP($C28,'A3-Valores por defecto'!$B$85:$E$96,2,FALSE)</f>
        <v>Toneladas</v>
      </c>
      <c r="F28" s="106"/>
      <c r="G28" s="106"/>
      <c r="H28" s="106"/>
      <c r="I28" s="106"/>
      <c r="J28" s="106"/>
      <c r="K28" s="106"/>
      <c r="L28" s="106"/>
      <c r="M28" s="106"/>
      <c r="N28" s="106"/>
      <c r="O28" s="106"/>
      <c r="P28" s="106"/>
      <c r="Q28" s="106"/>
      <c r="R28" s="107">
        <f t="shared" si="0"/>
        <v>0</v>
      </c>
      <c r="S28" s="107"/>
      <c r="T28" s="107"/>
      <c r="U28" s="107"/>
      <c r="V28" s="107"/>
      <c r="W28" s="107"/>
      <c r="X28" s="107"/>
      <c r="Y28" s="107">
        <f>VLOOKUP($C28,'A3-Valores por defecto'!$B$85:$E$96,4,FALSE)</f>
        <v>8.9019922480620153</v>
      </c>
      <c r="Z28" s="105" t="str">
        <f>VLOOKUP($C28,'A3-Valores por defecto'!$B$85:$E$96,3,FALSE)</f>
        <v>kg CO2e</v>
      </c>
      <c r="AA28" s="107"/>
      <c r="AB28" s="107">
        <f t="shared" si="5"/>
        <v>0</v>
      </c>
      <c r="AC28" s="107"/>
      <c r="AD28" s="107"/>
      <c r="AE28" s="107"/>
      <c r="AF28" s="107"/>
      <c r="AG28" s="107"/>
      <c r="AH28" s="107"/>
      <c r="AI28" s="107"/>
      <c r="AJ28" s="107"/>
      <c r="AK28" s="107">
        <f t="shared" si="3"/>
        <v>0</v>
      </c>
    </row>
    <row r="29" spans="2:37" s="269" customFormat="1" ht="15" customHeight="1">
      <c r="B29" s="767" t="s">
        <v>181</v>
      </c>
      <c r="C29" s="104" t="s">
        <v>156</v>
      </c>
      <c r="D29" s="108"/>
      <c r="E29" s="105" t="str">
        <f>VLOOKUP($C29,'A3-Valores por defecto'!$B$99:$E$104,2,FALSE)</f>
        <v>Toneladas</v>
      </c>
      <c r="F29" s="106"/>
      <c r="G29" s="106"/>
      <c r="H29" s="106"/>
      <c r="I29" s="106"/>
      <c r="J29" s="106"/>
      <c r="K29" s="106"/>
      <c r="L29" s="106"/>
      <c r="M29" s="106"/>
      <c r="N29" s="106"/>
      <c r="O29" s="106"/>
      <c r="P29" s="106"/>
      <c r="Q29" s="106"/>
      <c r="R29" s="107">
        <f t="shared" si="0"/>
        <v>0</v>
      </c>
      <c r="S29" s="107">
        <f t="shared" si="1"/>
        <v>0</v>
      </c>
      <c r="T29" s="107">
        <f t="shared" si="2"/>
        <v>0</v>
      </c>
      <c r="U29" s="107">
        <f t="shared" si="4"/>
        <v>0</v>
      </c>
      <c r="V29" s="107"/>
      <c r="W29" s="107"/>
      <c r="X29" s="107"/>
      <c r="Y29" s="107">
        <f>VLOOKUP($C29,'A3-Valores por defecto'!$B$99:$E$104,4,FALSE)</f>
        <v>8.9506976744186044</v>
      </c>
      <c r="Z29" s="105" t="str">
        <f>VLOOKUP($C29,'A3-Valores por defecto'!$B$99:$E$104,3,FALSE)</f>
        <v>kg CO2e</v>
      </c>
      <c r="AA29" s="107"/>
      <c r="AB29" s="107">
        <f t="shared" si="5"/>
        <v>0</v>
      </c>
      <c r="AC29" s="107"/>
      <c r="AD29" s="107"/>
      <c r="AE29" s="107"/>
      <c r="AF29" s="107"/>
      <c r="AG29" s="107"/>
      <c r="AH29" s="107"/>
      <c r="AI29" s="107"/>
      <c r="AJ29" s="107"/>
      <c r="AK29" s="107">
        <f t="shared" si="3"/>
        <v>0</v>
      </c>
    </row>
    <row r="30" spans="2:37" s="269" customFormat="1" ht="15" customHeight="1">
      <c r="B30" s="768"/>
      <c r="C30" s="104" t="s">
        <v>245</v>
      </c>
      <c r="D30" s="108"/>
      <c r="E30" s="105" t="str">
        <f>VLOOKUP($C30,'A3-Valores por defecto'!$B$99:$E$104,2,FALSE)</f>
        <v>Toneladas</v>
      </c>
      <c r="F30" s="106"/>
      <c r="G30" s="106"/>
      <c r="H30" s="106"/>
      <c r="I30" s="106"/>
      <c r="J30" s="106"/>
      <c r="K30" s="106"/>
      <c r="L30" s="106"/>
      <c r="M30" s="106"/>
      <c r="N30" s="106"/>
      <c r="O30" s="106"/>
      <c r="P30" s="106"/>
      <c r="Q30" s="106"/>
      <c r="R30" s="107">
        <f t="shared" si="0"/>
        <v>0</v>
      </c>
      <c r="S30" s="107">
        <f t="shared" si="1"/>
        <v>0</v>
      </c>
      <c r="T30" s="107">
        <f t="shared" si="2"/>
        <v>0</v>
      </c>
      <c r="U30" s="107">
        <f t="shared" si="4"/>
        <v>0</v>
      </c>
      <c r="V30" s="107"/>
      <c r="W30" s="107"/>
      <c r="X30" s="107"/>
      <c r="Y30" s="107">
        <f>VLOOKUP($C30,'A3-Valores por defecto'!$B$99:$E$104,4,FALSE)</f>
        <v>8.9506976744186044</v>
      </c>
      <c r="Z30" s="105" t="str">
        <f>VLOOKUP($C30,'A3-Valores por defecto'!$B$99:$E$104,3,FALSE)</f>
        <v>kg CO2e</v>
      </c>
      <c r="AA30" s="107"/>
      <c r="AB30" s="107">
        <f t="shared" si="5"/>
        <v>0</v>
      </c>
      <c r="AC30" s="107"/>
      <c r="AD30" s="107"/>
      <c r="AE30" s="107"/>
      <c r="AF30" s="107"/>
      <c r="AG30" s="107"/>
      <c r="AH30" s="107"/>
      <c r="AI30" s="107"/>
      <c r="AJ30" s="107"/>
      <c r="AK30" s="107">
        <f t="shared" si="3"/>
        <v>0</v>
      </c>
    </row>
    <row r="31" spans="2:37" s="269" customFormat="1" ht="15" customHeight="1">
      <c r="B31" s="769"/>
      <c r="C31" s="104" t="s">
        <v>246</v>
      </c>
      <c r="D31" s="108"/>
      <c r="E31" s="105" t="str">
        <f>VLOOKUP($C31,'A3-Valores por defecto'!$B$99:$E$104,2,FALSE)</f>
        <v>Toneladas</v>
      </c>
      <c r="F31" s="106"/>
      <c r="G31" s="106"/>
      <c r="H31" s="106"/>
      <c r="I31" s="106"/>
      <c r="J31" s="106"/>
      <c r="K31" s="106"/>
      <c r="L31" s="106"/>
      <c r="M31" s="106"/>
      <c r="N31" s="106"/>
      <c r="O31" s="106"/>
      <c r="P31" s="106"/>
      <c r="Q31" s="106"/>
      <c r="R31" s="107">
        <f t="shared" si="0"/>
        <v>0</v>
      </c>
      <c r="S31" s="107">
        <f t="shared" si="1"/>
        <v>0</v>
      </c>
      <c r="T31" s="107">
        <f t="shared" si="2"/>
        <v>0</v>
      </c>
      <c r="U31" s="107">
        <f t="shared" si="4"/>
        <v>0</v>
      </c>
      <c r="V31" s="107"/>
      <c r="W31" s="107"/>
      <c r="X31" s="107"/>
      <c r="Y31" s="107">
        <f>VLOOKUP($C31,'A3-Valores por defecto'!$B$99:$E$104,4,FALSE)</f>
        <v>8.9506976744186044</v>
      </c>
      <c r="Z31" s="105" t="str">
        <f>VLOOKUP($C31,'A3-Valores por defecto'!$B$99:$E$104,3,FALSE)</f>
        <v>kg CO2e</v>
      </c>
      <c r="AA31" s="107"/>
      <c r="AB31" s="107">
        <f t="shared" si="5"/>
        <v>0</v>
      </c>
      <c r="AC31" s="107"/>
      <c r="AD31" s="107"/>
      <c r="AE31" s="107"/>
      <c r="AF31" s="107"/>
      <c r="AG31" s="107"/>
      <c r="AH31" s="107"/>
      <c r="AI31" s="107"/>
      <c r="AJ31" s="107"/>
      <c r="AK31" s="107">
        <f t="shared" si="3"/>
        <v>0</v>
      </c>
    </row>
    <row r="32" spans="2:37" s="269" customFormat="1" ht="15" customHeight="1">
      <c r="B32" s="764" t="s">
        <v>182</v>
      </c>
      <c r="C32" s="104" t="s">
        <v>247</v>
      </c>
      <c r="D32" s="108"/>
      <c r="E32" s="105" t="str">
        <f>VLOOKUP($C32,'A3-Valores por defecto'!$B$105:$E$108,2,FALSE)</f>
        <v>Toneladas</v>
      </c>
      <c r="F32" s="106"/>
      <c r="G32" s="106"/>
      <c r="H32" s="106"/>
      <c r="I32" s="106"/>
      <c r="J32" s="106"/>
      <c r="K32" s="106"/>
      <c r="L32" s="106"/>
      <c r="M32" s="106"/>
      <c r="N32" s="106"/>
      <c r="O32" s="106"/>
      <c r="P32" s="106"/>
      <c r="Q32" s="106"/>
      <c r="R32" s="107">
        <f t="shared" si="0"/>
        <v>0</v>
      </c>
      <c r="S32" s="107">
        <f t="shared" si="1"/>
        <v>0</v>
      </c>
      <c r="T32" s="107">
        <f t="shared" si="2"/>
        <v>0</v>
      </c>
      <c r="U32" s="107">
        <f t="shared" si="4"/>
        <v>0</v>
      </c>
      <c r="V32" s="107"/>
      <c r="W32" s="107"/>
      <c r="X32" s="107"/>
      <c r="Y32" s="107">
        <f>VLOOKUP($C32,'A3-Valores por defecto'!$B$105:$E$108,4,FALSE)</f>
        <v>8.9506976744186044</v>
      </c>
      <c r="Z32" s="105" t="str">
        <f>VLOOKUP($C32,'A3-Valores por defecto'!$B$105:$E$108,3,FALSE)</f>
        <v>kg CO2e</v>
      </c>
      <c r="AA32" s="107"/>
      <c r="AB32" s="107">
        <f t="shared" si="5"/>
        <v>0</v>
      </c>
      <c r="AC32" s="107"/>
      <c r="AD32" s="107"/>
      <c r="AE32" s="107"/>
      <c r="AF32" s="107"/>
      <c r="AG32" s="107"/>
      <c r="AH32" s="107"/>
      <c r="AI32" s="107"/>
      <c r="AJ32" s="107"/>
      <c r="AK32" s="107">
        <f t="shared" si="3"/>
        <v>0</v>
      </c>
    </row>
    <row r="33" spans="1:37" s="269" customFormat="1" ht="15" customHeight="1">
      <c r="B33" s="765"/>
      <c r="C33" s="104" t="s">
        <v>246</v>
      </c>
      <c r="D33" s="108"/>
      <c r="E33" s="105" t="str">
        <f>VLOOKUP($C33,'A3-Valores por defecto'!$B$105:$E$108,2,FALSE)</f>
        <v>Toneladas</v>
      </c>
      <c r="F33" s="106"/>
      <c r="G33" s="106"/>
      <c r="H33" s="106"/>
      <c r="I33" s="106"/>
      <c r="J33" s="106"/>
      <c r="K33" s="106"/>
      <c r="L33" s="106"/>
      <c r="M33" s="106"/>
      <c r="N33" s="106"/>
      <c r="O33" s="106"/>
      <c r="P33" s="106"/>
      <c r="Q33" s="106"/>
      <c r="R33" s="107">
        <f t="shared" si="0"/>
        <v>0</v>
      </c>
      <c r="S33" s="107">
        <f t="shared" si="1"/>
        <v>0</v>
      </c>
      <c r="T33" s="107">
        <f t="shared" si="2"/>
        <v>0</v>
      </c>
      <c r="U33" s="107">
        <f t="shared" si="4"/>
        <v>0</v>
      </c>
      <c r="V33" s="107"/>
      <c r="W33" s="107"/>
      <c r="X33" s="107"/>
      <c r="Y33" s="107">
        <f>VLOOKUP($C33,'A3-Valores por defecto'!$B$105:$E$108,4,FALSE)</f>
        <v>8.9506976744186044</v>
      </c>
      <c r="Z33" s="105" t="str">
        <f>VLOOKUP($C33,'A3-Valores por defecto'!$B$105:$E$108,3,FALSE)</f>
        <v>kg CO2e</v>
      </c>
      <c r="AA33" s="107"/>
      <c r="AB33" s="107">
        <f t="shared" si="5"/>
        <v>0</v>
      </c>
      <c r="AC33" s="107"/>
      <c r="AD33" s="107"/>
      <c r="AE33" s="107"/>
      <c r="AF33" s="107"/>
      <c r="AG33" s="107"/>
      <c r="AH33" s="107"/>
      <c r="AI33" s="107"/>
      <c r="AJ33" s="107"/>
      <c r="AK33" s="107">
        <f t="shared" si="3"/>
        <v>0</v>
      </c>
    </row>
    <row r="34" spans="1:37" s="269" customFormat="1" ht="15" customHeight="1">
      <c r="B34" s="766"/>
      <c r="C34" s="104" t="s">
        <v>246</v>
      </c>
      <c r="D34" s="108"/>
      <c r="E34" s="105" t="str">
        <f>VLOOKUP($C34,'A3-Valores por defecto'!$B$105:$E$108,2,FALSE)</f>
        <v>Toneladas</v>
      </c>
      <c r="F34" s="106"/>
      <c r="G34" s="106"/>
      <c r="H34" s="106"/>
      <c r="I34" s="106"/>
      <c r="J34" s="106"/>
      <c r="K34" s="106"/>
      <c r="L34" s="106"/>
      <c r="M34" s="106"/>
      <c r="N34" s="106"/>
      <c r="O34" s="106"/>
      <c r="P34" s="106"/>
      <c r="Q34" s="106"/>
      <c r="R34" s="107">
        <f t="shared" si="0"/>
        <v>0</v>
      </c>
      <c r="S34" s="107">
        <f t="shared" si="1"/>
        <v>0</v>
      </c>
      <c r="T34" s="107">
        <f t="shared" si="2"/>
        <v>0</v>
      </c>
      <c r="U34" s="107">
        <f t="shared" si="4"/>
        <v>0</v>
      </c>
      <c r="V34" s="107"/>
      <c r="W34" s="107"/>
      <c r="X34" s="107"/>
      <c r="Y34" s="107">
        <f>VLOOKUP($C34,'A3-Valores por defecto'!$B$105:$E$108,4,FALSE)</f>
        <v>8.9506976744186044</v>
      </c>
      <c r="Z34" s="105" t="str">
        <f>VLOOKUP($C34,'A3-Valores por defecto'!$B$105:$E$108,3,FALSE)</f>
        <v>kg CO2e</v>
      </c>
      <c r="AA34" s="107"/>
      <c r="AB34" s="107">
        <f t="shared" si="5"/>
        <v>0</v>
      </c>
      <c r="AC34" s="107"/>
      <c r="AD34" s="107"/>
      <c r="AE34" s="107"/>
      <c r="AF34" s="107"/>
      <c r="AG34" s="107"/>
      <c r="AH34" s="107"/>
      <c r="AI34" s="107"/>
      <c r="AJ34" s="107"/>
      <c r="AK34" s="107">
        <f t="shared" si="3"/>
        <v>0</v>
      </c>
    </row>
    <row r="35" spans="1:37" s="269" customFormat="1" ht="15" customHeight="1">
      <c r="B35" s="764" t="s">
        <v>67</v>
      </c>
      <c r="C35" s="104" t="s">
        <v>247</v>
      </c>
      <c r="D35" s="108"/>
      <c r="E35" s="105" t="str">
        <f>VLOOKUP($C34,'A3-Valores por defecto'!$A$111:$D$122,2,FALSE)</f>
        <v>Toneladas</v>
      </c>
      <c r="F35" s="106"/>
      <c r="G35" s="106"/>
      <c r="H35" s="106"/>
      <c r="I35" s="106"/>
      <c r="J35" s="106"/>
      <c r="K35" s="106"/>
      <c r="L35" s="106"/>
      <c r="M35" s="106"/>
      <c r="N35" s="106"/>
      <c r="O35" s="106"/>
      <c r="P35" s="106"/>
      <c r="Q35" s="106"/>
      <c r="R35" s="107">
        <f t="shared" si="0"/>
        <v>0</v>
      </c>
      <c r="S35" s="107">
        <f t="shared" si="1"/>
        <v>0</v>
      </c>
      <c r="T35" s="107">
        <f t="shared" si="2"/>
        <v>0</v>
      </c>
      <c r="U35" s="107">
        <f t="shared" si="4"/>
        <v>0</v>
      </c>
      <c r="V35" s="107"/>
      <c r="W35" s="107"/>
      <c r="X35" s="107"/>
      <c r="Y35" s="107">
        <f>VLOOKUP($C34,'A3-Valores por defecto'!$A$111:$D$122,4,FALSE)</f>
        <v>21.293565891472866</v>
      </c>
      <c r="Z35" s="105" t="str">
        <f>VLOOKUP($C34,'A3-Valores por defecto'!$A$111:$D$122,3,FALSE)</f>
        <v>kg CO2e</v>
      </c>
      <c r="AA35" s="107"/>
      <c r="AB35" s="107">
        <f t="shared" si="5"/>
        <v>0</v>
      </c>
      <c r="AC35" s="107"/>
      <c r="AD35" s="107"/>
      <c r="AE35" s="107"/>
      <c r="AF35" s="107"/>
      <c r="AG35" s="107"/>
      <c r="AH35" s="107"/>
      <c r="AI35" s="107"/>
      <c r="AJ35" s="107"/>
      <c r="AK35" s="107">
        <f t="shared" si="3"/>
        <v>0</v>
      </c>
    </row>
    <row r="36" spans="1:37" s="269" customFormat="1" ht="15" customHeight="1">
      <c r="B36" s="765"/>
      <c r="C36" s="104" t="s">
        <v>242</v>
      </c>
      <c r="D36" s="108"/>
      <c r="E36" s="105" t="str">
        <f>VLOOKUP($C35,'A3-Valores por defecto'!$A$111:$D$122,2,FALSE)</f>
        <v>Toneladas</v>
      </c>
      <c r="F36" s="106"/>
      <c r="G36" s="106"/>
      <c r="H36" s="106"/>
      <c r="I36" s="106"/>
      <c r="J36" s="106"/>
      <c r="K36" s="106"/>
      <c r="L36" s="106"/>
      <c r="M36" s="106"/>
      <c r="N36" s="106"/>
      <c r="O36" s="106"/>
      <c r="P36" s="106"/>
      <c r="Q36" s="106"/>
      <c r="R36" s="107">
        <f t="shared" si="0"/>
        <v>0</v>
      </c>
      <c r="S36" s="107">
        <f t="shared" si="1"/>
        <v>0</v>
      </c>
      <c r="T36" s="107">
        <f t="shared" si="2"/>
        <v>0</v>
      </c>
      <c r="U36" s="107">
        <f t="shared" si="4"/>
        <v>0</v>
      </c>
      <c r="V36" s="107"/>
      <c r="W36" s="107"/>
      <c r="X36" s="107"/>
      <c r="Y36" s="107">
        <f>VLOOKUP($C35,'A3-Valores por defecto'!$A$111:$D$122,4,FALSE)</f>
        <v>21.293565891472866</v>
      </c>
      <c r="Z36" s="105" t="str">
        <f>VLOOKUP($C35,'A3-Valores por defecto'!$A$111:$D$122,3,FALSE)</f>
        <v>kg CO2e</v>
      </c>
      <c r="AA36" s="107"/>
      <c r="AB36" s="107">
        <f t="shared" si="5"/>
        <v>0</v>
      </c>
      <c r="AC36" s="107"/>
      <c r="AD36" s="107"/>
      <c r="AE36" s="107"/>
      <c r="AF36" s="107"/>
      <c r="AG36" s="107"/>
      <c r="AH36" s="107"/>
      <c r="AI36" s="107"/>
      <c r="AJ36" s="107"/>
      <c r="AK36" s="107">
        <f t="shared" si="3"/>
        <v>0</v>
      </c>
    </row>
    <row r="37" spans="1:37" s="269" customFormat="1" ht="15" customHeight="1">
      <c r="B37" s="766"/>
      <c r="C37" s="104" t="s">
        <v>236</v>
      </c>
      <c r="D37" s="108"/>
      <c r="E37" s="105" t="str">
        <f>VLOOKUP($C36,'A3-Valores por defecto'!$A$111:$D$122,2,FALSE)</f>
        <v>Toneladas</v>
      </c>
      <c r="F37" s="106"/>
      <c r="G37" s="106"/>
      <c r="H37" s="106"/>
      <c r="I37" s="106"/>
      <c r="J37" s="106"/>
      <c r="K37" s="106"/>
      <c r="L37" s="106"/>
      <c r="M37" s="106"/>
      <c r="N37" s="106"/>
      <c r="O37" s="106"/>
      <c r="P37" s="106"/>
      <c r="Q37" s="106"/>
      <c r="R37" s="107">
        <f t="shared" si="0"/>
        <v>0</v>
      </c>
      <c r="S37" s="107">
        <f t="shared" si="1"/>
        <v>0</v>
      </c>
      <c r="T37" s="107">
        <f t="shared" si="2"/>
        <v>0</v>
      </c>
      <c r="U37" s="107">
        <f t="shared" si="4"/>
        <v>0</v>
      </c>
      <c r="V37" s="107"/>
      <c r="W37" s="107"/>
      <c r="X37" s="107"/>
      <c r="Y37" s="107">
        <f>VLOOKUP($C36,'A3-Valores por defecto'!$A$111:$D$122,4,FALSE)</f>
        <v>21.293565891472866</v>
      </c>
      <c r="Z37" s="105" t="str">
        <f>VLOOKUP($C36,'A3-Valores por defecto'!$A$111:$D$122,3,FALSE)</f>
        <v>kg CO2e</v>
      </c>
      <c r="AA37" s="107"/>
      <c r="AB37" s="107">
        <f t="shared" si="5"/>
        <v>0</v>
      </c>
      <c r="AC37" s="107"/>
      <c r="AD37" s="107"/>
      <c r="AE37" s="107"/>
      <c r="AF37" s="107"/>
      <c r="AG37" s="107"/>
      <c r="AH37" s="107"/>
      <c r="AI37" s="107"/>
      <c r="AJ37" s="107"/>
      <c r="AK37" s="107">
        <f t="shared" si="3"/>
        <v>0</v>
      </c>
    </row>
    <row r="38" spans="1:37" s="269" customFormat="1" ht="15" customHeight="1">
      <c r="B38" s="764" t="s">
        <v>164</v>
      </c>
      <c r="C38" s="104" t="s">
        <v>664</v>
      </c>
      <c r="D38" s="108"/>
      <c r="E38" s="105" t="str">
        <f>VLOOKUP($C38,'A3-Valores por defecto'!$A$125:$D$125,2,FALSE)</f>
        <v>metros cúbicos</v>
      </c>
      <c r="F38" s="106"/>
      <c r="G38" s="106"/>
      <c r="H38" s="106"/>
      <c r="I38" s="106"/>
      <c r="J38" s="106"/>
      <c r="K38" s="106"/>
      <c r="L38" s="106"/>
      <c r="M38" s="106"/>
      <c r="N38" s="106"/>
      <c r="O38" s="106"/>
      <c r="P38" s="106"/>
      <c r="Q38" s="106"/>
      <c r="R38" s="107">
        <f t="shared" si="0"/>
        <v>0</v>
      </c>
      <c r="S38" s="107">
        <f t="shared" si="1"/>
        <v>0</v>
      </c>
      <c r="T38" s="107">
        <f t="shared" si="2"/>
        <v>0</v>
      </c>
      <c r="U38" s="107">
        <f t="shared" si="4"/>
        <v>0</v>
      </c>
      <c r="V38" s="107"/>
      <c r="W38" s="107"/>
      <c r="X38" s="107"/>
      <c r="Y38" s="107">
        <f>VLOOKUP($C38,'A3-Valores por defecto'!$A$125:$D$125,4,FALSE)</f>
        <v>0.27200000000000002</v>
      </c>
      <c r="Z38" s="105" t="str">
        <f>VLOOKUP($C38,'A3-Valores por defecto'!$A$125:$D$125,3,FALSE)</f>
        <v>kg CO2e</v>
      </c>
      <c r="AA38" s="107"/>
      <c r="AB38" s="107">
        <f t="shared" si="5"/>
        <v>0</v>
      </c>
      <c r="AC38" s="107"/>
      <c r="AD38" s="107"/>
      <c r="AE38" s="107"/>
      <c r="AF38" s="107"/>
      <c r="AG38" s="107"/>
      <c r="AH38" s="107"/>
      <c r="AI38" s="107"/>
      <c r="AJ38" s="107"/>
      <c r="AK38" s="107">
        <f t="shared" si="3"/>
        <v>0</v>
      </c>
    </row>
    <row r="39" spans="1:37" s="269" customFormat="1" ht="15" customHeight="1">
      <c r="B39" s="765"/>
      <c r="C39" s="104" t="s">
        <v>664</v>
      </c>
      <c r="D39" s="108"/>
      <c r="E39" s="105" t="str">
        <f>VLOOKUP($C39,'A3-Valores por defecto'!$A$125:$D$125,2,FALSE)</f>
        <v>metros cúbicos</v>
      </c>
      <c r="F39" s="106"/>
      <c r="G39" s="106"/>
      <c r="H39" s="106"/>
      <c r="I39" s="106"/>
      <c r="J39" s="106"/>
      <c r="K39" s="106"/>
      <c r="L39" s="106"/>
      <c r="M39" s="106"/>
      <c r="N39" s="106"/>
      <c r="O39" s="106"/>
      <c r="P39" s="106"/>
      <c r="Q39" s="106"/>
      <c r="R39" s="107">
        <f t="shared" si="0"/>
        <v>0</v>
      </c>
      <c r="S39" s="107">
        <f t="shared" si="1"/>
        <v>0</v>
      </c>
      <c r="T39" s="107">
        <f t="shared" si="2"/>
        <v>0</v>
      </c>
      <c r="U39" s="107">
        <f t="shared" si="4"/>
        <v>0</v>
      </c>
      <c r="V39" s="107"/>
      <c r="W39" s="107"/>
      <c r="X39" s="107"/>
      <c r="Y39" s="107">
        <f>VLOOKUP($C39,'A3-Valores por defecto'!$A$125:$D$125,4,FALSE)</f>
        <v>0.27200000000000002</v>
      </c>
      <c r="Z39" s="105" t="str">
        <f>VLOOKUP($C39,'A3-Valores por defecto'!$A$125:$D$125,3,FALSE)</f>
        <v>kg CO2e</v>
      </c>
      <c r="AA39" s="107"/>
      <c r="AB39" s="107">
        <f t="shared" si="5"/>
        <v>0</v>
      </c>
      <c r="AC39" s="107"/>
      <c r="AD39" s="107"/>
      <c r="AE39" s="107"/>
      <c r="AF39" s="107"/>
      <c r="AG39" s="107"/>
      <c r="AH39" s="107"/>
      <c r="AI39" s="107"/>
      <c r="AJ39" s="107"/>
      <c r="AK39" s="107">
        <f t="shared" si="3"/>
        <v>0</v>
      </c>
    </row>
    <row r="40" spans="1:37" s="269" customFormat="1" ht="15" customHeight="1">
      <c r="B40" s="766"/>
      <c r="C40" s="104" t="s">
        <v>664</v>
      </c>
      <c r="D40" s="108"/>
      <c r="E40" s="105" t="str">
        <f>VLOOKUP($C40,'A3-Valores por defecto'!$A$125:$D$125,2,FALSE)</f>
        <v>metros cúbicos</v>
      </c>
      <c r="F40" s="106"/>
      <c r="G40" s="106"/>
      <c r="H40" s="106"/>
      <c r="I40" s="106"/>
      <c r="J40" s="106"/>
      <c r="K40" s="106"/>
      <c r="L40" s="106"/>
      <c r="M40" s="106"/>
      <c r="N40" s="106"/>
      <c r="O40" s="106"/>
      <c r="P40" s="106"/>
      <c r="Q40" s="106"/>
      <c r="R40" s="107">
        <f t="shared" si="0"/>
        <v>0</v>
      </c>
      <c r="S40" s="107">
        <f t="shared" si="1"/>
        <v>0</v>
      </c>
      <c r="T40" s="107">
        <f t="shared" si="2"/>
        <v>0</v>
      </c>
      <c r="U40" s="107">
        <f t="shared" si="4"/>
        <v>0</v>
      </c>
      <c r="V40" s="107"/>
      <c r="W40" s="107"/>
      <c r="X40" s="107"/>
      <c r="Y40" s="107">
        <f>VLOOKUP($C40,'A3-Valores por defecto'!$A$125:$D$125,4,FALSE)</f>
        <v>0.27200000000000002</v>
      </c>
      <c r="Z40" s="105" t="str">
        <f>VLOOKUP($C40,'A3-Valores por defecto'!$A$125:$D$125,3,FALSE)</f>
        <v>kg CO2e</v>
      </c>
      <c r="AA40" s="107"/>
      <c r="AB40" s="107">
        <f t="shared" si="5"/>
        <v>0</v>
      </c>
      <c r="AC40" s="107"/>
      <c r="AD40" s="107"/>
      <c r="AE40" s="107"/>
      <c r="AF40" s="107"/>
      <c r="AG40" s="107"/>
      <c r="AH40" s="107"/>
      <c r="AI40" s="107"/>
      <c r="AJ40" s="107"/>
      <c r="AK40" s="107">
        <f t="shared" si="3"/>
        <v>0</v>
      </c>
    </row>
    <row r="41" spans="1:37" ht="15" customHeight="1">
      <c r="B41" s="77" t="s">
        <v>274</v>
      </c>
      <c r="C41" s="73"/>
      <c r="D41" s="73"/>
      <c r="E41" s="78"/>
      <c r="F41" s="73"/>
      <c r="G41" s="73"/>
      <c r="H41" s="73"/>
      <c r="I41" s="73"/>
      <c r="J41" s="73"/>
      <c r="K41" s="73"/>
      <c r="L41" s="73"/>
      <c r="M41" s="73"/>
      <c r="N41" s="73"/>
      <c r="O41" s="73"/>
      <c r="P41" s="73"/>
      <c r="Q41" s="73"/>
      <c r="R41" s="79"/>
      <c r="S41" s="79"/>
      <c r="T41" s="79"/>
      <c r="U41" s="79"/>
      <c r="V41" s="79"/>
      <c r="W41" s="79"/>
      <c r="X41" s="79"/>
      <c r="Y41" s="79"/>
      <c r="Z41" s="79"/>
      <c r="AA41" s="79"/>
      <c r="AB41" s="79">
        <f>SUM(AB8:AB40)</f>
        <v>0</v>
      </c>
      <c r="AC41" s="79"/>
      <c r="AD41" s="79"/>
      <c r="AE41" s="79"/>
      <c r="AF41" s="79">
        <f>SUM(AF8:AF40)</f>
        <v>0</v>
      </c>
      <c r="AG41" s="79"/>
      <c r="AH41" s="79"/>
      <c r="AI41" s="79"/>
      <c r="AJ41" s="79">
        <f>SUM(AJ8:AJ40)</f>
        <v>0</v>
      </c>
      <c r="AK41" s="79">
        <f>SUM(AK8:AK40)</f>
        <v>0</v>
      </c>
    </row>
    <row r="42" spans="1:37" ht="23.25" customHeight="1">
      <c r="A42" s="266"/>
      <c r="B42" s="74"/>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row>
    <row r="43" spans="1:37" ht="15.75" customHeight="1"/>
    <row r="44" spans="1:37" ht="15.75" customHeight="1"/>
    <row r="45" spans="1:37" ht="15.75" customHeight="1"/>
    <row r="46" spans="1:37" ht="15.75" customHeight="1"/>
    <row r="47" spans="1:37" ht="15.75" customHeight="1"/>
    <row r="48" spans="1:3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sheetData>
  <sheetProtection insertRows="0"/>
  <mergeCells count="21">
    <mergeCell ref="B35:B37"/>
    <mergeCell ref="B38:B40"/>
    <mergeCell ref="B8:B12"/>
    <mergeCell ref="B13:B23"/>
    <mergeCell ref="B24:B28"/>
    <mergeCell ref="B29:B31"/>
    <mergeCell ref="B32:B34"/>
    <mergeCell ref="B2:AK2"/>
    <mergeCell ref="B4:AK4"/>
    <mergeCell ref="B6:B7"/>
    <mergeCell ref="C6:C7"/>
    <mergeCell ref="E6:E7"/>
    <mergeCell ref="F6:S6"/>
    <mergeCell ref="T6:X6"/>
    <mergeCell ref="Y6:AB6"/>
    <mergeCell ref="AC6:AF6"/>
    <mergeCell ref="AG6:AJ6"/>
    <mergeCell ref="Y7:Z7"/>
    <mergeCell ref="AC7:AD7"/>
    <mergeCell ref="AG7:AH7"/>
    <mergeCell ref="D6:D7"/>
  </mergeCell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5CEB4B4-6C0F-4B4A-BDC2-04B0FB58C4E9}">
          <x14:formula1>
            <xm:f>'A3-Valores por defecto'!$B$69:$B$73</xm:f>
          </x14:formula1>
          <xm:sqref>C8:C12</xm:sqref>
        </x14:dataValidation>
        <x14:dataValidation type="list" allowBlank="1" showInputMessage="1" showErrorMessage="1" xr:uid="{0F714FC2-E4F8-4E65-A842-0BF7F343CBC1}">
          <x14:formula1>
            <xm:f>'A3-Valores por defecto'!$B$74:$B$84</xm:f>
          </x14:formula1>
          <xm:sqref>C13:C23</xm:sqref>
        </x14:dataValidation>
        <x14:dataValidation type="list" allowBlank="1" showInputMessage="1" showErrorMessage="1" xr:uid="{3ACED908-1FAE-42C7-AC8B-5A324CED06DB}">
          <x14:formula1>
            <xm:f>'A3-Valores por defecto'!$B$85:$B$96</xm:f>
          </x14:formula1>
          <xm:sqref>C24:C28</xm:sqref>
        </x14:dataValidation>
        <x14:dataValidation type="list" allowBlank="1" showInputMessage="1" showErrorMessage="1" xr:uid="{CE3A9C58-079F-4D7B-9C5A-8193C00A0B46}">
          <x14:formula1>
            <xm:f>'A3-Valores por defecto'!$B$99:$B$104</xm:f>
          </x14:formula1>
          <xm:sqref>C29:C31</xm:sqref>
        </x14:dataValidation>
        <x14:dataValidation type="list" allowBlank="1" showInputMessage="1" showErrorMessage="1" xr:uid="{006D443C-1ABD-4120-AE04-19BD0A090A19}">
          <x14:formula1>
            <xm:f>'A3-Valores por defecto'!$B$105:$B$106</xm:f>
          </x14:formula1>
          <xm:sqref>C32:C34</xm:sqref>
        </x14:dataValidation>
        <x14:dataValidation type="list" allowBlank="1" showInputMessage="1" showErrorMessage="1" xr:uid="{E1242C6B-BEBB-492E-946F-6688ED960776}">
          <x14:formula1>
            <xm:f>'A3-Valores por defecto'!$A$111:$A$122</xm:f>
          </x14:formula1>
          <xm:sqref>C35:C37</xm:sqref>
        </x14:dataValidation>
        <x14:dataValidation type="list" allowBlank="1" showInputMessage="1" showErrorMessage="1" xr:uid="{AE2F20CF-1DC9-44E1-ADB1-5586652FDD7E}">
          <x14:formula1>
            <xm:f>'A3-Valores por defecto'!$A$125</xm:f>
          </x14:formula1>
          <xm:sqref>C38:C40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73021-6D30-49C3-8B0C-4AF4DE2D49B8}">
  <sheetPr>
    <tabColor theme="7"/>
    <outlinePr summaryBelow="0" summaryRight="0"/>
  </sheetPr>
  <dimension ref="A1:AH918"/>
  <sheetViews>
    <sheetView showGridLines="0" zoomScale="78" zoomScaleNormal="78" workbookViewId="0">
      <pane xSplit="2" topLeftCell="Q1" activePane="topRight" state="frozen"/>
      <selection pane="topRight" sqref="A1:XFD1048576"/>
    </sheetView>
  </sheetViews>
  <sheetFormatPr baseColWidth="10" defaultColWidth="14.44140625" defaultRowHeight="15" customHeight="1"/>
  <cols>
    <col min="1" max="1" width="8.109375" style="265" customWidth="1"/>
    <col min="2" max="2" width="48.88671875" style="265" customWidth="1"/>
    <col min="3" max="4" width="24.88671875" style="265" customWidth="1"/>
    <col min="5" max="19" width="14.44140625" style="265"/>
    <col min="20" max="21" width="0" style="265" hidden="1" customWidth="1"/>
    <col min="22" max="33" width="14.44140625" style="265"/>
    <col min="34" max="34" width="13.88671875" style="265" customWidth="1"/>
    <col min="35" max="16384" width="14.44140625" style="265"/>
  </cols>
  <sheetData>
    <row r="1" spans="1:34" ht="45.75" customHeight="1"/>
    <row r="2" spans="1:34" ht="42" customHeight="1">
      <c r="B2" s="756" t="s">
        <v>170</v>
      </c>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row>
    <row r="3" spans="1:34" ht="23.25" customHeight="1">
      <c r="A3" s="266"/>
      <c r="B3" s="80"/>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row>
    <row r="4" spans="1:34" ht="21" customHeight="1">
      <c r="B4" s="770" t="s">
        <v>184</v>
      </c>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row>
    <row r="5" spans="1:34" ht="15" customHeight="1">
      <c r="B5" s="81"/>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row>
    <row r="6" spans="1:34" ht="54.75" customHeight="1">
      <c r="B6" s="760" t="s">
        <v>10</v>
      </c>
      <c r="C6" s="760" t="s">
        <v>11</v>
      </c>
      <c r="D6" s="762" t="s">
        <v>661</v>
      </c>
      <c r="E6" s="760" t="s">
        <v>12</v>
      </c>
      <c r="F6" s="760" t="s">
        <v>13</v>
      </c>
      <c r="G6" s="761"/>
      <c r="H6" s="761"/>
      <c r="I6" s="761"/>
      <c r="J6" s="761"/>
      <c r="K6" s="761"/>
      <c r="L6" s="761"/>
      <c r="M6" s="761"/>
      <c r="N6" s="761"/>
      <c r="O6" s="761"/>
      <c r="P6" s="761"/>
      <c r="Q6" s="761"/>
      <c r="R6" s="761"/>
      <c r="S6" s="761"/>
      <c r="T6" s="760" t="s">
        <v>14</v>
      </c>
      <c r="U6" s="761"/>
      <c r="V6" s="698" t="s">
        <v>692</v>
      </c>
      <c r="W6" s="699"/>
      <c r="X6" s="699"/>
      <c r="Y6" s="699"/>
      <c r="Z6" s="698" t="s">
        <v>693</v>
      </c>
      <c r="AA6" s="699"/>
      <c r="AB6" s="699"/>
      <c r="AC6" s="699"/>
      <c r="AD6" s="698" t="s">
        <v>694</v>
      </c>
      <c r="AE6" s="699"/>
      <c r="AF6" s="699"/>
      <c r="AG6" s="699"/>
      <c r="AH6" s="127" t="s">
        <v>172</v>
      </c>
    </row>
    <row r="7" spans="1:34" ht="82.5" customHeight="1">
      <c r="B7" s="761"/>
      <c r="C7" s="761"/>
      <c r="D7" s="763"/>
      <c r="E7" s="761"/>
      <c r="F7" s="76" t="s">
        <v>18</v>
      </c>
      <c r="G7" s="76" t="s">
        <v>19</v>
      </c>
      <c r="H7" s="76" t="s">
        <v>20</v>
      </c>
      <c r="I7" s="76" t="s">
        <v>21</v>
      </c>
      <c r="J7" s="76" t="s">
        <v>22</v>
      </c>
      <c r="K7" s="76" t="s">
        <v>23</v>
      </c>
      <c r="L7" s="76" t="s">
        <v>24</v>
      </c>
      <c r="M7" s="76" t="s">
        <v>25</v>
      </c>
      <c r="N7" s="76" t="s">
        <v>26</v>
      </c>
      <c r="O7" s="76" t="s">
        <v>27</v>
      </c>
      <c r="P7" s="76" t="s">
        <v>28</v>
      </c>
      <c r="Q7" s="76" t="s">
        <v>29</v>
      </c>
      <c r="R7" s="126" t="s">
        <v>30</v>
      </c>
      <c r="S7" s="76" t="s">
        <v>31</v>
      </c>
      <c r="T7" s="76" t="s">
        <v>32</v>
      </c>
      <c r="U7" s="128" t="s">
        <v>33</v>
      </c>
      <c r="V7" s="699" t="s">
        <v>695</v>
      </c>
      <c r="W7" s="699"/>
      <c r="X7" s="200" t="s">
        <v>696</v>
      </c>
      <c r="Y7" s="200" t="s">
        <v>697</v>
      </c>
      <c r="Z7" s="699" t="s">
        <v>698</v>
      </c>
      <c r="AA7" s="699"/>
      <c r="AB7" s="200" t="s">
        <v>699</v>
      </c>
      <c r="AC7" s="200" t="s">
        <v>700</v>
      </c>
      <c r="AD7" s="699" t="s">
        <v>701</v>
      </c>
      <c r="AE7" s="699"/>
      <c r="AF7" s="200" t="s">
        <v>702</v>
      </c>
      <c r="AG7" s="200" t="s">
        <v>703</v>
      </c>
      <c r="AH7" s="128" t="s">
        <v>173</v>
      </c>
    </row>
    <row r="8" spans="1:34" ht="15" customHeight="1">
      <c r="B8" s="690" t="s">
        <v>184</v>
      </c>
      <c r="C8" s="108"/>
      <c r="D8" s="108"/>
      <c r="E8" s="108"/>
      <c r="F8" s="109"/>
      <c r="G8" s="109"/>
      <c r="H8" s="109"/>
      <c r="I8" s="109"/>
      <c r="J8" s="109"/>
      <c r="K8" s="109"/>
      <c r="L8" s="109"/>
      <c r="M8" s="109"/>
      <c r="N8" s="109"/>
      <c r="O8" s="109"/>
      <c r="P8" s="109"/>
      <c r="Q8" s="109"/>
      <c r="R8" s="110">
        <f>SUM(F8:Q8)</f>
        <v>0</v>
      </c>
      <c r="S8" s="110">
        <f>COUNT(F8:Q8)</f>
        <v>0</v>
      </c>
      <c r="T8" s="110">
        <f>IF(S8&gt;1,AVERAGE(F8:Q8),0)</f>
        <v>0</v>
      </c>
      <c r="U8" s="110">
        <f t="shared" ref="U8:U11" si="0">IF(S8&gt;1,STDEV(F8:Q8),0)</f>
        <v>0</v>
      </c>
      <c r="V8" s="110"/>
      <c r="W8" s="110"/>
      <c r="X8" s="110"/>
      <c r="Y8" s="110"/>
      <c r="Z8" s="110"/>
      <c r="AA8" s="110"/>
      <c r="AB8" s="110"/>
      <c r="AC8" s="110"/>
      <c r="AD8" s="110"/>
      <c r="AE8" s="110"/>
      <c r="AF8" s="110"/>
      <c r="AG8" s="110"/>
      <c r="AH8" s="110">
        <f>Y8+AC8+AG8</f>
        <v>0</v>
      </c>
    </row>
    <row r="9" spans="1:34" ht="15" customHeight="1">
      <c r="B9" s="691"/>
      <c r="C9" s="108"/>
      <c r="D9" s="108"/>
      <c r="E9" s="108"/>
      <c r="F9" s="109"/>
      <c r="G9" s="109"/>
      <c r="H9" s="109"/>
      <c r="I9" s="109"/>
      <c r="J9" s="109"/>
      <c r="K9" s="109"/>
      <c r="L9" s="109"/>
      <c r="M9" s="109"/>
      <c r="N9" s="109"/>
      <c r="O9" s="109"/>
      <c r="P9" s="109"/>
      <c r="Q9" s="109"/>
      <c r="R9" s="110">
        <f>SUM(F9:Q9)</f>
        <v>0</v>
      </c>
      <c r="S9" s="110">
        <f>COUNT(F9:Q9)</f>
        <v>0</v>
      </c>
      <c r="T9" s="110">
        <f>IF(S9&gt;1,AVERAGE(F9:Q9),0)</f>
        <v>0</v>
      </c>
      <c r="U9" s="110">
        <f t="shared" si="0"/>
        <v>0</v>
      </c>
      <c r="V9" s="110"/>
      <c r="W9" s="110"/>
      <c r="X9" s="110"/>
      <c r="Y9" s="110"/>
      <c r="Z9" s="110"/>
      <c r="AA9" s="110"/>
      <c r="AB9" s="110"/>
      <c r="AC9" s="110"/>
      <c r="AD9" s="110"/>
      <c r="AE9" s="110"/>
      <c r="AF9" s="110"/>
      <c r="AG9" s="110"/>
      <c r="AH9" s="110">
        <f>Y9+AC9+AG9</f>
        <v>0</v>
      </c>
    </row>
    <row r="10" spans="1:34" ht="15" customHeight="1">
      <c r="B10" s="691"/>
      <c r="C10" s="108"/>
      <c r="D10" s="108"/>
      <c r="E10" s="108"/>
      <c r="F10" s="109"/>
      <c r="G10" s="109"/>
      <c r="H10" s="109"/>
      <c r="I10" s="109"/>
      <c r="J10" s="109"/>
      <c r="K10" s="109"/>
      <c r="L10" s="109"/>
      <c r="M10" s="109"/>
      <c r="N10" s="109"/>
      <c r="O10" s="109"/>
      <c r="P10" s="109"/>
      <c r="Q10" s="109"/>
      <c r="R10" s="110">
        <f>SUM(F10:Q10)</f>
        <v>0</v>
      </c>
      <c r="S10" s="110">
        <f>COUNT(F10:Q10)</f>
        <v>0</v>
      </c>
      <c r="T10" s="110">
        <f>IF(S10&gt;1,AVERAGE(F10:Q10),0)</f>
        <v>0</v>
      </c>
      <c r="U10" s="110">
        <f t="shared" si="0"/>
        <v>0</v>
      </c>
      <c r="V10" s="110"/>
      <c r="W10" s="110"/>
      <c r="X10" s="110"/>
      <c r="Y10" s="110"/>
      <c r="Z10" s="110"/>
      <c r="AA10" s="110"/>
      <c r="AB10" s="110"/>
      <c r="AC10" s="110"/>
      <c r="AD10" s="110"/>
      <c r="AE10" s="110"/>
      <c r="AF10" s="110"/>
      <c r="AG10" s="110"/>
      <c r="AH10" s="110">
        <f>Y10+AC10+AG10</f>
        <v>0</v>
      </c>
    </row>
    <row r="11" spans="1:34" ht="15" customHeight="1">
      <c r="B11" s="692"/>
      <c r="C11" s="108"/>
      <c r="D11" s="108"/>
      <c r="E11" s="108"/>
      <c r="F11" s="109"/>
      <c r="G11" s="109"/>
      <c r="H11" s="109"/>
      <c r="I11" s="109"/>
      <c r="J11" s="109"/>
      <c r="K11" s="109"/>
      <c r="L11" s="109"/>
      <c r="M11" s="109"/>
      <c r="N11" s="109"/>
      <c r="O11" s="109"/>
      <c r="P11" s="109"/>
      <c r="Q11" s="109"/>
      <c r="R11" s="110">
        <f>SUM(F11:Q11)</f>
        <v>0</v>
      </c>
      <c r="S11" s="110">
        <f>COUNT(F11:Q11)</f>
        <v>0</v>
      </c>
      <c r="T11" s="110">
        <f>IF(S11&gt;1,AVERAGE(F11:Q11),0)</f>
        <v>0</v>
      </c>
      <c r="U11" s="110">
        <f t="shared" si="0"/>
        <v>0</v>
      </c>
      <c r="V11" s="110"/>
      <c r="W11" s="110"/>
      <c r="X11" s="110"/>
      <c r="Y11" s="110"/>
      <c r="Z11" s="110"/>
      <c r="AA11" s="110"/>
      <c r="AB11" s="110"/>
      <c r="AC11" s="110"/>
      <c r="AD11" s="110"/>
      <c r="AE11" s="110"/>
      <c r="AF11" s="110"/>
      <c r="AG11" s="110"/>
      <c r="AH11" s="110">
        <f>Y11+AC11+AG11</f>
        <v>0</v>
      </c>
    </row>
    <row r="12" spans="1:34" ht="15" customHeight="1">
      <c r="B12" s="77" t="s">
        <v>183</v>
      </c>
      <c r="C12" s="73"/>
      <c r="D12" s="73"/>
      <c r="E12" s="73"/>
      <c r="F12" s="73"/>
      <c r="G12" s="73"/>
      <c r="H12" s="73"/>
      <c r="I12" s="73"/>
      <c r="J12" s="73"/>
      <c r="K12" s="73"/>
      <c r="L12" s="73"/>
      <c r="M12" s="73"/>
      <c r="N12" s="73"/>
      <c r="O12" s="73"/>
      <c r="P12" s="73"/>
      <c r="Q12" s="73"/>
      <c r="R12" s="79"/>
      <c r="S12" s="79"/>
      <c r="T12" s="79"/>
      <c r="U12" s="79"/>
      <c r="V12" s="79"/>
      <c r="W12" s="79"/>
      <c r="X12" s="79"/>
      <c r="Y12" s="79">
        <f>SUM(Y8:Y11)</f>
        <v>0</v>
      </c>
      <c r="Z12" s="79"/>
      <c r="AA12" s="79"/>
      <c r="AB12" s="79"/>
      <c r="AC12" s="79">
        <f>SUM(AC8:AC11)</f>
        <v>0</v>
      </c>
      <c r="AD12" s="79"/>
      <c r="AE12" s="79"/>
      <c r="AF12" s="79"/>
      <c r="AG12" s="79">
        <f>SUM(AG8:AG11)</f>
        <v>0</v>
      </c>
      <c r="AH12" s="79">
        <f>SUM(AH8:AH11)</f>
        <v>0</v>
      </c>
    </row>
    <row r="13" spans="1:34" ht="32.25" customHeight="1"/>
    <row r="14" spans="1:34" ht="15.75" customHeight="1"/>
    <row r="15" spans="1:34" ht="15.75" customHeight="1"/>
    <row r="16" spans="1:3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sheetData>
  <sheetProtection insertRows="0"/>
  <mergeCells count="15">
    <mergeCell ref="B8:B11"/>
    <mergeCell ref="B2:AH2"/>
    <mergeCell ref="V7:W7"/>
    <mergeCell ref="Z7:AA7"/>
    <mergeCell ref="AD7:AE7"/>
    <mergeCell ref="B4:AH4"/>
    <mergeCell ref="B6:B7"/>
    <mergeCell ref="C6:C7"/>
    <mergeCell ref="E6:E7"/>
    <mergeCell ref="F6:S6"/>
    <mergeCell ref="T6:U6"/>
    <mergeCell ref="V6:Y6"/>
    <mergeCell ref="Z6:AC6"/>
    <mergeCell ref="AD6:AG6"/>
    <mergeCell ref="D6:D7"/>
  </mergeCells>
  <pageMargins left="0.7" right="0.7" top="0.75" bottom="0.75" header="0" footer="0"/>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7CEE-B71D-4A3F-8378-32788D8A9852}">
  <dimension ref="A1:CQ110"/>
  <sheetViews>
    <sheetView topLeftCell="A40" zoomScale="90" zoomScaleNormal="90" workbookViewId="0">
      <selection activeCell="A31" sqref="A31"/>
    </sheetView>
  </sheetViews>
  <sheetFormatPr baseColWidth="10" defaultRowHeight="14.4"/>
  <cols>
    <col min="1" max="1" width="92" customWidth="1"/>
    <col min="2" max="2" width="15" customWidth="1"/>
    <col min="3" max="3" width="25.33203125" customWidth="1"/>
    <col min="4" max="4" width="71.44140625" customWidth="1"/>
  </cols>
  <sheetData>
    <row r="1" spans="1:95" ht="21">
      <c r="A1" s="88" t="s">
        <v>527</v>
      </c>
      <c r="B1" s="88" t="s">
        <v>480</v>
      </c>
      <c r="C1" s="88" t="s">
        <v>528</v>
      </c>
      <c r="D1" s="88" t="s">
        <v>595</v>
      </c>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4"/>
    </row>
    <row r="2" spans="1:95" s="83" customFormat="1" ht="89.25" customHeight="1">
      <c r="A2" s="82" t="s">
        <v>621</v>
      </c>
      <c r="B2" s="117" t="s">
        <v>421</v>
      </c>
      <c r="C2" s="82" t="s">
        <v>529</v>
      </c>
      <c r="D2" s="82" t="s">
        <v>634</v>
      </c>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5"/>
    </row>
    <row r="3" spans="1:95" s="83" customFormat="1" ht="35.1" customHeight="1">
      <c r="A3" s="82" t="s">
        <v>522</v>
      </c>
      <c r="B3" s="117" t="s">
        <v>421</v>
      </c>
      <c r="C3" s="82" t="s">
        <v>529</v>
      </c>
      <c r="D3" s="82" t="s">
        <v>635</v>
      </c>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5"/>
    </row>
    <row r="4" spans="1:95" s="83" customFormat="1" ht="35.1" customHeight="1">
      <c r="A4" s="82" t="s">
        <v>689</v>
      </c>
      <c r="B4" s="117" t="s">
        <v>421</v>
      </c>
      <c r="C4" s="82" t="s">
        <v>529</v>
      </c>
      <c r="D4" s="82" t="s">
        <v>636</v>
      </c>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5"/>
    </row>
    <row r="5" spans="1:95" s="83" customFormat="1" ht="41.25" customHeight="1">
      <c r="A5" s="82" t="s">
        <v>622</v>
      </c>
      <c r="B5" s="117" t="s">
        <v>421</v>
      </c>
      <c r="C5" s="82" t="s">
        <v>529</v>
      </c>
      <c r="D5" s="82" t="s">
        <v>637</v>
      </c>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5"/>
    </row>
    <row r="6" spans="1:95" s="83" customFormat="1" ht="60" customHeight="1">
      <c r="A6" s="82" t="s">
        <v>718</v>
      </c>
      <c r="B6" s="117" t="s">
        <v>421</v>
      </c>
      <c r="C6" s="82" t="s">
        <v>529</v>
      </c>
      <c r="D6" s="82" t="s">
        <v>638</v>
      </c>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5"/>
    </row>
    <row r="7" spans="1:95" s="83" customFormat="1" ht="35.1" customHeight="1">
      <c r="A7" s="82" t="s">
        <v>520</v>
      </c>
      <c r="B7" s="117" t="s">
        <v>421</v>
      </c>
      <c r="C7" s="82" t="s">
        <v>530</v>
      </c>
      <c r="D7" s="82" t="s">
        <v>639</v>
      </c>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5"/>
    </row>
    <row r="8" spans="1:95" s="83" customFormat="1" ht="117" customHeight="1">
      <c r="A8" s="82" t="s">
        <v>623</v>
      </c>
      <c r="B8" s="117" t="s">
        <v>421</v>
      </c>
      <c r="C8" s="82" t="s">
        <v>530</v>
      </c>
      <c r="D8" s="82" t="s">
        <v>640</v>
      </c>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5"/>
    </row>
    <row r="9" spans="1:95" s="83" customFormat="1" ht="35.1" customHeight="1">
      <c r="A9" s="82" t="s">
        <v>526</v>
      </c>
      <c r="B9" s="117" t="s">
        <v>421</v>
      </c>
      <c r="C9" s="82" t="s">
        <v>489</v>
      </c>
      <c r="D9" s="82" t="s">
        <v>641</v>
      </c>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5"/>
    </row>
    <row r="10" spans="1:95" s="83" customFormat="1" ht="47.25" customHeight="1">
      <c r="A10" s="82" t="s">
        <v>628</v>
      </c>
      <c r="B10" s="117" t="s">
        <v>421</v>
      </c>
      <c r="C10" s="82" t="s">
        <v>489</v>
      </c>
      <c r="D10" s="82" t="s">
        <v>642</v>
      </c>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5"/>
    </row>
    <row r="11" spans="1:95" s="83" customFormat="1" ht="35.1" customHeight="1">
      <c r="A11" s="82" t="s">
        <v>629</v>
      </c>
      <c r="B11" s="117" t="s">
        <v>421</v>
      </c>
      <c r="C11" s="82" t="s">
        <v>489</v>
      </c>
      <c r="D11" s="82" t="s">
        <v>643</v>
      </c>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5"/>
    </row>
    <row r="12" spans="1:95" s="83" customFormat="1" ht="35.1" customHeight="1">
      <c r="A12" s="82" t="s">
        <v>719</v>
      </c>
      <c r="B12" s="117" t="s">
        <v>421</v>
      </c>
      <c r="C12" s="82" t="s">
        <v>531</v>
      </c>
      <c r="D12" s="82" t="s">
        <v>644</v>
      </c>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5"/>
    </row>
    <row r="13" spans="1:95" s="83" customFormat="1" ht="35.1" customHeight="1">
      <c r="A13" s="82" t="s">
        <v>630</v>
      </c>
      <c r="B13" s="117" t="s">
        <v>421</v>
      </c>
      <c r="C13" s="82" t="s">
        <v>633</v>
      </c>
      <c r="D13" s="82" t="s">
        <v>645</v>
      </c>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5"/>
    </row>
    <row r="14" spans="1:95" s="83" customFormat="1" ht="35.1" customHeight="1">
      <c r="A14" s="82" t="s">
        <v>631</v>
      </c>
      <c r="B14" s="117" t="s">
        <v>421</v>
      </c>
      <c r="C14" s="82" t="s">
        <v>633</v>
      </c>
      <c r="D14" s="82" t="s">
        <v>646</v>
      </c>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5"/>
    </row>
    <row r="15" spans="1:95" s="83" customFormat="1" ht="35.1" customHeight="1">
      <c r="A15" s="82" t="s">
        <v>539</v>
      </c>
      <c r="B15" s="117" t="s">
        <v>421</v>
      </c>
      <c r="C15" s="82" t="s">
        <v>633</v>
      </c>
      <c r="D15" s="82" t="s">
        <v>647</v>
      </c>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5"/>
    </row>
    <row r="16" spans="1:95" s="83" customFormat="1" ht="35.1" customHeight="1">
      <c r="A16" s="82" t="s">
        <v>524</v>
      </c>
      <c r="B16" s="117" t="s">
        <v>421</v>
      </c>
      <c r="C16" s="82" t="s">
        <v>532</v>
      </c>
      <c r="D16" s="82" t="s">
        <v>648</v>
      </c>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5"/>
    </row>
    <row r="17" spans="1:95" s="83" customFormat="1" ht="35.1" customHeight="1">
      <c r="A17" s="82" t="s">
        <v>632</v>
      </c>
      <c r="B17" s="117" t="s">
        <v>421</v>
      </c>
      <c r="C17" s="82" t="s">
        <v>70</v>
      </c>
      <c r="D17" s="82" t="s">
        <v>649</v>
      </c>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5"/>
    </row>
    <row r="18" spans="1:95" s="83" customFormat="1" ht="35.1" customHeight="1">
      <c r="A18" s="82" t="s">
        <v>523</v>
      </c>
      <c r="B18" s="117" t="s">
        <v>421</v>
      </c>
      <c r="C18" s="82" t="s">
        <v>74</v>
      </c>
      <c r="D18" s="82" t="s">
        <v>649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5"/>
    </row>
    <row r="19" spans="1:95" s="83" customFormat="1" ht="41.25" customHeight="1">
      <c r="A19" s="82" t="s">
        <v>525</v>
      </c>
      <c r="B19" s="117" t="s">
        <v>421</v>
      </c>
      <c r="C19" s="82" t="s">
        <v>54</v>
      </c>
      <c r="D19" s="82" t="s">
        <v>650</v>
      </c>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5"/>
    </row>
    <row r="20" spans="1:95" s="83" customFormat="1" ht="43.5" customHeight="1">
      <c r="A20" s="82" t="s">
        <v>514</v>
      </c>
      <c r="B20" s="117" t="s">
        <v>428</v>
      </c>
      <c r="C20" s="82" t="s">
        <v>361</v>
      </c>
      <c r="D20" s="82" t="s">
        <v>651</v>
      </c>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5"/>
    </row>
    <row r="21" spans="1:95" s="83" customFormat="1" ht="35.1" customHeight="1">
      <c r="A21" s="82" t="s">
        <v>515</v>
      </c>
      <c r="B21" s="117" t="s">
        <v>428</v>
      </c>
      <c r="C21" s="82" t="s">
        <v>361</v>
      </c>
      <c r="D21" s="82" t="s">
        <v>652</v>
      </c>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5"/>
    </row>
    <row r="22" spans="1:95" s="83" customFormat="1" ht="35.1" customHeight="1">
      <c r="A22" s="82" t="s">
        <v>516</v>
      </c>
      <c r="B22" s="117" t="s">
        <v>428</v>
      </c>
      <c r="C22" s="82" t="s">
        <v>361</v>
      </c>
      <c r="D22" s="82" t="s">
        <v>653</v>
      </c>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5"/>
    </row>
    <row r="23" spans="1:95" s="83" customFormat="1" ht="56.25" customHeight="1">
      <c r="A23" s="82" t="s">
        <v>517</v>
      </c>
      <c r="B23" s="117" t="s">
        <v>428</v>
      </c>
      <c r="C23" s="82" t="s">
        <v>361</v>
      </c>
      <c r="D23" s="82" t="s">
        <v>654</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5"/>
    </row>
    <row r="24" spans="1:95" s="83" customFormat="1" ht="45.75" customHeight="1">
      <c r="A24" s="82" t="s">
        <v>518</v>
      </c>
      <c r="B24" s="117" t="s">
        <v>428</v>
      </c>
      <c r="C24" s="82" t="s">
        <v>361</v>
      </c>
      <c r="D24" s="82" t="s">
        <v>655</v>
      </c>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5"/>
    </row>
    <row r="25" spans="1:95" s="83" customFormat="1" ht="35.1" customHeight="1">
      <c r="A25" s="82" t="s">
        <v>519</v>
      </c>
      <c r="B25" s="117" t="s">
        <v>428</v>
      </c>
      <c r="C25" s="82" t="s">
        <v>361</v>
      </c>
      <c r="D25" s="82" t="s">
        <v>656</v>
      </c>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5"/>
    </row>
    <row r="26" spans="1:95" s="83" customFormat="1" ht="35.1" customHeight="1">
      <c r="A26" s="82" t="s">
        <v>521</v>
      </c>
      <c r="B26" s="117" t="s">
        <v>428</v>
      </c>
      <c r="C26" s="82" t="s">
        <v>361</v>
      </c>
      <c r="D26" s="82" t="s">
        <v>657</v>
      </c>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5"/>
    </row>
    <row r="27" spans="1:95" s="83" customFormat="1" ht="103.5" customHeight="1">
      <c r="A27" s="82" t="s">
        <v>624</v>
      </c>
      <c r="B27" s="117" t="s">
        <v>428</v>
      </c>
      <c r="C27" s="82" t="s">
        <v>361</v>
      </c>
      <c r="D27" s="82" t="s">
        <v>658</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5"/>
    </row>
    <row r="28" spans="1:95" s="83" customFormat="1" ht="35.1" customHeight="1">
      <c r="A28" s="82" t="s">
        <v>625</v>
      </c>
      <c r="B28" s="117" t="s">
        <v>428</v>
      </c>
      <c r="C28" s="82" t="s">
        <v>361</v>
      </c>
      <c r="D28" s="82" t="s">
        <v>659</v>
      </c>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5"/>
    </row>
    <row r="29" spans="1:95" s="83" customFormat="1" ht="42" customHeight="1">
      <c r="A29" s="82" t="s">
        <v>626</v>
      </c>
      <c r="B29" s="117" t="s">
        <v>428</v>
      </c>
      <c r="C29" s="82" t="s">
        <v>361</v>
      </c>
      <c r="D29" s="82" t="s">
        <v>660</v>
      </c>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5"/>
    </row>
    <row r="30" spans="1:95" s="83" customFormat="1" ht="35.1" customHeight="1">
      <c r="A30" s="82" t="s">
        <v>627</v>
      </c>
      <c r="B30" s="117" t="s">
        <v>428</v>
      </c>
      <c r="C30" s="82" t="s">
        <v>361</v>
      </c>
      <c r="D30" s="82" t="s">
        <v>652</v>
      </c>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5"/>
    </row>
    <row r="31" spans="1:95" s="83" customFormat="1" ht="41.25" customHeight="1">
      <c r="A31" s="82" t="s">
        <v>533</v>
      </c>
      <c r="B31" s="117" t="s">
        <v>430</v>
      </c>
      <c r="C31" s="82" t="s">
        <v>543</v>
      </c>
      <c r="D31" s="82" t="s">
        <v>615</v>
      </c>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5"/>
    </row>
    <row r="32" spans="1:95" s="83" customFormat="1" ht="87" customHeight="1">
      <c r="A32" s="82" t="s">
        <v>596</v>
      </c>
      <c r="B32" s="117" t="s">
        <v>430</v>
      </c>
      <c r="C32" s="82" t="s">
        <v>543</v>
      </c>
      <c r="D32" s="82" t="s">
        <v>616</v>
      </c>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5"/>
    </row>
    <row r="33" spans="1:95" s="83" customFormat="1" ht="35.1" customHeight="1">
      <c r="A33" s="82" t="s">
        <v>534</v>
      </c>
      <c r="B33" s="117" t="s">
        <v>430</v>
      </c>
      <c r="C33" s="82" t="s">
        <v>543</v>
      </c>
      <c r="D33" s="82" t="s">
        <v>617</v>
      </c>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5"/>
    </row>
    <row r="34" spans="1:95" s="83" customFormat="1" ht="49.5" customHeight="1">
      <c r="A34" s="82" t="s">
        <v>597</v>
      </c>
      <c r="B34" s="117" t="s">
        <v>430</v>
      </c>
      <c r="C34" s="82" t="s">
        <v>395</v>
      </c>
      <c r="D34" s="82" t="s">
        <v>619</v>
      </c>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5"/>
    </row>
    <row r="35" spans="1:95" s="83" customFormat="1" ht="44.25" customHeight="1">
      <c r="A35" s="82" t="s">
        <v>598</v>
      </c>
      <c r="B35" s="117" t="s">
        <v>430</v>
      </c>
      <c r="C35" s="82" t="s">
        <v>544</v>
      </c>
      <c r="D35" s="82" t="s">
        <v>604</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5"/>
    </row>
    <row r="36" spans="1:95" s="83" customFormat="1" ht="44.25" customHeight="1">
      <c r="A36" s="82" t="s">
        <v>535</v>
      </c>
      <c r="B36" s="117" t="s">
        <v>430</v>
      </c>
      <c r="C36" s="82" t="s">
        <v>179</v>
      </c>
      <c r="D36" s="82" t="s">
        <v>605</v>
      </c>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5"/>
    </row>
    <row r="37" spans="1:95" s="83" customFormat="1" ht="35.1" customHeight="1">
      <c r="A37" s="82" t="s">
        <v>536</v>
      </c>
      <c r="B37" s="117" t="s">
        <v>430</v>
      </c>
      <c r="C37" s="82" t="s">
        <v>179</v>
      </c>
      <c r="D37" s="82" t="s">
        <v>620</v>
      </c>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5"/>
    </row>
    <row r="38" spans="1:95" s="83" customFormat="1" ht="73.5" customHeight="1">
      <c r="A38" s="82" t="s">
        <v>537</v>
      </c>
      <c r="B38" s="117" t="s">
        <v>430</v>
      </c>
      <c r="C38" s="82" t="s">
        <v>179</v>
      </c>
      <c r="D38" s="82" t="s">
        <v>614</v>
      </c>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5"/>
    </row>
    <row r="39" spans="1:95" s="83" customFormat="1" ht="42" customHeight="1">
      <c r="A39" s="82" t="s">
        <v>538</v>
      </c>
      <c r="B39" s="117" t="s">
        <v>430</v>
      </c>
      <c r="C39" s="82" t="s">
        <v>179</v>
      </c>
      <c r="D39" s="82" t="s">
        <v>606</v>
      </c>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5"/>
    </row>
    <row r="40" spans="1:95" s="83" customFormat="1" ht="35.1" customHeight="1">
      <c r="A40" s="82" t="s">
        <v>599</v>
      </c>
      <c r="B40" s="117" t="s">
        <v>430</v>
      </c>
      <c r="C40" s="82" t="s">
        <v>179</v>
      </c>
      <c r="D40" s="82" t="s">
        <v>607</v>
      </c>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5"/>
    </row>
    <row r="41" spans="1:95" s="83" customFormat="1" ht="61.5" customHeight="1">
      <c r="A41" s="82" t="s">
        <v>690</v>
      </c>
      <c r="B41" s="117" t="s">
        <v>430</v>
      </c>
      <c r="C41" s="82" t="s">
        <v>545</v>
      </c>
      <c r="D41" s="82" t="s">
        <v>608</v>
      </c>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5"/>
    </row>
    <row r="42" spans="1:95" s="83" customFormat="1" ht="34.5" customHeight="1">
      <c r="A42" s="82" t="s">
        <v>600</v>
      </c>
      <c r="B42" s="117" t="s">
        <v>430</v>
      </c>
      <c r="C42" s="82" t="s">
        <v>545</v>
      </c>
      <c r="D42" s="82" t="s">
        <v>609</v>
      </c>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5"/>
    </row>
    <row r="43" spans="1:95" s="83" customFormat="1" ht="42" customHeight="1">
      <c r="A43" s="82" t="s">
        <v>540</v>
      </c>
      <c r="B43" s="117" t="s">
        <v>430</v>
      </c>
      <c r="C43" s="82" t="s">
        <v>545</v>
      </c>
      <c r="D43" s="82" t="s">
        <v>610</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5"/>
    </row>
    <row r="44" spans="1:95" s="83" customFormat="1" ht="46.5" customHeight="1">
      <c r="A44" s="82" t="s">
        <v>601</v>
      </c>
      <c r="B44" s="117" t="s">
        <v>430</v>
      </c>
      <c r="C44" s="82" t="s">
        <v>546</v>
      </c>
      <c r="D44" s="82" t="s">
        <v>611</v>
      </c>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5"/>
    </row>
    <row r="45" spans="1:95" s="83" customFormat="1" ht="70.5" customHeight="1">
      <c r="A45" s="82" t="s">
        <v>602</v>
      </c>
      <c r="B45" s="117" t="s">
        <v>430</v>
      </c>
      <c r="C45" s="82" t="s">
        <v>546</v>
      </c>
      <c r="D45" s="82" t="s">
        <v>612</v>
      </c>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5"/>
    </row>
    <row r="46" spans="1:95" s="83" customFormat="1" ht="35.1" customHeight="1">
      <c r="A46" s="82" t="s">
        <v>541</v>
      </c>
      <c r="B46" s="117" t="s">
        <v>430</v>
      </c>
      <c r="C46" s="82" t="s">
        <v>546</v>
      </c>
      <c r="D46" s="82" t="s">
        <v>618</v>
      </c>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5"/>
    </row>
    <row r="47" spans="1:95" s="83" customFormat="1" ht="35.1" customHeight="1">
      <c r="A47" s="82" t="s">
        <v>603</v>
      </c>
      <c r="B47" s="117" t="s">
        <v>430</v>
      </c>
      <c r="C47" s="82" t="s">
        <v>546</v>
      </c>
      <c r="D47" s="82" t="s">
        <v>618</v>
      </c>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5"/>
    </row>
    <row r="48" spans="1:95" s="83" customFormat="1" ht="44.25" customHeight="1">
      <c r="A48" s="82" t="s">
        <v>542</v>
      </c>
      <c r="B48" s="117" t="s">
        <v>430</v>
      </c>
      <c r="C48" s="82" t="s">
        <v>546</v>
      </c>
      <c r="D48" s="82" t="s">
        <v>613</v>
      </c>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5"/>
    </row>
    <row r="49" spans="1:9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4"/>
    </row>
    <row r="50" spans="1:9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4"/>
    </row>
    <row r="51" spans="1:9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4"/>
    </row>
    <row r="52" spans="1:9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4"/>
    </row>
    <row r="53" spans="1:9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4"/>
    </row>
    <row r="54" spans="1:9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4"/>
    </row>
    <row r="55" spans="1:9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4"/>
    </row>
    <row r="56" spans="1:9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4"/>
    </row>
    <row r="57" spans="1:9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4"/>
    </row>
    <row r="58" spans="1:9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4"/>
    </row>
    <row r="59" spans="1:9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4"/>
    </row>
    <row r="60" spans="1:9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4"/>
    </row>
    <row r="61" spans="1:9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4"/>
    </row>
    <row r="62" spans="1:9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4"/>
    </row>
    <row r="63" spans="1:9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4"/>
    </row>
    <row r="64" spans="1:9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4"/>
    </row>
    <row r="65" spans="1:9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4"/>
    </row>
    <row r="66" spans="1:9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4"/>
    </row>
    <row r="67" spans="1:9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4"/>
    </row>
    <row r="68" spans="1:9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4"/>
    </row>
    <row r="69" spans="1:9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4"/>
    </row>
    <row r="70" spans="1:9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4"/>
    </row>
    <row r="71" spans="1:9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4"/>
    </row>
    <row r="72" spans="1:9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4"/>
    </row>
    <row r="73" spans="1:9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4"/>
    </row>
    <row r="74" spans="1:9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4"/>
    </row>
    <row r="75" spans="1:9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4"/>
    </row>
    <row r="76" spans="1:9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4"/>
    </row>
    <row r="77" spans="1:9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4"/>
    </row>
    <row r="78" spans="1:9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4"/>
    </row>
    <row r="79" spans="1:9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4"/>
    </row>
    <row r="80" spans="1:9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4"/>
    </row>
    <row r="81" spans="1:9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4"/>
    </row>
    <row r="82" spans="1:9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4"/>
    </row>
    <row r="83" spans="1:9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4"/>
    </row>
    <row r="84" spans="1:9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4"/>
    </row>
    <row r="85" spans="1:9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4"/>
    </row>
    <row r="86" spans="1:9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4"/>
    </row>
    <row r="87" spans="1:9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4"/>
    </row>
    <row r="88" spans="1:9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4"/>
    </row>
    <row r="89" spans="1:9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4"/>
    </row>
    <row r="90" spans="1:9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4"/>
    </row>
    <row r="91" spans="1:9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4"/>
    </row>
    <row r="92" spans="1:9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4"/>
    </row>
    <row r="93" spans="1:9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4"/>
    </row>
    <row r="94" spans="1:9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4"/>
    </row>
    <row r="95" spans="1:9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4"/>
    </row>
    <row r="96" spans="1:9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4"/>
    </row>
    <row r="97" spans="1:9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4"/>
    </row>
    <row r="98" spans="1:9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4"/>
    </row>
    <row r="99" spans="1:9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4"/>
    </row>
    <row r="100" spans="1:9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4"/>
    </row>
    <row r="101" spans="1:9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c r="CJ101" s="86"/>
      <c r="CK101" s="86"/>
      <c r="CL101" s="86"/>
      <c r="CM101" s="86"/>
      <c r="CN101" s="86"/>
      <c r="CO101" s="86"/>
      <c r="CP101" s="86"/>
      <c r="CQ101" s="84"/>
    </row>
    <row r="102" spans="1:9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4"/>
    </row>
    <row r="103" spans="1:9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6"/>
      <c r="CB103" s="86"/>
      <c r="CC103" s="86"/>
      <c r="CD103" s="86"/>
      <c r="CE103" s="86"/>
      <c r="CF103" s="86"/>
      <c r="CG103" s="86"/>
      <c r="CH103" s="86"/>
      <c r="CI103" s="86"/>
      <c r="CJ103" s="86"/>
      <c r="CK103" s="86"/>
      <c r="CL103" s="86"/>
      <c r="CM103" s="86"/>
      <c r="CN103" s="86"/>
      <c r="CO103" s="86"/>
      <c r="CP103" s="86"/>
      <c r="CQ103" s="84"/>
    </row>
    <row r="104" spans="1:9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4"/>
    </row>
    <row r="105" spans="1:9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c r="CL105" s="86"/>
      <c r="CM105" s="86"/>
      <c r="CN105" s="86"/>
      <c r="CO105" s="86"/>
      <c r="CP105" s="86"/>
      <c r="CQ105" s="84"/>
    </row>
    <row r="106" spans="1:9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4"/>
    </row>
    <row r="107" spans="1:9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c r="CK107" s="86"/>
      <c r="CL107" s="86"/>
      <c r="CM107" s="86"/>
      <c r="CN107" s="86"/>
      <c r="CO107" s="86"/>
      <c r="CP107" s="86"/>
      <c r="CQ107" s="84"/>
    </row>
    <row r="108" spans="1:9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4"/>
    </row>
    <row r="109" spans="1:9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4"/>
    </row>
    <row r="110" spans="1:9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c r="CA110" s="86"/>
      <c r="CB110" s="86"/>
      <c r="CC110" s="86"/>
      <c r="CD110" s="86"/>
      <c r="CE110" s="86"/>
      <c r="CF110" s="86"/>
      <c r="CG110" s="86"/>
      <c r="CH110" s="86"/>
      <c r="CI110" s="86"/>
      <c r="CJ110" s="86"/>
      <c r="CK110" s="86"/>
      <c r="CL110" s="86"/>
      <c r="CM110" s="86"/>
      <c r="CN110" s="86"/>
      <c r="CO110" s="86"/>
      <c r="CP110" s="86"/>
      <c r="CQ110" s="84"/>
    </row>
  </sheetData>
  <sheetProtection autoFilter="0"/>
  <autoFilter ref="A1:C48" xr:uid="{FF7B7CEE-B71D-4A3F-8378-32788D8A9852}">
    <sortState xmlns:xlrd2="http://schemas.microsoft.com/office/spreadsheetml/2017/richdata2" ref="A2:C48">
      <sortCondition ref="B1"/>
    </sortState>
  </autoFilter>
  <phoneticPr fontId="15" type="noConversion"/>
  <hyperlinks>
    <hyperlink ref="D43" r:id="rId1" display="https://dondereciclo.uy/programas" xr:uid="{1945EBF8-F94E-4358-9755-C99F96E3F25B}"/>
  </hyperlinks>
  <pageMargins left="0.7" right="0.7" top="0.75" bottom="0.75" header="0.3" footer="0.3"/>
  <pageSetup paperSize="9" orientation="portrait" horizontalDpi="360" verticalDpi="360"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I223"/>
  <sheetViews>
    <sheetView showGridLines="0" topLeftCell="A196" zoomScaleNormal="100" workbookViewId="0">
      <pane xSplit="1" topLeftCell="B1" activePane="topRight" state="frozen"/>
      <selection pane="topRight" activeCell="C206" sqref="C206"/>
    </sheetView>
  </sheetViews>
  <sheetFormatPr baseColWidth="10" defaultColWidth="14.44140625" defaultRowHeight="15"/>
  <cols>
    <col min="1" max="1" width="26.44140625" style="270" customWidth="1"/>
    <col min="2" max="2" width="10.6640625" style="270" customWidth="1"/>
    <col min="3" max="3" width="13" style="270" customWidth="1"/>
    <col min="4" max="4" width="14.44140625" style="270"/>
    <col min="5" max="5" width="27.109375" style="270" customWidth="1"/>
    <col min="6" max="6" width="13" style="270" customWidth="1"/>
    <col min="7" max="7" width="12.33203125" style="270" customWidth="1"/>
    <col min="8" max="8" width="13.109375" style="270" customWidth="1"/>
    <col min="9" max="9" width="12.44140625" style="270" customWidth="1"/>
    <col min="10" max="10" width="12.88671875" style="270" customWidth="1"/>
    <col min="11" max="11" width="13.109375" style="270" customWidth="1"/>
    <col min="12" max="12" width="14.44140625" style="270"/>
    <col min="13" max="13" width="11.88671875" style="270" customWidth="1"/>
    <col min="14" max="14" width="20.33203125" style="270" customWidth="1"/>
    <col min="15" max="15" width="18.33203125" style="270" customWidth="1"/>
    <col min="16" max="17" width="14.44140625" style="270"/>
    <col min="18" max="18" width="30.88671875" style="270" customWidth="1"/>
    <col min="19" max="19" width="12.88671875" style="270" customWidth="1"/>
    <col min="20" max="21" width="12.6640625" style="270" customWidth="1"/>
    <col min="22" max="24" width="14.44140625" style="270"/>
    <col min="25" max="25" width="10.6640625" style="270" customWidth="1"/>
    <col min="26" max="26" width="14.44140625" style="270"/>
    <col min="27" max="27" width="13.5546875" style="270" customWidth="1"/>
    <col min="28" max="29" width="13.44140625" style="270" customWidth="1"/>
    <col min="30" max="30" width="14.109375" style="270" customWidth="1"/>
    <col min="31" max="31" width="11.6640625" style="270" customWidth="1"/>
    <col min="32" max="32" width="14.44140625" style="270"/>
    <col min="33" max="33" width="11.33203125" style="270" customWidth="1"/>
    <col min="34" max="16384" width="14.44140625" style="270"/>
  </cols>
  <sheetData>
    <row r="1" spans="1:35" ht="60">
      <c r="A1" s="270" t="s">
        <v>80</v>
      </c>
    </row>
    <row r="3" spans="1:35">
      <c r="A3" s="270" t="s">
        <v>81</v>
      </c>
    </row>
    <row r="4" spans="1:35">
      <c r="A4" s="270" t="s">
        <v>41</v>
      </c>
      <c r="P4" s="271"/>
      <c r="Q4" s="271"/>
      <c r="R4" s="271"/>
      <c r="S4" s="271"/>
      <c r="T4" s="271"/>
    </row>
    <row r="5" spans="1:35">
      <c r="P5" s="271"/>
      <c r="Q5" s="271"/>
      <c r="R5" s="271"/>
      <c r="S5" s="271"/>
      <c r="T5" s="271"/>
    </row>
    <row r="6" spans="1:35" ht="15" customHeight="1" thickBot="1">
      <c r="A6" s="777" t="s">
        <v>82</v>
      </c>
      <c r="B6" s="779" t="s">
        <v>83</v>
      </c>
      <c r="C6" s="784" t="s">
        <v>87</v>
      </c>
      <c r="D6" s="784"/>
      <c r="E6" s="784"/>
      <c r="F6" s="784"/>
      <c r="G6" s="784"/>
      <c r="H6" s="784"/>
      <c r="I6" s="784"/>
      <c r="J6" s="784"/>
      <c r="K6" s="784"/>
      <c r="L6" s="784"/>
      <c r="M6" s="784"/>
      <c r="N6" s="784"/>
      <c r="O6" s="784"/>
      <c r="P6" s="784"/>
      <c r="Q6" s="784"/>
      <c r="R6" s="784"/>
      <c r="S6" s="784"/>
      <c r="T6" s="785"/>
      <c r="U6" s="314"/>
      <c r="V6" s="495" t="s">
        <v>417</v>
      </c>
      <c r="W6" s="495"/>
      <c r="X6" s="495"/>
      <c r="AD6" s="272"/>
      <c r="AE6" s="272"/>
      <c r="AF6" s="272"/>
      <c r="AG6" s="272"/>
      <c r="AH6" s="272"/>
      <c r="AI6" s="272"/>
    </row>
    <row r="7" spans="1:35" ht="45">
      <c r="A7" s="778"/>
      <c r="B7" s="780"/>
      <c r="C7" s="518" t="s">
        <v>143</v>
      </c>
      <c r="D7" s="515" t="s">
        <v>85</v>
      </c>
      <c r="E7" s="515" t="s">
        <v>256</v>
      </c>
      <c r="F7" s="515" t="s">
        <v>320</v>
      </c>
      <c r="G7" s="515" t="s">
        <v>766</v>
      </c>
      <c r="H7" s="515" t="s">
        <v>83</v>
      </c>
      <c r="I7" s="515" t="s">
        <v>143</v>
      </c>
      <c r="J7" s="516" t="s">
        <v>85</v>
      </c>
      <c r="K7" s="457" t="s">
        <v>89</v>
      </c>
      <c r="L7" s="458" t="s">
        <v>85</v>
      </c>
      <c r="M7" s="519" t="s">
        <v>256</v>
      </c>
      <c r="N7" s="458" t="s">
        <v>89</v>
      </c>
      <c r="O7" s="459" t="s">
        <v>85</v>
      </c>
      <c r="P7" s="457" t="s">
        <v>90</v>
      </c>
      <c r="Q7" s="458" t="s">
        <v>85</v>
      </c>
      <c r="R7" s="515" t="s">
        <v>256</v>
      </c>
      <c r="S7" s="458" t="s">
        <v>90</v>
      </c>
      <c r="T7" s="459" t="s">
        <v>85</v>
      </c>
      <c r="U7" s="502" t="s">
        <v>359</v>
      </c>
      <c r="V7" s="273" t="s">
        <v>143</v>
      </c>
      <c r="W7" s="273" t="s">
        <v>85</v>
      </c>
      <c r="X7" s="274" t="s">
        <v>418</v>
      </c>
      <c r="AD7" s="275"/>
      <c r="AE7" s="275"/>
      <c r="AF7" s="275"/>
      <c r="AG7" s="275"/>
      <c r="AH7" s="275"/>
      <c r="AI7" s="275"/>
    </row>
    <row r="8" spans="1:35">
      <c r="A8" s="276" t="s">
        <v>306</v>
      </c>
      <c r="B8" s="512"/>
      <c r="C8" s="493"/>
      <c r="D8" s="273"/>
      <c r="E8" s="273"/>
      <c r="F8" s="273"/>
      <c r="G8" s="279"/>
      <c r="H8" s="279"/>
      <c r="I8" s="279"/>
      <c r="J8" s="517"/>
      <c r="K8" s="520"/>
      <c r="L8" s="279"/>
      <c r="M8" s="279"/>
      <c r="N8" s="279"/>
      <c r="O8" s="517"/>
      <c r="P8" s="493"/>
      <c r="Q8" s="273"/>
      <c r="R8" s="279"/>
      <c r="S8" s="273"/>
      <c r="T8" s="523"/>
      <c r="U8" s="514"/>
      <c r="V8" s="279"/>
      <c r="W8" s="279"/>
      <c r="X8" s="279"/>
      <c r="AD8" s="275"/>
      <c r="AE8" s="275"/>
      <c r="AF8" s="275"/>
      <c r="AG8" s="275"/>
      <c r="AH8" s="275"/>
      <c r="AI8" s="275"/>
    </row>
    <row r="9" spans="1:35" ht="30" customHeight="1">
      <c r="A9" s="280" t="s">
        <v>322</v>
      </c>
      <c r="B9" s="299" t="s">
        <v>91</v>
      </c>
      <c r="C9" s="476">
        <v>74100</v>
      </c>
      <c r="D9" s="286" t="s">
        <v>92</v>
      </c>
      <c r="E9" s="538" t="s">
        <v>759</v>
      </c>
      <c r="F9" s="534">
        <v>0.83950000000000002</v>
      </c>
      <c r="G9" s="533">
        <v>36.002293199999997</v>
      </c>
      <c r="H9" s="286" t="s">
        <v>93</v>
      </c>
      <c r="I9" s="288">
        <f>($C9*$G9*$F9)/(1000000)</f>
        <v>2.23959285297774</v>
      </c>
      <c r="J9" s="463" t="s">
        <v>94</v>
      </c>
      <c r="K9" s="521">
        <v>3</v>
      </c>
      <c r="L9" s="286" t="s">
        <v>95</v>
      </c>
      <c r="M9" s="439" t="s">
        <v>759</v>
      </c>
      <c r="N9" s="287">
        <f>($K9*$G9*$F9/1000000)</f>
        <v>9.0671775424199988E-5</v>
      </c>
      <c r="O9" s="463" t="s">
        <v>96</v>
      </c>
      <c r="P9" s="524">
        <v>0.6</v>
      </c>
      <c r="Q9" s="286" t="s">
        <v>97</v>
      </c>
      <c r="R9" s="525" t="s">
        <v>759</v>
      </c>
      <c r="S9" s="287">
        <f>($P9*$G9*$F9/1000000)</f>
        <v>1.813435508484E-5</v>
      </c>
      <c r="T9" s="463" t="s">
        <v>98</v>
      </c>
      <c r="U9" s="504">
        <v>0</v>
      </c>
      <c r="V9" s="290">
        <v>1.66</v>
      </c>
      <c r="W9" s="285" t="s">
        <v>94</v>
      </c>
      <c r="X9" s="290">
        <v>0.95</v>
      </c>
      <c r="AD9" s="292"/>
      <c r="AE9" s="293"/>
      <c r="AF9" s="292"/>
      <c r="AG9" s="293"/>
      <c r="AH9" s="291"/>
      <c r="AI9" s="291"/>
    </row>
    <row r="10" spans="1:35" ht="15" customHeight="1">
      <c r="A10" s="280" t="s">
        <v>307</v>
      </c>
      <c r="B10" s="299" t="s">
        <v>91</v>
      </c>
      <c r="C10" s="475">
        <v>77400</v>
      </c>
      <c r="D10" s="286" t="s">
        <v>92</v>
      </c>
      <c r="E10" s="538" t="s">
        <v>760</v>
      </c>
      <c r="F10" s="534">
        <v>0.95960000000000001</v>
      </c>
      <c r="G10" s="539">
        <v>39.079591199999996</v>
      </c>
      <c r="H10" s="286" t="s">
        <v>93</v>
      </c>
      <c r="I10" s="513">
        <f>($C10*$G10*$F10)/(1000000)</f>
        <v>2.9025600403812475</v>
      </c>
      <c r="J10" s="463" t="s">
        <v>94</v>
      </c>
      <c r="K10" s="462">
        <v>0.8</v>
      </c>
      <c r="L10" s="286" t="s">
        <v>95</v>
      </c>
      <c r="M10" s="439" t="s">
        <v>760</v>
      </c>
      <c r="N10" s="287">
        <f>($K10*$G10*$F10/1000000)</f>
        <v>3.0000620572415996E-5</v>
      </c>
      <c r="O10" s="463" t="s">
        <v>96</v>
      </c>
      <c r="P10" s="470">
        <v>0.3</v>
      </c>
      <c r="Q10" s="286" t="s">
        <v>97</v>
      </c>
      <c r="R10" s="525" t="s">
        <v>760</v>
      </c>
      <c r="S10" s="287">
        <f>($P10*$G10*$F10/1000000)</f>
        <v>1.1250232714655998E-5</v>
      </c>
      <c r="T10" s="463" t="s">
        <v>98</v>
      </c>
      <c r="U10" s="504">
        <v>0</v>
      </c>
      <c r="V10" s="290">
        <v>0</v>
      </c>
      <c r="W10" s="285" t="s">
        <v>94</v>
      </c>
      <c r="X10" s="290">
        <v>1</v>
      </c>
      <c r="AD10" s="292"/>
      <c r="AE10" s="293"/>
      <c r="AF10" s="292"/>
      <c r="AG10" s="293"/>
      <c r="AH10" s="291"/>
      <c r="AI10" s="291"/>
    </row>
    <row r="11" spans="1:35" ht="15" customHeight="1">
      <c r="A11" s="280" t="s">
        <v>308</v>
      </c>
      <c r="B11" s="299" t="s">
        <v>91</v>
      </c>
      <c r="C11" s="475">
        <v>56100</v>
      </c>
      <c r="D11" s="286" t="s">
        <v>92</v>
      </c>
      <c r="E11" s="538" t="s">
        <v>761</v>
      </c>
      <c r="F11" s="534">
        <f>0.62/10000</f>
        <v>6.2000000000000003E-5</v>
      </c>
      <c r="G11" s="533">
        <v>34.750439999999998</v>
      </c>
      <c r="H11" s="286" t="s">
        <v>93</v>
      </c>
      <c r="I11" s="287">
        <f>($C11*$G11*$F11)/(1000000)</f>
        <v>1.2086898040800001E-4</v>
      </c>
      <c r="J11" s="463" t="s">
        <v>94</v>
      </c>
      <c r="K11" s="462">
        <v>4</v>
      </c>
      <c r="L11" s="286" t="s">
        <v>95</v>
      </c>
      <c r="M11" s="439" t="s">
        <v>762</v>
      </c>
      <c r="N11" s="542">
        <f>($K11*$G11*$F11/1000000)</f>
        <v>8.6181091199999995E-9</v>
      </c>
      <c r="O11" s="463" t="s">
        <v>96</v>
      </c>
      <c r="P11" s="470">
        <v>1</v>
      </c>
      <c r="Q11" s="286" t="s">
        <v>97</v>
      </c>
      <c r="R11" s="525" t="s">
        <v>762</v>
      </c>
      <c r="S11" s="287">
        <f>($P11*$G11*$F11/1000000)</f>
        <v>2.1545272799999999E-9</v>
      </c>
      <c r="T11" s="463" t="s">
        <v>98</v>
      </c>
      <c r="U11" s="504">
        <v>0</v>
      </c>
      <c r="V11" s="290">
        <v>0</v>
      </c>
      <c r="W11" s="285" t="s">
        <v>94</v>
      </c>
      <c r="X11" s="290">
        <v>1</v>
      </c>
      <c r="AD11" s="292"/>
      <c r="AE11" s="293"/>
      <c r="AF11" s="292"/>
      <c r="AG11" s="293"/>
      <c r="AH11" s="291"/>
      <c r="AI11" s="291"/>
    </row>
    <row r="12" spans="1:35" ht="15" customHeight="1">
      <c r="A12" s="294" t="s">
        <v>310</v>
      </c>
      <c r="B12" s="299" t="s">
        <v>91</v>
      </c>
      <c r="C12" s="475"/>
      <c r="D12" s="286" t="s">
        <v>92</v>
      </c>
      <c r="E12" s="538" t="s">
        <v>761</v>
      </c>
      <c r="F12" s="539">
        <v>1.08</v>
      </c>
      <c r="G12" s="539">
        <v>13.234474799999999</v>
      </c>
      <c r="H12" s="286" t="s">
        <v>93</v>
      </c>
      <c r="I12" s="513">
        <f>($C12*$G12*$F12)/(1000000)</f>
        <v>0</v>
      </c>
      <c r="J12" s="463" t="s">
        <v>94</v>
      </c>
      <c r="K12" s="522">
        <v>3</v>
      </c>
      <c r="L12" s="286" t="s">
        <v>95</v>
      </c>
      <c r="M12" s="439" t="s">
        <v>764</v>
      </c>
      <c r="N12" s="287">
        <f>($K12*$G12*$F12/1000000)</f>
        <v>4.2879698352000001E-5</v>
      </c>
      <c r="O12" s="463" t="s">
        <v>96</v>
      </c>
      <c r="P12" s="470">
        <v>2</v>
      </c>
      <c r="Q12" s="286" t="s">
        <v>97</v>
      </c>
      <c r="R12" s="525" t="s">
        <v>764</v>
      </c>
      <c r="S12" s="287">
        <f>($P12*$G12*$F12/1000000)</f>
        <v>2.8586465568000002E-5</v>
      </c>
      <c r="T12" s="463" t="s">
        <v>98</v>
      </c>
      <c r="U12" s="504">
        <v>0</v>
      </c>
      <c r="V12" s="290">
        <v>0</v>
      </c>
      <c r="W12" s="285" t="s">
        <v>94</v>
      </c>
      <c r="X12" s="290">
        <v>1</v>
      </c>
      <c r="AD12" s="292"/>
      <c r="AE12" s="293"/>
      <c r="AF12" s="295"/>
      <c r="AG12" s="293"/>
      <c r="AH12" s="291"/>
      <c r="AI12" s="291"/>
    </row>
    <row r="13" spans="1:35" ht="15" customHeight="1">
      <c r="A13" s="280" t="s">
        <v>309</v>
      </c>
      <c r="B13" s="299" t="s">
        <v>91</v>
      </c>
      <c r="C13" s="475"/>
      <c r="D13" s="286" t="s">
        <v>92</v>
      </c>
      <c r="E13" s="538" t="s">
        <v>761</v>
      </c>
      <c r="F13" s="539" t="s">
        <v>99</v>
      </c>
      <c r="G13" s="539">
        <v>11.304359999999999</v>
      </c>
      <c r="H13" s="286" t="s">
        <v>104</v>
      </c>
      <c r="I13" s="513">
        <f>($C13*$G13)/1000</f>
        <v>0</v>
      </c>
      <c r="J13" s="463" t="s">
        <v>105</v>
      </c>
      <c r="K13" s="462">
        <v>11</v>
      </c>
      <c r="L13" s="286" t="s">
        <v>95</v>
      </c>
      <c r="M13" s="439" t="s">
        <v>763</v>
      </c>
      <c r="N13" s="287">
        <f>($K13*$G13/1000)</f>
        <v>0.12434795999999998</v>
      </c>
      <c r="O13" s="463" t="s">
        <v>106</v>
      </c>
      <c r="P13" s="470">
        <v>7</v>
      </c>
      <c r="Q13" s="286" t="s">
        <v>97</v>
      </c>
      <c r="R13" s="525" t="s">
        <v>763</v>
      </c>
      <c r="S13" s="296">
        <f>($P13*$G13)/1000</f>
        <v>7.9130519999999996E-2</v>
      </c>
      <c r="T13" s="463" t="s">
        <v>107</v>
      </c>
      <c r="U13" s="504">
        <v>0</v>
      </c>
      <c r="V13" s="290">
        <v>0</v>
      </c>
      <c r="W13" s="285" t="s">
        <v>105</v>
      </c>
      <c r="X13" s="290">
        <v>1</v>
      </c>
      <c r="AD13" s="292"/>
      <c r="AE13" s="293"/>
      <c r="AF13" s="295"/>
      <c r="AG13" s="293"/>
      <c r="AH13" s="291"/>
      <c r="AI13" s="291"/>
    </row>
    <row r="14" spans="1:35" ht="15" customHeight="1">
      <c r="A14" s="280" t="s">
        <v>311</v>
      </c>
      <c r="B14" s="299" t="s">
        <v>91</v>
      </c>
      <c r="C14" s="475"/>
      <c r="D14" s="286" t="s">
        <v>92</v>
      </c>
      <c r="E14" s="538" t="s">
        <v>761</v>
      </c>
      <c r="F14" s="539" t="s">
        <v>99</v>
      </c>
      <c r="G14" s="539">
        <v>11.7774684</v>
      </c>
      <c r="H14" s="286" t="s">
        <v>104</v>
      </c>
      <c r="I14" s="513">
        <f>($C14*$G14)/1000</f>
        <v>0</v>
      </c>
      <c r="J14" s="463" t="s">
        <v>105</v>
      </c>
      <c r="K14" s="462">
        <v>11</v>
      </c>
      <c r="L14" s="286" t="s">
        <v>95</v>
      </c>
      <c r="M14" s="439" t="s">
        <v>765</v>
      </c>
      <c r="N14" s="287">
        <f>($K14*$G14/1000)</f>
        <v>0.12955215240000001</v>
      </c>
      <c r="O14" s="463" t="s">
        <v>106</v>
      </c>
      <c r="P14" s="470">
        <v>7</v>
      </c>
      <c r="Q14" s="286" t="s">
        <v>97</v>
      </c>
      <c r="R14" s="525" t="s">
        <v>765</v>
      </c>
      <c r="S14" s="296">
        <f>($P14*$G14)/1000</f>
        <v>8.2442278799999991E-2</v>
      </c>
      <c r="T14" s="463" t="s">
        <v>107</v>
      </c>
      <c r="U14" s="504">
        <v>0</v>
      </c>
      <c r="V14" s="290">
        <v>0</v>
      </c>
      <c r="W14" s="285" t="s">
        <v>105</v>
      </c>
      <c r="X14" s="290">
        <v>1</v>
      </c>
      <c r="AD14" s="292"/>
      <c r="AE14" s="293"/>
      <c r="AF14" s="295"/>
      <c r="AG14" s="293"/>
      <c r="AH14" s="291"/>
      <c r="AI14" s="291"/>
    </row>
    <row r="15" spans="1:35">
      <c r="A15" s="276" t="s">
        <v>312</v>
      </c>
      <c r="B15" s="512"/>
      <c r="C15" s="493"/>
      <c r="D15" s="273"/>
      <c r="E15" s="537"/>
      <c r="F15" s="532"/>
      <c r="G15" s="531"/>
      <c r="H15" s="279"/>
      <c r="I15" s="279"/>
      <c r="J15" s="517"/>
      <c r="K15" s="520"/>
      <c r="L15" s="279"/>
      <c r="M15" s="529"/>
      <c r="N15" s="279"/>
      <c r="O15" s="517"/>
      <c r="P15" s="493"/>
      <c r="Q15" s="273"/>
      <c r="R15" s="529"/>
      <c r="S15" s="273"/>
      <c r="T15" s="523"/>
      <c r="U15" s="514"/>
      <c r="V15" s="298"/>
      <c r="W15" s="278"/>
      <c r="X15" s="298"/>
      <c r="AD15" s="275"/>
      <c r="AE15" s="275"/>
      <c r="AF15" s="275"/>
      <c r="AG15" s="275"/>
      <c r="AH15" s="275"/>
      <c r="AI15" s="275"/>
    </row>
    <row r="16" spans="1:35" ht="15" customHeight="1">
      <c r="A16" s="280" t="s">
        <v>326</v>
      </c>
      <c r="B16" s="299" t="s">
        <v>91</v>
      </c>
      <c r="C16" s="475">
        <v>69300</v>
      </c>
      <c r="D16" s="286" t="s">
        <v>92</v>
      </c>
      <c r="E16" s="536" t="s">
        <v>767</v>
      </c>
      <c r="F16" s="534">
        <v>0.747</v>
      </c>
      <c r="G16" s="539">
        <f>7830*(4.1868*10^-9)*1000000</f>
        <v>32.782643999999998</v>
      </c>
      <c r="H16" s="286" t="s">
        <v>93</v>
      </c>
      <c r="I16" s="288">
        <f>($C16*$G16*$F16)/(1000000)</f>
        <v>1.6970624102123999</v>
      </c>
      <c r="J16" s="463" t="s">
        <v>94</v>
      </c>
      <c r="K16" s="543">
        <v>3</v>
      </c>
      <c r="L16" s="286" t="s">
        <v>95</v>
      </c>
      <c r="M16" s="439" t="s">
        <v>767</v>
      </c>
      <c r="N16" s="287">
        <f>($K16*$G16*$F16/1000000)</f>
        <v>7.3465905203999989E-5</v>
      </c>
      <c r="O16" s="463" t="s">
        <v>96</v>
      </c>
      <c r="P16" s="470">
        <v>0.6</v>
      </c>
      <c r="Q16" s="286" t="s">
        <v>97</v>
      </c>
      <c r="R16" s="525" t="s">
        <v>767</v>
      </c>
      <c r="S16" s="287">
        <f t="shared" ref="S16:S21" si="0">($P16*$G16*$F16/1000000)</f>
        <v>1.4693181040799996E-5</v>
      </c>
      <c r="T16" s="463" t="s">
        <v>98</v>
      </c>
      <c r="U16" s="504">
        <v>9.8000000000000004E-2</v>
      </c>
      <c r="V16" s="290">
        <v>1.51</v>
      </c>
      <c r="W16" s="285" t="s">
        <v>94</v>
      </c>
      <c r="X16" s="290">
        <v>0.91</v>
      </c>
      <c r="AD16" s="292"/>
      <c r="AE16" s="293"/>
      <c r="AF16" s="295"/>
      <c r="AG16" s="293"/>
      <c r="AH16" s="291"/>
      <c r="AI16" s="291"/>
    </row>
    <row r="17" spans="1:35" ht="15" customHeight="1">
      <c r="A17" s="301" t="s">
        <v>307</v>
      </c>
      <c r="B17" s="299" t="s">
        <v>91</v>
      </c>
      <c r="C17" s="475">
        <v>77400</v>
      </c>
      <c r="D17" s="286" t="s">
        <v>92</v>
      </c>
      <c r="E17" s="538" t="s">
        <v>760</v>
      </c>
      <c r="F17" s="534">
        <v>0.95960000000000001</v>
      </c>
      <c r="G17" s="539">
        <v>39.079591199999996</v>
      </c>
      <c r="H17" s="286" t="s">
        <v>93</v>
      </c>
      <c r="I17" s="288">
        <f>($C17*$G17*$F17)/(1000000)</f>
        <v>2.9025600403812475</v>
      </c>
      <c r="J17" s="463" t="s">
        <v>94</v>
      </c>
      <c r="K17" s="543">
        <v>3</v>
      </c>
      <c r="L17" s="286" t="s">
        <v>95</v>
      </c>
      <c r="M17" s="439" t="s">
        <v>768</v>
      </c>
      <c r="N17" s="287">
        <f>($K17*$G17*$F17/1000000)</f>
        <v>1.1250232714655999E-4</v>
      </c>
      <c r="O17" s="463" t="s">
        <v>96</v>
      </c>
      <c r="P17" s="470">
        <v>0.3</v>
      </c>
      <c r="Q17" s="286" t="s">
        <v>97</v>
      </c>
      <c r="R17" s="525" t="s">
        <v>768</v>
      </c>
      <c r="S17" s="287">
        <f t="shared" si="0"/>
        <v>1.1250232714655998E-5</v>
      </c>
      <c r="T17" s="463" t="s">
        <v>98</v>
      </c>
      <c r="U17" s="504">
        <v>0</v>
      </c>
      <c r="V17" s="290">
        <v>0</v>
      </c>
      <c r="W17" s="285" t="s">
        <v>94</v>
      </c>
      <c r="X17" s="290">
        <v>1</v>
      </c>
      <c r="AD17" s="292"/>
      <c r="AE17" s="293"/>
      <c r="AF17" s="295"/>
      <c r="AG17" s="293"/>
      <c r="AH17" s="291"/>
      <c r="AI17" s="291"/>
    </row>
    <row r="18" spans="1:35" ht="15" customHeight="1">
      <c r="A18" s="301" t="s">
        <v>322</v>
      </c>
      <c r="B18" s="299" t="s">
        <v>91</v>
      </c>
      <c r="C18" s="475">
        <v>74100</v>
      </c>
      <c r="D18" s="286" t="s">
        <v>92</v>
      </c>
      <c r="E18" s="538" t="s">
        <v>759</v>
      </c>
      <c r="F18" s="534">
        <v>0.83950000000000002</v>
      </c>
      <c r="G18" s="533">
        <v>36.002293199999997</v>
      </c>
      <c r="H18" s="286" t="s">
        <v>93</v>
      </c>
      <c r="I18" s="288">
        <f>($C18*$G18*$F18)/(1000000)</f>
        <v>2.23959285297774</v>
      </c>
      <c r="J18" s="463" t="s">
        <v>94</v>
      </c>
      <c r="K18" s="543">
        <v>3</v>
      </c>
      <c r="L18" s="286" t="s">
        <v>95</v>
      </c>
      <c r="M18" s="439" t="s">
        <v>759</v>
      </c>
      <c r="N18" s="287">
        <f>($K18*$G18*$F18/1000000)</f>
        <v>9.0671775424199988E-5</v>
      </c>
      <c r="O18" s="463" t="s">
        <v>96</v>
      </c>
      <c r="P18" s="470">
        <v>0.6</v>
      </c>
      <c r="Q18" s="286" t="s">
        <v>97</v>
      </c>
      <c r="R18" s="525" t="s">
        <v>759</v>
      </c>
      <c r="S18" s="287">
        <f t="shared" si="0"/>
        <v>1.813435508484E-5</v>
      </c>
      <c r="T18" s="463" t="s">
        <v>98</v>
      </c>
      <c r="U18" s="504">
        <v>0</v>
      </c>
      <c r="V18" s="290">
        <v>1.66</v>
      </c>
      <c r="W18" s="285" t="s">
        <v>94</v>
      </c>
      <c r="X18" s="290">
        <v>0.95</v>
      </c>
      <c r="AD18" s="292"/>
      <c r="AE18" s="293"/>
      <c r="AF18" s="295"/>
      <c r="AG18" s="293"/>
      <c r="AH18" s="291"/>
      <c r="AI18" s="291"/>
    </row>
    <row r="19" spans="1:35" ht="15" customHeight="1">
      <c r="A19" s="301" t="s">
        <v>327</v>
      </c>
      <c r="B19" s="299" t="s">
        <v>91</v>
      </c>
      <c r="C19" s="475">
        <v>63100</v>
      </c>
      <c r="D19" s="286" t="s">
        <v>92</v>
      </c>
      <c r="E19" s="538" t="s">
        <v>770</v>
      </c>
      <c r="F19" s="534">
        <v>0.54730000000000001</v>
      </c>
      <c r="G19" s="539">
        <v>45.858020399999994</v>
      </c>
      <c r="H19" s="286" t="s">
        <v>100</v>
      </c>
      <c r="I19" s="288">
        <f>($C19*$G19)/1000000</f>
        <v>2.8936410872399998</v>
      </c>
      <c r="J19" s="463" t="s">
        <v>101</v>
      </c>
      <c r="K19" s="543">
        <v>1</v>
      </c>
      <c r="L19" s="286" t="s">
        <v>95</v>
      </c>
      <c r="M19" s="439" t="s">
        <v>770</v>
      </c>
      <c r="N19" s="287">
        <f>($K19*$G19*$F19/1000000)</f>
        <v>2.5098094564919998E-5</v>
      </c>
      <c r="O19" s="463" t="s">
        <v>102</v>
      </c>
      <c r="P19" s="470">
        <v>0.1</v>
      </c>
      <c r="Q19" s="286" t="s">
        <v>97</v>
      </c>
      <c r="R19" s="525" t="s">
        <v>770</v>
      </c>
      <c r="S19" s="287">
        <f t="shared" si="0"/>
        <v>2.509809456492E-6</v>
      </c>
      <c r="T19" s="463" t="s">
        <v>103</v>
      </c>
      <c r="U19" s="504">
        <v>0</v>
      </c>
      <c r="V19" s="290">
        <v>0</v>
      </c>
      <c r="W19" s="302" t="s">
        <v>101</v>
      </c>
      <c r="X19" s="290">
        <v>1</v>
      </c>
      <c r="AD19" s="292"/>
      <c r="AE19" s="293"/>
      <c r="AF19" s="295"/>
      <c r="AG19" s="293"/>
      <c r="AH19" s="291"/>
      <c r="AI19" s="291"/>
    </row>
    <row r="20" spans="1:35" ht="15" customHeight="1">
      <c r="A20" s="301" t="s">
        <v>313</v>
      </c>
      <c r="B20" s="299" t="s">
        <v>91</v>
      </c>
      <c r="C20" s="475">
        <v>57600</v>
      </c>
      <c r="D20" s="286" t="s">
        <v>92</v>
      </c>
      <c r="E20" s="538" t="s">
        <v>771</v>
      </c>
      <c r="F20" s="539"/>
      <c r="G20" s="539">
        <v>49.5</v>
      </c>
      <c r="H20" s="286" t="s">
        <v>100</v>
      </c>
      <c r="I20" s="288">
        <f>($C20*$G20)/1000000</f>
        <v>2.8512</v>
      </c>
      <c r="J20" s="463" t="s">
        <v>101</v>
      </c>
      <c r="K20" s="543">
        <v>1</v>
      </c>
      <c r="L20" s="286" t="s">
        <v>95</v>
      </c>
      <c r="M20" s="439" t="s">
        <v>771</v>
      </c>
      <c r="N20" s="287">
        <f>($K20*$G20/1000000)</f>
        <v>4.9499999999999997E-5</v>
      </c>
      <c r="O20" s="463" t="s">
        <v>102</v>
      </c>
      <c r="P20" s="470">
        <v>0.1</v>
      </c>
      <c r="Q20" s="286" t="s">
        <v>97</v>
      </c>
      <c r="R20" s="525" t="s">
        <v>771</v>
      </c>
      <c r="S20" s="287">
        <f t="shared" si="0"/>
        <v>0</v>
      </c>
      <c r="T20" s="463" t="s">
        <v>103</v>
      </c>
      <c r="U20" s="504">
        <v>0</v>
      </c>
      <c r="V20" s="290">
        <v>0</v>
      </c>
      <c r="W20" s="302" t="s">
        <v>101</v>
      </c>
      <c r="X20" s="290">
        <v>1</v>
      </c>
      <c r="AD20" s="292"/>
      <c r="AE20" s="293"/>
      <c r="AF20" s="295"/>
      <c r="AG20" s="293"/>
      <c r="AH20" s="291"/>
      <c r="AI20" s="291"/>
    </row>
    <row r="21" spans="1:35" ht="15" customHeight="1">
      <c r="A21" s="301" t="s">
        <v>308</v>
      </c>
      <c r="B21" s="299" t="s">
        <v>91</v>
      </c>
      <c r="C21" s="475">
        <v>56100</v>
      </c>
      <c r="D21" s="286" t="s">
        <v>92</v>
      </c>
      <c r="E21" s="538" t="s">
        <v>769</v>
      </c>
      <c r="F21" s="534">
        <v>0.62</v>
      </c>
      <c r="G21" s="533">
        <v>34.750439999999998</v>
      </c>
      <c r="H21" s="286" t="s">
        <v>100</v>
      </c>
      <c r="I21" s="288">
        <f>($C21*$G21)/1000000</f>
        <v>1.9494996839999998</v>
      </c>
      <c r="J21" s="463" t="s">
        <v>101</v>
      </c>
      <c r="K21" s="543">
        <v>1</v>
      </c>
      <c r="L21" s="286" t="s">
        <v>95</v>
      </c>
      <c r="M21" s="439" t="s">
        <v>772</v>
      </c>
      <c r="N21" s="287">
        <f>($K21*$G21*$F21/1000000)</f>
        <v>2.1545272799999998E-5</v>
      </c>
      <c r="O21" s="463" t="s">
        <v>102</v>
      </c>
      <c r="P21" s="470">
        <v>0.1</v>
      </c>
      <c r="Q21" s="286" t="s">
        <v>97</v>
      </c>
      <c r="R21" s="525" t="s">
        <v>772</v>
      </c>
      <c r="S21" s="287">
        <f t="shared" si="0"/>
        <v>2.1545272799999997E-6</v>
      </c>
      <c r="T21" s="463" t="s">
        <v>103</v>
      </c>
      <c r="U21" s="504">
        <v>0</v>
      </c>
      <c r="V21" s="290">
        <v>0</v>
      </c>
      <c r="W21" s="302" t="s">
        <v>101</v>
      </c>
      <c r="X21" s="290">
        <v>1</v>
      </c>
      <c r="AD21" s="292"/>
      <c r="AE21" s="293"/>
      <c r="AF21" s="295"/>
      <c r="AG21" s="293"/>
      <c r="AH21" s="291"/>
      <c r="AI21" s="291"/>
    </row>
    <row r="22" spans="1:35" ht="15" customHeight="1">
      <c r="A22" s="301" t="s">
        <v>108</v>
      </c>
      <c r="B22" s="299" t="s">
        <v>91</v>
      </c>
      <c r="C22" s="475">
        <v>97500</v>
      </c>
      <c r="D22" s="286" t="s">
        <v>92</v>
      </c>
      <c r="E22" s="538" t="s">
        <v>769</v>
      </c>
      <c r="F22" s="539" t="s">
        <v>99</v>
      </c>
      <c r="G22" s="533">
        <v>39.297304799999999</v>
      </c>
      <c r="H22" s="286" t="s">
        <v>104</v>
      </c>
      <c r="I22" s="288">
        <f>($C22*$G22)/1000</f>
        <v>3831.4872179999998</v>
      </c>
      <c r="J22" s="463" t="s">
        <v>105</v>
      </c>
      <c r="K22" s="543">
        <v>3</v>
      </c>
      <c r="L22" s="286" t="s">
        <v>95</v>
      </c>
      <c r="M22" s="439" t="s">
        <v>769</v>
      </c>
      <c r="N22" s="287">
        <f>($K22*$G22/1000)</f>
        <v>0.11789191439999999</v>
      </c>
      <c r="O22" s="463" t="s">
        <v>106</v>
      </c>
      <c r="P22" s="470">
        <v>0.6</v>
      </c>
      <c r="Q22" s="286" t="s">
        <v>97</v>
      </c>
      <c r="R22" s="525" t="s">
        <v>769</v>
      </c>
      <c r="S22" s="287">
        <f>($P22*$G22)/1000</f>
        <v>2.3578382879999998E-2</v>
      </c>
      <c r="T22" s="463" t="s">
        <v>107</v>
      </c>
      <c r="U22" s="504">
        <v>0</v>
      </c>
      <c r="V22" s="290">
        <v>0</v>
      </c>
      <c r="W22" s="285" t="s">
        <v>105</v>
      </c>
      <c r="X22" s="290">
        <v>1</v>
      </c>
      <c r="AD22" s="292"/>
      <c r="AE22" s="293"/>
      <c r="AF22" s="295"/>
      <c r="AG22" s="293"/>
      <c r="AH22" s="291"/>
      <c r="AI22" s="291"/>
    </row>
    <row r="23" spans="1:35" ht="30">
      <c r="A23" s="276" t="s">
        <v>314</v>
      </c>
      <c r="B23" s="512"/>
      <c r="C23" s="493"/>
      <c r="D23" s="273"/>
      <c r="E23" s="537"/>
      <c r="F23" s="532"/>
      <c r="G23" s="531"/>
      <c r="H23" s="279"/>
      <c r="I23" s="298"/>
      <c r="J23" s="517"/>
      <c r="K23" s="520"/>
      <c r="L23" s="279"/>
      <c r="M23" s="529"/>
      <c r="N23" s="279"/>
      <c r="O23" s="517"/>
      <c r="P23" s="493"/>
      <c r="Q23" s="273"/>
      <c r="R23" s="529"/>
      <c r="S23" s="273"/>
      <c r="T23" s="523"/>
      <c r="U23" s="514"/>
      <c r="V23" s="298"/>
      <c r="W23" s="278"/>
      <c r="X23" s="298"/>
      <c r="AD23" s="275"/>
      <c r="AE23" s="275"/>
      <c r="AF23" s="275"/>
      <c r="AG23" s="275"/>
      <c r="AH23" s="275"/>
      <c r="AI23" s="275"/>
    </row>
    <row r="24" spans="1:35" ht="36">
      <c r="A24" s="280" t="s">
        <v>316</v>
      </c>
      <c r="B24" s="299" t="s">
        <v>91</v>
      </c>
      <c r="C24" s="475"/>
      <c r="D24" s="286" t="s">
        <v>92</v>
      </c>
      <c r="E24" s="485" t="s">
        <v>774</v>
      </c>
      <c r="F24" s="534">
        <v>0.875</v>
      </c>
      <c r="G24" s="539">
        <v>39.7746</v>
      </c>
      <c r="H24" s="286" t="s">
        <v>93</v>
      </c>
      <c r="I24" s="288">
        <f>($C24*$G24*$F24)/(1000000)</f>
        <v>0</v>
      </c>
      <c r="J24" s="463" t="s">
        <v>94</v>
      </c>
      <c r="K24" s="462">
        <v>3</v>
      </c>
      <c r="L24" s="286" t="s">
        <v>95</v>
      </c>
      <c r="M24" s="439" t="s">
        <v>774</v>
      </c>
      <c r="N24" s="287">
        <f>($K24*$G24*$F24/1000000)</f>
        <v>1.0440832500000001E-4</v>
      </c>
      <c r="O24" s="463" t="s">
        <v>96</v>
      </c>
      <c r="P24" s="470">
        <v>0.6</v>
      </c>
      <c r="Q24" s="286" t="s">
        <v>97</v>
      </c>
      <c r="R24" s="525" t="s">
        <v>774</v>
      </c>
      <c r="S24" s="287">
        <f>($P24*$G24*$F24/1000000)</f>
        <v>2.0881665000000001E-5</v>
      </c>
      <c r="T24" s="463" t="s">
        <v>98</v>
      </c>
      <c r="U24" s="504">
        <v>0</v>
      </c>
      <c r="V24" s="290">
        <v>0</v>
      </c>
      <c r="W24" s="285" t="s">
        <v>94</v>
      </c>
      <c r="X24" s="290">
        <v>1</v>
      </c>
      <c r="AD24" s="292"/>
      <c r="AE24" s="293"/>
      <c r="AF24" s="292"/>
      <c r="AG24" s="293"/>
      <c r="AH24" s="291"/>
      <c r="AI24" s="291"/>
    </row>
    <row r="25" spans="1:35" ht="15" customHeight="1">
      <c r="A25" s="280" t="s">
        <v>307</v>
      </c>
      <c r="B25" s="299" t="s">
        <v>91</v>
      </c>
      <c r="C25" s="475">
        <v>77400</v>
      </c>
      <c r="D25" s="286" t="s">
        <v>92</v>
      </c>
      <c r="E25" s="538" t="s">
        <v>775</v>
      </c>
      <c r="F25" s="534">
        <v>0.95960000000000001</v>
      </c>
      <c r="G25" s="539">
        <v>39.079591199999996</v>
      </c>
      <c r="H25" s="286" t="s">
        <v>93</v>
      </c>
      <c r="I25" s="288">
        <f>($C25*$G25*$F25)/(1000000)</f>
        <v>2.9025600403812475</v>
      </c>
      <c r="J25" s="463" t="s">
        <v>94</v>
      </c>
      <c r="K25" s="462">
        <v>3</v>
      </c>
      <c r="L25" s="286" t="s">
        <v>95</v>
      </c>
      <c r="M25" s="439" t="s">
        <v>768</v>
      </c>
      <c r="N25" s="287">
        <f>($K25*$G25*$F25/1000000)</f>
        <v>1.1250232714655999E-4</v>
      </c>
      <c r="O25" s="463" t="s">
        <v>96</v>
      </c>
      <c r="P25" s="470">
        <v>0.3</v>
      </c>
      <c r="Q25" s="286" t="s">
        <v>97</v>
      </c>
      <c r="R25" s="525" t="s">
        <v>768</v>
      </c>
      <c r="S25" s="287">
        <f>($P25*$G25*$F25/1000000)</f>
        <v>1.1250232714655998E-5</v>
      </c>
      <c r="T25" s="463" t="s">
        <v>98</v>
      </c>
      <c r="U25" s="504">
        <v>0</v>
      </c>
      <c r="V25" s="290">
        <v>0</v>
      </c>
      <c r="W25" s="285" t="s">
        <v>94</v>
      </c>
      <c r="X25" s="290">
        <v>1</v>
      </c>
      <c r="AD25" s="292"/>
      <c r="AE25" s="293"/>
      <c r="AF25" s="292"/>
      <c r="AG25" s="293"/>
      <c r="AH25" s="291"/>
      <c r="AI25" s="291"/>
    </row>
    <row r="26" spans="1:35" ht="15" customHeight="1">
      <c r="A26" s="280" t="s">
        <v>322</v>
      </c>
      <c r="B26" s="299" t="s">
        <v>91</v>
      </c>
      <c r="C26" s="475">
        <v>74100</v>
      </c>
      <c r="D26" s="286" t="s">
        <v>92</v>
      </c>
      <c r="E26" s="538" t="s">
        <v>773</v>
      </c>
      <c r="F26" s="534">
        <v>0.83950000000000002</v>
      </c>
      <c r="G26" s="533">
        <v>36.002293199999997</v>
      </c>
      <c r="H26" s="286" t="s">
        <v>93</v>
      </c>
      <c r="I26" s="288">
        <f>($C26*$G26*$F26)/(1000000)</f>
        <v>2.23959285297774</v>
      </c>
      <c r="J26" s="463" t="s">
        <v>94</v>
      </c>
      <c r="K26" s="462">
        <v>3</v>
      </c>
      <c r="L26" s="286" t="s">
        <v>95</v>
      </c>
      <c r="M26" s="439" t="s">
        <v>774</v>
      </c>
      <c r="N26" s="287">
        <f>($K26*$G26*$F26/1000000)</f>
        <v>9.0671775424199988E-5</v>
      </c>
      <c r="O26" s="463" t="s">
        <v>96</v>
      </c>
      <c r="P26" s="470">
        <v>0.6</v>
      </c>
      <c r="Q26" s="286" t="s">
        <v>97</v>
      </c>
      <c r="R26" s="525" t="s">
        <v>774</v>
      </c>
      <c r="S26" s="287">
        <f>($P26*$G26*$F26/1000000)</f>
        <v>1.813435508484E-5</v>
      </c>
      <c r="T26" s="463" t="s">
        <v>98</v>
      </c>
      <c r="U26" s="504">
        <v>0</v>
      </c>
      <c r="V26" s="290">
        <v>1.66</v>
      </c>
      <c r="W26" s="285" t="s">
        <v>94</v>
      </c>
      <c r="X26" s="290">
        <v>0.95</v>
      </c>
      <c r="AD26" s="292"/>
      <c r="AE26" s="293"/>
      <c r="AF26" s="292"/>
      <c r="AG26" s="293"/>
      <c r="AH26" s="303"/>
      <c r="AI26" s="303"/>
    </row>
    <row r="27" spans="1:35" ht="15" customHeight="1">
      <c r="A27" s="280" t="s">
        <v>108</v>
      </c>
      <c r="B27" s="299" t="s">
        <v>91</v>
      </c>
      <c r="C27" s="475">
        <v>97500</v>
      </c>
      <c r="D27" s="286" t="s">
        <v>92</v>
      </c>
      <c r="E27" s="538" t="s">
        <v>774</v>
      </c>
      <c r="F27" s="539" t="s">
        <v>99</v>
      </c>
      <c r="G27" s="533">
        <v>39.297304799999999</v>
      </c>
      <c r="H27" s="286" t="s">
        <v>104</v>
      </c>
      <c r="I27" s="288">
        <f>($C27*$G27)/1000</f>
        <v>3831.4872179999998</v>
      </c>
      <c r="J27" s="463" t="s">
        <v>105</v>
      </c>
      <c r="K27" s="462">
        <v>1</v>
      </c>
      <c r="L27" s="286" t="s">
        <v>95</v>
      </c>
      <c r="M27" s="439" t="s">
        <v>776</v>
      </c>
      <c r="N27" s="287">
        <f>($K27*$G27/1000)</f>
        <v>3.9297304800000002E-2</v>
      </c>
      <c r="O27" s="463" t="s">
        <v>106</v>
      </c>
      <c r="P27" s="470">
        <v>0.6</v>
      </c>
      <c r="Q27" s="286" t="s">
        <v>97</v>
      </c>
      <c r="R27" s="525" t="s">
        <v>774</v>
      </c>
      <c r="S27" s="287">
        <f>($P27*$G27)/1000</f>
        <v>2.3578382879999998E-2</v>
      </c>
      <c r="T27" s="463" t="s">
        <v>107</v>
      </c>
      <c r="U27" s="504">
        <v>0</v>
      </c>
      <c r="V27" s="290">
        <v>0</v>
      </c>
      <c r="W27" s="285" t="s">
        <v>105</v>
      </c>
      <c r="X27" s="290">
        <v>1</v>
      </c>
      <c r="AD27" s="292"/>
      <c r="AE27" s="293"/>
      <c r="AF27" s="292"/>
      <c r="AG27" s="293"/>
      <c r="AH27" s="303"/>
      <c r="AI27" s="303"/>
    </row>
    <row r="28" spans="1:35">
      <c r="A28" s="280" t="s">
        <v>315</v>
      </c>
      <c r="B28" s="299" t="s">
        <v>91</v>
      </c>
      <c r="C28" s="475"/>
      <c r="D28" s="286" t="s">
        <v>92</v>
      </c>
      <c r="E28" s="538"/>
      <c r="F28" s="539" t="s">
        <v>99</v>
      </c>
      <c r="G28" s="539">
        <v>20</v>
      </c>
      <c r="H28" s="286" t="s">
        <v>104</v>
      </c>
      <c r="I28" s="288">
        <f>($C28*$G28)/1000</f>
        <v>0</v>
      </c>
      <c r="J28" s="463" t="s">
        <v>105</v>
      </c>
      <c r="K28" s="462">
        <v>1</v>
      </c>
      <c r="L28" s="286" t="s">
        <v>95</v>
      </c>
      <c r="M28" s="439"/>
      <c r="N28" s="287">
        <f>($K28*$G28/1000)</f>
        <v>0.02</v>
      </c>
      <c r="O28" s="463" t="s">
        <v>106</v>
      </c>
      <c r="P28" s="470">
        <v>2</v>
      </c>
      <c r="Q28" s="286" t="s">
        <v>97</v>
      </c>
      <c r="R28" s="525"/>
      <c r="S28" s="287">
        <f>($P28*$G28)/1000</f>
        <v>0.04</v>
      </c>
      <c r="T28" s="463" t="s">
        <v>107</v>
      </c>
      <c r="U28" s="504">
        <v>0</v>
      </c>
      <c r="V28" s="290">
        <v>0</v>
      </c>
      <c r="W28" s="285" t="s">
        <v>105</v>
      </c>
      <c r="X28" s="290">
        <v>1</v>
      </c>
      <c r="AD28" s="292"/>
      <c r="AE28" s="293"/>
      <c r="AF28" s="292"/>
      <c r="AG28" s="293"/>
      <c r="AH28" s="303"/>
      <c r="AI28" s="303"/>
    </row>
    <row r="29" spans="1:35" ht="15" customHeight="1">
      <c r="A29" s="280" t="s">
        <v>309</v>
      </c>
      <c r="B29" s="299" t="s">
        <v>91</v>
      </c>
      <c r="C29" s="475"/>
      <c r="D29" s="286" t="s">
        <v>92</v>
      </c>
      <c r="E29" s="538" t="s">
        <v>777</v>
      </c>
      <c r="F29" s="539" t="s">
        <v>99</v>
      </c>
      <c r="G29" s="539">
        <v>11.304359999999999</v>
      </c>
      <c r="H29" s="286" t="s">
        <v>104</v>
      </c>
      <c r="I29" s="288">
        <f>($C29*$G29)/1000</f>
        <v>0</v>
      </c>
      <c r="J29" s="463" t="s">
        <v>105</v>
      </c>
      <c r="K29" s="462">
        <v>11</v>
      </c>
      <c r="L29" s="286" t="s">
        <v>95</v>
      </c>
      <c r="M29" s="439" t="s">
        <v>778</v>
      </c>
      <c r="N29" s="287">
        <f>($K29*$G29/1000)</f>
        <v>0.12434795999999998</v>
      </c>
      <c r="O29" s="463" t="s">
        <v>106</v>
      </c>
      <c r="P29" s="470">
        <v>7</v>
      </c>
      <c r="Q29" s="286" t="s">
        <v>97</v>
      </c>
      <c r="R29" s="525" t="s">
        <v>778</v>
      </c>
      <c r="S29" s="287">
        <f>($P29*$G29)/1000</f>
        <v>7.9130519999999996E-2</v>
      </c>
      <c r="T29" s="463" t="s">
        <v>107</v>
      </c>
      <c r="U29" s="504">
        <v>0</v>
      </c>
      <c r="V29" s="290">
        <v>0</v>
      </c>
      <c r="W29" s="285" t="s">
        <v>105</v>
      </c>
      <c r="X29" s="290">
        <v>1</v>
      </c>
      <c r="AD29" s="292"/>
      <c r="AE29" s="293"/>
      <c r="AF29" s="292"/>
      <c r="AG29" s="293"/>
      <c r="AH29" s="303"/>
      <c r="AI29" s="303"/>
    </row>
    <row r="30" spans="1:35" ht="15" customHeight="1">
      <c r="A30" s="280" t="s">
        <v>311</v>
      </c>
      <c r="B30" s="299" t="s">
        <v>91</v>
      </c>
      <c r="C30" s="475"/>
      <c r="D30" s="286" t="s">
        <v>92</v>
      </c>
      <c r="E30" s="538" t="s">
        <v>780</v>
      </c>
      <c r="F30" s="539" t="s">
        <v>99</v>
      </c>
      <c r="G30" s="539">
        <v>11.7774684</v>
      </c>
      <c r="H30" s="286" t="s">
        <v>104</v>
      </c>
      <c r="I30" s="288">
        <f>($C30*$G30)/1000</f>
        <v>0</v>
      </c>
      <c r="J30" s="463" t="s">
        <v>105</v>
      </c>
      <c r="K30" s="462">
        <v>11</v>
      </c>
      <c r="L30" s="286" t="s">
        <v>95</v>
      </c>
      <c r="M30" s="439" t="s">
        <v>779</v>
      </c>
      <c r="N30" s="287">
        <f>($K30*$G30/1000)</f>
        <v>0.12955215240000001</v>
      </c>
      <c r="O30" s="463" t="s">
        <v>106</v>
      </c>
      <c r="P30" s="470">
        <v>7</v>
      </c>
      <c r="Q30" s="286" t="s">
        <v>97</v>
      </c>
      <c r="R30" s="525" t="s">
        <v>779</v>
      </c>
      <c r="S30" s="287">
        <f>($P30*$G30)/1000</f>
        <v>8.2442278799999991E-2</v>
      </c>
      <c r="T30" s="463" t="s">
        <v>107</v>
      </c>
      <c r="U30" s="504">
        <v>0</v>
      </c>
      <c r="V30" s="290">
        <v>0</v>
      </c>
      <c r="W30" s="304" t="s">
        <v>105</v>
      </c>
      <c r="X30" s="290">
        <v>1</v>
      </c>
      <c r="AD30" s="292"/>
      <c r="AE30" s="293"/>
      <c r="AF30" s="292"/>
      <c r="AG30" s="293"/>
      <c r="AH30" s="303"/>
      <c r="AI30" s="303"/>
    </row>
    <row r="31" spans="1:35" ht="30" customHeight="1">
      <c r="A31" s="280" t="s">
        <v>308</v>
      </c>
      <c r="B31" s="299" t="s">
        <v>91</v>
      </c>
      <c r="C31" s="475">
        <v>56100</v>
      </c>
      <c r="D31" s="286" t="s">
        <v>92</v>
      </c>
      <c r="E31" s="538" t="s">
        <v>774</v>
      </c>
      <c r="F31" s="534">
        <v>0.62</v>
      </c>
      <c r="G31" s="533">
        <v>34.750439999999998</v>
      </c>
      <c r="H31" s="286" t="s">
        <v>100</v>
      </c>
      <c r="I31" s="288">
        <f>($C31*$G31)/1000000</f>
        <v>1.9494996839999998</v>
      </c>
      <c r="J31" s="463" t="s">
        <v>101</v>
      </c>
      <c r="K31" s="462">
        <v>1</v>
      </c>
      <c r="L31" s="286" t="s">
        <v>95</v>
      </c>
      <c r="M31" s="439" t="s">
        <v>774</v>
      </c>
      <c r="N31" s="287">
        <f>($K31*$G31*$F31/1000000)</f>
        <v>2.1545272799999998E-5</v>
      </c>
      <c r="O31" s="463" t="s">
        <v>102</v>
      </c>
      <c r="P31" s="470">
        <v>0.1</v>
      </c>
      <c r="Q31" s="286" t="s">
        <v>97</v>
      </c>
      <c r="R31" s="525" t="s">
        <v>774</v>
      </c>
      <c r="S31" s="287">
        <f>($P31*$G31*$F31/1000000)</f>
        <v>2.1545272799999997E-6</v>
      </c>
      <c r="T31" s="463" t="s">
        <v>103</v>
      </c>
      <c r="U31" s="504">
        <v>0</v>
      </c>
      <c r="V31" s="290">
        <v>0</v>
      </c>
      <c r="W31" s="286" t="s">
        <v>101</v>
      </c>
      <c r="X31" s="290">
        <v>1</v>
      </c>
      <c r="AD31" s="292"/>
      <c r="AE31" s="293"/>
      <c r="AF31" s="292"/>
      <c r="AG31" s="293"/>
      <c r="AH31" s="303"/>
      <c r="AI31" s="303"/>
    </row>
    <row r="32" spans="1:35" ht="15" customHeight="1">
      <c r="A32" s="280" t="s">
        <v>327</v>
      </c>
      <c r="B32" s="299" t="s">
        <v>91</v>
      </c>
      <c r="C32" s="475">
        <v>63100</v>
      </c>
      <c r="D32" s="286" t="s">
        <v>92</v>
      </c>
      <c r="E32" s="538" t="s">
        <v>781</v>
      </c>
      <c r="F32" s="534">
        <v>0.54730000000000001</v>
      </c>
      <c r="G32" s="539">
        <v>45.858020399999994</v>
      </c>
      <c r="H32" s="286" t="s">
        <v>100</v>
      </c>
      <c r="I32" s="288">
        <f>($C32*$G32)/1000000</f>
        <v>2.8936410872399998</v>
      </c>
      <c r="J32" s="463" t="s">
        <v>101</v>
      </c>
      <c r="K32" s="462">
        <v>1</v>
      </c>
      <c r="L32" s="286" t="s">
        <v>95</v>
      </c>
      <c r="M32" s="439" t="s">
        <v>774</v>
      </c>
      <c r="N32" s="287">
        <f>($K32*$G32*$F32/1000000)</f>
        <v>2.5098094564919998E-5</v>
      </c>
      <c r="O32" s="463" t="s">
        <v>102</v>
      </c>
      <c r="P32" s="470">
        <v>0.1</v>
      </c>
      <c r="Q32" s="286" t="s">
        <v>97</v>
      </c>
      <c r="R32" s="525" t="s">
        <v>774</v>
      </c>
      <c r="S32" s="287">
        <f>($P32*$G32*$F32/1000000)</f>
        <v>2.509809456492E-6</v>
      </c>
      <c r="T32" s="463" t="s">
        <v>103</v>
      </c>
      <c r="U32" s="504">
        <v>0</v>
      </c>
      <c r="V32" s="290">
        <v>0</v>
      </c>
      <c r="W32" s="286" t="s">
        <v>101</v>
      </c>
      <c r="X32" s="290">
        <v>1</v>
      </c>
      <c r="AD32" s="292"/>
      <c r="AE32" s="293"/>
      <c r="AF32" s="292"/>
      <c r="AG32" s="293"/>
      <c r="AH32" s="303"/>
      <c r="AI32" s="303"/>
    </row>
    <row r="33" spans="1:35">
      <c r="A33" s="276" t="s">
        <v>317</v>
      </c>
      <c r="B33" s="512"/>
      <c r="C33" s="493"/>
      <c r="D33" s="273"/>
      <c r="E33" s="537"/>
      <c r="F33" s="532"/>
      <c r="G33" s="531"/>
      <c r="H33" s="279"/>
      <c r="I33" s="298"/>
      <c r="J33" s="517"/>
      <c r="K33" s="520"/>
      <c r="L33" s="279"/>
      <c r="M33" s="529"/>
      <c r="N33" s="279"/>
      <c r="O33" s="517"/>
      <c r="P33" s="493"/>
      <c r="Q33" s="273"/>
      <c r="R33" s="529"/>
      <c r="S33" s="273"/>
      <c r="T33" s="523"/>
      <c r="U33" s="514"/>
      <c r="V33" s="298"/>
      <c r="W33" s="278"/>
      <c r="X33" s="298"/>
      <c r="AD33" s="275"/>
      <c r="AE33" s="275"/>
      <c r="AF33" s="275"/>
      <c r="AG33" s="275"/>
      <c r="AH33" s="275"/>
      <c r="AI33" s="275"/>
    </row>
    <row r="34" spans="1:35" ht="48">
      <c r="A34" s="280" t="s">
        <v>319</v>
      </c>
      <c r="B34" s="299" t="s">
        <v>91</v>
      </c>
      <c r="C34" s="475"/>
      <c r="D34" s="286" t="s">
        <v>92</v>
      </c>
      <c r="E34" s="485" t="s">
        <v>774</v>
      </c>
      <c r="F34" s="534">
        <v>0.875</v>
      </c>
      <c r="G34" s="533">
        <v>26.79552</v>
      </c>
      <c r="H34" s="286" t="s">
        <v>93</v>
      </c>
      <c r="I34" s="288">
        <f t="shared" ref="I34:I39" si="1">($C34*$G34*$F34)/(1000000)</f>
        <v>0</v>
      </c>
      <c r="J34" s="463" t="s">
        <v>94</v>
      </c>
      <c r="K34" s="462">
        <v>10</v>
      </c>
      <c r="L34" s="286" t="s">
        <v>95</v>
      </c>
      <c r="M34" s="439" t="s">
        <v>789</v>
      </c>
      <c r="N34" s="287">
        <f t="shared" ref="N34:N41" si="2">($K34*$G34*$F34/1000000)</f>
        <v>2.344608E-4</v>
      </c>
      <c r="O34" s="463" t="s">
        <v>96</v>
      </c>
      <c r="P34" s="470">
        <v>0.6</v>
      </c>
      <c r="Q34" s="286" t="s">
        <v>97</v>
      </c>
      <c r="R34" s="525" t="s">
        <v>789</v>
      </c>
      <c r="S34" s="287">
        <f t="shared" ref="S34:S41" si="3">($P34*$G34*$F34/1000000)</f>
        <v>1.4067647999999999E-5</v>
      </c>
      <c r="T34" s="463" t="s">
        <v>98</v>
      </c>
      <c r="U34" s="504">
        <v>0</v>
      </c>
      <c r="V34" s="290">
        <v>0</v>
      </c>
      <c r="W34" s="285" t="s">
        <v>94</v>
      </c>
      <c r="X34" s="290">
        <v>1</v>
      </c>
      <c r="AD34" s="292"/>
      <c r="AE34" s="293"/>
      <c r="AF34" s="292"/>
      <c r="AG34" s="293"/>
      <c r="AH34" s="303"/>
      <c r="AI34" s="303"/>
    </row>
    <row r="35" spans="1:35" ht="48">
      <c r="A35" s="280" t="s">
        <v>316</v>
      </c>
      <c r="B35" s="299" t="s">
        <v>91</v>
      </c>
      <c r="C35" s="475"/>
      <c r="D35" s="286" t="s">
        <v>92</v>
      </c>
      <c r="E35" s="538" t="s">
        <v>774</v>
      </c>
      <c r="F35" s="534">
        <v>0.875</v>
      </c>
      <c r="G35" s="539">
        <v>39.7746</v>
      </c>
      <c r="H35" s="286" t="s">
        <v>93</v>
      </c>
      <c r="I35" s="289">
        <f t="shared" si="1"/>
        <v>0</v>
      </c>
      <c r="J35" s="463" t="s">
        <v>94</v>
      </c>
      <c r="K35" s="462">
        <v>10</v>
      </c>
      <c r="L35" s="286" t="s">
        <v>95</v>
      </c>
      <c r="M35" s="439" t="s">
        <v>789</v>
      </c>
      <c r="N35" s="287">
        <f t="shared" si="2"/>
        <v>3.4802774999999998E-4</v>
      </c>
      <c r="O35" s="463" t="s">
        <v>96</v>
      </c>
      <c r="P35" s="470">
        <v>0.6</v>
      </c>
      <c r="Q35" s="286" t="s">
        <v>97</v>
      </c>
      <c r="R35" s="525" t="s">
        <v>789</v>
      </c>
      <c r="S35" s="287">
        <f t="shared" si="3"/>
        <v>2.0881665000000001E-5</v>
      </c>
      <c r="T35" s="463" t="s">
        <v>98</v>
      </c>
      <c r="U35" s="504">
        <v>0</v>
      </c>
      <c r="V35" s="290">
        <v>0</v>
      </c>
      <c r="W35" s="285" t="s">
        <v>94</v>
      </c>
      <c r="X35" s="290">
        <v>1</v>
      </c>
      <c r="AD35" s="292"/>
      <c r="AE35" s="293"/>
      <c r="AF35" s="292"/>
      <c r="AG35" s="293"/>
      <c r="AH35" s="303"/>
      <c r="AI35" s="303"/>
    </row>
    <row r="36" spans="1:35" ht="15" customHeight="1">
      <c r="A36" s="280" t="s">
        <v>322</v>
      </c>
      <c r="B36" s="299" t="s">
        <v>91</v>
      </c>
      <c r="C36" s="475">
        <v>74100</v>
      </c>
      <c r="D36" s="286" t="s">
        <v>92</v>
      </c>
      <c r="E36" s="538" t="s">
        <v>784</v>
      </c>
      <c r="F36" s="534">
        <v>0.83950000000000002</v>
      </c>
      <c r="G36" s="533">
        <v>36.002293199999997</v>
      </c>
      <c r="H36" s="286" t="s">
        <v>93</v>
      </c>
      <c r="I36" s="289">
        <f t="shared" si="1"/>
        <v>2.23959285297774</v>
      </c>
      <c r="J36" s="463" t="s">
        <v>94</v>
      </c>
      <c r="K36" s="462">
        <v>10</v>
      </c>
      <c r="L36" s="286" t="s">
        <v>95</v>
      </c>
      <c r="M36" s="439" t="s">
        <v>784</v>
      </c>
      <c r="N36" s="287">
        <f t="shared" si="2"/>
        <v>3.0223925141399996E-4</v>
      </c>
      <c r="O36" s="463" t="s">
        <v>96</v>
      </c>
      <c r="P36" s="470">
        <v>0.6</v>
      </c>
      <c r="Q36" s="286" t="s">
        <v>97</v>
      </c>
      <c r="R36" s="525" t="s">
        <v>784</v>
      </c>
      <c r="S36" s="287">
        <f t="shared" si="3"/>
        <v>1.813435508484E-5</v>
      </c>
      <c r="T36" s="463" t="s">
        <v>98</v>
      </c>
      <c r="U36" s="504">
        <v>0</v>
      </c>
      <c r="V36" s="290">
        <v>1.66</v>
      </c>
      <c r="W36" s="285" t="s">
        <v>94</v>
      </c>
      <c r="X36" s="290">
        <v>0.95</v>
      </c>
      <c r="AD36" s="292"/>
      <c r="AE36" s="293"/>
      <c r="AF36" s="292"/>
      <c r="AG36" s="293"/>
      <c r="AH36" s="303"/>
      <c r="AI36" s="303"/>
    </row>
    <row r="37" spans="1:35" ht="48">
      <c r="A37" s="280" t="s">
        <v>307</v>
      </c>
      <c r="B37" s="299" t="s">
        <v>91</v>
      </c>
      <c r="C37" s="475">
        <v>77400</v>
      </c>
      <c r="D37" s="286" t="s">
        <v>92</v>
      </c>
      <c r="E37" s="538" t="s">
        <v>785</v>
      </c>
      <c r="F37" s="534">
        <v>0.95960000000000001</v>
      </c>
      <c r="G37" s="539">
        <v>39.079591199999996</v>
      </c>
      <c r="H37" s="286" t="s">
        <v>93</v>
      </c>
      <c r="I37" s="289">
        <f t="shared" si="1"/>
        <v>2.9025600403812475</v>
      </c>
      <c r="J37" s="463" t="s">
        <v>94</v>
      </c>
      <c r="K37" s="462">
        <v>1.4</v>
      </c>
      <c r="L37" s="286" t="s">
        <v>95</v>
      </c>
      <c r="M37" s="439" t="s">
        <v>785</v>
      </c>
      <c r="N37" s="287">
        <f t="shared" si="2"/>
        <v>5.2501086001727994E-5</v>
      </c>
      <c r="O37" s="463" t="s">
        <v>96</v>
      </c>
      <c r="P37" s="470">
        <v>0.3</v>
      </c>
      <c r="Q37" s="286" t="s">
        <v>97</v>
      </c>
      <c r="R37" s="525" t="s">
        <v>786</v>
      </c>
      <c r="S37" s="287">
        <f t="shared" si="3"/>
        <v>1.1250232714655998E-5</v>
      </c>
      <c r="T37" s="463" t="s">
        <v>98</v>
      </c>
      <c r="U37" s="504">
        <v>0</v>
      </c>
      <c r="V37" s="290">
        <v>0</v>
      </c>
      <c r="W37" s="285" t="s">
        <v>94</v>
      </c>
      <c r="X37" s="290">
        <v>1</v>
      </c>
      <c r="AD37" s="292"/>
      <c r="AE37" s="293"/>
      <c r="AF37" s="292"/>
      <c r="AG37" s="293"/>
      <c r="AH37" s="303"/>
      <c r="AI37" s="303"/>
    </row>
    <row r="38" spans="1:35" ht="15" customHeight="1">
      <c r="A38" s="280" t="s">
        <v>326</v>
      </c>
      <c r="B38" s="299" t="s">
        <v>91</v>
      </c>
      <c r="C38" s="475">
        <v>69300</v>
      </c>
      <c r="D38" s="286" t="s">
        <v>92</v>
      </c>
      <c r="E38" s="538" t="s">
        <v>782</v>
      </c>
      <c r="F38" s="534">
        <v>0.747</v>
      </c>
      <c r="G38" s="539">
        <f>7830*(4.1868*10^-9)*1000000</f>
        <v>32.782643999999998</v>
      </c>
      <c r="H38" s="286" t="s">
        <v>93</v>
      </c>
      <c r="I38" s="289">
        <f t="shared" si="1"/>
        <v>1.6970624102123999</v>
      </c>
      <c r="J38" s="463" t="s">
        <v>94</v>
      </c>
      <c r="K38" s="462">
        <v>10</v>
      </c>
      <c r="L38" s="286" t="s">
        <v>95</v>
      </c>
      <c r="M38" s="439" t="s">
        <v>782</v>
      </c>
      <c r="N38" s="287">
        <f t="shared" si="2"/>
        <v>2.4488635068E-4</v>
      </c>
      <c r="O38" s="463" t="s">
        <v>96</v>
      </c>
      <c r="P38" s="470">
        <v>0.6</v>
      </c>
      <c r="Q38" s="286" t="s">
        <v>97</v>
      </c>
      <c r="R38" s="525" t="s">
        <v>782</v>
      </c>
      <c r="S38" s="287">
        <f t="shared" si="3"/>
        <v>1.4693181040799996E-5</v>
      </c>
      <c r="T38" s="463" t="s">
        <v>98</v>
      </c>
      <c r="U38" s="504">
        <v>9.8000000000000004E-2</v>
      </c>
      <c r="V38" s="290">
        <v>1.51</v>
      </c>
      <c r="W38" s="285" t="s">
        <v>94</v>
      </c>
      <c r="X38" s="290">
        <v>0.91</v>
      </c>
      <c r="AD38" s="292"/>
      <c r="AE38" s="293"/>
      <c r="AF38" s="292"/>
      <c r="AG38" s="293"/>
      <c r="AH38" s="303"/>
      <c r="AI38" s="303"/>
    </row>
    <row r="39" spans="1:35" ht="15" customHeight="1">
      <c r="A39" s="280" t="s">
        <v>318</v>
      </c>
      <c r="B39" s="299" t="s">
        <v>91</v>
      </c>
      <c r="C39" s="475">
        <v>71900</v>
      </c>
      <c r="D39" s="286" t="s">
        <v>92</v>
      </c>
      <c r="E39" s="538" t="s">
        <v>783</v>
      </c>
      <c r="F39" s="534">
        <v>0.8125</v>
      </c>
      <c r="G39" s="539">
        <v>35.089570799999997</v>
      </c>
      <c r="H39" s="286" t="s">
        <v>93</v>
      </c>
      <c r="I39" s="289">
        <f t="shared" si="1"/>
        <v>2.0498888641724999</v>
      </c>
      <c r="J39" s="463" t="s">
        <v>94</v>
      </c>
      <c r="K39" s="462">
        <v>10</v>
      </c>
      <c r="L39" s="286" t="s">
        <v>95</v>
      </c>
      <c r="M39" s="439" t="s">
        <v>783</v>
      </c>
      <c r="N39" s="287">
        <f t="shared" si="2"/>
        <v>2.8510276274999996E-4</v>
      </c>
      <c r="O39" s="463" t="s">
        <v>96</v>
      </c>
      <c r="P39" s="470">
        <v>0.6</v>
      </c>
      <c r="Q39" s="286" t="s">
        <v>97</v>
      </c>
      <c r="R39" s="525" t="s">
        <v>783</v>
      </c>
      <c r="S39" s="287">
        <f t="shared" si="3"/>
        <v>1.7106165764999995E-5</v>
      </c>
      <c r="T39" s="463" t="s">
        <v>98</v>
      </c>
      <c r="U39" s="504">
        <v>0</v>
      </c>
      <c r="V39" s="290">
        <v>0</v>
      </c>
      <c r="W39" s="285" t="s">
        <v>94</v>
      </c>
      <c r="X39" s="290">
        <v>1</v>
      </c>
      <c r="AD39" s="292"/>
      <c r="AE39" s="293"/>
      <c r="AF39" s="292"/>
      <c r="AG39" s="293"/>
      <c r="AH39" s="303"/>
      <c r="AI39" s="303"/>
    </row>
    <row r="40" spans="1:35" ht="15" customHeight="1">
      <c r="A40" s="280" t="s">
        <v>308</v>
      </c>
      <c r="B40" s="299" t="s">
        <v>91</v>
      </c>
      <c r="C40" s="475">
        <v>56100</v>
      </c>
      <c r="D40" s="286" t="s">
        <v>92</v>
      </c>
      <c r="E40" s="538" t="s">
        <v>784</v>
      </c>
      <c r="F40" s="534">
        <v>0.62</v>
      </c>
      <c r="G40" s="533">
        <v>34.750439999999998</v>
      </c>
      <c r="H40" s="286" t="s">
        <v>100</v>
      </c>
      <c r="I40" s="288">
        <f>($C40*$G40)/1000000</f>
        <v>1.9494996839999998</v>
      </c>
      <c r="J40" s="463" t="s">
        <v>101</v>
      </c>
      <c r="K40" s="462">
        <v>5</v>
      </c>
      <c r="L40" s="286" t="s">
        <v>95</v>
      </c>
      <c r="M40" s="439" t="s">
        <v>784</v>
      </c>
      <c r="N40" s="287">
        <f t="shared" si="2"/>
        <v>1.0772636399999999E-4</v>
      </c>
      <c r="O40" s="463" t="s">
        <v>102</v>
      </c>
      <c r="P40" s="470">
        <v>0.1</v>
      </c>
      <c r="Q40" s="286" t="s">
        <v>97</v>
      </c>
      <c r="R40" s="525" t="s">
        <v>784</v>
      </c>
      <c r="S40" s="287">
        <f t="shared" si="3"/>
        <v>2.1545272799999997E-6</v>
      </c>
      <c r="T40" s="463" t="s">
        <v>103</v>
      </c>
      <c r="U40" s="504">
        <v>0</v>
      </c>
      <c r="V40" s="290">
        <v>0</v>
      </c>
      <c r="W40" s="286" t="s">
        <v>101</v>
      </c>
      <c r="X40" s="290">
        <v>1</v>
      </c>
      <c r="AD40" s="292"/>
      <c r="AE40" s="293"/>
      <c r="AF40" s="292"/>
      <c r="AG40" s="293"/>
      <c r="AH40" s="303"/>
      <c r="AI40" s="303"/>
    </row>
    <row r="41" spans="1:35" ht="15" customHeight="1">
      <c r="A41" s="280" t="s">
        <v>327</v>
      </c>
      <c r="B41" s="299" t="s">
        <v>91</v>
      </c>
      <c r="C41" s="475">
        <v>63100</v>
      </c>
      <c r="D41" s="286" t="s">
        <v>92</v>
      </c>
      <c r="E41" s="538" t="s">
        <v>787</v>
      </c>
      <c r="F41" s="534">
        <v>0.54730000000000001</v>
      </c>
      <c r="G41" s="539">
        <v>45.858020399999994</v>
      </c>
      <c r="H41" s="286" t="s">
        <v>100</v>
      </c>
      <c r="I41" s="288">
        <f>($C41*$G41)/1000000</f>
        <v>2.8936410872399998</v>
      </c>
      <c r="J41" s="463" t="s">
        <v>101</v>
      </c>
      <c r="K41" s="462">
        <v>5</v>
      </c>
      <c r="L41" s="286" t="s">
        <v>95</v>
      </c>
      <c r="M41" s="439" t="s">
        <v>787</v>
      </c>
      <c r="N41" s="287">
        <f t="shared" si="2"/>
        <v>1.2549047282459997E-4</v>
      </c>
      <c r="O41" s="463" t="s">
        <v>102</v>
      </c>
      <c r="P41" s="470">
        <v>0.1</v>
      </c>
      <c r="Q41" s="286" t="s">
        <v>97</v>
      </c>
      <c r="R41" s="525" t="s">
        <v>787</v>
      </c>
      <c r="S41" s="287">
        <f t="shared" si="3"/>
        <v>2.509809456492E-6</v>
      </c>
      <c r="T41" s="463" t="s">
        <v>103</v>
      </c>
      <c r="U41" s="504">
        <v>0</v>
      </c>
      <c r="V41" s="290">
        <v>0</v>
      </c>
      <c r="W41" s="286" t="s">
        <v>101</v>
      </c>
      <c r="X41" s="290">
        <v>1</v>
      </c>
      <c r="AD41" s="292"/>
      <c r="AE41" s="293"/>
      <c r="AF41" s="292"/>
      <c r="AG41" s="293"/>
      <c r="AH41" s="303"/>
      <c r="AI41" s="303"/>
    </row>
    <row r="42" spans="1:35" ht="15.75" customHeight="1" thickBot="1">
      <c r="A42" s="280" t="s">
        <v>309</v>
      </c>
      <c r="B42" s="299" t="s">
        <v>91</v>
      </c>
      <c r="C42" s="478"/>
      <c r="D42" s="467" t="s">
        <v>92</v>
      </c>
      <c r="E42" s="535" t="s">
        <v>777</v>
      </c>
      <c r="F42" s="539" t="s">
        <v>99</v>
      </c>
      <c r="G42" s="539">
        <v>11.304359999999999</v>
      </c>
      <c r="H42" s="467" t="s">
        <v>104</v>
      </c>
      <c r="I42" s="482">
        <f>($C42*$G42)/1000</f>
        <v>0</v>
      </c>
      <c r="J42" s="469" t="s">
        <v>105</v>
      </c>
      <c r="K42" s="466">
        <v>300</v>
      </c>
      <c r="L42" s="467" t="s">
        <v>95</v>
      </c>
      <c r="M42" s="510" t="s">
        <v>788</v>
      </c>
      <c r="N42" s="468">
        <f>($K42*$G42)/1000</f>
        <v>3.3913079999999995</v>
      </c>
      <c r="O42" s="469" t="s">
        <v>106</v>
      </c>
      <c r="P42" s="471">
        <v>4</v>
      </c>
      <c r="Q42" s="467" t="s">
        <v>97</v>
      </c>
      <c r="R42" s="530" t="s">
        <v>788</v>
      </c>
      <c r="S42" s="468">
        <f>($P42*$G42)/1000</f>
        <v>4.5217439999999998E-2</v>
      </c>
      <c r="T42" s="469" t="s">
        <v>107</v>
      </c>
      <c r="U42" s="504">
        <v>0</v>
      </c>
      <c r="V42" s="290">
        <v>0</v>
      </c>
      <c r="W42" s="285" t="s">
        <v>105</v>
      </c>
      <c r="X42" s="290">
        <v>1</v>
      </c>
      <c r="AD42" s="292"/>
      <c r="AE42" s="293"/>
      <c r="AF42" s="295"/>
      <c r="AG42" s="293"/>
      <c r="AH42" s="303"/>
      <c r="AI42" s="303"/>
    </row>
    <row r="43" spans="1:35" ht="15.6" thickBot="1">
      <c r="A43" s="305"/>
      <c r="B43" s="293"/>
      <c r="C43" s="306"/>
      <c r="D43" s="293"/>
      <c r="E43" s="305"/>
      <c r="F43" s="307"/>
      <c r="G43" s="293"/>
      <c r="H43" s="292"/>
      <c r="I43" s="293"/>
      <c r="J43" s="291"/>
      <c r="K43" s="291"/>
      <c r="L43" s="291"/>
      <c r="M43" s="293"/>
      <c r="N43" s="295"/>
      <c r="O43" s="293"/>
      <c r="P43" s="291"/>
      <c r="Q43" s="308"/>
      <c r="R43" s="309"/>
      <c r="S43" s="293"/>
      <c r="T43" s="295"/>
      <c r="U43" s="293"/>
      <c r="V43" s="308"/>
      <c r="W43" s="308"/>
      <c r="X43" s="292"/>
      <c r="Y43" s="293"/>
      <c r="Z43" s="295"/>
      <c r="AA43" s="293"/>
      <c r="AB43" s="291"/>
      <c r="AC43" s="291"/>
      <c r="AD43" s="292"/>
      <c r="AE43" s="293"/>
      <c r="AF43" s="295"/>
      <c r="AG43" s="293"/>
      <c r="AH43" s="303"/>
      <c r="AI43" s="303"/>
    </row>
    <row r="44" spans="1:35" ht="15.75" customHeight="1" thickBot="1">
      <c r="A44" s="773" t="s">
        <v>82</v>
      </c>
      <c r="B44" s="775" t="s">
        <v>83</v>
      </c>
      <c r="C44" s="773" t="s">
        <v>84</v>
      </c>
      <c r="D44" s="782" t="s">
        <v>85</v>
      </c>
      <c r="E44" s="782" t="s">
        <v>741</v>
      </c>
      <c r="F44" s="782" t="s">
        <v>720</v>
      </c>
      <c r="G44" s="782" t="s">
        <v>83</v>
      </c>
      <c r="H44" s="786" t="s">
        <v>143</v>
      </c>
      <c r="I44" s="788" t="s">
        <v>85</v>
      </c>
      <c r="J44" s="790" t="s">
        <v>88</v>
      </c>
      <c r="K44" s="784"/>
      <c r="L44" s="784"/>
      <c r="M44" s="784"/>
      <c r="N44" s="784"/>
      <c r="O44" s="784"/>
      <c r="P44" s="784"/>
      <c r="Q44" s="784"/>
      <c r="R44" s="784"/>
      <c r="S44" s="784"/>
      <c r="T44" s="784"/>
      <c r="U44" s="784"/>
      <c r="V44" s="784"/>
      <c r="W44" s="784"/>
      <c r="X44" s="496"/>
      <c r="Y44" s="497"/>
      <c r="Z44" s="497"/>
      <c r="AA44" s="497"/>
      <c r="AB44" s="291"/>
      <c r="AC44" s="291"/>
      <c r="AD44" s="292"/>
      <c r="AE44" s="293"/>
      <c r="AF44" s="295"/>
      <c r="AG44" s="293"/>
      <c r="AH44" s="303"/>
      <c r="AI44" s="303"/>
    </row>
    <row r="45" spans="1:35" ht="45">
      <c r="A45" s="774"/>
      <c r="B45" s="776"/>
      <c r="C45" s="781"/>
      <c r="D45" s="783"/>
      <c r="E45" s="783"/>
      <c r="F45" s="783"/>
      <c r="G45" s="783"/>
      <c r="H45" s="787"/>
      <c r="I45" s="789"/>
      <c r="J45" s="472" t="s">
        <v>89</v>
      </c>
      <c r="K45" s="458" t="s">
        <v>85</v>
      </c>
      <c r="L45" s="458" t="s">
        <v>741</v>
      </c>
      <c r="M45" s="458" t="s">
        <v>89</v>
      </c>
      <c r="N45" s="498" t="s">
        <v>85</v>
      </c>
      <c r="O45" s="457" t="s">
        <v>90</v>
      </c>
      <c r="P45" s="458" t="s">
        <v>85</v>
      </c>
      <c r="Q45" s="458" t="s">
        <v>741</v>
      </c>
      <c r="R45" s="458" t="s">
        <v>90</v>
      </c>
      <c r="S45" s="507" t="s">
        <v>85</v>
      </c>
      <c r="T45" s="502" t="s">
        <v>359</v>
      </c>
      <c r="U45" s="273" t="s">
        <v>143</v>
      </c>
      <c r="V45" s="273" t="s">
        <v>85</v>
      </c>
      <c r="W45" s="274" t="s">
        <v>418</v>
      </c>
      <c r="AD45" s="292"/>
      <c r="AE45" s="293"/>
      <c r="AF45" s="295"/>
      <c r="AG45" s="293"/>
      <c r="AH45" s="303"/>
      <c r="AI45" s="303"/>
    </row>
    <row r="46" spans="1:35">
      <c r="A46" s="488" t="s">
        <v>321</v>
      </c>
      <c r="B46" s="461"/>
      <c r="C46" s="460"/>
      <c r="D46" s="311"/>
      <c r="E46" s="311"/>
      <c r="F46" s="311"/>
      <c r="G46" s="311"/>
      <c r="H46" s="311"/>
      <c r="I46" s="461"/>
      <c r="J46" s="311"/>
      <c r="K46" s="311"/>
      <c r="L46" s="435"/>
      <c r="M46" s="311"/>
      <c r="N46" s="311"/>
      <c r="O46" s="464"/>
      <c r="P46" s="314"/>
      <c r="Q46" s="500"/>
      <c r="R46" s="314"/>
      <c r="S46" s="461"/>
      <c r="T46" s="503"/>
      <c r="U46" s="436"/>
      <c r="V46" s="436"/>
      <c r="W46" s="279"/>
      <c r="AD46" s="292"/>
      <c r="AE46" s="293"/>
      <c r="AF46" s="295"/>
      <c r="AG46" s="293"/>
      <c r="AH46" s="303"/>
      <c r="AI46" s="303"/>
    </row>
    <row r="47" spans="1:35" ht="24">
      <c r="A47" s="489" t="s">
        <v>358</v>
      </c>
      <c r="B47" s="490" t="s">
        <v>91</v>
      </c>
      <c r="C47" s="475">
        <v>71500</v>
      </c>
      <c r="D47" s="286" t="s">
        <v>748</v>
      </c>
      <c r="E47" s="438" t="s">
        <v>749</v>
      </c>
      <c r="F47" s="313">
        <f>8327*(4.1858*10^-9)*1000000</f>
        <v>34.855156600000008</v>
      </c>
      <c r="G47" s="286" t="s">
        <v>93</v>
      </c>
      <c r="H47" s="288">
        <f>($C47*$F47)/(1000000)</f>
        <v>2.4921436969000008</v>
      </c>
      <c r="I47" s="463" t="s">
        <v>94</v>
      </c>
      <c r="J47" s="473">
        <v>0.5</v>
      </c>
      <c r="K47" s="286" t="s">
        <v>95</v>
      </c>
      <c r="L47" s="439" t="s">
        <v>750</v>
      </c>
      <c r="M47" s="287">
        <f>($J47*$F47/1000000)</f>
        <v>1.7427578300000004E-5</v>
      </c>
      <c r="N47" s="454" t="s">
        <v>96</v>
      </c>
      <c r="O47" s="470">
        <v>2</v>
      </c>
      <c r="P47" s="286" t="s">
        <v>97</v>
      </c>
      <c r="Q47" s="439" t="s">
        <v>750</v>
      </c>
      <c r="R47" s="287">
        <f>($O47*$F47/1000000)</f>
        <v>6.9710313200000015E-5</v>
      </c>
      <c r="S47" s="508" t="s">
        <v>98</v>
      </c>
      <c r="T47" s="504">
        <v>0</v>
      </c>
      <c r="U47" s="290">
        <v>0</v>
      </c>
      <c r="V47" s="286" t="s">
        <v>94</v>
      </c>
      <c r="W47" s="290">
        <v>1</v>
      </c>
      <c r="AD47" s="292"/>
      <c r="AE47" s="293"/>
      <c r="AF47" s="295"/>
      <c r="AG47" s="293"/>
      <c r="AH47" s="303"/>
      <c r="AI47" s="303"/>
    </row>
    <row r="48" spans="1:35" ht="43.5" customHeight="1">
      <c r="A48" s="489" t="s">
        <v>324</v>
      </c>
      <c r="B48" s="490" t="s">
        <v>91</v>
      </c>
      <c r="C48" s="475">
        <v>70000</v>
      </c>
      <c r="D48" s="286" t="s">
        <v>748</v>
      </c>
      <c r="E48" s="438" t="s">
        <v>749</v>
      </c>
      <c r="F48" s="313">
        <f>7519*(4.1858*10^-9)*1000000</f>
        <v>31.473030200000007</v>
      </c>
      <c r="G48" s="286" t="s">
        <v>93</v>
      </c>
      <c r="H48" s="288">
        <f>($C48*$F48)/(1000000)</f>
        <v>2.2031121140000005</v>
      </c>
      <c r="I48" s="463" t="s">
        <v>94</v>
      </c>
      <c r="J48" s="473">
        <v>0.5</v>
      </c>
      <c r="K48" s="286" t="s">
        <v>95</v>
      </c>
      <c r="L48" s="439" t="s">
        <v>750</v>
      </c>
      <c r="M48" s="287">
        <f>($J48*$F48/1000000)</f>
        <v>1.5736515100000004E-5</v>
      </c>
      <c r="N48" s="454" t="s">
        <v>96</v>
      </c>
      <c r="O48" s="470">
        <v>2</v>
      </c>
      <c r="P48" s="286" t="s">
        <v>97</v>
      </c>
      <c r="Q48" s="439" t="s">
        <v>750</v>
      </c>
      <c r="R48" s="287">
        <f>($O48*$F48/1000000)</f>
        <v>6.2946060400000014E-5</v>
      </c>
      <c r="S48" s="508" t="s">
        <v>98</v>
      </c>
      <c r="T48" s="504">
        <v>0</v>
      </c>
      <c r="U48" s="290">
        <v>0</v>
      </c>
      <c r="V48" s="286" t="s">
        <v>94</v>
      </c>
      <c r="W48" s="290">
        <v>1</v>
      </c>
      <c r="AD48" s="292"/>
      <c r="AE48" s="293"/>
      <c r="AF48" s="295"/>
      <c r="AG48" s="293"/>
      <c r="AH48" s="303"/>
      <c r="AI48" s="303"/>
    </row>
    <row r="49" spans="1:35">
      <c r="A49" s="491" t="s">
        <v>177</v>
      </c>
      <c r="B49" s="461"/>
      <c r="C49" s="460"/>
      <c r="D49" s="311"/>
      <c r="E49" s="311"/>
      <c r="F49" s="311"/>
      <c r="G49" s="311"/>
      <c r="H49" s="311"/>
      <c r="I49" s="461"/>
      <c r="J49" s="311"/>
      <c r="K49" s="311"/>
      <c r="L49" s="214"/>
      <c r="M49" s="311"/>
      <c r="N49" s="311"/>
      <c r="O49" s="464"/>
      <c r="P49" s="314"/>
      <c r="Q49" s="323"/>
      <c r="R49" s="314"/>
      <c r="S49" s="461"/>
      <c r="T49" s="505"/>
      <c r="U49" s="437"/>
      <c r="V49" s="311"/>
      <c r="W49" s="312"/>
      <c r="AD49" s="292"/>
      <c r="AE49" s="293"/>
      <c r="AF49" s="295"/>
      <c r="AG49" s="293"/>
      <c r="AH49" s="303"/>
      <c r="AI49" s="303"/>
    </row>
    <row r="50" spans="1:35" ht="36">
      <c r="A50" s="492" t="s">
        <v>322</v>
      </c>
      <c r="B50" s="463" t="s">
        <v>91</v>
      </c>
      <c r="C50" s="475">
        <v>74100</v>
      </c>
      <c r="D50" s="281" t="s">
        <v>748</v>
      </c>
      <c r="E50" s="440" t="s">
        <v>752</v>
      </c>
      <c r="F50" s="283">
        <v>36</v>
      </c>
      <c r="G50" s="286" t="s">
        <v>93</v>
      </c>
      <c r="H50" s="289">
        <f>($C50*$F50)/(1000000)</f>
        <v>2.6676000000000002</v>
      </c>
      <c r="I50" s="463" t="s">
        <v>94</v>
      </c>
      <c r="J50" s="473">
        <v>3.9</v>
      </c>
      <c r="K50" s="286" t="s">
        <v>95</v>
      </c>
      <c r="L50" s="439" t="s">
        <v>754</v>
      </c>
      <c r="M50" s="287">
        <f>($J50*$F50/1000000)</f>
        <v>1.404E-4</v>
      </c>
      <c r="N50" s="454" t="s">
        <v>96</v>
      </c>
      <c r="O50" s="470">
        <v>3.9</v>
      </c>
      <c r="P50" s="286" t="s">
        <v>97</v>
      </c>
      <c r="Q50" s="439" t="s">
        <v>754</v>
      </c>
      <c r="R50" s="287">
        <f>($O50*$F50/1000000)</f>
        <v>1.404E-4</v>
      </c>
      <c r="S50" s="508" t="s">
        <v>98</v>
      </c>
      <c r="T50" s="504">
        <v>0</v>
      </c>
      <c r="U50" s="290">
        <v>1.66</v>
      </c>
      <c r="V50" s="286" t="s">
        <v>94</v>
      </c>
      <c r="W50" s="290">
        <v>1</v>
      </c>
      <c r="AD50" s="292"/>
      <c r="AE50" s="293"/>
      <c r="AF50" s="295"/>
      <c r="AG50" s="293"/>
      <c r="AH50" s="303"/>
      <c r="AI50" s="303"/>
    </row>
    <row r="51" spans="1:35" ht="72">
      <c r="A51" s="489" t="s">
        <v>326</v>
      </c>
      <c r="B51" s="463" t="s">
        <v>91</v>
      </c>
      <c r="C51" s="475">
        <v>69300</v>
      </c>
      <c r="D51" s="281" t="s">
        <v>748</v>
      </c>
      <c r="E51" s="440" t="s">
        <v>751</v>
      </c>
      <c r="F51" s="283">
        <v>32.78</v>
      </c>
      <c r="G51" s="284" t="s">
        <v>93</v>
      </c>
      <c r="H51" s="289">
        <f>($C51*$F51)/(1000000)</f>
        <v>2.2716539999999998</v>
      </c>
      <c r="I51" s="477" t="s">
        <v>94</v>
      </c>
      <c r="J51" s="473">
        <v>6.3</v>
      </c>
      <c r="K51" s="286" t="s">
        <v>95</v>
      </c>
      <c r="L51" s="439" t="s">
        <v>755</v>
      </c>
      <c r="M51" s="287">
        <f>($J51*$F51/1000000)</f>
        <v>2.0651400000000001E-4</v>
      </c>
      <c r="N51" s="454" t="s">
        <v>96</v>
      </c>
      <c r="O51" s="470">
        <v>5.5</v>
      </c>
      <c r="P51" s="286" t="s">
        <v>97</v>
      </c>
      <c r="Q51" s="439" t="s">
        <v>755</v>
      </c>
      <c r="R51" s="287">
        <f>($O51*$F51/1000000)</f>
        <v>1.8029000000000002E-4</v>
      </c>
      <c r="S51" s="508" t="s">
        <v>98</v>
      </c>
      <c r="T51" s="504">
        <v>9.8000000000000004E-2</v>
      </c>
      <c r="U51" s="290">
        <v>1.51</v>
      </c>
      <c r="V51" s="285" t="s">
        <v>94</v>
      </c>
      <c r="W51" s="290">
        <v>0.91</v>
      </c>
      <c r="AD51" s="292"/>
      <c r="AE51" s="293"/>
      <c r="AF51" s="295"/>
      <c r="AG51" s="293"/>
      <c r="AH51" s="303"/>
      <c r="AI51" s="303"/>
    </row>
    <row r="52" spans="1:35">
      <c r="A52" s="492" t="s">
        <v>319</v>
      </c>
      <c r="B52" s="463" t="s">
        <v>91</v>
      </c>
      <c r="C52" s="475"/>
      <c r="D52" s="281" t="s">
        <v>748</v>
      </c>
      <c r="E52" s="280"/>
      <c r="F52" s="540">
        <v>26.79552</v>
      </c>
      <c r="G52" s="284" t="s">
        <v>93</v>
      </c>
      <c r="H52" s="288" t="s">
        <v>753</v>
      </c>
      <c r="I52" s="477" t="s">
        <v>94</v>
      </c>
      <c r="J52" s="473" t="s">
        <v>99</v>
      </c>
      <c r="K52" s="286" t="s">
        <v>95</v>
      </c>
      <c r="L52" s="323"/>
      <c r="M52" s="287"/>
      <c r="N52" s="454" t="s">
        <v>96</v>
      </c>
      <c r="O52" s="470" t="s">
        <v>99</v>
      </c>
      <c r="P52" s="286" t="s">
        <v>97</v>
      </c>
      <c r="Q52" s="323"/>
      <c r="R52" s="287"/>
      <c r="S52" s="508" t="s">
        <v>98</v>
      </c>
      <c r="T52" s="504">
        <v>0</v>
      </c>
      <c r="U52" s="290">
        <v>0</v>
      </c>
      <c r="V52" s="285" t="s">
        <v>94</v>
      </c>
      <c r="W52" s="290">
        <v>1</v>
      </c>
      <c r="AD52" s="292"/>
      <c r="AE52" s="293"/>
      <c r="AF52" s="295"/>
      <c r="AG52" s="293"/>
      <c r="AH52" s="303"/>
      <c r="AI52" s="303"/>
    </row>
    <row r="53" spans="1:35">
      <c r="A53" s="492" t="s">
        <v>323</v>
      </c>
      <c r="B53" s="463" t="s">
        <v>91</v>
      </c>
      <c r="C53" s="475"/>
      <c r="D53" s="281" t="s">
        <v>748</v>
      </c>
      <c r="E53" s="280"/>
      <c r="F53" s="541">
        <v>39.7746</v>
      </c>
      <c r="G53" s="284" t="s">
        <v>93</v>
      </c>
      <c r="H53" s="288" t="s">
        <v>753</v>
      </c>
      <c r="I53" s="477" t="s">
        <v>94</v>
      </c>
      <c r="J53" s="473" t="s">
        <v>99</v>
      </c>
      <c r="K53" s="286" t="s">
        <v>95</v>
      </c>
      <c r="L53" s="323"/>
      <c r="M53" s="287"/>
      <c r="N53" s="454" t="s">
        <v>96</v>
      </c>
      <c r="O53" s="470" t="s">
        <v>99</v>
      </c>
      <c r="P53" s="286" t="s">
        <v>97</v>
      </c>
      <c r="Q53" s="323"/>
      <c r="R53" s="287"/>
      <c r="S53" s="508" t="s">
        <v>98</v>
      </c>
      <c r="T53" s="504">
        <v>0</v>
      </c>
      <c r="U53" s="290">
        <v>0</v>
      </c>
      <c r="V53" s="285" t="s">
        <v>94</v>
      </c>
      <c r="W53" s="290">
        <v>1</v>
      </c>
      <c r="AD53" s="292"/>
      <c r="AE53" s="293"/>
      <c r="AF53" s="295"/>
      <c r="AG53" s="293"/>
      <c r="AH53" s="303"/>
      <c r="AI53" s="303"/>
    </row>
    <row r="54" spans="1:35" ht="30">
      <c r="A54" s="493" t="s">
        <v>325</v>
      </c>
      <c r="B54" s="465"/>
      <c r="C54" s="464"/>
      <c r="D54" s="314"/>
      <c r="E54" s="314"/>
      <c r="F54" s="314"/>
      <c r="G54" s="314"/>
      <c r="H54" s="314"/>
      <c r="I54" s="465"/>
      <c r="J54" s="456"/>
      <c r="K54" s="314"/>
      <c r="L54" s="487"/>
      <c r="M54" s="314"/>
      <c r="N54" s="455"/>
      <c r="O54" s="464"/>
      <c r="P54" s="314"/>
      <c r="Q54" s="501"/>
      <c r="R54" s="314"/>
      <c r="S54" s="509"/>
      <c r="T54" s="506"/>
      <c r="U54" s="312"/>
      <c r="V54" s="314"/>
      <c r="W54" s="312"/>
      <c r="AD54" s="292"/>
      <c r="AE54" s="293"/>
      <c r="AF54" s="295"/>
      <c r="AG54" s="293"/>
      <c r="AH54" s="303"/>
      <c r="AI54" s="303"/>
    </row>
    <row r="55" spans="1:35" ht="24">
      <c r="A55" s="492" t="s">
        <v>322</v>
      </c>
      <c r="B55" s="463" t="s">
        <v>91</v>
      </c>
      <c r="C55" s="475">
        <v>74100</v>
      </c>
      <c r="D55" s="281" t="s">
        <v>748</v>
      </c>
      <c r="E55" s="440" t="s">
        <v>758</v>
      </c>
      <c r="F55" s="283">
        <f>8541*(4.1858*10^-9)*1000000</f>
        <v>35.750917800000011</v>
      </c>
      <c r="G55" s="284" t="s">
        <v>93</v>
      </c>
      <c r="H55" s="288">
        <f>($C55*$F55)/(1000000)</f>
        <v>2.6491430089800008</v>
      </c>
      <c r="I55" s="477" t="s">
        <v>94</v>
      </c>
      <c r="J55" s="473">
        <v>7</v>
      </c>
      <c r="K55" s="286" t="s">
        <v>95</v>
      </c>
      <c r="L55" s="485" t="s">
        <v>758</v>
      </c>
      <c r="M55" s="287">
        <f>($J55*$F55/1000000)</f>
        <v>2.5025642460000004E-4</v>
      </c>
      <c r="N55" s="454" t="s">
        <v>96</v>
      </c>
      <c r="O55" s="470">
        <v>2</v>
      </c>
      <c r="P55" s="286" t="s">
        <v>97</v>
      </c>
      <c r="Q55" s="439" t="s">
        <v>758</v>
      </c>
      <c r="R55" s="287">
        <f>($O55*$F55/1000000)</f>
        <v>7.1501835600000019E-5</v>
      </c>
      <c r="S55" s="508" t="s">
        <v>98</v>
      </c>
      <c r="T55" s="504">
        <v>0</v>
      </c>
      <c r="U55" s="290">
        <v>1.66</v>
      </c>
      <c r="V55" s="285" t="s">
        <v>94</v>
      </c>
      <c r="W55" s="290">
        <v>1</v>
      </c>
      <c r="AD55" s="292"/>
      <c r="AE55" s="293"/>
      <c r="AF55" s="295"/>
      <c r="AG55" s="293"/>
      <c r="AH55" s="303"/>
      <c r="AI55" s="303"/>
    </row>
    <row r="56" spans="1:35" ht="24.6" thickBot="1">
      <c r="A56" s="494" t="s">
        <v>307</v>
      </c>
      <c r="B56" s="469" t="s">
        <v>91</v>
      </c>
      <c r="C56" s="478">
        <v>77400</v>
      </c>
      <c r="D56" s="479" t="s">
        <v>748</v>
      </c>
      <c r="E56" s="484" t="s">
        <v>758</v>
      </c>
      <c r="F56" s="480">
        <f>9285*(4.1858*10^-9)*1000000</f>
        <v>38.865153000000007</v>
      </c>
      <c r="G56" s="481" t="s">
        <v>93</v>
      </c>
      <c r="H56" s="482">
        <f>($C56*$F56)/(1000000)</f>
        <v>3.0081628422000004</v>
      </c>
      <c r="I56" s="483" t="s">
        <v>94</v>
      </c>
      <c r="J56" s="474">
        <v>7</v>
      </c>
      <c r="K56" s="467" t="s">
        <v>95</v>
      </c>
      <c r="L56" s="486" t="s">
        <v>758</v>
      </c>
      <c r="M56" s="468">
        <f>($J56*$F56/1000000)</f>
        <v>2.7205607100000005E-4</v>
      </c>
      <c r="N56" s="499" t="s">
        <v>96</v>
      </c>
      <c r="O56" s="471">
        <v>2</v>
      </c>
      <c r="P56" s="467" t="s">
        <v>97</v>
      </c>
      <c r="Q56" s="510" t="s">
        <v>758</v>
      </c>
      <c r="R56" s="468">
        <f>($O56*$F56/1000000)</f>
        <v>7.7730306000000013E-5</v>
      </c>
      <c r="S56" s="511" t="s">
        <v>98</v>
      </c>
      <c r="T56" s="504">
        <v>0</v>
      </c>
      <c r="U56" s="290">
        <v>0</v>
      </c>
      <c r="V56" s="285" t="s">
        <v>94</v>
      </c>
      <c r="W56" s="290">
        <v>1</v>
      </c>
      <c r="AD56" s="292"/>
      <c r="AE56" s="293"/>
      <c r="AF56" s="295"/>
      <c r="AG56" s="293"/>
      <c r="AH56" s="303"/>
      <c r="AI56" s="303"/>
    </row>
    <row r="57" spans="1:35">
      <c r="A57" s="315"/>
      <c r="B57" s="315"/>
      <c r="C57" s="315"/>
      <c r="D57" s="315"/>
      <c r="E57" s="315"/>
      <c r="F57" s="315"/>
      <c r="G57" s="315"/>
      <c r="H57" s="315"/>
      <c r="I57" s="315"/>
      <c r="J57" s="315"/>
      <c r="K57" s="315"/>
      <c r="L57" s="303"/>
      <c r="M57" s="303"/>
      <c r="N57" s="303"/>
      <c r="O57" s="303"/>
      <c r="P57" s="305"/>
      <c r="Q57" s="316"/>
      <c r="R57" s="316"/>
      <c r="T57" s="305"/>
      <c r="U57" s="214"/>
      <c r="V57" s="214"/>
      <c r="W57" s="214"/>
    </row>
    <row r="58" spans="1:35">
      <c r="A58" s="315"/>
      <c r="B58" s="315"/>
      <c r="C58" s="315"/>
      <c r="D58" s="315"/>
      <c r="E58" s="315"/>
      <c r="F58" s="315"/>
      <c r="G58" s="315"/>
      <c r="H58" s="315"/>
      <c r="I58" s="315"/>
      <c r="J58" s="315"/>
      <c r="K58" s="315"/>
      <c r="L58" s="303"/>
      <c r="M58" s="303"/>
      <c r="N58" s="303"/>
      <c r="O58" s="303"/>
      <c r="P58" s="305"/>
      <c r="Q58" s="316"/>
      <c r="R58" s="316"/>
      <c r="T58" s="305"/>
      <c r="U58" s="214"/>
      <c r="V58" s="214"/>
      <c r="W58" s="214"/>
    </row>
    <row r="59" spans="1:35" ht="35.25" customHeight="1">
      <c r="A59" s="771" t="s">
        <v>738</v>
      </c>
      <c r="B59" s="771"/>
      <c r="C59" s="771"/>
      <c r="D59" s="771"/>
      <c r="E59" s="315"/>
      <c r="F59" s="772" t="s">
        <v>757</v>
      </c>
      <c r="G59" s="772"/>
      <c r="H59" s="772"/>
      <c r="I59" s="772"/>
      <c r="J59" s="772"/>
      <c r="K59" s="772"/>
      <c r="L59" s="772"/>
      <c r="M59" s="772"/>
      <c r="N59" s="772"/>
      <c r="O59" s="772"/>
      <c r="P59" s="772"/>
      <c r="Q59" s="316"/>
      <c r="R59" s="316"/>
      <c r="T59" s="305"/>
      <c r="U59" s="214"/>
      <c r="V59" s="214"/>
      <c r="W59" s="214"/>
    </row>
    <row r="60" spans="1:35" ht="43.5" customHeight="1">
      <c r="A60" s="428" t="s">
        <v>721</v>
      </c>
      <c r="B60" s="428" t="s">
        <v>739</v>
      </c>
      <c r="C60" s="428" t="s">
        <v>740</v>
      </c>
      <c r="D60" s="428" t="s">
        <v>741</v>
      </c>
      <c r="E60" s="315"/>
      <c r="F60" s="429" t="s">
        <v>721</v>
      </c>
      <c r="G60" s="429" t="s">
        <v>742</v>
      </c>
      <c r="H60" s="430" t="s">
        <v>743</v>
      </c>
      <c r="I60"/>
      <c r="J60" s="431" t="s">
        <v>721</v>
      </c>
      <c r="K60" s="432" t="s">
        <v>744</v>
      </c>
      <c r="L60" s="433" t="s">
        <v>745</v>
      </c>
      <c r="N60" s="431" t="s">
        <v>721</v>
      </c>
      <c r="O60" s="432" t="s">
        <v>746</v>
      </c>
      <c r="P60" s="433" t="s">
        <v>747</v>
      </c>
      <c r="R60" s="316"/>
      <c r="T60" s="305"/>
      <c r="U60" s="214"/>
      <c r="V60" s="214"/>
      <c r="W60" s="214"/>
    </row>
    <row r="61" spans="1:35">
      <c r="A61" s="422">
        <v>2025</v>
      </c>
      <c r="B61" s="423">
        <v>0</v>
      </c>
      <c r="C61" s="423">
        <v>9.7799999999999998E-2</v>
      </c>
      <c r="D61" s="425" t="s">
        <v>724</v>
      </c>
      <c r="E61" s="315"/>
      <c r="F61" s="422">
        <v>2025</v>
      </c>
      <c r="G61" s="426">
        <f>(1-B61)*$H$50</f>
        <v>2.6676000000000002</v>
      </c>
      <c r="H61" s="426">
        <f>(1-C61)*$H$51</f>
        <v>2.0494862387999997</v>
      </c>
      <c r="I61"/>
      <c r="J61" s="422">
        <v>2025</v>
      </c>
      <c r="K61" s="427">
        <f>(1-B61)*$M$50</f>
        <v>1.404E-4</v>
      </c>
      <c r="L61" s="427">
        <f t="shared" ref="L61:L76" si="4">(1-C61)*$M$51</f>
        <v>1.8631693080000002E-4</v>
      </c>
      <c r="N61" s="422">
        <v>2025</v>
      </c>
      <c r="O61" s="434">
        <f t="shared" ref="O61:O76" si="5">(1-B61)*$R$50</f>
        <v>1.404E-4</v>
      </c>
      <c r="P61" s="427">
        <f t="shared" ref="P61:P76" si="6">(1-C61)*$R$51</f>
        <v>1.6265763800000002E-4</v>
      </c>
      <c r="R61" s="316"/>
      <c r="T61" s="305"/>
      <c r="U61" s="214"/>
      <c r="V61" s="214"/>
      <c r="W61" s="214"/>
    </row>
    <row r="62" spans="1:35">
      <c r="A62" s="422">
        <v>2024</v>
      </c>
      <c r="B62" s="423">
        <v>0</v>
      </c>
      <c r="C62" s="423">
        <v>9.7799999999999998E-2</v>
      </c>
      <c r="D62" s="425" t="s">
        <v>724</v>
      </c>
      <c r="E62" s="315"/>
      <c r="F62" s="422">
        <v>2024</v>
      </c>
      <c r="G62" s="426">
        <f t="shared" ref="G62:G76" si="7">(1-B62)*$H$50</f>
        <v>2.6676000000000002</v>
      </c>
      <c r="H62" s="426">
        <f t="shared" ref="H62:H76" si="8">(1-C62)*$H$51</f>
        <v>2.0494862387999997</v>
      </c>
      <c r="I62"/>
      <c r="J62" s="422">
        <v>2024</v>
      </c>
      <c r="K62" s="427">
        <f t="shared" ref="K62:K76" si="9">(1-B62)*$M$50</f>
        <v>1.404E-4</v>
      </c>
      <c r="L62" s="427">
        <f t="shared" si="4"/>
        <v>1.8631693080000002E-4</v>
      </c>
      <c r="N62" s="422">
        <v>2024</v>
      </c>
      <c r="O62" s="434">
        <f t="shared" si="5"/>
        <v>1.404E-4</v>
      </c>
      <c r="P62" s="427">
        <f t="shared" si="6"/>
        <v>1.6265763800000002E-4</v>
      </c>
      <c r="R62" s="316"/>
      <c r="T62" s="305"/>
      <c r="U62" s="214"/>
      <c r="V62" s="214"/>
      <c r="W62" s="214"/>
    </row>
    <row r="63" spans="1:35">
      <c r="A63" s="422">
        <v>2023</v>
      </c>
      <c r="B63" s="423">
        <v>0</v>
      </c>
      <c r="C63" s="423">
        <v>9.7799999999999998E-2</v>
      </c>
      <c r="D63" s="425" t="s">
        <v>724</v>
      </c>
      <c r="E63" s="315"/>
      <c r="F63" s="422">
        <v>2023</v>
      </c>
      <c r="G63" s="426">
        <f t="shared" si="7"/>
        <v>2.6676000000000002</v>
      </c>
      <c r="H63" s="426">
        <f t="shared" si="8"/>
        <v>2.0494862387999997</v>
      </c>
      <c r="I63"/>
      <c r="J63" s="422">
        <v>2023</v>
      </c>
      <c r="K63" s="427">
        <f t="shared" si="9"/>
        <v>1.404E-4</v>
      </c>
      <c r="L63" s="427">
        <f t="shared" si="4"/>
        <v>1.8631693080000002E-4</v>
      </c>
      <c r="N63" s="422">
        <v>2023</v>
      </c>
      <c r="O63" s="434">
        <f t="shared" si="5"/>
        <v>1.404E-4</v>
      </c>
      <c r="P63" s="427">
        <f t="shared" si="6"/>
        <v>1.6265763800000002E-4</v>
      </c>
      <c r="R63" s="316"/>
      <c r="T63" s="305"/>
      <c r="U63" s="214"/>
      <c r="V63" s="214"/>
      <c r="W63" s="214"/>
    </row>
    <row r="64" spans="1:35">
      <c r="A64" s="422">
        <v>2022</v>
      </c>
      <c r="B64" s="423">
        <v>6.0000000000000001E-3</v>
      </c>
      <c r="C64" s="423">
        <v>9.5399999999999999E-2</v>
      </c>
      <c r="D64" s="425" t="s">
        <v>724</v>
      </c>
      <c r="E64" s="315"/>
      <c r="F64" s="422">
        <v>2022</v>
      </c>
      <c r="G64" s="426">
        <f t="shared" si="7"/>
        <v>2.6515944</v>
      </c>
      <c r="H64" s="426">
        <f t="shared" si="8"/>
        <v>2.0549382083999999</v>
      </c>
      <c r="I64"/>
      <c r="J64" s="422">
        <v>2022</v>
      </c>
      <c r="K64" s="427">
        <f t="shared" si="9"/>
        <v>1.3955759999999999E-4</v>
      </c>
      <c r="L64" s="427">
        <f t="shared" si="4"/>
        <v>1.868125644E-4</v>
      </c>
      <c r="N64" s="422">
        <v>2022</v>
      </c>
      <c r="O64" s="434">
        <f t="shared" si="5"/>
        <v>1.3955759999999999E-4</v>
      </c>
      <c r="P64" s="427">
        <f t="shared" si="6"/>
        <v>1.6309033400000001E-4</v>
      </c>
      <c r="R64" s="316"/>
      <c r="T64" s="305"/>
      <c r="U64" s="214"/>
      <c r="V64" s="214"/>
      <c r="W64" s="214"/>
    </row>
    <row r="65" spans="1:23">
      <c r="A65" s="422">
        <v>2021</v>
      </c>
      <c r="B65" s="423">
        <v>4.3999999999999997E-2</v>
      </c>
      <c r="C65" s="423">
        <v>9.7500000000000003E-2</v>
      </c>
      <c r="D65" s="425" t="s">
        <v>724</v>
      </c>
      <c r="E65" s="315"/>
      <c r="F65" s="422">
        <v>2021</v>
      </c>
      <c r="G65" s="426">
        <f t="shared" si="7"/>
        <v>2.5502256000000001</v>
      </c>
      <c r="H65" s="426">
        <f t="shared" si="8"/>
        <v>2.0501677349999996</v>
      </c>
      <c r="I65"/>
      <c r="J65" s="422">
        <v>2021</v>
      </c>
      <c r="K65" s="427">
        <f t="shared" si="9"/>
        <v>1.342224E-4</v>
      </c>
      <c r="L65" s="427">
        <f t="shared" si="4"/>
        <v>1.86378885E-4</v>
      </c>
      <c r="N65" s="422">
        <v>2021</v>
      </c>
      <c r="O65" s="434">
        <f t="shared" si="5"/>
        <v>1.342224E-4</v>
      </c>
      <c r="P65" s="427">
        <f t="shared" si="6"/>
        <v>1.6271172500000001E-4</v>
      </c>
      <c r="R65" s="316"/>
      <c r="T65" s="305"/>
      <c r="U65" s="214"/>
      <c r="V65" s="214"/>
      <c r="W65" s="214"/>
    </row>
    <row r="66" spans="1:23">
      <c r="A66" s="422">
        <v>2020</v>
      </c>
      <c r="B66" s="423">
        <v>5.2999999999999999E-2</v>
      </c>
      <c r="C66" s="423">
        <v>9.8100000000000007E-2</v>
      </c>
      <c r="D66" s="425" t="s">
        <v>724</v>
      </c>
      <c r="E66" s="315"/>
      <c r="F66" s="422">
        <v>2020</v>
      </c>
      <c r="G66" s="426">
        <f t="shared" si="7"/>
        <v>2.5262172000000001</v>
      </c>
      <c r="H66" s="426">
        <f t="shared" si="8"/>
        <v>2.0488047425999998</v>
      </c>
      <c r="I66"/>
      <c r="J66" s="422">
        <v>2020</v>
      </c>
      <c r="K66" s="427">
        <f t="shared" si="9"/>
        <v>1.329588E-4</v>
      </c>
      <c r="L66" s="427">
        <f t="shared" si="4"/>
        <v>1.8625497660000002E-4</v>
      </c>
      <c r="N66" s="422">
        <v>2020</v>
      </c>
      <c r="O66" s="434">
        <f t="shared" si="5"/>
        <v>1.329588E-4</v>
      </c>
      <c r="P66" s="427">
        <f t="shared" si="6"/>
        <v>1.6260355100000004E-4</v>
      </c>
      <c r="R66" s="316"/>
      <c r="T66" s="305"/>
      <c r="U66" s="214"/>
      <c r="V66" s="214"/>
      <c r="W66" s="214"/>
    </row>
    <row r="67" spans="1:23">
      <c r="A67" s="422">
        <v>2019</v>
      </c>
      <c r="B67" s="423">
        <v>5.3999999999999999E-2</v>
      </c>
      <c r="C67" s="423">
        <v>9.06E-2</v>
      </c>
      <c r="D67" s="425" t="s">
        <v>724</v>
      </c>
      <c r="E67" s="315"/>
      <c r="F67" s="422">
        <v>2019</v>
      </c>
      <c r="G67" s="426">
        <f t="shared" si="7"/>
        <v>2.5235495999999999</v>
      </c>
      <c r="H67" s="426">
        <f t="shared" si="8"/>
        <v>2.0658421475999997</v>
      </c>
      <c r="I67"/>
      <c r="J67" s="422">
        <v>2019</v>
      </c>
      <c r="K67" s="427">
        <f t="shared" si="9"/>
        <v>1.3281839999999999E-4</v>
      </c>
      <c r="L67" s="427">
        <f t="shared" si="4"/>
        <v>1.8780383159999999E-4</v>
      </c>
      <c r="N67" s="422">
        <v>2019</v>
      </c>
      <c r="O67" s="434">
        <f t="shared" si="5"/>
        <v>1.3281839999999999E-4</v>
      </c>
      <c r="P67" s="427">
        <f t="shared" si="6"/>
        <v>1.6395572600000002E-4</v>
      </c>
      <c r="R67" s="316"/>
      <c r="T67" s="305"/>
      <c r="U67" s="214"/>
      <c r="V67" s="214"/>
      <c r="W67" s="214"/>
    </row>
    <row r="68" spans="1:23">
      <c r="A68" s="422">
        <v>2018</v>
      </c>
      <c r="B68" s="423">
        <v>5.1999999999999998E-2</v>
      </c>
      <c r="C68" s="423">
        <v>8.2600000000000007E-2</v>
      </c>
      <c r="D68" s="425" t="s">
        <v>724</v>
      </c>
      <c r="E68" s="315"/>
      <c r="F68" s="422">
        <v>2018</v>
      </c>
      <c r="G68" s="426">
        <f t="shared" si="7"/>
        <v>2.5288848000000002</v>
      </c>
      <c r="H68" s="426">
        <f t="shared" si="8"/>
        <v>2.0840153795999998</v>
      </c>
      <c r="I68"/>
      <c r="J68" s="422">
        <v>2018</v>
      </c>
      <c r="K68" s="427">
        <f t="shared" si="9"/>
        <v>1.3309919999999998E-4</v>
      </c>
      <c r="L68" s="427">
        <f t="shared" si="4"/>
        <v>1.894559436E-4</v>
      </c>
      <c r="N68" s="422">
        <v>2018</v>
      </c>
      <c r="O68" s="434">
        <f t="shared" si="5"/>
        <v>1.3309919999999998E-4</v>
      </c>
      <c r="P68" s="427">
        <f t="shared" si="6"/>
        <v>1.6539804600000001E-4</v>
      </c>
      <c r="R68" s="316"/>
      <c r="T68" s="305"/>
      <c r="U68" s="214"/>
      <c r="V68" s="214"/>
      <c r="W68" s="214"/>
    </row>
    <row r="69" spans="1:23">
      <c r="A69" s="422">
        <v>2017</v>
      </c>
      <c r="B69" s="423">
        <v>5.8999999999999997E-2</v>
      </c>
      <c r="C69" s="423">
        <v>8.1000000000000003E-2</v>
      </c>
      <c r="D69" s="425" t="s">
        <v>724</v>
      </c>
      <c r="E69" s="315"/>
      <c r="F69" s="422">
        <v>2017</v>
      </c>
      <c r="G69" s="426">
        <f t="shared" si="7"/>
        <v>2.5102116000000003</v>
      </c>
      <c r="H69" s="426">
        <f t="shared" si="8"/>
        <v>2.0876500259999999</v>
      </c>
      <c r="I69"/>
      <c r="J69" s="422">
        <v>2017</v>
      </c>
      <c r="K69" s="427">
        <f t="shared" si="9"/>
        <v>1.3211639999999999E-4</v>
      </c>
      <c r="L69" s="427">
        <f t="shared" si="4"/>
        <v>1.89786366E-4</v>
      </c>
      <c r="N69" s="422">
        <v>2017</v>
      </c>
      <c r="O69" s="434">
        <f t="shared" si="5"/>
        <v>1.3211639999999999E-4</v>
      </c>
      <c r="P69" s="427">
        <f t="shared" si="6"/>
        <v>1.6568651000000003E-4</v>
      </c>
      <c r="R69" s="316"/>
      <c r="T69" s="305"/>
      <c r="U69" s="214"/>
      <c r="V69" s="214"/>
      <c r="W69" s="214"/>
    </row>
    <row r="70" spans="1:23">
      <c r="A70" s="422">
        <v>2016</v>
      </c>
      <c r="B70" s="423">
        <v>6.0999999999999999E-2</v>
      </c>
      <c r="C70" s="423">
        <v>9.7600000000000006E-2</v>
      </c>
      <c r="D70" s="425" t="s">
        <v>724</v>
      </c>
      <c r="E70" s="315"/>
      <c r="F70" s="422">
        <v>2016</v>
      </c>
      <c r="G70" s="426">
        <f t="shared" si="7"/>
        <v>2.5048764000000001</v>
      </c>
      <c r="H70" s="426">
        <f t="shared" si="8"/>
        <v>2.0499405695999999</v>
      </c>
      <c r="I70"/>
      <c r="J70" s="422">
        <v>2016</v>
      </c>
      <c r="K70" s="427">
        <f t="shared" si="9"/>
        <v>1.318356E-4</v>
      </c>
      <c r="L70" s="427">
        <f t="shared" si="4"/>
        <v>1.8635823360000001E-4</v>
      </c>
      <c r="N70" s="422">
        <v>2016</v>
      </c>
      <c r="O70" s="434">
        <f t="shared" si="5"/>
        <v>1.318356E-4</v>
      </c>
      <c r="P70" s="427">
        <f t="shared" si="6"/>
        <v>1.6269369600000001E-4</v>
      </c>
      <c r="R70" s="316"/>
      <c r="T70" s="305"/>
      <c r="U70" s="214"/>
      <c r="V70" s="214"/>
      <c r="W70" s="214"/>
    </row>
    <row r="71" spans="1:23">
      <c r="A71" s="422">
        <v>2015</v>
      </c>
      <c r="B71" s="423">
        <v>6.5000000000000002E-2</v>
      </c>
      <c r="C71" s="423">
        <v>8.0399999999999999E-2</v>
      </c>
      <c r="D71" s="425" t="s">
        <v>724</v>
      </c>
      <c r="E71" s="315"/>
      <c r="F71" s="422">
        <v>2015</v>
      </c>
      <c r="G71" s="426">
        <f t="shared" si="7"/>
        <v>2.4942060000000001</v>
      </c>
      <c r="H71" s="426">
        <f t="shared" si="8"/>
        <v>2.0890130183999998</v>
      </c>
      <c r="I71"/>
      <c r="J71" s="422">
        <v>2015</v>
      </c>
      <c r="K71" s="427">
        <f t="shared" si="9"/>
        <v>1.3127400000000002E-4</v>
      </c>
      <c r="L71" s="427">
        <f t="shared" si="4"/>
        <v>1.8991027440000001E-4</v>
      </c>
      <c r="N71" s="422">
        <v>2015</v>
      </c>
      <c r="O71" s="434">
        <f t="shared" si="5"/>
        <v>1.3127400000000002E-4</v>
      </c>
      <c r="P71" s="427">
        <f t="shared" si="6"/>
        <v>1.6579468400000001E-4</v>
      </c>
      <c r="R71" s="316"/>
      <c r="T71" s="305"/>
      <c r="U71" s="214"/>
      <c r="V71" s="214"/>
      <c r="W71" s="214"/>
    </row>
    <row r="72" spans="1:23">
      <c r="A72" s="422">
        <v>2014</v>
      </c>
      <c r="B72" s="423">
        <v>4.8000000000000001E-2</v>
      </c>
      <c r="C72" s="423">
        <v>4.8599999999999997E-2</v>
      </c>
      <c r="D72" s="425" t="s">
        <v>724</v>
      </c>
      <c r="E72" s="315"/>
      <c r="F72" s="422">
        <v>2014</v>
      </c>
      <c r="G72" s="426">
        <f t="shared" si="7"/>
        <v>2.5395552000000001</v>
      </c>
      <c r="H72" s="426">
        <f t="shared" si="8"/>
        <v>2.1612516155999999</v>
      </c>
      <c r="I72"/>
      <c r="J72" s="422">
        <v>2014</v>
      </c>
      <c r="K72" s="427">
        <f t="shared" si="9"/>
        <v>1.3366079999999999E-4</v>
      </c>
      <c r="L72" s="427">
        <f t="shared" si="4"/>
        <v>1.9647741960000001E-4</v>
      </c>
      <c r="N72" s="422">
        <v>2014</v>
      </c>
      <c r="O72" s="434">
        <f t="shared" si="5"/>
        <v>1.3366079999999999E-4</v>
      </c>
      <c r="P72" s="427">
        <f t="shared" si="6"/>
        <v>1.7152790600000002E-4</v>
      </c>
      <c r="R72" s="316"/>
      <c r="T72" s="305"/>
      <c r="U72" s="214"/>
      <c r="V72" s="214"/>
      <c r="W72" s="214"/>
    </row>
    <row r="73" spans="1:23">
      <c r="A73" s="422">
        <v>2013</v>
      </c>
      <c r="B73" s="423">
        <v>3.7999999999999999E-2</v>
      </c>
      <c r="C73" s="423">
        <v>4.6399999999999997E-2</v>
      </c>
      <c r="D73" s="425" t="s">
        <v>724</v>
      </c>
      <c r="E73" s="315"/>
      <c r="F73" s="422">
        <v>2013</v>
      </c>
      <c r="G73" s="426">
        <f t="shared" si="7"/>
        <v>2.5662312000000003</v>
      </c>
      <c r="H73" s="426">
        <f t="shared" si="8"/>
        <v>2.1662492543999998</v>
      </c>
      <c r="I73"/>
      <c r="J73" s="422">
        <v>2013</v>
      </c>
      <c r="K73" s="427">
        <f t="shared" si="9"/>
        <v>1.3506479999999998E-4</v>
      </c>
      <c r="L73" s="427">
        <f t="shared" si="4"/>
        <v>1.9693175040000002E-4</v>
      </c>
      <c r="N73" s="422">
        <v>2013</v>
      </c>
      <c r="O73" s="434">
        <f t="shared" si="5"/>
        <v>1.3506479999999998E-4</v>
      </c>
      <c r="P73" s="427">
        <f t="shared" si="6"/>
        <v>1.7192454400000002E-4</v>
      </c>
      <c r="R73" s="316"/>
      <c r="T73" s="305"/>
      <c r="U73" s="214"/>
      <c r="V73" s="214"/>
      <c r="W73" s="214"/>
    </row>
    <row r="74" spans="1:23">
      <c r="A74" s="422">
        <v>2012</v>
      </c>
      <c r="B74" s="423">
        <v>2.3E-2</v>
      </c>
      <c r="C74" s="423">
        <v>3.9300000000000002E-2</v>
      </c>
      <c r="D74" s="425" t="s">
        <v>724</v>
      </c>
      <c r="E74" s="315"/>
      <c r="F74" s="422">
        <v>2012</v>
      </c>
      <c r="G74" s="426">
        <f t="shared" si="7"/>
        <v>2.6062452</v>
      </c>
      <c r="H74" s="426">
        <f t="shared" si="8"/>
        <v>2.1823779977999997</v>
      </c>
      <c r="I74"/>
      <c r="J74" s="422">
        <v>2012</v>
      </c>
      <c r="K74" s="427">
        <f t="shared" si="9"/>
        <v>1.3717079999999999E-4</v>
      </c>
      <c r="L74" s="427">
        <f t="shared" si="4"/>
        <v>1.9839799980000001E-4</v>
      </c>
      <c r="N74" s="422">
        <v>2012</v>
      </c>
      <c r="O74" s="434">
        <f t="shared" si="5"/>
        <v>1.3717079999999999E-4</v>
      </c>
      <c r="P74" s="427">
        <f t="shared" si="6"/>
        <v>1.7320460300000002E-4</v>
      </c>
      <c r="R74" s="316"/>
      <c r="T74" s="305"/>
      <c r="U74" s="214"/>
      <c r="V74" s="214"/>
      <c r="W74" s="214"/>
    </row>
    <row r="75" spans="1:23">
      <c r="A75" s="422">
        <v>2011</v>
      </c>
      <c r="B75" s="423">
        <v>0.02</v>
      </c>
      <c r="C75" s="424">
        <v>2.58E-2</v>
      </c>
      <c r="D75" s="425" t="s">
        <v>724</v>
      </c>
      <c r="E75" s="315"/>
      <c r="F75" s="422">
        <v>2011</v>
      </c>
      <c r="G75" s="426">
        <f t="shared" si="7"/>
        <v>2.6142480000000003</v>
      </c>
      <c r="H75" s="426">
        <f t="shared" si="8"/>
        <v>2.2130453267999997</v>
      </c>
      <c r="I75"/>
      <c r="J75" s="422">
        <v>2011</v>
      </c>
      <c r="K75" s="427">
        <f t="shared" si="9"/>
        <v>1.3759199999999999E-4</v>
      </c>
      <c r="L75" s="427">
        <f t="shared" si="4"/>
        <v>2.011859388E-4</v>
      </c>
      <c r="N75" s="422">
        <v>2011</v>
      </c>
      <c r="O75" s="434">
        <f t="shared" si="5"/>
        <v>1.3759199999999999E-4</v>
      </c>
      <c r="P75" s="427">
        <f t="shared" si="6"/>
        <v>1.75638518E-4</v>
      </c>
      <c r="R75" s="316"/>
      <c r="T75" s="305"/>
      <c r="U75" s="214"/>
      <c r="V75" s="214"/>
      <c r="W75" s="214"/>
    </row>
    <row r="76" spans="1:23">
      <c r="A76" s="422">
        <v>2010</v>
      </c>
      <c r="B76" s="423">
        <v>1.0999999999999999E-2</v>
      </c>
      <c r="C76" s="423">
        <v>3.5000000000000001E-3</v>
      </c>
      <c r="D76" s="425" t="s">
        <v>724</v>
      </c>
      <c r="E76" s="315"/>
      <c r="F76" s="422">
        <v>2010</v>
      </c>
      <c r="G76" s="426">
        <f t="shared" si="7"/>
        <v>2.6382563999999999</v>
      </c>
      <c r="H76" s="426">
        <f t="shared" si="8"/>
        <v>2.2637032110000002</v>
      </c>
      <c r="I76" s="84"/>
      <c r="J76" s="422">
        <v>2010</v>
      </c>
      <c r="K76" s="427">
        <f t="shared" si="9"/>
        <v>1.388556E-4</v>
      </c>
      <c r="L76" s="427">
        <f t="shared" si="4"/>
        <v>2.0579120100000002E-4</v>
      </c>
      <c r="N76" s="422">
        <v>2010</v>
      </c>
      <c r="O76" s="434">
        <f t="shared" si="5"/>
        <v>1.388556E-4</v>
      </c>
      <c r="P76" s="427">
        <f t="shared" si="6"/>
        <v>1.7965898500000004E-4</v>
      </c>
      <c r="R76" s="316"/>
      <c r="T76" s="305"/>
      <c r="U76" s="214"/>
      <c r="V76" s="214"/>
      <c r="W76" s="214"/>
    </row>
    <row r="77" spans="1:23">
      <c r="A77" s="315"/>
      <c r="B77" s="315"/>
      <c r="C77" s="315"/>
      <c r="D77" s="315"/>
      <c r="E77" s="315"/>
      <c r="F77" s="315"/>
      <c r="G77" s="315"/>
      <c r="H77" s="315"/>
      <c r="I77" s="315"/>
      <c r="J77" s="315"/>
      <c r="K77" s="315"/>
      <c r="L77" s="303"/>
      <c r="M77" s="303"/>
      <c r="N77" s="303"/>
      <c r="O77" s="303"/>
      <c r="P77" s="305"/>
      <c r="Q77" s="316"/>
      <c r="R77" s="316"/>
      <c r="T77" s="305"/>
      <c r="U77" s="214"/>
      <c r="V77" s="214"/>
      <c r="W77" s="214"/>
    </row>
    <row r="78" spans="1:23">
      <c r="A78" s="315"/>
      <c r="B78" s="315"/>
      <c r="C78" s="315"/>
      <c r="D78" s="315"/>
      <c r="E78" s="315"/>
      <c r="F78" s="315"/>
      <c r="G78" s="315"/>
      <c r="H78" s="315"/>
      <c r="I78" s="315"/>
      <c r="J78" s="315"/>
      <c r="K78" s="315"/>
      <c r="L78" s="303"/>
      <c r="M78" s="303"/>
      <c r="N78" s="303"/>
      <c r="O78" s="303"/>
      <c r="P78" s="305"/>
      <c r="Q78" s="316"/>
      <c r="R78" s="316"/>
      <c r="T78" s="305"/>
      <c r="U78" s="214"/>
      <c r="V78" s="214"/>
      <c r="W78" s="214"/>
    </row>
    <row r="79" spans="1:23" ht="30">
      <c r="A79" s="273" t="s">
        <v>367</v>
      </c>
      <c r="B79" s="273" t="s">
        <v>83</v>
      </c>
      <c r="C79" s="273" t="s">
        <v>368</v>
      </c>
      <c r="D79" s="273" t="s">
        <v>369</v>
      </c>
      <c r="E79" s="273" t="s">
        <v>109</v>
      </c>
      <c r="F79" s="273" t="s">
        <v>387</v>
      </c>
      <c r="G79" s="273" t="s">
        <v>368</v>
      </c>
      <c r="H79" s="273" t="s">
        <v>369</v>
      </c>
      <c r="I79" s="273" t="s">
        <v>109</v>
      </c>
      <c r="J79" s="273" t="s">
        <v>387</v>
      </c>
      <c r="K79" s="273" t="s">
        <v>368</v>
      </c>
      <c r="L79" s="273" t="s">
        <v>369</v>
      </c>
      <c r="M79" s="273" t="s">
        <v>109</v>
      </c>
      <c r="N79" s="273" t="s">
        <v>387</v>
      </c>
      <c r="O79" s="273" t="s">
        <v>386</v>
      </c>
      <c r="P79" s="273" t="s">
        <v>44</v>
      </c>
    </row>
    <row r="80" spans="1:23">
      <c r="A80" s="317" t="s">
        <v>400</v>
      </c>
      <c r="B80" s="318" t="s">
        <v>100</v>
      </c>
      <c r="C80" s="319"/>
      <c r="D80" s="319"/>
      <c r="E80" s="411">
        <v>28</v>
      </c>
      <c r="F80" s="319"/>
      <c r="G80" s="319"/>
      <c r="H80" s="319"/>
      <c r="I80" s="319"/>
      <c r="J80" s="319"/>
      <c r="K80" s="319"/>
      <c r="L80" s="319"/>
      <c r="M80" s="319"/>
      <c r="N80" s="319"/>
      <c r="O80" s="319"/>
      <c r="P80" s="318" t="s">
        <v>101</v>
      </c>
    </row>
    <row r="81" spans="1:16">
      <c r="A81" s="320" t="s">
        <v>110</v>
      </c>
      <c r="B81" s="318" t="s">
        <v>100</v>
      </c>
      <c r="C81" s="319"/>
      <c r="D81" s="319"/>
      <c r="E81" s="412">
        <v>265</v>
      </c>
      <c r="F81" s="319"/>
      <c r="G81" s="319"/>
      <c r="H81" s="319"/>
      <c r="I81" s="319"/>
      <c r="J81" s="319"/>
      <c r="K81" s="319"/>
      <c r="L81" s="319"/>
      <c r="M81" s="319"/>
      <c r="N81" s="319"/>
      <c r="O81" s="319"/>
      <c r="P81" s="318" t="s">
        <v>101</v>
      </c>
    </row>
    <row r="82" spans="1:16">
      <c r="A82" s="280" t="s">
        <v>568</v>
      </c>
      <c r="B82" s="318" t="s">
        <v>100</v>
      </c>
      <c r="C82" s="319"/>
      <c r="D82" s="319"/>
      <c r="E82" s="412">
        <v>23500</v>
      </c>
      <c r="F82" s="319"/>
      <c r="G82" s="319"/>
      <c r="H82" s="319"/>
      <c r="I82" s="319"/>
      <c r="J82" s="319"/>
      <c r="K82" s="319"/>
      <c r="L82" s="319"/>
      <c r="M82" s="319"/>
      <c r="N82" s="319"/>
      <c r="O82" s="319"/>
      <c r="P82" s="318" t="s">
        <v>101</v>
      </c>
    </row>
    <row r="83" spans="1:16">
      <c r="A83" s="320" t="s">
        <v>261</v>
      </c>
      <c r="B83" s="318" t="s">
        <v>100</v>
      </c>
      <c r="C83" s="319"/>
      <c r="D83" s="319"/>
      <c r="E83" s="412">
        <v>16100</v>
      </c>
      <c r="F83" s="319"/>
      <c r="G83" s="319"/>
      <c r="H83" s="319"/>
      <c r="I83" s="319"/>
      <c r="J83" s="319"/>
      <c r="K83" s="319"/>
      <c r="L83" s="319"/>
      <c r="M83" s="319"/>
      <c r="N83" s="319"/>
      <c r="O83" s="319"/>
      <c r="P83" s="318" t="s">
        <v>101</v>
      </c>
    </row>
    <row r="84" spans="1:16" ht="15.6">
      <c r="A84" s="321" t="s">
        <v>370</v>
      </c>
      <c r="B84" s="318" t="s">
        <v>100</v>
      </c>
      <c r="C84" s="321" t="s">
        <v>371</v>
      </c>
      <c r="D84" s="321">
        <v>0.1</v>
      </c>
      <c r="E84" s="413">
        <v>140</v>
      </c>
      <c r="F84" s="323">
        <f>D84*E84</f>
        <v>14</v>
      </c>
      <c r="G84" s="321">
        <v>0</v>
      </c>
      <c r="H84" s="321">
        <v>0</v>
      </c>
      <c r="I84" s="323">
        <v>0</v>
      </c>
      <c r="J84" s="323">
        <f>H84*I84</f>
        <v>0</v>
      </c>
      <c r="K84" s="321">
        <v>0</v>
      </c>
      <c r="L84" s="321">
        <v>0</v>
      </c>
      <c r="M84" s="321">
        <v>0</v>
      </c>
      <c r="N84" s="323">
        <f>L84*M84</f>
        <v>0</v>
      </c>
      <c r="O84" s="324">
        <f>AVERAGE(F84+J84+N84)</f>
        <v>14</v>
      </c>
      <c r="P84" s="318" t="s">
        <v>101</v>
      </c>
    </row>
    <row r="85" spans="1:16" ht="15.6">
      <c r="A85" s="321" t="s">
        <v>372</v>
      </c>
      <c r="B85" s="318" t="s">
        <v>100</v>
      </c>
      <c r="C85" s="321" t="s">
        <v>371</v>
      </c>
      <c r="D85" s="321">
        <v>0.1</v>
      </c>
      <c r="E85" s="413">
        <v>140</v>
      </c>
      <c r="F85" s="323">
        <f t="shared" ref="F85:F97" si="10">D85*E85</f>
        <v>14</v>
      </c>
      <c r="G85" s="321">
        <v>0</v>
      </c>
      <c r="H85" s="321">
        <v>0</v>
      </c>
      <c r="I85" s="323">
        <v>0</v>
      </c>
      <c r="J85" s="323">
        <f t="shared" ref="J85:J97" si="11">H85*I85</f>
        <v>0</v>
      </c>
      <c r="K85" s="321">
        <v>0</v>
      </c>
      <c r="L85" s="321">
        <v>0</v>
      </c>
      <c r="M85" s="321">
        <v>0</v>
      </c>
      <c r="N85" s="323">
        <f t="shared" ref="N85:N97" si="12">L85*M85</f>
        <v>0</v>
      </c>
      <c r="O85" s="324">
        <f t="shared" ref="O85:O97" si="13">AVERAGE(F85+J85+N85)</f>
        <v>14</v>
      </c>
      <c r="P85" s="318" t="s">
        <v>101</v>
      </c>
    </row>
    <row r="86" spans="1:16" ht="15.6">
      <c r="A86" s="321" t="s">
        <v>373</v>
      </c>
      <c r="B86" s="318" t="s">
        <v>100</v>
      </c>
      <c r="C86" s="321" t="s">
        <v>112</v>
      </c>
      <c r="D86" s="321">
        <v>0.6</v>
      </c>
      <c r="E86" s="413">
        <v>2800</v>
      </c>
      <c r="F86" s="323">
        <f t="shared" si="10"/>
        <v>1680</v>
      </c>
      <c r="G86" s="321">
        <v>0</v>
      </c>
      <c r="H86" s="321">
        <v>0</v>
      </c>
      <c r="I86" s="323">
        <v>0</v>
      </c>
      <c r="J86" s="323">
        <f t="shared" si="11"/>
        <v>0</v>
      </c>
      <c r="K86" s="321">
        <v>0</v>
      </c>
      <c r="L86" s="321">
        <v>0</v>
      </c>
      <c r="M86" s="321">
        <v>0</v>
      </c>
      <c r="N86" s="323">
        <f t="shared" si="12"/>
        <v>0</v>
      </c>
      <c r="O86" s="324">
        <f t="shared" si="13"/>
        <v>1680</v>
      </c>
      <c r="P86" s="318" t="s">
        <v>101</v>
      </c>
    </row>
    <row r="87" spans="1:16" ht="15.6">
      <c r="A87" s="321" t="s">
        <v>374</v>
      </c>
      <c r="B87" s="318" t="s">
        <v>100</v>
      </c>
      <c r="C87" s="321" t="s">
        <v>375</v>
      </c>
      <c r="D87" s="321">
        <v>0.5</v>
      </c>
      <c r="E87" s="413">
        <v>1300</v>
      </c>
      <c r="F87" s="323">
        <f t="shared" si="10"/>
        <v>650</v>
      </c>
      <c r="G87" s="321" t="s">
        <v>112</v>
      </c>
      <c r="H87" s="321">
        <v>0.3</v>
      </c>
      <c r="I87" s="322">
        <v>2800</v>
      </c>
      <c r="J87" s="323">
        <f t="shared" si="11"/>
        <v>840</v>
      </c>
      <c r="K87" s="321" t="s">
        <v>64</v>
      </c>
      <c r="L87" s="321">
        <v>0.2</v>
      </c>
      <c r="M87" s="322">
        <v>650</v>
      </c>
      <c r="N87" s="323">
        <f t="shared" si="12"/>
        <v>130</v>
      </c>
      <c r="O87" s="324">
        <f t="shared" si="13"/>
        <v>1620</v>
      </c>
      <c r="P87" s="318" t="s">
        <v>101</v>
      </c>
    </row>
    <row r="88" spans="1:16" ht="15.6">
      <c r="A88" s="321" t="s">
        <v>376</v>
      </c>
      <c r="B88" s="318" t="s">
        <v>100</v>
      </c>
      <c r="C88" s="321" t="s">
        <v>375</v>
      </c>
      <c r="D88" s="321">
        <v>0.3</v>
      </c>
      <c r="E88" s="413">
        <v>1300</v>
      </c>
      <c r="F88" s="323">
        <f t="shared" si="10"/>
        <v>390</v>
      </c>
      <c r="G88" s="321" t="s">
        <v>112</v>
      </c>
      <c r="H88" s="321">
        <v>0.7</v>
      </c>
      <c r="I88" s="322">
        <v>2800</v>
      </c>
      <c r="J88" s="323">
        <f t="shared" si="11"/>
        <v>1959.9999999999998</v>
      </c>
      <c r="K88" s="321">
        <v>0</v>
      </c>
      <c r="L88" s="321">
        <v>0</v>
      </c>
      <c r="M88" s="321">
        <v>0</v>
      </c>
      <c r="N88" s="323">
        <f t="shared" si="12"/>
        <v>0</v>
      </c>
      <c r="O88" s="324">
        <f t="shared" si="13"/>
        <v>2350</v>
      </c>
      <c r="P88" s="318" t="s">
        <v>101</v>
      </c>
    </row>
    <row r="89" spans="1:16" ht="15.6">
      <c r="A89" s="321" t="s">
        <v>377</v>
      </c>
      <c r="B89" s="318" t="s">
        <v>100</v>
      </c>
      <c r="C89" s="321" t="s">
        <v>64</v>
      </c>
      <c r="D89" s="321">
        <v>0.5</v>
      </c>
      <c r="E89" s="413">
        <v>650</v>
      </c>
      <c r="F89" s="323">
        <f t="shared" si="10"/>
        <v>325</v>
      </c>
      <c r="G89" s="321" t="s">
        <v>112</v>
      </c>
      <c r="H89" s="321">
        <v>0.5</v>
      </c>
      <c r="I89" s="322">
        <v>2800</v>
      </c>
      <c r="J89" s="323">
        <f t="shared" si="11"/>
        <v>1400</v>
      </c>
      <c r="K89" s="321">
        <v>0</v>
      </c>
      <c r="L89" s="321">
        <v>0</v>
      </c>
      <c r="M89" s="321">
        <v>0</v>
      </c>
      <c r="N89" s="323">
        <f t="shared" si="12"/>
        <v>0</v>
      </c>
      <c r="O89" s="324">
        <f t="shared" si="13"/>
        <v>1725</v>
      </c>
      <c r="P89" s="318" t="s">
        <v>101</v>
      </c>
    </row>
    <row r="90" spans="1:16" ht="15.6">
      <c r="A90" s="321" t="s">
        <v>378</v>
      </c>
      <c r="B90" s="318" t="s">
        <v>100</v>
      </c>
      <c r="C90" s="321" t="s">
        <v>112</v>
      </c>
      <c r="D90" s="321">
        <v>0.5</v>
      </c>
      <c r="E90" s="413">
        <v>2800</v>
      </c>
      <c r="F90" s="323">
        <f t="shared" si="10"/>
        <v>1400</v>
      </c>
      <c r="G90" s="321" t="s">
        <v>328</v>
      </c>
      <c r="H90" s="321">
        <v>0.5</v>
      </c>
      <c r="I90" s="322">
        <v>3800</v>
      </c>
      <c r="J90" s="323">
        <f t="shared" si="11"/>
        <v>1900</v>
      </c>
      <c r="K90" s="321">
        <v>0</v>
      </c>
      <c r="L90" s="321">
        <v>0</v>
      </c>
      <c r="M90" s="321">
        <v>0</v>
      </c>
      <c r="N90" s="323">
        <f t="shared" si="12"/>
        <v>0</v>
      </c>
      <c r="O90" s="324">
        <f t="shared" si="13"/>
        <v>3300</v>
      </c>
      <c r="P90" s="318" t="s">
        <v>101</v>
      </c>
    </row>
    <row r="91" spans="1:16" ht="15.6">
      <c r="A91" s="321" t="s">
        <v>380</v>
      </c>
      <c r="B91" s="318" t="s">
        <v>100</v>
      </c>
      <c r="C91" s="321" t="s">
        <v>375</v>
      </c>
      <c r="D91" s="321">
        <v>0.9</v>
      </c>
      <c r="E91" s="413">
        <v>1300</v>
      </c>
      <c r="F91" s="323">
        <f t="shared" ref="F91" si="14">D91*E91</f>
        <v>1170</v>
      </c>
      <c r="G91" s="321">
        <v>0</v>
      </c>
      <c r="H91" s="321">
        <v>0</v>
      </c>
      <c r="I91" s="323">
        <v>0</v>
      </c>
      <c r="J91" s="323">
        <f t="shared" ref="J91" si="15">H91*I91</f>
        <v>0</v>
      </c>
      <c r="K91" s="321">
        <v>0</v>
      </c>
      <c r="L91" s="321">
        <v>0</v>
      </c>
      <c r="M91" s="321">
        <v>0</v>
      </c>
      <c r="N91" s="323">
        <f t="shared" ref="N91" si="16">L91*M91</f>
        <v>0</v>
      </c>
      <c r="O91" s="324">
        <f t="shared" ref="O91" si="17">AVERAGE(F91+J91+N91)</f>
        <v>1170</v>
      </c>
      <c r="P91" s="318" t="s">
        <v>101</v>
      </c>
    </row>
    <row r="92" spans="1:16" ht="15.6">
      <c r="A92" s="321" t="s">
        <v>379</v>
      </c>
      <c r="B92" s="318" t="s">
        <v>100</v>
      </c>
      <c r="C92" s="321" t="s">
        <v>379</v>
      </c>
      <c r="D92" s="321">
        <v>1</v>
      </c>
      <c r="E92" s="414">
        <v>11698</v>
      </c>
      <c r="F92" s="323">
        <f t="shared" si="10"/>
        <v>11698</v>
      </c>
      <c r="G92" s="321">
        <v>0</v>
      </c>
      <c r="H92" s="321">
        <v>0</v>
      </c>
      <c r="I92" s="323">
        <v>0</v>
      </c>
      <c r="J92" s="323">
        <f t="shared" si="11"/>
        <v>0</v>
      </c>
      <c r="K92" s="321">
        <v>0</v>
      </c>
      <c r="L92" s="321">
        <v>0</v>
      </c>
      <c r="M92" s="321">
        <v>0</v>
      </c>
      <c r="N92" s="323">
        <f t="shared" si="12"/>
        <v>0</v>
      </c>
      <c r="O92" s="324">
        <f t="shared" si="13"/>
        <v>11698</v>
      </c>
      <c r="P92" s="318" t="s">
        <v>101</v>
      </c>
    </row>
    <row r="93" spans="1:16" ht="15.6">
      <c r="A93" s="321" t="s">
        <v>375</v>
      </c>
      <c r="B93" s="318" t="s">
        <v>100</v>
      </c>
      <c r="C93" s="321" t="s">
        <v>375</v>
      </c>
      <c r="D93" s="321">
        <v>1</v>
      </c>
      <c r="E93" s="413">
        <v>1300</v>
      </c>
      <c r="F93" s="323">
        <f t="shared" si="10"/>
        <v>1300</v>
      </c>
      <c r="G93" s="321">
        <v>0</v>
      </c>
      <c r="H93" s="321">
        <v>0</v>
      </c>
      <c r="I93" s="323">
        <v>0</v>
      </c>
      <c r="J93" s="323">
        <f t="shared" si="11"/>
        <v>0</v>
      </c>
      <c r="K93" s="321">
        <v>0</v>
      </c>
      <c r="L93" s="321">
        <v>0</v>
      </c>
      <c r="M93" s="321">
        <v>0</v>
      </c>
      <c r="N93" s="323">
        <f t="shared" si="12"/>
        <v>0</v>
      </c>
      <c r="O93" s="324">
        <f t="shared" si="13"/>
        <v>1300</v>
      </c>
      <c r="P93" s="318" t="s">
        <v>101</v>
      </c>
    </row>
    <row r="94" spans="1:16" ht="15.6">
      <c r="A94" s="321" t="s">
        <v>111</v>
      </c>
      <c r="B94" s="318" t="s">
        <v>100</v>
      </c>
      <c r="C94" s="321" t="s">
        <v>111</v>
      </c>
      <c r="D94" s="321">
        <v>1</v>
      </c>
      <c r="E94" s="413">
        <v>11700</v>
      </c>
      <c r="F94" s="323">
        <f t="shared" si="10"/>
        <v>11700</v>
      </c>
      <c r="G94" s="321">
        <v>0</v>
      </c>
      <c r="H94" s="321">
        <v>0</v>
      </c>
      <c r="I94" s="323">
        <v>0</v>
      </c>
      <c r="J94" s="323">
        <f t="shared" si="11"/>
        <v>0</v>
      </c>
      <c r="K94" s="321">
        <v>0</v>
      </c>
      <c r="L94" s="321">
        <v>0</v>
      </c>
      <c r="M94" s="321">
        <v>0</v>
      </c>
      <c r="N94" s="323">
        <f t="shared" si="12"/>
        <v>0</v>
      </c>
      <c r="O94" s="324">
        <f t="shared" si="13"/>
        <v>11700</v>
      </c>
      <c r="P94" s="318" t="s">
        <v>101</v>
      </c>
    </row>
    <row r="95" spans="1:16" ht="15.6">
      <c r="A95" s="321" t="s">
        <v>381</v>
      </c>
      <c r="B95" s="318" t="s">
        <v>100</v>
      </c>
      <c r="C95" s="321" t="s">
        <v>375</v>
      </c>
      <c r="D95" s="321">
        <v>0</v>
      </c>
      <c r="E95" s="413">
        <v>1300</v>
      </c>
      <c r="F95" s="323">
        <f t="shared" si="10"/>
        <v>0</v>
      </c>
      <c r="G95" s="321" t="s">
        <v>112</v>
      </c>
      <c r="H95" s="321">
        <v>0.4</v>
      </c>
      <c r="I95" s="322">
        <v>2800</v>
      </c>
      <c r="J95" s="323">
        <f t="shared" si="11"/>
        <v>1120</v>
      </c>
      <c r="K95" s="321" t="s">
        <v>328</v>
      </c>
      <c r="L95" s="321">
        <v>0.5</v>
      </c>
      <c r="M95" s="322">
        <v>3800</v>
      </c>
      <c r="N95" s="323">
        <f t="shared" si="12"/>
        <v>1900</v>
      </c>
      <c r="O95" s="324">
        <f t="shared" si="13"/>
        <v>3020</v>
      </c>
      <c r="P95" s="318" t="s">
        <v>101</v>
      </c>
    </row>
    <row r="96" spans="1:16" ht="15.6">
      <c r="A96" s="321" t="s">
        <v>382</v>
      </c>
      <c r="B96" s="318" t="s">
        <v>100</v>
      </c>
      <c r="C96" s="321" t="s">
        <v>112</v>
      </c>
      <c r="D96" s="321">
        <v>0.2</v>
      </c>
      <c r="E96" s="413">
        <v>2800</v>
      </c>
      <c r="F96" s="323">
        <f t="shared" si="10"/>
        <v>560</v>
      </c>
      <c r="G96" s="321" t="s">
        <v>375</v>
      </c>
      <c r="H96" s="321">
        <v>0.8</v>
      </c>
      <c r="I96" s="322">
        <v>1300</v>
      </c>
      <c r="J96" s="323">
        <f t="shared" si="11"/>
        <v>1040</v>
      </c>
      <c r="K96" s="321">
        <v>0</v>
      </c>
      <c r="L96" s="321">
        <v>0</v>
      </c>
      <c r="M96" s="321">
        <v>0</v>
      </c>
      <c r="N96" s="323">
        <f t="shared" si="12"/>
        <v>0</v>
      </c>
      <c r="O96" s="324">
        <f t="shared" si="13"/>
        <v>1600</v>
      </c>
      <c r="P96" s="318" t="s">
        <v>101</v>
      </c>
    </row>
    <row r="97" spans="1:20" ht="15.6">
      <c r="A97" s="321" t="s">
        <v>383</v>
      </c>
      <c r="B97" s="318" t="s">
        <v>100</v>
      </c>
      <c r="C97" s="321" t="s">
        <v>383</v>
      </c>
      <c r="D97" s="321">
        <v>1</v>
      </c>
      <c r="E97" s="413">
        <v>858</v>
      </c>
      <c r="F97" s="323">
        <f t="shared" si="10"/>
        <v>858</v>
      </c>
      <c r="G97" s="321">
        <v>0</v>
      </c>
      <c r="H97" s="321">
        <v>0</v>
      </c>
      <c r="I97" s="323">
        <v>0</v>
      </c>
      <c r="J97" s="323">
        <f t="shared" si="11"/>
        <v>0</v>
      </c>
      <c r="K97" s="321">
        <v>0</v>
      </c>
      <c r="L97" s="321">
        <v>0</v>
      </c>
      <c r="M97" s="321">
        <v>0</v>
      </c>
      <c r="N97" s="323">
        <f t="shared" si="12"/>
        <v>0</v>
      </c>
      <c r="O97" s="324">
        <f t="shared" si="13"/>
        <v>858</v>
      </c>
      <c r="P97" s="318" t="s">
        <v>101</v>
      </c>
    </row>
    <row r="98" spans="1:20" ht="15.6">
      <c r="A98" s="321" t="s">
        <v>384</v>
      </c>
      <c r="B98" s="318" t="s">
        <v>100</v>
      </c>
      <c r="C98" s="321" t="s">
        <v>385</v>
      </c>
      <c r="D98" s="321">
        <v>0.1</v>
      </c>
      <c r="E98" s="413">
        <v>2900</v>
      </c>
      <c r="F98" s="323">
        <f t="shared" ref="F98" si="18">D98*E98</f>
        <v>290</v>
      </c>
      <c r="G98" s="321" t="s">
        <v>113</v>
      </c>
      <c r="H98" s="321">
        <v>0.9</v>
      </c>
      <c r="I98" s="322">
        <v>804</v>
      </c>
      <c r="J98" s="323">
        <f t="shared" ref="J98" si="19">H98*I98</f>
        <v>723.6</v>
      </c>
      <c r="K98" s="321">
        <v>0</v>
      </c>
      <c r="L98" s="321">
        <v>0</v>
      </c>
      <c r="M98" s="321">
        <v>0</v>
      </c>
      <c r="N98" s="323">
        <f t="shared" ref="N98" si="20">L98*M98</f>
        <v>0</v>
      </c>
      <c r="O98" s="324">
        <f t="shared" ref="O98" si="21">AVERAGE(F98+J98+N98)</f>
        <v>1013.6</v>
      </c>
      <c r="P98" s="318" t="s">
        <v>101</v>
      </c>
    </row>
    <row r="99" spans="1:20" ht="15.6">
      <c r="A99" s="321" t="s">
        <v>513</v>
      </c>
      <c r="B99" s="318" t="s">
        <v>100</v>
      </c>
      <c r="C99" s="321"/>
      <c r="D99" s="321"/>
      <c r="E99" s="413">
        <v>1</v>
      </c>
      <c r="F99" s="323">
        <v>1</v>
      </c>
      <c r="G99" s="321"/>
      <c r="H99" s="321"/>
      <c r="I99" s="322">
        <v>1</v>
      </c>
      <c r="J99" s="323">
        <v>1</v>
      </c>
      <c r="K99" s="321"/>
      <c r="L99" s="321"/>
      <c r="M99" s="321">
        <v>1</v>
      </c>
      <c r="N99" s="323">
        <v>1</v>
      </c>
      <c r="O99" s="324">
        <v>1</v>
      </c>
      <c r="P99" s="318" t="s">
        <v>101</v>
      </c>
    </row>
    <row r="100" spans="1:20" ht="15.6">
      <c r="H100" s="264"/>
      <c r="I100" s="264"/>
      <c r="J100" s="264"/>
      <c r="K100" s="264"/>
      <c r="L100" s="264"/>
      <c r="M100" s="264"/>
      <c r="N100" s="264"/>
      <c r="O100" s="264"/>
      <c r="P100" s="264"/>
      <c r="Q100" s="264"/>
      <c r="R100" s="264"/>
      <c r="S100" s="264"/>
      <c r="T100" s="264"/>
    </row>
    <row r="101" spans="1:20" ht="45">
      <c r="A101" s="325" t="s">
        <v>115</v>
      </c>
      <c r="B101" s="326" t="s">
        <v>44</v>
      </c>
      <c r="C101" s="325" t="s">
        <v>84</v>
      </c>
      <c r="D101" s="326" t="s">
        <v>85</v>
      </c>
      <c r="E101" s="326" t="s">
        <v>84</v>
      </c>
      <c r="F101" s="326" t="s">
        <v>85</v>
      </c>
      <c r="G101" s="276" t="s">
        <v>547</v>
      </c>
      <c r="H101" s="273" t="s">
        <v>44</v>
      </c>
      <c r="I101" s="314" t="s">
        <v>446</v>
      </c>
      <c r="J101" s="275" t="s">
        <v>44</v>
      </c>
      <c r="K101" s="327"/>
      <c r="L101" s="327"/>
      <c r="M101" s="327"/>
      <c r="N101" s="327"/>
      <c r="O101" s="327"/>
      <c r="P101" s="214"/>
      <c r="Q101" s="214"/>
      <c r="R101" s="316"/>
      <c r="S101" s="316"/>
    </row>
    <row r="102" spans="1:20" ht="30">
      <c r="A102" s="45" t="s">
        <v>49</v>
      </c>
      <c r="B102" s="299" t="s">
        <v>104</v>
      </c>
      <c r="C102" s="328">
        <v>0.53</v>
      </c>
      <c r="D102" s="329" t="s">
        <v>116</v>
      </c>
      <c r="E102" s="280">
        <f t="shared" ref="E102:E108" si="22">$C102*1000</f>
        <v>530</v>
      </c>
      <c r="F102" s="280" t="s">
        <v>117</v>
      </c>
      <c r="G102" s="280"/>
      <c r="H102" s="330"/>
      <c r="I102" s="331"/>
      <c r="J102" s="305"/>
      <c r="Q102" s="332"/>
      <c r="R102" s="332"/>
      <c r="S102" s="332"/>
    </row>
    <row r="103" spans="1:20" ht="30">
      <c r="A103" s="45" t="s">
        <v>50</v>
      </c>
      <c r="B103" s="299" t="s">
        <v>104</v>
      </c>
      <c r="C103" s="328">
        <v>0.75</v>
      </c>
      <c r="D103" s="329" t="s">
        <v>116</v>
      </c>
      <c r="E103" s="280">
        <f t="shared" si="22"/>
        <v>750</v>
      </c>
      <c r="F103" s="280" t="s">
        <v>117</v>
      </c>
      <c r="G103" s="280"/>
      <c r="H103" s="301"/>
      <c r="I103" s="300"/>
      <c r="J103" s="305"/>
      <c r="Q103" s="332"/>
      <c r="R103" s="332"/>
      <c r="S103" s="332"/>
    </row>
    <row r="104" spans="1:20" ht="30">
      <c r="A104" s="45" t="s">
        <v>118</v>
      </c>
      <c r="B104" s="299" t="s">
        <v>104</v>
      </c>
      <c r="C104" s="328">
        <v>0.21</v>
      </c>
      <c r="D104" s="329" t="s">
        <v>116</v>
      </c>
      <c r="E104" s="280">
        <f t="shared" si="22"/>
        <v>210</v>
      </c>
      <c r="F104" s="280" t="s">
        <v>117</v>
      </c>
      <c r="G104" s="280"/>
      <c r="H104" s="301"/>
      <c r="I104" s="300"/>
      <c r="J104" s="305"/>
      <c r="Q104" s="333"/>
      <c r="R104" s="333"/>
      <c r="S104" s="333"/>
    </row>
    <row r="105" spans="1:20" ht="30">
      <c r="A105" s="45" t="s">
        <v>329</v>
      </c>
      <c r="B105" s="299" t="s">
        <v>104</v>
      </c>
      <c r="C105" s="328">
        <v>0.43970999999999999</v>
      </c>
      <c r="D105" s="329" t="s">
        <v>116</v>
      </c>
      <c r="E105" s="280">
        <f t="shared" si="22"/>
        <v>439.71</v>
      </c>
      <c r="F105" s="280" t="s">
        <v>117</v>
      </c>
      <c r="G105" s="280"/>
      <c r="H105" s="301"/>
      <c r="I105" s="300"/>
      <c r="J105" s="305"/>
      <c r="Q105" s="333"/>
      <c r="R105" s="333"/>
      <c r="S105" s="333"/>
    </row>
    <row r="106" spans="1:20" ht="30">
      <c r="A106" s="45" t="s">
        <v>330</v>
      </c>
      <c r="B106" s="299" t="s">
        <v>104</v>
      </c>
      <c r="C106" s="328">
        <v>0.41492000000000001</v>
      </c>
      <c r="D106" s="329" t="s">
        <v>116</v>
      </c>
      <c r="E106" s="280">
        <f t="shared" si="22"/>
        <v>414.92</v>
      </c>
      <c r="F106" s="280" t="s">
        <v>117</v>
      </c>
      <c r="G106" s="280"/>
      <c r="H106" s="301"/>
      <c r="I106" s="300"/>
      <c r="J106" s="305"/>
      <c r="Q106" s="333"/>
      <c r="R106" s="333"/>
      <c r="S106" s="333"/>
    </row>
    <row r="107" spans="1:20" ht="30">
      <c r="A107" s="45" t="s">
        <v>331</v>
      </c>
      <c r="B107" s="299" t="s">
        <v>100</v>
      </c>
      <c r="C107" s="328">
        <v>1.1000000000000001</v>
      </c>
      <c r="D107" s="329" t="s">
        <v>119</v>
      </c>
      <c r="E107" s="280">
        <f t="shared" si="22"/>
        <v>1100</v>
      </c>
      <c r="F107" s="280" t="s">
        <v>117</v>
      </c>
      <c r="G107" s="280"/>
      <c r="H107" s="301"/>
      <c r="I107" s="300"/>
      <c r="J107" s="305"/>
      <c r="Q107" s="333"/>
      <c r="R107" s="333"/>
      <c r="S107" s="333"/>
    </row>
    <row r="108" spans="1:20" ht="30">
      <c r="A108" s="45" t="s">
        <v>332</v>
      </c>
      <c r="B108" s="299" t="s">
        <v>104</v>
      </c>
      <c r="C108" s="328">
        <v>3</v>
      </c>
      <c r="D108" s="329" t="s">
        <v>116</v>
      </c>
      <c r="E108" s="280">
        <f t="shared" si="22"/>
        <v>3000</v>
      </c>
      <c r="F108" s="280" t="s">
        <v>117</v>
      </c>
      <c r="G108" s="280"/>
      <c r="H108" s="301"/>
      <c r="I108" s="300"/>
      <c r="J108" s="305"/>
      <c r="Q108" s="333"/>
      <c r="R108" s="333"/>
      <c r="S108" s="333"/>
    </row>
    <row r="109" spans="1:20" ht="30">
      <c r="A109" s="294" t="s">
        <v>52</v>
      </c>
      <c r="B109" s="297" t="s">
        <v>93</v>
      </c>
      <c r="C109" s="283">
        <f>G109*0.2*(44/12)</f>
        <v>14.666666666666666</v>
      </c>
      <c r="D109" s="280" t="s">
        <v>549</v>
      </c>
      <c r="E109" s="334">
        <f>(C109*I109)/1000</f>
        <v>0.55805085600000004</v>
      </c>
      <c r="F109" s="280" t="s">
        <v>117</v>
      </c>
      <c r="G109" s="280">
        <v>20</v>
      </c>
      <c r="H109" s="301" t="s">
        <v>548</v>
      </c>
      <c r="I109" s="283">
        <f>9090*(4.1858*10^-9)*1000000</f>
        <v>38.048922000000005</v>
      </c>
      <c r="J109" s="305"/>
      <c r="Q109" s="333"/>
      <c r="R109" s="333"/>
      <c r="S109" s="333"/>
    </row>
    <row r="110" spans="1:20" ht="30">
      <c r="A110" s="280" t="s">
        <v>53</v>
      </c>
      <c r="B110" s="297" t="s">
        <v>100</v>
      </c>
      <c r="C110" s="283">
        <f>G110*0.2*(44/12)</f>
        <v>14.666666666666666</v>
      </c>
      <c r="D110" s="280" t="s">
        <v>549</v>
      </c>
      <c r="E110" s="334">
        <f>C110/1000</f>
        <v>1.4666666666666666E-2</v>
      </c>
      <c r="F110" s="280" t="s">
        <v>117</v>
      </c>
      <c r="G110" s="280">
        <v>20</v>
      </c>
      <c r="H110" s="301" t="s">
        <v>548</v>
      </c>
      <c r="I110" s="300"/>
      <c r="J110" s="305"/>
      <c r="Q110" s="333"/>
      <c r="R110" s="333"/>
      <c r="S110" s="333"/>
    </row>
    <row r="111" spans="1:20">
      <c r="Q111" s="333"/>
      <c r="R111" s="333"/>
      <c r="S111" s="333"/>
    </row>
    <row r="112" spans="1:20" ht="45">
      <c r="A112" s="326" t="s">
        <v>120</v>
      </c>
      <c r="B112" s="326" t="s">
        <v>121</v>
      </c>
      <c r="C112" s="276" t="s">
        <v>90</v>
      </c>
      <c r="D112" s="276" t="s">
        <v>85</v>
      </c>
      <c r="E112" s="273" t="s">
        <v>583</v>
      </c>
      <c r="F112" s="273" t="s">
        <v>584</v>
      </c>
      <c r="G112" s="273" t="s">
        <v>666</v>
      </c>
      <c r="H112" s="335"/>
      <c r="I112" s="335"/>
      <c r="J112" s="335"/>
      <c r="K112" s="335"/>
      <c r="L112" s="335"/>
      <c r="M112" s="335"/>
      <c r="N112" s="335"/>
      <c r="Q112" s="333"/>
      <c r="R112" s="333"/>
      <c r="S112" s="333"/>
    </row>
    <row r="113" spans="1:19" ht="30">
      <c r="A113" s="280" t="s">
        <v>560</v>
      </c>
      <c r="B113" s="297" t="s">
        <v>100</v>
      </c>
      <c r="C113" s="301">
        <f>0.01*44/28</f>
        <v>1.5714285714285715E-2</v>
      </c>
      <c r="D113" s="301" t="s">
        <v>122</v>
      </c>
      <c r="E113" s="300"/>
      <c r="F113" s="300"/>
      <c r="G113" s="336">
        <v>0</v>
      </c>
      <c r="H113" s="335"/>
      <c r="I113" s="335"/>
      <c r="J113" s="335"/>
      <c r="K113" s="271"/>
      <c r="L113" s="271"/>
      <c r="M113" s="271"/>
      <c r="N113" s="271"/>
      <c r="Q113" s="333"/>
      <c r="R113" s="333"/>
      <c r="S113" s="333"/>
    </row>
    <row r="114" spans="1:19" ht="30">
      <c r="A114" s="280" t="s">
        <v>561</v>
      </c>
      <c r="B114" s="297" t="s">
        <v>100</v>
      </c>
      <c r="C114" s="301">
        <f t="shared" ref="C114:C115" si="23">0.01*44/28</f>
        <v>1.5714285714285715E-2</v>
      </c>
      <c r="D114" s="301" t="s">
        <v>122</v>
      </c>
      <c r="E114" s="300"/>
      <c r="F114" s="300"/>
      <c r="G114" s="336">
        <v>0</v>
      </c>
      <c r="H114" s="327"/>
      <c r="I114" s="327"/>
      <c r="J114" s="327"/>
      <c r="K114" s="305"/>
      <c r="L114" s="305"/>
      <c r="M114" s="305"/>
      <c r="N114" s="305"/>
      <c r="Q114" s="333"/>
      <c r="R114" s="333"/>
      <c r="S114" s="333"/>
    </row>
    <row r="115" spans="1:19" ht="30">
      <c r="A115" s="280" t="s">
        <v>562</v>
      </c>
      <c r="B115" s="297" t="s">
        <v>100</v>
      </c>
      <c r="C115" s="301">
        <f t="shared" si="23"/>
        <v>1.5714285714285715E-2</v>
      </c>
      <c r="D115" s="301" t="s">
        <v>122</v>
      </c>
      <c r="E115" s="300"/>
      <c r="F115" s="300"/>
      <c r="G115" s="336">
        <v>0</v>
      </c>
      <c r="H115" s="327"/>
      <c r="I115" s="327"/>
      <c r="J115" s="327"/>
      <c r="K115" s="305"/>
      <c r="L115" s="305"/>
      <c r="M115" s="305"/>
      <c r="N115" s="305"/>
      <c r="Q115" s="333"/>
      <c r="R115" s="333"/>
      <c r="S115" s="333"/>
    </row>
    <row r="116" spans="1:19">
      <c r="A116" s="280" t="s">
        <v>55</v>
      </c>
      <c r="B116" s="297" t="s">
        <v>100</v>
      </c>
      <c r="C116" s="301">
        <f>0.01*44/28</f>
        <v>1.5714285714285715E-2</v>
      </c>
      <c r="D116" s="301" t="s">
        <v>122</v>
      </c>
      <c r="E116" s="300"/>
      <c r="F116" s="300"/>
      <c r="G116" s="336">
        <v>0</v>
      </c>
      <c r="H116" s="335"/>
      <c r="I116" s="335"/>
      <c r="J116" s="335"/>
      <c r="K116" s="271"/>
      <c r="L116" s="271"/>
      <c r="M116" s="271"/>
      <c r="N116" s="271"/>
      <c r="Q116" s="333"/>
      <c r="R116" s="333"/>
      <c r="S116" s="333"/>
    </row>
    <row r="117" spans="1:19" ht="45">
      <c r="A117" s="280" t="s">
        <v>56</v>
      </c>
      <c r="B117" s="297" t="s">
        <v>100</v>
      </c>
      <c r="C117" s="301">
        <f>0.02*44/28</f>
        <v>3.1428571428571431E-2</v>
      </c>
      <c r="D117" s="301" t="s">
        <v>122</v>
      </c>
      <c r="E117" s="300"/>
      <c r="F117" s="300"/>
      <c r="G117" s="336">
        <v>0</v>
      </c>
      <c r="H117" s="335"/>
      <c r="I117" s="335"/>
      <c r="J117" s="335"/>
      <c r="K117" s="271"/>
      <c r="L117" s="271"/>
      <c r="M117" s="271"/>
      <c r="N117" s="271"/>
      <c r="Q117" s="333"/>
      <c r="R117" s="333"/>
      <c r="S117" s="333"/>
    </row>
    <row r="118" spans="1:19" ht="30">
      <c r="A118" s="280" t="s">
        <v>123</v>
      </c>
      <c r="B118" s="297" t="s">
        <v>100</v>
      </c>
      <c r="C118" s="301">
        <f>0.01*44/28</f>
        <v>1.5714285714285715E-2</v>
      </c>
      <c r="D118" s="301" t="s">
        <v>122</v>
      </c>
      <c r="E118" s="300"/>
      <c r="F118" s="300"/>
      <c r="G118" s="336">
        <v>0</v>
      </c>
      <c r="H118" s="335"/>
      <c r="I118" s="335"/>
      <c r="J118" s="335"/>
      <c r="K118" s="271"/>
      <c r="L118" s="271"/>
      <c r="M118" s="271"/>
      <c r="N118" s="271"/>
      <c r="Q118" s="333"/>
      <c r="R118" s="333"/>
      <c r="S118" s="333"/>
    </row>
    <row r="119" spans="1:19" ht="30">
      <c r="A119" s="280" t="s">
        <v>592</v>
      </c>
      <c r="B119" s="297" t="s">
        <v>100</v>
      </c>
      <c r="C119" s="301">
        <f t="shared" ref="C119:C126" si="24">0.01*44/28</f>
        <v>1.5714285714285715E-2</v>
      </c>
      <c r="D119" s="301" t="s">
        <v>122</v>
      </c>
      <c r="E119" s="301">
        <v>2.7E-2</v>
      </c>
      <c r="F119" s="300">
        <v>2.1999999999999999E-2</v>
      </c>
      <c r="G119" s="336">
        <f>E119+F119</f>
        <v>4.9000000000000002E-2</v>
      </c>
      <c r="H119" s="327"/>
      <c r="I119" s="327"/>
      <c r="J119" s="327"/>
      <c r="K119" s="305"/>
      <c r="L119" s="305"/>
      <c r="M119" s="305"/>
      <c r="N119" s="305"/>
      <c r="Q119" s="333"/>
      <c r="R119" s="333"/>
      <c r="S119" s="333"/>
    </row>
    <row r="120" spans="1:19" ht="30">
      <c r="A120" s="280" t="s">
        <v>593</v>
      </c>
      <c r="B120" s="297" t="s">
        <v>100</v>
      </c>
      <c r="C120" s="301">
        <f t="shared" si="24"/>
        <v>1.5714285714285715E-2</v>
      </c>
      <c r="D120" s="301" t="s">
        <v>122</v>
      </c>
      <c r="E120" s="301">
        <v>1.4999999999999999E-2</v>
      </c>
      <c r="F120" s="300">
        <v>1.2E-2</v>
      </c>
      <c r="G120" s="336">
        <f t="shared" ref="G120:G127" si="25">E120+F120</f>
        <v>2.7E-2</v>
      </c>
      <c r="H120" s="327"/>
      <c r="I120" s="327"/>
      <c r="J120" s="327"/>
      <c r="K120" s="305"/>
      <c r="L120" s="305"/>
      <c r="M120" s="305"/>
      <c r="N120" s="305"/>
      <c r="Q120" s="333"/>
      <c r="R120" s="333"/>
      <c r="S120" s="333"/>
    </row>
    <row r="121" spans="1:19">
      <c r="A121" s="280" t="s">
        <v>585</v>
      </c>
      <c r="B121" s="297" t="s">
        <v>100</v>
      </c>
      <c r="C121" s="301">
        <f t="shared" si="24"/>
        <v>1.5714285714285715E-2</v>
      </c>
      <c r="D121" s="301" t="s">
        <v>122</v>
      </c>
      <c r="E121" s="300">
        <v>6.0000000000000001E-3</v>
      </c>
      <c r="F121" s="300">
        <v>8.9999999999999993E-3</v>
      </c>
      <c r="G121" s="336">
        <f t="shared" si="25"/>
        <v>1.4999999999999999E-2</v>
      </c>
      <c r="H121" s="327"/>
      <c r="I121" s="327"/>
      <c r="J121" s="327"/>
      <c r="K121" s="305"/>
      <c r="L121" s="305"/>
      <c r="M121" s="305"/>
      <c r="N121" s="305"/>
      <c r="Q121" s="333"/>
      <c r="R121" s="333"/>
      <c r="S121" s="333"/>
    </row>
    <row r="122" spans="1:19" ht="30">
      <c r="A122" s="280" t="s">
        <v>586</v>
      </c>
      <c r="B122" s="297" t="s">
        <v>100</v>
      </c>
      <c r="C122" s="301">
        <f t="shared" si="24"/>
        <v>1.5714285714285715E-2</v>
      </c>
      <c r="D122" s="301" t="s">
        <v>122</v>
      </c>
      <c r="E122" s="300">
        <v>7.0000000000000001E-3</v>
      </c>
      <c r="F122" s="300">
        <v>1.4E-2</v>
      </c>
      <c r="G122" s="336">
        <f t="shared" si="25"/>
        <v>2.1000000000000001E-2</v>
      </c>
      <c r="H122" s="327"/>
      <c r="I122" s="327"/>
      <c r="J122" s="327"/>
      <c r="K122" s="305"/>
      <c r="L122" s="305"/>
      <c r="M122" s="305"/>
      <c r="N122" s="305"/>
      <c r="Q122" s="333"/>
      <c r="R122" s="333"/>
      <c r="S122" s="333"/>
    </row>
    <row r="123" spans="1:19">
      <c r="A123" s="280" t="s">
        <v>587</v>
      </c>
      <c r="B123" s="297" t="s">
        <v>100</v>
      </c>
      <c r="C123" s="301">
        <f t="shared" si="24"/>
        <v>1.5714285714285715E-2</v>
      </c>
      <c r="D123" s="301" t="s">
        <v>122</v>
      </c>
      <c r="E123" s="300">
        <v>7.0000000000000001E-3</v>
      </c>
      <c r="F123" s="300">
        <v>8.0000000000000002E-3</v>
      </c>
      <c r="G123" s="336">
        <f t="shared" si="25"/>
        <v>1.4999999999999999E-2</v>
      </c>
      <c r="H123" s="327"/>
      <c r="I123" s="327"/>
      <c r="J123" s="327"/>
      <c r="K123" s="305"/>
      <c r="L123" s="305"/>
      <c r="M123" s="305"/>
      <c r="N123" s="305"/>
      <c r="Q123" s="333"/>
      <c r="R123" s="333"/>
      <c r="S123" s="333"/>
    </row>
    <row r="124" spans="1:19">
      <c r="A124" s="280" t="s">
        <v>588</v>
      </c>
      <c r="B124" s="297" t="s">
        <v>100</v>
      </c>
      <c r="C124" s="301">
        <f t="shared" si="24"/>
        <v>1.5714285714285715E-2</v>
      </c>
      <c r="D124" s="301" t="s">
        <v>122</v>
      </c>
      <c r="E124" s="300">
        <v>8.0000000000000002E-3</v>
      </c>
      <c r="F124" s="300">
        <v>8.0000000000000002E-3</v>
      </c>
      <c r="G124" s="336">
        <f t="shared" si="25"/>
        <v>1.6E-2</v>
      </c>
      <c r="H124" s="327"/>
      <c r="I124" s="327"/>
      <c r="J124" s="327"/>
      <c r="K124" s="305"/>
      <c r="L124" s="305"/>
      <c r="M124" s="305"/>
      <c r="N124" s="305"/>
      <c r="Q124" s="333"/>
      <c r="R124" s="333"/>
      <c r="S124" s="333"/>
    </row>
    <row r="125" spans="1:19">
      <c r="A125" s="280" t="s">
        <v>589</v>
      </c>
      <c r="B125" s="297" t="s">
        <v>100</v>
      </c>
      <c r="C125" s="301">
        <f t="shared" si="24"/>
        <v>1.5714285714285715E-2</v>
      </c>
      <c r="D125" s="301" t="s">
        <v>122</v>
      </c>
      <c r="E125" s="300">
        <v>6.0000000000000001E-3</v>
      </c>
      <c r="F125" s="300">
        <v>7.0000000000000001E-3</v>
      </c>
      <c r="G125" s="336">
        <f t="shared" si="25"/>
        <v>1.3000000000000001E-2</v>
      </c>
      <c r="H125" s="327"/>
      <c r="I125" s="327"/>
      <c r="J125" s="327"/>
      <c r="K125" s="305"/>
      <c r="L125" s="305"/>
      <c r="M125" s="305"/>
      <c r="N125" s="305"/>
      <c r="Q125" s="333"/>
      <c r="R125" s="333"/>
      <c r="S125" s="333"/>
    </row>
    <row r="126" spans="1:19">
      <c r="A126" s="280" t="s">
        <v>590</v>
      </c>
      <c r="B126" s="297" t="s">
        <v>100</v>
      </c>
      <c r="C126" s="301">
        <f t="shared" si="24"/>
        <v>1.5714285714285715E-2</v>
      </c>
      <c r="D126" s="301" t="s">
        <v>122</v>
      </c>
      <c r="E126" s="300">
        <v>7.0000000000000001E-3</v>
      </c>
      <c r="F126" s="300">
        <v>6.0000000000000001E-3</v>
      </c>
      <c r="G126" s="336">
        <f t="shared" si="25"/>
        <v>1.3000000000000001E-2</v>
      </c>
      <c r="H126" s="327"/>
      <c r="I126" s="327"/>
      <c r="J126" s="327"/>
      <c r="K126" s="305"/>
      <c r="L126" s="305"/>
      <c r="M126" s="305"/>
      <c r="N126" s="305"/>
      <c r="Q126" s="333"/>
      <c r="R126" s="333"/>
      <c r="S126" s="333"/>
    </row>
    <row r="127" spans="1:19">
      <c r="A127" s="280" t="s">
        <v>591</v>
      </c>
      <c r="B127" s="297" t="s">
        <v>100</v>
      </c>
      <c r="C127" s="301">
        <f>0.01*44/28</f>
        <v>1.5714285714285715E-2</v>
      </c>
      <c r="D127" s="301" t="s">
        <v>122</v>
      </c>
      <c r="E127" s="300">
        <v>7.0000000000000001E-3</v>
      </c>
      <c r="F127" s="300">
        <v>0</v>
      </c>
      <c r="G127" s="336">
        <f t="shared" si="25"/>
        <v>7.0000000000000001E-3</v>
      </c>
      <c r="H127" s="335"/>
      <c r="I127" s="335"/>
      <c r="J127" s="335"/>
      <c r="K127" s="271"/>
      <c r="L127" s="271"/>
      <c r="M127" s="271"/>
      <c r="N127" s="271"/>
      <c r="Q127" s="333"/>
      <c r="R127" s="333"/>
      <c r="S127" s="333"/>
    </row>
    <row r="128" spans="1:19">
      <c r="Q128" s="333"/>
      <c r="R128" s="333"/>
      <c r="S128" s="333"/>
    </row>
    <row r="129" spans="1:31" ht="30">
      <c r="A129" s="325" t="s">
        <v>124</v>
      </c>
      <c r="B129" s="325" t="s">
        <v>121</v>
      </c>
      <c r="C129" s="310" t="s">
        <v>89</v>
      </c>
      <c r="D129" s="326" t="s">
        <v>85</v>
      </c>
      <c r="E129" s="326" t="s">
        <v>86</v>
      </c>
      <c r="F129" s="276" t="s">
        <v>86</v>
      </c>
      <c r="G129" s="337"/>
      <c r="H129" s="335"/>
      <c r="I129" s="335"/>
      <c r="J129" s="335"/>
      <c r="K129" s="335"/>
      <c r="L129" s="335"/>
      <c r="M129" s="335"/>
      <c r="N129" s="335"/>
      <c r="O129" s="335"/>
      <c r="Q129" s="333"/>
      <c r="R129" s="333"/>
      <c r="S129" s="333"/>
    </row>
    <row r="130" spans="1:31" ht="30">
      <c r="A130" s="45" t="s">
        <v>333</v>
      </c>
      <c r="B130" s="299" t="s">
        <v>125</v>
      </c>
      <c r="C130" s="328">
        <v>107.88</v>
      </c>
      <c r="D130" s="338" t="s">
        <v>126</v>
      </c>
      <c r="E130" s="280"/>
      <c r="F130" s="301"/>
      <c r="G130" s="339"/>
      <c r="H130" s="332"/>
      <c r="I130" s="332"/>
      <c r="J130" s="332"/>
      <c r="K130" s="332"/>
      <c r="L130" s="271"/>
      <c r="M130" s="271"/>
      <c r="N130" s="271"/>
      <c r="O130" s="271"/>
      <c r="Q130" s="333"/>
      <c r="R130" s="333"/>
      <c r="S130" s="333"/>
    </row>
    <row r="131" spans="1:31" ht="30">
      <c r="A131" s="45" t="s">
        <v>334</v>
      </c>
      <c r="B131" s="299" t="s">
        <v>125</v>
      </c>
      <c r="C131" s="328">
        <v>53.81</v>
      </c>
      <c r="D131" s="338" t="s">
        <v>126</v>
      </c>
      <c r="E131" s="280"/>
      <c r="F131" s="301"/>
      <c r="G131" s="339"/>
      <c r="H131" s="332"/>
      <c r="I131" s="332"/>
      <c r="J131" s="332"/>
      <c r="K131" s="332"/>
      <c r="L131" s="271"/>
      <c r="M131" s="271"/>
      <c r="N131" s="271"/>
      <c r="O131" s="271"/>
      <c r="Q131" s="333"/>
      <c r="R131" s="333"/>
      <c r="S131" s="333"/>
    </row>
    <row r="132" spans="1:31" ht="30">
      <c r="A132" s="45" t="s">
        <v>127</v>
      </c>
      <c r="B132" s="299" t="s">
        <v>125</v>
      </c>
      <c r="C132" s="328">
        <v>5</v>
      </c>
      <c r="D132" s="338" t="s">
        <v>126</v>
      </c>
      <c r="E132" s="280"/>
      <c r="F132" s="301"/>
      <c r="G132" s="339"/>
      <c r="H132" s="332"/>
      <c r="I132" s="332"/>
      <c r="J132" s="332"/>
      <c r="K132" s="332"/>
      <c r="L132" s="271"/>
      <c r="M132" s="271"/>
      <c r="N132" s="271"/>
      <c r="O132" s="271"/>
      <c r="Q132" s="333"/>
      <c r="R132" s="333"/>
      <c r="S132" s="333"/>
    </row>
    <row r="133" spans="1:31" ht="30">
      <c r="A133" s="45" t="s">
        <v>128</v>
      </c>
      <c r="B133" s="299" t="s">
        <v>125</v>
      </c>
      <c r="C133" s="328">
        <v>5</v>
      </c>
      <c r="D133" s="338" t="s">
        <v>126</v>
      </c>
      <c r="E133" s="280"/>
      <c r="F133" s="301"/>
      <c r="G133" s="339"/>
      <c r="H133" s="332"/>
      <c r="I133" s="332"/>
      <c r="J133" s="332"/>
      <c r="K133" s="332"/>
      <c r="L133" s="271"/>
      <c r="M133" s="271"/>
      <c r="N133" s="271"/>
      <c r="O133" s="271"/>
      <c r="Q133" s="333"/>
      <c r="R133" s="333"/>
      <c r="S133" s="333"/>
    </row>
    <row r="134" spans="1:31" ht="30">
      <c r="A134" s="45" t="s">
        <v>129</v>
      </c>
      <c r="B134" s="299" t="s">
        <v>125</v>
      </c>
      <c r="C134" s="328">
        <v>18</v>
      </c>
      <c r="D134" s="338" t="s">
        <v>126</v>
      </c>
      <c r="E134" s="280"/>
      <c r="F134" s="301"/>
      <c r="G134" s="339"/>
      <c r="H134" s="332"/>
      <c r="I134" s="332"/>
      <c r="J134" s="332"/>
      <c r="K134" s="332"/>
      <c r="L134" s="271"/>
      <c r="M134" s="271"/>
      <c r="N134" s="271"/>
      <c r="O134" s="271"/>
      <c r="Q134" s="333"/>
      <c r="R134" s="333"/>
      <c r="S134" s="333"/>
    </row>
    <row r="135" spans="1:31" ht="30">
      <c r="A135" s="45" t="s">
        <v>130</v>
      </c>
      <c r="B135" s="299" t="s">
        <v>125</v>
      </c>
      <c r="C135" s="328">
        <v>10</v>
      </c>
      <c r="D135" s="338" t="s">
        <v>126</v>
      </c>
      <c r="E135" s="280"/>
      <c r="F135" s="301"/>
      <c r="G135" s="339"/>
      <c r="H135" s="332"/>
      <c r="I135" s="332"/>
      <c r="J135" s="332"/>
      <c r="K135" s="332"/>
      <c r="L135" s="271"/>
      <c r="M135" s="271"/>
      <c r="N135" s="271"/>
      <c r="O135" s="271"/>
      <c r="Q135" s="333"/>
      <c r="R135" s="333"/>
      <c r="S135" s="333"/>
    </row>
    <row r="136" spans="1:31" ht="30">
      <c r="A136" s="45" t="s">
        <v>335</v>
      </c>
      <c r="B136" s="299" t="s">
        <v>125</v>
      </c>
      <c r="C136" s="328">
        <v>1</v>
      </c>
      <c r="D136" s="338" t="s">
        <v>126</v>
      </c>
      <c r="E136" s="280"/>
      <c r="F136" s="301"/>
      <c r="G136" s="339"/>
      <c r="H136" s="332"/>
      <c r="I136" s="324">
        <v>0.02</v>
      </c>
      <c r="J136" s="332"/>
      <c r="K136" s="332"/>
      <c r="L136" s="271"/>
      <c r="M136" s="271"/>
      <c r="N136" s="271"/>
      <c r="O136" s="271"/>
      <c r="Q136" s="333"/>
      <c r="R136" s="333"/>
      <c r="S136" s="333"/>
    </row>
    <row r="137" spans="1:31">
      <c r="A137" s="340"/>
      <c r="B137" s="341"/>
      <c r="C137" s="327"/>
      <c r="D137" s="341"/>
      <c r="E137" s="341"/>
      <c r="F137" s="341"/>
      <c r="G137" s="271"/>
      <c r="H137" s="280" t="s">
        <v>131</v>
      </c>
      <c r="I137" s="342">
        <v>0.01</v>
      </c>
      <c r="J137" s="343">
        <v>5.0000000000000001E-3</v>
      </c>
      <c r="K137" s="343">
        <v>5.0000000000000001E-3</v>
      </c>
      <c r="L137" s="343">
        <v>0</v>
      </c>
      <c r="M137" s="343">
        <v>1E-3</v>
      </c>
      <c r="N137" s="343">
        <v>1E-3</v>
      </c>
      <c r="O137" s="343">
        <v>0.01</v>
      </c>
      <c r="P137" s="339"/>
      <c r="Q137" s="271"/>
      <c r="R137" s="271"/>
      <c r="S137" s="271"/>
      <c r="T137" s="271"/>
      <c r="U137" s="271"/>
      <c r="V137" s="271"/>
      <c r="W137" s="271"/>
      <c r="X137" s="271"/>
      <c r="Y137" s="271"/>
      <c r="Z137" s="271"/>
      <c r="AA137" s="271"/>
      <c r="AB137" s="271"/>
      <c r="AC137" s="271"/>
      <c r="AD137" s="271"/>
      <c r="AE137" s="271"/>
    </row>
    <row r="138" spans="1:31" ht="60">
      <c r="A138" s="344" t="s">
        <v>132</v>
      </c>
      <c r="B138" s="325" t="s">
        <v>121</v>
      </c>
      <c r="C138" s="276" t="s">
        <v>89</v>
      </c>
      <c r="D138" s="326" t="s">
        <v>85</v>
      </c>
      <c r="E138" s="326" t="s">
        <v>86</v>
      </c>
      <c r="F138" s="276" t="s">
        <v>86</v>
      </c>
      <c r="G138" s="276" t="s">
        <v>336</v>
      </c>
      <c r="H138" s="276" t="s">
        <v>133</v>
      </c>
      <c r="I138" s="345" t="s">
        <v>459</v>
      </c>
      <c r="J138" s="345" t="s">
        <v>338</v>
      </c>
      <c r="K138" s="345" t="s">
        <v>339</v>
      </c>
      <c r="L138" s="345" t="s">
        <v>340</v>
      </c>
      <c r="M138" s="345" t="s">
        <v>134</v>
      </c>
      <c r="N138" s="345" t="s">
        <v>135</v>
      </c>
      <c r="O138" s="345" t="s">
        <v>341</v>
      </c>
      <c r="P138" s="326" t="s">
        <v>337</v>
      </c>
      <c r="Q138" s="326" t="s">
        <v>85</v>
      </c>
      <c r="R138" s="273" t="s">
        <v>86</v>
      </c>
      <c r="S138" s="275"/>
      <c r="T138" s="275"/>
      <c r="U138" s="271"/>
      <c r="V138" s="271"/>
      <c r="W138" s="271"/>
      <c r="X138" s="271"/>
      <c r="Y138" s="271"/>
      <c r="Z138" s="271"/>
      <c r="AA138" s="271"/>
      <c r="AB138" s="271"/>
      <c r="AC138" s="271"/>
      <c r="AD138" s="271"/>
      <c r="AE138" s="271"/>
    </row>
    <row r="139" spans="1:31" ht="30">
      <c r="A139" s="45" t="s">
        <v>333</v>
      </c>
      <c r="B139" s="297" t="s">
        <v>125</v>
      </c>
      <c r="C139" s="280">
        <v>1.8</v>
      </c>
      <c r="D139" s="346" t="s">
        <v>136</v>
      </c>
      <c r="E139" s="280"/>
      <c r="F139" s="347"/>
      <c r="G139" s="280">
        <v>92.53</v>
      </c>
      <c r="H139" s="348">
        <v>0.2</v>
      </c>
      <c r="I139" s="349">
        <f>(($G139*$H139)*I$136)*(44/28)</f>
        <v>0.58161714285714283</v>
      </c>
      <c r="J139" s="349">
        <f>(($G139*$H139)*J$137)*(44/28)</f>
        <v>0.14540428571428571</v>
      </c>
      <c r="K139" s="349">
        <f>(($G139*$H139)*K$137)*(44/28)</f>
        <v>0.14540428571428571</v>
      </c>
      <c r="L139" s="349">
        <f>(($G139*$H139)*L$137)*(44/28)</f>
        <v>0</v>
      </c>
      <c r="M139" s="349" t="s">
        <v>99</v>
      </c>
      <c r="N139" s="349" t="s">
        <v>99</v>
      </c>
      <c r="O139" s="349" t="s">
        <v>99</v>
      </c>
      <c r="P139" s="350">
        <f t="shared" ref="P139:P146" si="26">AVERAGE(J139:O139)</f>
        <v>9.6936190476190467E-2</v>
      </c>
      <c r="Q139" s="346" t="s">
        <v>137</v>
      </c>
      <c r="R139" s="351"/>
      <c r="S139" s="352"/>
      <c r="T139" s="353"/>
      <c r="U139" s="354"/>
      <c r="V139" s="271"/>
      <c r="W139" s="271"/>
      <c r="X139" s="355"/>
      <c r="Y139" s="355"/>
      <c r="Z139" s="356"/>
      <c r="AA139" s="356"/>
      <c r="AB139" s="356"/>
      <c r="AC139" s="356"/>
      <c r="AD139" s="356"/>
      <c r="AE139" s="356"/>
    </row>
    <row r="140" spans="1:31" ht="30">
      <c r="A140" s="357" t="s">
        <v>334</v>
      </c>
      <c r="B140" s="297" t="s">
        <v>125</v>
      </c>
      <c r="C140" s="280">
        <v>1.05</v>
      </c>
      <c r="D140" s="346" t="s">
        <v>136</v>
      </c>
      <c r="E140" s="280"/>
      <c r="F140" s="347"/>
      <c r="G140" s="280">
        <v>42.08</v>
      </c>
      <c r="H140" s="348">
        <v>7.0000000000000007E-2</v>
      </c>
      <c r="I140" s="349">
        <f>(($G140*$H140)*I$136)*(44/28)</f>
        <v>9.2576000000000006E-2</v>
      </c>
      <c r="J140" s="349" t="s">
        <v>99</v>
      </c>
      <c r="K140" s="349" t="s">
        <v>99</v>
      </c>
      <c r="L140" s="349" t="s">
        <v>99</v>
      </c>
      <c r="M140" s="349" t="s">
        <v>99</v>
      </c>
      <c r="N140" s="349" t="s">
        <v>99</v>
      </c>
      <c r="O140" s="349" t="s">
        <v>99</v>
      </c>
      <c r="P140" s="350">
        <f>I140</f>
        <v>9.2576000000000006E-2</v>
      </c>
      <c r="Q140" s="346" t="s">
        <v>137</v>
      </c>
      <c r="R140" s="351"/>
      <c r="S140" s="352"/>
      <c r="T140" s="353"/>
      <c r="U140" s="354"/>
      <c r="V140" s="271"/>
      <c r="W140" s="271"/>
      <c r="X140" s="355"/>
      <c r="Y140" s="358"/>
      <c r="Z140" s="356"/>
      <c r="AA140" s="356"/>
      <c r="AB140" s="356"/>
      <c r="AC140" s="356"/>
      <c r="AD140" s="356"/>
      <c r="AE140" s="356"/>
    </row>
    <row r="141" spans="1:31" ht="30">
      <c r="A141" s="357" t="s">
        <v>127</v>
      </c>
      <c r="B141" s="297" t="s">
        <v>125</v>
      </c>
      <c r="C141" s="280">
        <v>0.15</v>
      </c>
      <c r="D141" s="346" t="s">
        <v>136</v>
      </c>
      <c r="E141" s="280"/>
      <c r="F141" s="347"/>
      <c r="G141" s="280">
        <v>11.96</v>
      </c>
      <c r="H141" s="348">
        <v>0.1</v>
      </c>
      <c r="I141" s="349">
        <f t="shared" ref="I141:O146" si="27">(($G141*$H141)*I$137)*(44/28)</f>
        <v>1.8794285714285718E-2</v>
      </c>
      <c r="J141" s="349" t="s">
        <v>99</v>
      </c>
      <c r="K141" s="349" t="s">
        <v>99</v>
      </c>
      <c r="L141" s="349" t="s">
        <v>99</v>
      </c>
      <c r="M141" s="349" t="s">
        <v>99</v>
      </c>
      <c r="N141" s="349" t="s">
        <v>99</v>
      </c>
      <c r="O141" s="349" t="s">
        <v>99</v>
      </c>
      <c r="P141" s="350">
        <f t="shared" ref="P141:P144" si="28">I141</f>
        <v>1.8794285714285718E-2</v>
      </c>
      <c r="Q141" s="346" t="s">
        <v>137</v>
      </c>
      <c r="R141" s="351"/>
      <c r="S141" s="352"/>
      <c r="T141" s="353"/>
      <c r="U141" s="354"/>
      <c r="V141" s="271"/>
      <c r="W141" s="271"/>
      <c r="X141" s="355"/>
      <c r="Y141" s="358"/>
      <c r="Z141" s="356"/>
      <c r="AA141" s="356"/>
      <c r="AB141" s="356"/>
      <c r="AC141" s="356"/>
      <c r="AD141" s="356"/>
      <c r="AE141" s="356"/>
    </row>
    <row r="142" spans="1:31" ht="30">
      <c r="A142" s="357" t="s">
        <v>128</v>
      </c>
      <c r="B142" s="297" t="s">
        <v>125</v>
      </c>
      <c r="C142" s="280">
        <v>0.17</v>
      </c>
      <c r="D142" s="346" t="s">
        <v>136</v>
      </c>
      <c r="E142" s="280"/>
      <c r="F142" s="347"/>
      <c r="G142" s="280">
        <v>15</v>
      </c>
      <c r="H142" s="348">
        <v>0.1</v>
      </c>
      <c r="I142" s="349">
        <f t="shared" si="27"/>
        <v>2.357142857142857E-2</v>
      </c>
      <c r="J142" s="349" t="s">
        <v>99</v>
      </c>
      <c r="K142" s="349" t="s">
        <v>99</v>
      </c>
      <c r="L142" s="349" t="s">
        <v>99</v>
      </c>
      <c r="M142" s="349" t="s">
        <v>99</v>
      </c>
      <c r="N142" s="349" t="s">
        <v>99</v>
      </c>
      <c r="O142" s="349" t="s">
        <v>99</v>
      </c>
      <c r="P142" s="350">
        <f t="shared" si="28"/>
        <v>2.357142857142857E-2</v>
      </c>
      <c r="Q142" s="346" t="s">
        <v>137</v>
      </c>
      <c r="R142" s="351"/>
      <c r="S142" s="352"/>
      <c r="T142" s="353"/>
      <c r="U142" s="354"/>
      <c r="V142" s="271"/>
      <c r="W142" s="271"/>
      <c r="X142" s="355"/>
      <c r="Y142" s="358"/>
      <c r="Z142" s="356"/>
      <c r="AA142" s="356"/>
      <c r="AB142" s="356"/>
      <c r="AC142" s="356"/>
      <c r="AD142" s="356"/>
      <c r="AE142" s="356"/>
    </row>
    <row r="143" spans="1:31" ht="30">
      <c r="A143" s="357" t="s">
        <v>129</v>
      </c>
      <c r="B143" s="297" t="s">
        <v>125</v>
      </c>
      <c r="C143" s="280">
        <v>1.64</v>
      </c>
      <c r="D143" s="346" t="s">
        <v>136</v>
      </c>
      <c r="E143" s="280"/>
      <c r="F143" s="347"/>
      <c r="G143" s="280">
        <v>39.96</v>
      </c>
      <c r="H143" s="348">
        <v>7.0000000000000007E-2</v>
      </c>
      <c r="I143" s="349">
        <f t="shared" si="27"/>
        <v>4.3956000000000002E-2</v>
      </c>
      <c r="J143" s="349" t="s">
        <v>99</v>
      </c>
      <c r="K143" s="349" t="s">
        <v>99</v>
      </c>
      <c r="L143" s="349" t="s">
        <v>99</v>
      </c>
      <c r="M143" s="349" t="s">
        <v>99</v>
      </c>
      <c r="N143" s="349" t="s">
        <v>99</v>
      </c>
      <c r="O143" s="349" t="s">
        <v>99</v>
      </c>
      <c r="P143" s="350">
        <f t="shared" si="28"/>
        <v>4.3956000000000002E-2</v>
      </c>
      <c r="Q143" s="346" t="s">
        <v>137</v>
      </c>
      <c r="R143" s="351"/>
      <c r="S143" s="352"/>
      <c r="T143" s="353"/>
      <c r="U143" s="354"/>
      <c r="V143" s="271"/>
      <c r="W143" s="271"/>
      <c r="X143" s="355"/>
      <c r="Y143" s="358"/>
      <c r="Z143" s="356"/>
      <c r="AA143" s="356"/>
      <c r="AB143" s="356"/>
      <c r="AC143" s="356"/>
      <c r="AD143" s="356"/>
      <c r="AE143" s="356"/>
    </row>
    <row r="144" spans="1:31" ht="30">
      <c r="A144" s="357" t="s">
        <v>130</v>
      </c>
      <c r="B144" s="297" t="s">
        <v>125</v>
      </c>
      <c r="C144" s="280">
        <v>0.9</v>
      </c>
      <c r="D144" s="346" t="s">
        <v>136</v>
      </c>
      <c r="E144" s="280"/>
      <c r="F144" s="347"/>
      <c r="G144" s="280">
        <v>21.83</v>
      </c>
      <c r="H144" s="348">
        <v>1E-3</v>
      </c>
      <c r="I144" s="349">
        <f t="shared" si="27"/>
        <v>3.4304285714285713E-4</v>
      </c>
      <c r="J144" s="349" t="s">
        <v>99</v>
      </c>
      <c r="K144" s="349" t="s">
        <v>99</v>
      </c>
      <c r="L144" s="349" t="s">
        <v>99</v>
      </c>
      <c r="M144" s="349" t="s">
        <v>99</v>
      </c>
      <c r="N144" s="349" t="s">
        <v>99</v>
      </c>
      <c r="O144" s="349" t="s">
        <v>99</v>
      </c>
      <c r="P144" s="350">
        <f t="shared" si="28"/>
        <v>3.4304285714285713E-4</v>
      </c>
      <c r="Q144" s="346" t="s">
        <v>137</v>
      </c>
      <c r="R144" s="351"/>
      <c r="S144" s="352"/>
      <c r="T144" s="353"/>
      <c r="U144" s="354"/>
      <c r="V144" s="271"/>
      <c r="W144" s="271"/>
      <c r="X144" s="355"/>
      <c r="Y144" s="358"/>
      <c r="Z144" s="356"/>
      <c r="AA144" s="356"/>
      <c r="AB144" s="356"/>
      <c r="AC144" s="356"/>
      <c r="AD144" s="356"/>
      <c r="AE144" s="356"/>
    </row>
    <row r="145" spans="1:31" ht="30">
      <c r="A145" s="45" t="s">
        <v>335</v>
      </c>
      <c r="B145" s="297" t="s">
        <v>125</v>
      </c>
      <c r="C145" s="280">
        <v>1</v>
      </c>
      <c r="D145" s="346" t="s">
        <v>136</v>
      </c>
      <c r="E145" s="280"/>
      <c r="F145" s="347"/>
      <c r="G145" s="280">
        <v>16.04</v>
      </c>
      <c r="H145" s="348">
        <v>1E-3</v>
      </c>
      <c r="I145" s="349">
        <f t="shared" si="27"/>
        <v>2.5205714285714287E-4</v>
      </c>
      <c r="J145" s="349">
        <f t="shared" si="27"/>
        <v>1.2602857142857143E-4</v>
      </c>
      <c r="K145" s="349">
        <f t="shared" si="27"/>
        <v>1.2602857142857143E-4</v>
      </c>
      <c r="L145" s="349">
        <f t="shared" si="27"/>
        <v>0</v>
      </c>
      <c r="M145" s="349" t="s">
        <v>99</v>
      </c>
      <c r="N145" s="349" t="s">
        <v>99</v>
      </c>
      <c r="O145" s="349">
        <f t="shared" si="27"/>
        <v>2.5205714285714287E-4</v>
      </c>
      <c r="P145" s="350">
        <f t="shared" si="26"/>
        <v>1.2602857142857143E-4</v>
      </c>
      <c r="Q145" s="346" t="s">
        <v>137</v>
      </c>
      <c r="R145" s="351"/>
      <c r="S145" s="352"/>
      <c r="T145" s="353"/>
      <c r="U145" s="354"/>
      <c r="V145" s="271"/>
      <c r="W145" s="271"/>
      <c r="X145" s="355"/>
      <c r="Y145" s="358"/>
      <c r="Z145" s="356"/>
      <c r="AA145" s="356"/>
      <c r="AB145" s="356"/>
      <c r="AC145" s="356"/>
      <c r="AD145" s="356"/>
      <c r="AE145" s="356"/>
    </row>
    <row r="146" spans="1:31" ht="30">
      <c r="A146" s="280" t="s">
        <v>138</v>
      </c>
      <c r="B146" s="297" t="s">
        <v>125</v>
      </c>
      <c r="C146" s="280">
        <v>0.02</v>
      </c>
      <c r="D146" s="346" t="s">
        <v>136</v>
      </c>
      <c r="E146" s="280"/>
      <c r="F146" s="347"/>
      <c r="G146" s="280">
        <v>0.27</v>
      </c>
      <c r="H146" s="348">
        <v>0.3</v>
      </c>
      <c r="I146" s="349" t="s">
        <v>99</v>
      </c>
      <c r="J146" s="349" t="s">
        <v>99</v>
      </c>
      <c r="K146" s="349" t="s">
        <v>99</v>
      </c>
      <c r="L146" s="349" t="s">
        <v>99</v>
      </c>
      <c r="M146" s="349">
        <f t="shared" si="27"/>
        <v>1.272857142857143E-4</v>
      </c>
      <c r="N146" s="349">
        <f t="shared" si="27"/>
        <v>1.272857142857143E-4</v>
      </c>
      <c r="O146" s="349" t="s">
        <v>99</v>
      </c>
      <c r="P146" s="350">
        <f t="shared" si="26"/>
        <v>1.272857142857143E-4</v>
      </c>
      <c r="Q146" s="346" t="s">
        <v>137</v>
      </c>
      <c r="R146" s="351"/>
      <c r="S146" s="352"/>
      <c r="T146" s="353"/>
      <c r="U146" s="354"/>
      <c r="V146" s="271"/>
      <c r="W146" s="271"/>
      <c r="X146" s="355"/>
      <c r="Y146" s="358"/>
      <c r="Z146" s="356"/>
      <c r="AA146" s="356"/>
      <c r="AB146" s="356"/>
      <c r="AC146" s="356"/>
      <c r="AD146" s="356"/>
      <c r="AE146" s="356"/>
    </row>
    <row r="148" spans="1:31" ht="30">
      <c r="A148" s="326" t="s">
        <v>139</v>
      </c>
      <c r="B148" s="326" t="s">
        <v>12</v>
      </c>
      <c r="C148" s="276" t="s">
        <v>89</v>
      </c>
      <c r="D148" s="326" t="s">
        <v>85</v>
      </c>
      <c r="E148" s="276" t="s">
        <v>86</v>
      </c>
      <c r="F148" s="273" t="s">
        <v>86</v>
      </c>
      <c r="G148" s="275"/>
      <c r="H148" s="275"/>
      <c r="I148" s="335"/>
      <c r="J148" s="335"/>
      <c r="K148" s="335"/>
      <c r="L148" s="335"/>
      <c r="M148" s="335"/>
      <c r="N148" s="335"/>
    </row>
    <row r="149" spans="1:31">
      <c r="A149" s="280" t="s">
        <v>140</v>
      </c>
      <c r="B149" s="280" t="s">
        <v>141</v>
      </c>
      <c r="C149" s="359">
        <v>0.88400000000000001</v>
      </c>
      <c r="D149" s="280" t="s">
        <v>142</v>
      </c>
      <c r="E149" s="301"/>
      <c r="F149" s="300"/>
      <c r="G149" s="305"/>
      <c r="H149" s="305"/>
      <c r="I149" s="271"/>
      <c r="J149" s="271"/>
      <c r="K149" s="271"/>
      <c r="L149" s="271"/>
      <c r="M149" s="271"/>
      <c r="N149" s="271"/>
    </row>
    <row r="151" spans="1:31" ht="30">
      <c r="A151" s="326" t="s">
        <v>58</v>
      </c>
      <c r="B151" s="326" t="s">
        <v>44</v>
      </c>
      <c r="C151" s="326" t="s">
        <v>143</v>
      </c>
      <c r="D151" s="326" t="s">
        <v>85</v>
      </c>
      <c r="E151" s="326" t="s">
        <v>86</v>
      </c>
      <c r="F151" s="276" t="s">
        <v>86</v>
      </c>
      <c r="G151" s="360"/>
      <c r="H151" s="361"/>
      <c r="I151" s="361"/>
      <c r="J151" s="361"/>
    </row>
    <row r="152" spans="1:31" ht="30">
      <c r="A152" s="362" t="s">
        <v>342</v>
      </c>
      <c r="B152" s="362" t="s">
        <v>104</v>
      </c>
      <c r="C152" s="363">
        <v>0.12</v>
      </c>
      <c r="D152" s="280" t="s">
        <v>343</v>
      </c>
      <c r="E152" s="362"/>
      <c r="F152" s="363"/>
      <c r="G152" s="360"/>
      <c r="H152" s="364"/>
      <c r="I152" s="364"/>
      <c r="J152" s="364"/>
    </row>
    <row r="153" spans="1:31" ht="30">
      <c r="A153" s="280" t="s">
        <v>59</v>
      </c>
      <c r="B153" s="280" t="s">
        <v>104</v>
      </c>
      <c r="C153" s="301">
        <v>0.13</v>
      </c>
      <c r="D153" s="280" t="s">
        <v>144</v>
      </c>
      <c r="E153" s="280"/>
      <c r="F153" s="280"/>
      <c r="G153" s="339"/>
      <c r="H153" s="271"/>
      <c r="I153" s="271"/>
      <c r="J153" s="271"/>
    </row>
    <row r="155" spans="1:31" ht="30">
      <c r="A155" s="326" t="s">
        <v>145</v>
      </c>
      <c r="B155" s="326" t="s">
        <v>44</v>
      </c>
      <c r="C155" s="326" t="s">
        <v>143</v>
      </c>
      <c r="D155" s="326" t="s">
        <v>85</v>
      </c>
      <c r="E155" s="326" t="s">
        <v>86</v>
      </c>
      <c r="F155" s="276" t="s">
        <v>86</v>
      </c>
      <c r="G155" s="360"/>
      <c r="H155" s="361"/>
      <c r="I155" s="361"/>
      <c r="J155" s="361"/>
    </row>
    <row r="156" spans="1:31">
      <c r="A156" s="280" t="s">
        <v>60</v>
      </c>
      <c r="B156" s="280" t="s">
        <v>104</v>
      </c>
      <c r="C156" s="280">
        <v>0.2</v>
      </c>
      <c r="D156" s="280" t="s">
        <v>146</v>
      </c>
      <c r="E156" s="280"/>
      <c r="F156" s="280"/>
      <c r="G156" s="339"/>
      <c r="H156" s="271"/>
      <c r="I156" s="271"/>
      <c r="J156" s="271"/>
    </row>
    <row r="158" spans="1:31" ht="30">
      <c r="A158" s="326" t="s">
        <v>147</v>
      </c>
      <c r="B158" s="326" t="s">
        <v>44</v>
      </c>
      <c r="C158" s="326" t="s">
        <v>89</v>
      </c>
      <c r="D158" s="326" t="s">
        <v>85</v>
      </c>
      <c r="E158" s="326" t="s">
        <v>86</v>
      </c>
      <c r="F158" s="365" t="s">
        <v>86</v>
      </c>
      <c r="G158" s="366"/>
      <c r="H158" s="366"/>
      <c r="I158" s="366"/>
      <c r="J158" s="366"/>
      <c r="K158" s="366"/>
      <c r="L158" s="366"/>
      <c r="M158" s="366"/>
      <c r="N158" s="366"/>
    </row>
    <row r="159" spans="1:31" ht="30">
      <c r="A159" s="280" t="s">
        <v>148</v>
      </c>
      <c r="B159" s="367" t="s">
        <v>100</v>
      </c>
      <c r="C159" s="367">
        <v>2.7E-2</v>
      </c>
      <c r="D159" s="367" t="s">
        <v>102</v>
      </c>
      <c r="E159" s="367"/>
      <c r="F159" s="368"/>
      <c r="G159" s="214"/>
      <c r="H159" s="214"/>
      <c r="I159" s="214"/>
      <c r="J159" s="214"/>
      <c r="K159" s="214"/>
      <c r="L159" s="214"/>
      <c r="M159" s="214"/>
      <c r="N159" s="214"/>
    </row>
    <row r="160" spans="1:31" ht="30">
      <c r="A160" s="280" t="s">
        <v>65</v>
      </c>
      <c r="B160" s="367" t="s">
        <v>100</v>
      </c>
      <c r="C160" s="367">
        <v>2.7E-2</v>
      </c>
      <c r="D160" s="367" t="s">
        <v>102</v>
      </c>
      <c r="E160" s="367"/>
      <c r="F160" s="368"/>
      <c r="G160" s="214"/>
      <c r="H160" s="214"/>
      <c r="I160" s="214"/>
      <c r="J160" s="214"/>
      <c r="K160" s="214"/>
      <c r="L160" s="214"/>
      <c r="M160" s="214"/>
      <c r="N160" s="214"/>
    </row>
    <row r="161" spans="1:14" ht="30">
      <c r="A161" s="280" t="s">
        <v>344</v>
      </c>
      <c r="B161" s="367" t="s">
        <v>100</v>
      </c>
      <c r="C161" s="367">
        <v>2.7E-2</v>
      </c>
      <c r="D161" s="367" t="s">
        <v>102</v>
      </c>
      <c r="E161" s="367"/>
      <c r="F161" s="368"/>
      <c r="G161" s="214"/>
      <c r="H161" s="214"/>
      <c r="I161" s="214"/>
      <c r="J161" s="214"/>
      <c r="K161" s="214"/>
      <c r="L161" s="214"/>
      <c r="M161" s="214"/>
      <c r="N161" s="214"/>
    </row>
    <row r="162" spans="1:14" ht="30">
      <c r="A162" s="280" t="s">
        <v>149</v>
      </c>
      <c r="B162" s="367" t="s">
        <v>100</v>
      </c>
      <c r="C162" s="367">
        <v>2.7E-2</v>
      </c>
      <c r="D162" s="367" t="s">
        <v>102</v>
      </c>
      <c r="E162" s="367"/>
      <c r="F162" s="368"/>
      <c r="G162" s="214"/>
      <c r="H162" s="214"/>
      <c r="I162" s="214"/>
      <c r="J162" s="214"/>
      <c r="K162" s="214"/>
      <c r="L162" s="214"/>
      <c r="M162" s="214"/>
      <c r="N162" s="214"/>
    </row>
    <row r="163" spans="1:14" ht="30">
      <c r="A163" s="280" t="s">
        <v>348</v>
      </c>
      <c r="B163" s="367" t="s">
        <v>100</v>
      </c>
      <c r="C163" s="367">
        <v>2.7E-2</v>
      </c>
      <c r="D163" s="367" t="s">
        <v>102</v>
      </c>
      <c r="E163" s="367"/>
      <c r="F163" s="368"/>
      <c r="G163" s="214"/>
      <c r="H163" s="214"/>
      <c r="I163" s="214"/>
      <c r="J163" s="214"/>
      <c r="K163" s="214"/>
      <c r="L163" s="214"/>
      <c r="M163" s="214"/>
      <c r="N163" s="214"/>
    </row>
    <row r="164" spans="1:14" ht="30">
      <c r="A164" s="280" t="s">
        <v>345</v>
      </c>
      <c r="B164" s="367" t="s">
        <v>100</v>
      </c>
      <c r="C164" s="367">
        <v>2.7E-2</v>
      </c>
      <c r="D164" s="367" t="s">
        <v>102</v>
      </c>
      <c r="E164" s="367"/>
      <c r="F164" s="368"/>
      <c r="G164" s="214"/>
      <c r="H164" s="214"/>
      <c r="I164" s="214"/>
      <c r="J164" s="214"/>
      <c r="K164" s="214"/>
      <c r="L164" s="214"/>
      <c r="M164" s="214"/>
      <c r="N164" s="214"/>
    </row>
    <row r="165" spans="1:14" ht="30">
      <c r="A165" s="347" t="s">
        <v>150</v>
      </c>
      <c r="B165" s="367" t="s">
        <v>100</v>
      </c>
      <c r="C165" s="367">
        <v>2.7E-2</v>
      </c>
      <c r="D165" s="367" t="s">
        <v>102</v>
      </c>
      <c r="E165" s="367"/>
      <c r="F165" s="368"/>
      <c r="G165" s="214"/>
      <c r="H165" s="214"/>
      <c r="I165" s="214"/>
      <c r="J165" s="214"/>
      <c r="K165" s="214"/>
      <c r="L165" s="214"/>
      <c r="M165" s="214"/>
      <c r="N165" s="214"/>
    </row>
    <row r="166" spans="1:14" ht="30">
      <c r="A166" s="347" t="s">
        <v>346</v>
      </c>
      <c r="B166" s="367" t="s">
        <v>100</v>
      </c>
      <c r="C166" s="367">
        <v>2.7E-2</v>
      </c>
      <c r="D166" s="367" t="s">
        <v>102</v>
      </c>
      <c r="E166" s="367"/>
      <c r="F166" s="368"/>
      <c r="G166" s="214"/>
      <c r="H166" s="214"/>
      <c r="I166" s="214"/>
      <c r="J166" s="214"/>
      <c r="K166" s="214"/>
      <c r="L166" s="214"/>
      <c r="M166" s="214"/>
      <c r="N166" s="214"/>
    </row>
    <row r="167" spans="1:14" ht="30">
      <c r="A167" s="347" t="s">
        <v>347</v>
      </c>
      <c r="B167" s="367" t="s">
        <v>100</v>
      </c>
      <c r="C167" s="367">
        <v>2.7E-2</v>
      </c>
      <c r="D167" s="367" t="s">
        <v>102</v>
      </c>
      <c r="E167" s="367"/>
      <c r="F167" s="368"/>
      <c r="G167" s="214"/>
      <c r="H167" s="214"/>
      <c r="I167" s="214"/>
      <c r="J167" s="214"/>
      <c r="K167" s="214"/>
      <c r="L167" s="214"/>
      <c r="M167" s="214"/>
      <c r="N167" s="214"/>
    </row>
    <row r="168" spans="1:14" ht="30">
      <c r="A168" s="347" t="s">
        <v>151</v>
      </c>
      <c r="B168" s="367" t="s">
        <v>100</v>
      </c>
      <c r="C168" s="367">
        <v>2.7E-2</v>
      </c>
      <c r="D168" s="367" t="s">
        <v>102</v>
      </c>
      <c r="E168" s="367"/>
      <c r="F168" s="368"/>
      <c r="G168" s="214"/>
      <c r="H168" s="214"/>
      <c r="I168" s="214"/>
      <c r="J168" s="214"/>
      <c r="K168" s="214"/>
      <c r="L168" s="214"/>
      <c r="M168" s="214"/>
      <c r="N168" s="214"/>
    </row>
    <row r="169" spans="1:14" ht="30">
      <c r="A169" s="347" t="s">
        <v>349</v>
      </c>
      <c r="B169" s="367" t="s">
        <v>100</v>
      </c>
      <c r="C169" s="367">
        <v>2.7E-2</v>
      </c>
      <c r="D169" s="367" t="s">
        <v>102</v>
      </c>
      <c r="E169" s="367"/>
      <c r="F169" s="368"/>
      <c r="G169" s="214"/>
      <c r="H169" s="214"/>
      <c r="I169" s="214"/>
      <c r="J169" s="214"/>
      <c r="K169" s="214"/>
      <c r="L169" s="214"/>
      <c r="M169" s="214"/>
      <c r="N169" s="214"/>
    </row>
    <row r="170" spans="1:14" ht="30">
      <c r="A170" s="347" t="s">
        <v>356</v>
      </c>
      <c r="B170" s="367" t="s">
        <v>100</v>
      </c>
      <c r="C170" s="367">
        <v>2.7E-2</v>
      </c>
      <c r="D170" s="367" t="s">
        <v>102</v>
      </c>
      <c r="E170" s="367"/>
      <c r="F170" s="368"/>
      <c r="G170" s="214"/>
      <c r="H170" s="214"/>
      <c r="I170" s="214"/>
      <c r="J170" s="214"/>
      <c r="K170" s="214"/>
      <c r="L170" s="214"/>
      <c r="M170" s="214"/>
      <c r="N170" s="214"/>
    </row>
    <row r="171" spans="1:14" ht="30">
      <c r="A171" s="347" t="s">
        <v>350</v>
      </c>
      <c r="B171" s="367" t="s">
        <v>100</v>
      </c>
      <c r="C171" s="367">
        <v>2.7E-2</v>
      </c>
      <c r="D171" s="367" t="s">
        <v>102</v>
      </c>
      <c r="E171" s="367"/>
      <c r="F171" s="368"/>
      <c r="G171" s="214"/>
      <c r="H171" s="214"/>
      <c r="I171" s="214"/>
      <c r="J171" s="214"/>
      <c r="K171" s="214"/>
      <c r="L171" s="214"/>
      <c r="M171" s="214"/>
      <c r="N171" s="214"/>
    </row>
    <row r="172" spans="1:14">
      <c r="A172" s="347" t="s">
        <v>351</v>
      </c>
      <c r="B172" s="367" t="s">
        <v>100</v>
      </c>
      <c r="C172" s="367">
        <v>2.7E-2</v>
      </c>
      <c r="D172" s="367" t="s">
        <v>102</v>
      </c>
      <c r="E172" s="367"/>
      <c r="F172" s="368"/>
      <c r="G172" s="214"/>
      <c r="H172" s="214"/>
      <c r="I172" s="214"/>
      <c r="J172" s="214"/>
      <c r="K172" s="214"/>
      <c r="L172" s="214"/>
      <c r="M172" s="214"/>
      <c r="N172" s="214"/>
    </row>
    <row r="173" spans="1:14">
      <c r="A173" s="347" t="s">
        <v>352</v>
      </c>
      <c r="B173" s="367" t="s">
        <v>100</v>
      </c>
      <c r="C173" s="367">
        <v>2.7E-2</v>
      </c>
      <c r="D173" s="367" t="s">
        <v>102</v>
      </c>
      <c r="E173" s="367"/>
      <c r="F173" s="368"/>
      <c r="G173" s="214"/>
      <c r="H173" s="214"/>
      <c r="I173" s="214"/>
      <c r="J173" s="214"/>
      <c r="K173" s="214"/>
      <c r="L173" s="214"/>
      <c r="M173" s="214"/>
      <c r="N173" s="214"/>
    </row>
    <row r="174" spans="1:14">
      <c r="A174" s="347" t="s">
        <v>353</v>
      </c>
      <c r="B174" s="367" t="s">
        <v>100</v>
      </c>
      <c r="C174" s="367">
        <v>2.7E-2</v>
      </c>
      <c r="D174" s="367" t="s">
        <v>102</v>
      </c>
      <c r="E174" s="367"/>
      <c r="F174" s="368"/>
      <c r="G174" s="214"/>
      <c r="H174" s="214"/>
      <c r="I174" s="214"/>
      <c r="J174" s="214"/>
      <c r="K174" s="214"/>
      <c r="L174" s="214"/>
      <c r="M174" s="214"/>
      <c r="N174" s="214"/>
    </row>
    <row r="175" spans="1:14" ht="30">
      <c r="A175" s="369" t="s">
        <v>354</v>
      </c>
      <c r="B175" s="370" t="s">
        <v>100</v>
      </c>
      <c r="C175" s="367">
        <v>2.7E-2</v>
      </c>
      <c r="D175" s="370" t="s">
        <v>102</v>
      </c>
      <c r="E175" s="370"/>
      <c r="F175" s="371"/>
      <c r="G175" s="214"/>
      <c r="H175" s="214"/>
      <c r="I175" s="214"/>
      <c r="J175" s="214"/>
      <c r="K175" s="214"/>
      <c r="L175" s="214"/>
      <c r="M175" s="214"/>
      <c r="N175" s="214"/>
    </row>
    <row r="176" spans="1:14">
      <c r="A176" s="324" t="s">
        <v>355</v>
      </c>
      <c r="B176" s="323" t="s">
        <v>100</v>
      </c>
      <c r="C176" s="367">
        <v>2.7E-2</v>
      </c>
      <c r="D176" s="323" t="s">
        <v>102</v>
      </c>
      <c r="E176" s="323"/>
      <c r="F176" s="323"/>
      <c r="G176" s="214"/>
      <c r="H176" s="214"/>
      <c r="I176" s="214"/>
      <c r="J176" s="214"/>
      <c r="K176" s="214"/>
      <c r="L176" s="214"/>
      <c r="M176" s="214"/>
      <c r="N176" s="214"/>
    </row>
    <row r="177" spans="1:18">
      <c r="L177" s="214"/>
    </row>
    <row r="178" spans="1:18" ht="90">
      <c r="A178" s="326" t="s">
        <v>67</v>
      </c>
      <c r="B178" s="326" t="s">
        <v>44</v>
      </c>
      <c r="C178" s="326" t="s">
        <v>143</v>
      </c>
      <c r="D178" s="326" t="s">
        <v>85</v>
      </c>
      <c r="E178" s="326" t="s">
        <v>86</v>
      </c>
      <c r="F178" s="326" t="s">
        <v>86</v>
      </c>
      <c r="G178" s="326" t="s">
        <v>152</v>
      </c>
      <c r="H178" s="326" t="s">
        <v>153</v>
      </c>
      <c r="I178" s="326" t="s">
        <v>154</v>
      </c>
      <c r="J178" s="326" t="s">
        <v>155</v>
      </c>
      <c r="K178" s="276" t="s">
        <v>89</v>
      </c>
      <c r="L178" s="273" t="s">
        <v>85</v>
      </c>
      <c r="M178" s="372" t="s">
        <v>86</v>
      </c>
      <c r="N178" s="326" t="s">
        <v>86</v>
      </c>
      <c r="O178" s="326" t="s">
        <v>90</v>
      </c>
      <c r="P178" s="276" t="s">
        <v>85</v>
      </c>
      <c r="Q178" s="326" t="s">
        <v>86</v>
      </c>
      <c r="R178" s="326" t="s">
        <v>86</v>
      </c>
    </row>
    <row r="179" spans="1:18">
      <c r="A179" s="280" t="s">
        <v>156</v>
      </c>
      <c r="B179" s="280" t="s">
        <v>104</v>
      </c>
      <c r="C179" s="373">
        <f>$G179*$H179*$I179*$J179*(44/12)</f>
        <v>8.8044000000000004E-3</v>
      </c>
      <c r="D179" s="367" t="s">
        <v>275</v>
      </c>
      <c r="E179" s="367"/>
      <c r="F179" s="367"/>
      <c r="G179" s="348">
        <v>0.9</v>
      </c>
      <c r="H179" s="348">
        <v>0.46</v>
      </c>
      <c r="I179" s="348">
        <v>0.01</v>
      </c>
      <c r="J179" s="348">
        <v>0.57999999999999996</v>
      </c>
      <c r="K179" s="348">
        <f>6500/1000</f>
        <v>6.5</v>
      </c>
      <c r="L179" s="374" t="s">
        <v>277</v>
      </c>
      <c r="M179" s="280"/>
      <c r="N179" s="367"/>
      <c r="O179" s="348">
        <f>150/1000</f>
        <v>0.15</v>
      </c>
      <c r="P179" s="367" t="s">
        <v>276</v>
      </c>
      <c r="Q179" s="367"/>
      <c r="R179" s="367"/>
    </row>
    <row r="180" spans="1:18">
      <c r="A180" s="280" t="s">
        <v>68</v>
      </c>
      <c r="B180" s="280" t="s">
        <v>104</v>
      </c>
      <c r="C180" s="373">
        <f>$G180*$H180*$I180*$J180*(44/12)</f>
        <v>0.13610666666666665</v>
      </c>
      <c r="D180" s="367" t="s">
        <v>275</v>
      </c>
      <c r="E180" s="367"/>
      <c r="F180" s="367"/>
      <c r="G180" s="348">
        <v>0.8</v>
      </c>
      <c r="H180" s="348">
        <v>0.5</v>
      </c>
      <c r="I180" s="348">
        <v>0.16</v>
      </c>
      <c r="J180" s="348">
        <v>0.57999999999999996</v>
      </c>
      <c r="K180" s="348">
        <f t="shared" ref="K180:K183" si="29">6500/1000</f>
        <v>6.5</v>
      </c>
      <c r="L180" s="367" t="s">
        <v>277</v>
      </c>
      <c r="M180" s="280"/>
      <c r="N180" s="367"/>
      <c r="O180" s="348">
        <f t="shared" ref="O180:O183" si="30">150/1000</f>
        <v>0.15</v>
      </c>
      <c r="P180" s="367" t="s">
        <v>276</v>
      </c>
      <c r="Q180" s="367"/>
      <c r="R180" s="367"/>
    </row>
    <row r="181" spans="1:18">
      <c r="A181" s="280" t="s">
        <v>69</v>
      </c>
      <c r="B181" s="280" t="s">
        <v>104</v>
      </c>
      <c r="C181" s="373">
        <f>$G181*$H181*$I181*$J181*(44/12)</f>
        <v>0</v>
      </c>
      <c r="D181" s="367" t="s">
        <v>275</v>
      </c>
      <c r="E181" s="367"/>
      <c r="F181" s="367"/>
      <c r="G181" s="348">
        <v>0.4</v>
      </c>
      <c r="H181" s="348">
        <v>0.38</v>
      </c>
      <c r="I181" s="348">
        <v>0</v>
      </c>
      <c r="J181" s="348">
        <v>0.57999999999999996</v>
      </c>
      <c r="K181" s="348">
        <f t="shared" si="29"/>
        <v>6.5</v>
      </c>
      <c r="L181" s="367" t="s">
        <v>277</v>
      </c>
      <c r="M181" s="280"/>
      <c r="N181" s="367"/>
      <c r="O181" s="348">
        <f t="shared" si="30"/>
        <v>0.15</v>
      </c>
      <c r="P181" s="367" t="s">
        <v>276</v>
      </c>
      <c r="Q181" s="367"/>
      <c r="R181" s="367"/>
    </row>
    <row r="182" spans="1:18">
      <c r="A182" s="280" t="s">
        <v>157</v>
      </c>
      <c r="B182" s="280" t="s">
        <v>104</v>
      </c>
      <c r="C182" s="373">
        <f>$G182*$H182*$I182*$J182*(44/12)</f>
        <v>0</v>
      </c>
      <c r="D182" s="367" t="s">
        <v>275</v>
      </c>
      <c r="E182" s="367"/>
      <c r="F182" s="367"/>
      <c r="G182" s="348">
        <v>0.4</v>
      </c>
      <c r="H182" s="348">
        <v>0.49</v>
      </c>
      <c r="I182" s="348">
        <v>0</v>
      </c>
      <c r="J182" s="348">
        <v>0.57999999999999996</v>
      </c>
      <c r="K182" s="348">
        <f t="shared" si="29"/>
        <v>6.5</v>
      </c>
      <c r="L182" s="367" t="s">
        <v>277</v>
      </c>
      <c r="M182" s="280"/>
      <c r="N182" s="367"/>
      <c r="O182" s="348">
        <f t="shared" si="30"/>
        <v>0.15</v>
      </c>
      <c r="P182" s="367" t="s">
        <v>276</v>
      </c>
      <c r="Q182" s="367"/>
      <c r="R182" s="367"/>
    </row>
    <row r="183" spans="1:18">
      <c r="A183" s="280" t="s">
        <v>158</v>
      </c>
      <c r="B183" s="280" t="s">
        <v>104</v>
      </c>
      <c r="C183" s="373">
        <f>$G183*$H183*$I183*$J183*(44/12)</f>
        <v>1.276</v>
      </c>
      <c r="D183" s="367" t="s">
        <v>275</v>
      </c>
      <c r="E183" s="367"/>
      <c r="F183" s="367"/>
      <c r="G183" s="348">
        <v>1</v>
      </c>
      <c r="H183" s="348">
        <v>0.75</v>
      </c>
      <c r="I183" s="348">
        <v>0.8</v>
      </c>
      <c r="J183" s="348">
        <v>0.57999999999999996</v>
      </c>
      <c r="K183" s="348">
        <f t="shared" si="29"/>
        <v>6.5</v>
      </c>
      <c r="L183" s="367" t="s">
        <v>277</v>
      </c>
      <c r="M183" s="280"/>
      <c r="N183" s="367"/>
      <c r="O183" s="348">
        <f t="shared" si="30"/>
        <v>0.15</v>
      </c>
      <c r="P183" s="367" t="s">
        <v>276</v>
      </c>
      <c r="Q183" s="367"/>
      <c r="R183" s="367"/>
    </row>
    <row r="185" spans="1:18" ht="75">
      <c r="A185" s="276" t="s">
        <v>70</v>
      </c>
      <c r="B185" s="326" t="s">
        <v>44</v>
      </c>
      <c r="C185" s="326" t="s">
        <v>89</v>
      </c>
      <c r="D185" s="326" t="s">
        <v>85</v>
      </c>
      <c r="E185" s="326" t="s">
        <v>86</v>
      </c>
      <c r="F185" s="326" t="s">
        <v>86</v>
      </c>
      <c r="G185" s="326" t="s">
        <v>90</v>
      </c>
      <c r="H185" s="326" t="s">
        <v>85</v>
      </c>
      <c r="I185" s="326" t="s">
        <v>86</v>
      </c>
      <c r="J185" s="276" t="s">
        <v>86</v>
      </c>
      <c r="K185" s="326" t="s">
        <v>704</v>
      </c>
      <c r="L185" s="326" t="s">
        <v>705</v>
      </c>
      <c r="M185" s="326" t="s">
        <v>706</v>
      </c>
      <c r="N185" s="326" t="s">
        <v>707</v>
      </c>
      <c r="O185" s="326" t="s">
        <v>286</v>
      </c>
      <c r="P185" s="326" t="s">
        <v>85</v>
      </c>
    </row>
    <row r="186" spans="1:18">
      <c r="A186" s="280" t="s">
        <v>159</v>
      </c>
      <c r="B186" s="280" t="s">
        <v>160</v>
      </c>
      <c r="C186" s="348">
        <v>2.7</v>
      </c>
      <c r="D186" s="367" t="s">
        <v>278</v>
      </c>
      <c r="E186" s="367"/>
      <c r="F186" s="367"/>
      <c r="G186" s="367">
        <v>7.0000000000000007E-2</v>
      </c>
      <c r="H186" s="367" t="s">
        <v>279</v>
      </c>
      <c r="I186" s="367"/>
      <c r="J186" s="367"/>
      <c r="K186" s="367">
        <v>0.95</v>
      </c>
      <c r="L186" s="348">
        <v>6.5</v>
      </c>
      <c r="M186" s="348">
        <v>0.25</v>
      </c>
      <c r="N186" s="348">
        <v>0.9</v>
      </c>
      <c r="O186" s="348">
        <f>$K186*$L186*($C186*$E$80+G186*$E$81)</f>
        <v>581.37625000000003</v>
      </c>
      <c r="P186" s="367" t="s">
        <v>287</v>
      </c>
    </row>
    <row r="188" spans="1:18" ht="30">
      <c r="A188" s="325" t="s">
        <v>161</v>
      </c>
      <c r="B188" s="276" t="s">
        <v>44</v>
      </c>
      <c r="C188" s="276" t="s">
        <v>708</v>
      </c>
      <c r="D188" s="326" t="s">
        <v>85</v>
      </c>
      <c r="E188" s="326" t="s">
        <v>86</v>
      </c>
      <c r="F188" s="326" t="s">
        <v>86</v>
      </c>
      <c r="G188" s="276" t="s">
        <v>709</v>
      </c>
      <c r="H188" s="277" t="s">
        <v>85</v>
      </c>
      <c r="I188" s="276" t="s">
        <v>86</v>
      </c>
      <c r="J188" s="326" t="s">
        <v>86</v>
      </c>
      <c r="K188" s="375" t="s">
        <v>86</v>
      </c>
      <c r="L188" s="375" t="s">
        <v>86</v>
      </c>
      <c r="M188" s="375"/>
      <c r="N188" s="375"/>
      <c r="O188" s="375"/>
    </row>
    <row r="189" spans="1:18" ht="45">
      <c r="A189" s="280" t="s">
        <v>72</v>
      </c>
      <c r="B189" s="280" t="s">
        <v>667</v>
      </c>
      <c r="C189" s="280">
        <v>10</v>
      </c>
      <c r="D189" s="280" t="s">
        <v>280</v>
      </c>
      <c r="E189" s="280"/>
      <c r="F189" s="280"/>
      <c r="G189" s="280">
        <v>0.6</v>
      </c>
      <c r="H189" s="280" t="s">
        <v>281</v>
      </c>
      <c r="I189" s="301"/>
      <c r="J189" s="280"/>
    </row>
    <row r="190" spans="1:18" ht="45">
      <c r="A190" s="280" t="s">
        <v>162</v>
      </c>
      <c r="B190" s="280" t="s">
        <v>667</v>
      </c>
      <c r="C190" s="280">
        <v>4</v>
      </c>
      <c r="D190" s="280" t="s">
        <v>280</v>
      </c>
      <c r="E190" s="280"/>
      <c r="F190" s="280"/>
      <c r="G190" s="301">
        <v>0.3</v>
      </c>
      <c r="H190" s="280" t="s">
        <v>281</v>
      </c>
      <c r="I190" s="301"/>
      <c r="J190" s="280"/>
    </row>
    <row r="191" spans="1:18" ht="45">
      <c r="A191" s="280" t="s">
        <v>73</v>
      </c>
      <c r="B191" s="280" t="s">
        <v>667</v>
      </c>
      <c r="C191" s="280">
        <v>2</v>
      </c>
      <c r="D191" s="280" t="s">
        <v>280</v>
      </c>
      <c r="E191" s="280"/>
      <c r="F191" s="280"/>
      <c r="G191" s="280">
        <v>0</v>
      </c>
      <c r="H191" s="280" t="s">
        <v>281</v>
      </c>
      <c r="I191" s="301"/>
      <c r="J191" s="280"/>
    </row>
    <row r="192" spans="1:18" ht="45">
      <c r="A192" s="280" t="s">
        <v>163</v>
      </c>
      <c r="B192" s="280" t="s">
        <v>667</v>
      </c>
      <c r="C192" s="280">
        <v>1</v>
      </c>
      <c r="D192" s="280" t="s">
        <v>280</v>
      </c>
      <c r="E192" s="280"/>
      <c r="F192" s="280"/>
      <c r="G192" s="280">
        <v>0</v>
      </c>
      <c r="H192" s="280" t="s">
        <v>281</v>
      </c>
      <c r="I192" s="301"/>
      <c r="J192" s="280"/>
    </row>
    <row r="194" spans="1:14" ht="60">
      <c r="A194" s="326" t="s">
        <v>164</v>
      </c>
      <c r="B194" s="326" t="s">
        <v>44</v>
      </c>
      <c r="C194" s="326" t="s">
        <v>89</v>
      </c>
      <c r="D194" s="326" t="s">
        <v>85</v>
      </c>
      <c r="E194" s="326" t="s">
        <v>86</v>
      </c>
      <c r="F194" s="326" t="s">
        <v>86</v>
      </c>
      <c r="G194" s="326" t="s">
        <v>165</v>
      </c>
      <c r="H194" s="326" t="s">
        <v>166</v>
      </c>
      <c r="I194" s="326"/>
      <c r="J194" s="326"/>
      <c r="K194" s="376"/>
      <c r="L194" s="376"/>
      <c r="M194" s="376"/>
      <c r="N194" s="376"/>
    </row>
    <row r="195" spans="1:14">
      <c r="A195" s="280" t="s">
        <v>76</v>
      </c>
      <c r="B195" s="280" t="s">
        <v>100</v>
      </c>
      <c r="C195" s="280">
        <f>G195*H195</f>
        <v>0.06</v>
      </c>
      <c r="D195" s="280" t="s">
        <v>167</v>
      </c>
      <c r="E195" s="280"/>
      <c r="F195" s="280"/>
      <c r="G195" s="280">
        <v>0.1</v>
      </c>
      <c r="H195" s="280">
        <v>0.6</v>
      </c>
      <c r="I195" s="280"/>
      <c r="J195" s="280"/>
      <c r="K195" s="271"/>
      <c r="L195" s="271"/>
      <c r="M195" s="271"/>
      <c r="N195" s="271"/>
    </row>
    <row r="196" spans="1:14" ht="30">
      <c r="A196" s="280" t="s">
        <v>75</v>
      </c>
      <c r="B196" s="280" t="s">
        <v>100</v>
      </c>
      <c r="C196" s="280">
        <f>G196*H196</f>
        <v>0.48</v>
      </c>
      <c r="D196" s="280" t="s">
        <v>167</v>
      </c>
      <c r="E196" s="280"/>
      <c r="F196" s="280"/>
      <c r="G196" s="280">
        <v>0.8</v>
      </c>
      <c r="H196" s="280">
        <v>0.6</v>
      </c>
      <c r="I196" s="280"/>
      <c r="J196" s="280"/>
      <c r="K196" s="271"/>
      <c r="L196" s="271"/>
      <c r="M196" s="271"/>
      <c r="N196" s="271"/>
    </row>
    <row r="197" spans="1:14" ht="30">
      <c r="A197" s="280" t="s">
        <v>77</v>
      </c>
      <c r="B197" s="280" t="s">
        <v>100</v>
      </c>
      <c r="C197" s="280">
        <f>G197*H197</f>
        <v>0.48</v>
      </c>
      <c r="D197" s="280" t="s">
        <v>167</v>
      </c>
      <c r="E197" s="280"/>
      <c r="F197" s="280"/>
      <c r="G197" s="280">
        <v>0.8</v>
      </c>
      <c r="H197" s="280">
        <v>0.6</v>
      </c>
      <c r="I197" s="280"/>
      <c r="J197" s="280"/>
      <c r="K197" s="271"/>
      <c r="L197" s="271"/>
      <c r="M197" s="271"/>
      <c r="N197" s="271"/>
    </row>
    <row r="199" spans="1:14" ht="30">
      <c r="A199" s="326" t="s">
        <v>168</v>
      </c>
      <c r="B199" s="326" t="s">
        <v>44</v>
      </c>
      <c r="C199" s="326" t="s">
        <v>169</v>
      </c>
      <c r="D199" s="326" t="s">
        <v>85</v>
      </c>
      <c r="E199" s="326" t="s">
        <v>86</v>
      </c>
      <c r="F199" s="276" t="s">
        <v>86</v>
      </c>
      <c r="G199" s="337"/>
      <c r="H199" s="335"/>
      <c r="I199" s="335"/>
      <c r="J199" s="335"/>
    </row>
    <row r="200" spans="1:14">
      <c r="A200" s="280" t="s">
        <v>568</v>
      </c>
      <c r="B200" s="280" t="s">
        <v>100</v>
      </c>
      <c r="C200" s="282">
        <f>E82</f>
        <v>23500</v>
      </c>
      <c r="D200" s="280" t="str">
        <f>P82</f>
        <v>kgCO2 eq/kg</v>
      </c>
      <c r="E200" s="280"/>
      <c r="F200" s="301"/>
      <c r="G200" s="339"/>
      <c r="H200" s="271"/>
      <c r="I200" s="271"/>
      <c r="J200" s="271"/>
    </row>
    <row r="202" spans="1:14">
      <c r="A202" s="326" t="s">
        <v>361</v>
      </c>
      <c r="B202" s="326" t="s">
        <v>721</v>
      </c>
      <c r="C202" s="326" t="s">
        <v>187</v>
      </c>
      <c r="D202" s="276" t="s">
        <v>85</v>
      </c>
      <c r="E202" s="273" t="s">
        <v>256</v>
      </c>
      <c r="F202" s="214"/>
    </row>
    <row r="203" spans="1:14">
      <c r="A203" s="280" t="s">
        <v>365</v>
      </c>
      <c r="B203" s="323">
        <v>2025</v>
      </c>
      <c r="C203" s="417">
        <v>12.172585655515613</v>
      </c>
      <c r="D203" s="416" t="s">
        <v>366</v>
      </c>
      <c r="E203" s="300" t="s">
        <v>737</v>
      </c>
      <c r="F203" s="214"/>
    </row>
    <row r="204" spans="1:14">
      <c r="A204" s="280" t="s">
        <v>365</v>
      </c>
      <c r="B204" s="323">
        <v>2024</v>
      </c>
      <c r="C204" s="417">
        <v>6.2631184021963158</v>
      </c>
      <c r="D204" s="416" t="s">
        <v>366</v>
      </c>
      <c r="E204" s="300" t="s">
        <v>724</v>
      </c>
      <c r="F204" s="214"/>
    </row>
    <row r="205" spans="1:14">
      <c r="A205" s="280" t="s">
        <v>365</v>
      </c>
      <c r="B205" s="323">
        <v>2023</v>
      </c>
      <c r="C205" s="417">
        <v>56</v>
      </c>
      <c r="D205" s="416" t="s">
        <v>366</v>
      </c>
      <c r="E205" s="300" t="s">
        <v>723</v>
      </c>
      <c r="F205" s="214"/>
    </row>
    <row r="206" spans="1:14">
      <c r="A206" s="280" t="s">
        <v>365</v>
      </c>
      <c r="B206" s="323">
        <v>2022</v>
      </c>
      <c r="C206" s="417">
        <v>60.139868634940733</v>
      </c>
      <c r="D206" s="416" t="s">
        <v>366</v>
      </c>
      <c r="E206" s="300" t="s">
        <v>722</v>
      </c>
      <c r="F206" s="214"/>
    </row>
    <row r="207" spans="1:14">
      <c r="A207" s="280" t="s">
        <v>365</v>
      </c>
      <c r="B207" s="323">
        <v>2021</v>
      </c>
      <c r="C207" s="415">
        <v>100.76233263521929</v>
      </c>
      <c r="D207" s="416" t="s">
        <v>366</v>
      </c>
      <c r="E207" s="300" t="s">
        <v>725</v>
      </c>
      <c r="F207" s="214"/>
    </row>
    <row r="208" spans="1:14">
      <c r="A208" s="280" t="s">
        <v>365</v>
      </c>
      <c r="B208" s="323">
        <v>2020</v>
      </c>
      <c r="C208" s="415">
        <v>44.67001719069664</v>
      </c>
      <c r="D208" s="416" t="s">
        <v>366</v>
      </c>
      <c r="E208" s="300" t="s">
        <v>726</v>
      </c>
      <c r="F208" s="214"/>
    </row>
    <row r="209" spans="1:6" ht="13.2" customHeight="1">
      <c r="A209" s="280" t="s">
        <v>365</v>
      </c>
      <c r="B209" s="323">
        <v>2019</v>
      </c>
      <c r="C209" s="415">
        <v>12.556528285479414</v>
      </c>
      <c r="D209" s="416" t="s">
        <v>366</v>
      </c>
      <c r="E209" s="300" t="s">
        <v>727</v>
      </c>
      <c r="F209" s="214"/>
    </row>
    <row r="210" spans="1:6">
      <c r="A210" s="280" t="s">
        <v>365</v>
      </c>
      <c r="B210" s="323">
        <v>2018</v>
      </c>
      <c r="C210" s="415">
        <v>24.10286648253318</v>
      </c>
      <c r="D210" s="416" t="s">
        <v>366</v>
      </c>
      <c r="E210" s="300" t="s">
        <v>728</v>
      </c>
      <c r="F210" s="214"/>
    </row>
    <row r="211" spans="1:6" ht="13.2" customHeight="1">
      <c r="A211" s="280" t="s">
        <v>365</v>
      </c>
      <c r="B211" s="323">
        <v>2017</v>
      </c>
      <c r="C211" s="415">
        <v>14.065046770610797</v>
      </c>
      <c r="D211" s="416" t="s">
        <v>366</v>
      </c>
      <c r="E211" s="300" t="s">
        <v>729</v>
      </c>
      <c r="F211" s="214"/>
    </row>
    <row r="212" spans="1:6">
      <c r="A212" s="280" t="s">
        <v>365</v>
      </c>
      <c r="B212" s="323">
        <v>2016</v>
      </c>
      <c r="C212" s="415">
        <v>27.76212870034826</v>
      </c>
      <c r="D212" s="416" t="s">
        <v>366</v>
      </c>
      <c r="E212" s="300" t="s">
        <v>730</v>
      </c>
      <c r="F212" s="214"/>
    </row>
    <row r="213" spans="1:6">
      <c r="A213" s="280" t="s">
        <v>365</v>
      </c>
      <c r="B213" s="323">
        <v>2015</v>
      </c>
      <c r="C213" s="415">
        <v>57.741537760802423</v>
      </c>
      <c r="D213" s="416" t="s">
        <v>366</v>
      </c>
      <c r="E213" s="300" t="s">
        <v>731</v>
      </c>
      <c r="F213" s="214"/>
    </row>
    <row r="214" spans="1:6">
      <c r="A214" s="280" t="s">
        <v>365</v>
      </c>
      <c r="B214" s="323">
        <v>2014</v>
      </c>
      <c r="C214" s="415">
        <v>46.451596179949249</v>
      </c>
      <c r="D214" s="416" t="s">
        <v>366</v>
      </c>
      <c r="E214" s="300" t="s">
        <v>732</v>
      </c>
      <c r="F214" s="214"/>
    </row>
    <row r="215" spans="1:6">
      <c r="A215" s="280" t="s">
        <v>365</v>
      </c>
      <c r="B215" s="323">
        <v>2013</v>
      </c>
      <c r="C215" s="415">
        <v>135.06352367912598</v>
      </c>
      <c r="D215" s="416" t="s">
        <v>366</v>
      </c>
      <c r="E215" s="300" t="s">
        <v>733</v>
      </c>
      <c r="F215" s="214"/>
    </row>
    <row r="216" spans="1:6">
      <c r="A216" s="280" t="s">
        <v>365</v>
      </c>
      <c r="B216" s="323">
        <v>2012</v>
      </c>
      <c r="C216" s="415">
        <v>300.79452609550555</v>
      </c>
      <c r="D216" s="416" t="s">
        <v>366</v>
      </c>
      <c r="E216" s="300" t="s">
        <v>734</v>
      </c>
      <c r="F216" s="214"/>
    </row>
    <row r="217" spans="1:6">
      <c r="A217" s="280" t="s">
        <v>365</v>
      </c>
      <c r="B217" s="323">
        <v>2011</v>
      </c>
      <c r="C217" s="415">
        <v>214.43889616276402</v>
      </c>
      <c r="D217" s="416" t="s">
        <v>366</v>
      </c>
      <c r="E217" s="300" t="s">
        <v>735</v>
      </c>
      <c r="F217" s="214"/>
    </row>
    <row r="218" spans="1:6">
      <c r="A218" s="280" t="s">
        <v>365</v>
      </c>
      <c r="B218" s="323">
        <v>2010</v>
      </c>
      <c r="C218" s="415">
        <v>88.108553269312793</v>
      </c>
      <c r="D218" s="416" t="s">
        <v>366</v>
      </c>
      <c r="E218" s="300" t="s">
        <v>736</v>
      </c>
      <c r="F218" s="214"/>
    </row>
    <row r="219" spans="1:6">
      <c r="E219" s="214"/>
      <c r="F219" s="214"/>
    </row>
    <row r="220" spans="1:6">
      <c r="E220" s="214"/>
      <c r="F220" s="214"/>
    </row>
    <row r="221" spans="1:6">
      <c r="D221" s="355"/>
    </row>
    <row r="222" spans="1:6">
      <c r="D222" s="355"/>
    </row>
    <row r="223" spans="1:6">
      <c r="D223" s="355"/>
    </row>
  </sheetData>
  <sheetProtection selectLockedCells="1"/>
  <mergeCells count="15">
    <mergeCell ref="A59:D59"/>
    <mergeCell ref="F59:P59"/>
    <mergeCell ref="A44:A45"/>
    <mergeCell ref="B44:B45"/>
    <mergeCell ref="A6:A7"/>
    <mergeCell ref="B6:B7"/>
    <mergeCell ref="C44:C45"/>
    <mergeCell ref="D44:D45"/>
    <mergeCell ref="E44:E45"/>
    <mergeCell ref="F44:F45"/>
    <mergeCell ref="C6:T6"/>
    <mergeCell ref="G44:G45"/>
    <mergeCell ref="H44:H45"/>
    <mergeCell ref="I44:I45"/>
    <mergeCell ref="J44:W44"/>
  </mergeCells>
  <phoneticPr fontId="15" type="noConversion"/>
  <pageMargins left="0.7" right="0.7" top="0.75" bottom="0.75" header="0" footer="0"/>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EB5E-683E-469B-A7DD-64286921E0E9}">
  <sheetPr>
    <tabColor theme="8" tint="0.39997558519241921"/>
  </sheetPr>
  <dimension ref="B1:BH51"/>
  <sheetViews>
    <sheetView showGridLines="0" zoomScale="70" zoomScaleNormal="70" workbookViewId="0">
      <selection activeCell="H8" sqref="H8:N8"/>
    </sheetView>
  </sheetViews>
  <sheetFormatPr baseColWidth="10" defaultColWidth="11.44140625" defaultRowHeight="14.4"/>
  <cols>
    <col min="1" max="1" width="11.44140625" style="24"/>
    <col min="2" max="2" width="25.109375" style="24" customWidth="1"/>
    <col min="3" max="3" width="11.44140625" style="24"/>
    <col min="4" max="4" width="23" style="24" customWidth="1"/>
    <col min="5" max="6" width="11.44140625" style="24"/>
    <col min="7" max="7" width="25.88671875" style="24" customWidth="1"/>
    <col min="8" max="8" width="11.44140625" style="24"/>
    <col min="9" max="9" width="23.88671875" style="24" customWidth="1"/>
    <col min="10" max="12" width="11.44140625" style="24"/>
    <col min="13" max="13" width="20.33203125" style="24" customWidth="1"/>
    <col min="14" max="16384" width="11.44140625" style="24"/>
  </cols>
  <sheetData>
    <row r="1" spans="2:60" ht="81.75" customHeight="1">
      <c r="BC1" s="25"/>
      <c r="BD1" s="25"/>
      <c r="BE1" s="25"/>
      <c r="BF1" s="25"/>
      <c r="BG1" s="25"/>
      <c r="BH1" s="25"/>
    </row>
    <row r="2" spans="2:60" ht="18">
      <c r="B2" s="637" t="s">
        <v>0</v>
      </c>
      <c r="C2" s="638"/>
      <c r="D2" s="638"/>
      <c r="E2" s="638"/>
      <c r="F2" s="638"/>
      <c r="G2" s="638"/>
      <c r="H2" s="638"/>
      <c r="I2" s="638"/>
      <c r="J2" s="638"/>
      <c r="K2" s="638"/>
      <c r="L2" s="638"/>
      <c r="M2" s="638"/>
      <c r="N2" s="639"/>
      <c r="BC2" s="25"/>
      <c r="BD2" s="25"/>
      <c r="BE2" s="25"/>
      <c r="BF2" s="25"/>
      <c r="BG2" s="25"/>
      <c r="BH2" s="25"/>
    </row>
    <row r="3" spans="2:60">
      <c r="BC3" s="25"/>
      <c r="BD3" s="25"/>
      <c r="BE3" s="25"/>
      <c r="BF3" s="25"/>
      <c r="BG3" s="25"/>
      <c r="BH3" s="25"/>
    </row>
    <row r="4" spans="2:60" ht="30" customHeight="1">
      <c r="B4" s="43" t="s">
        <v>1</v>
      </c>
      <c r="C4" s="642"/>
      <c r="D4" s="643"/>
      <c r="E4" s="644"/>
      <c r="F4" s="645" t="s">
        <v>2</v>
      </c>
      <c r="G4" s="646"/>
      <c r="H4" s="642"/>
      <c r="I4" s="643"/>
      <c r="J4" s="643"/>
      <c r="K4" s="643"/>
      <c r="L4" s="643"/>
      <c r="M4" s="643"/>
      <c r="N4" s="644"/>
      <c r="BC4" s="25"/>
      <c r="BD4" s="25"/>
      <c r="BE4" s="25"/>
      <c r="BF4" s="25"/>
      <c r="BG4" s="25"/>
      <c r="BH4" s="25"/>
    </row>
    <row r="5" spans="2:60">
      <c r="B5" s="43" t="s">
        <v>3</v>
      </c>
      <c r="C5" s="642"/>
      <c r="D5" s="643"/>
      <c r="E5" s="644"/>
      <c r="F5" s="645" t="s">
        <v>4</v>
      </c>
      <c r="G5" s="646"/>
      <c r="H5" s="642"/>
      <c r="I5" s="643"/>
      <c r="J5" s="643"/>
      <c r="K5" s="643"/>
      <c r="L5" s="643"/>
      <c r="M5" s="643"/>
      <c r="N5" s="644"/>
      <c r="BC5" s="25"/>
      <c r="BD5" s="25"/>
      <c r="BE5" s="25"/>
      <c r="BF5" s="25"/>
      <c r="BG5" s="25"/>
      <c r="BH5" s="25"/>
    </row>
    <row r="6" spans="2:60">
      <c r="B6" s="43" t="s">
        <v>5</v>
      </c>
      <c r="C6" s="642"/>
      <c r="D6" s="643"/>
      <c r="E6" s="644"/>
      <c r="F6" s="645" t="s">
        <v>6</v>
      </c>
      <c r="G6" s="646"/>
      <c r="H6" s="642"/>
      <c r="I6" s="643"/>
      <c r="J6" s="643"/>
      <c r="K6" s="643"/>
      <c r="L6" s="643"/>
      <c r="M6" s="643"/>
      <c r="N6" s="644"/>
      <c r="BC6" s="25"/>
      <c r="BD6" s="25"/>
      <c r="BE6" s="25"/>
      <c r="BF6" s="25"/>
      <c r="BG6" s="25"/>
      <c r="BH6" s="25"/>
    </row>
    <row r="7" spans="2:60">
      <c r="B7" s="43" t="s">
        <v>304</v>
      </c>
      <c r="C7" s="642"/>
      <c r="D7" s="643"/>
      <c r="E7" s="644"/>
      <c r="F7" s="645"/>
      <c r="G7" s="646"/>
      <c r="H7" s="642"/>
      <c r="I7" s="643"/>
      <c r="J7" s="643"/>
      <c r="K7" s="643"/>
      <c r="L7" s="643"/>
      <c r="M7" s="643"/>
      <c r="N7" s="644"/>
      <c r="BC7" s="25"/>
      <c r="BD7" s="25"/>
      <c r="BE7" s="25"/>
      <c r="BF7" s="25"/>
      <c r="BG7" s="25"/>
      <c r="BH7" s="25"/>
    </row>
    <row r="8" spans="2:60" ht="15" customHeight="1">
      <c r="B8" s="43" t="s">
        <v>305</v>
      </c>
      <c r="C8" s="642"/>
      <c r="D8" s="643"/>
      <c r="E8" s="644"/>
      <c r="F8" s="645" t="s">
        <v>7</v>
      </c>
      <c r="G8" s="646"/>
      <c r="H8" s="642"/>
      <c r="I8" s="643"/>
      <c r="J8" s="643"/>
      <c r="K8" s="643"/>
      <c r="L8" s="643"/>
      <c r="M8" s="643"/>
      <c r="N8" s="644"/>
      <c r="AW8" s="25"/>
      <c r="AX8" s="25"/>
      <c r="AY8" s="25"/>
      <c r="AZ8" s="25"/>
      <c r="BA8" s="25"/>
      <c r="BB8" s="25"/>
      <c r="BC8" s="25"/>
      <c r="BD8" s="25"/>
      <c r="BE8" s="25"/>
      <c r="BF8" s="25"/>
      <c r="BG8" s="25"/>
      <c r="BH8" s="25"/>
    </row>
    <row r="10" spans="2:60" ht="18">
      <c r="B10" s="637" t="s">
        <v>478</v>
      </c>
      <c r="C10" s="638"/>
      <c r="D10" s="638"/>
      <c r="E10" s="638"/>
      <c r="F10" s="638"/>
      <c r="G10" s="638"/>
      <c r="H10" s="638"/>
      <c r="I10" s="638"/>
      <c r="J10" s="638"/>
      <c r="K10" s="638"/>
      <c r="L10" s="638"/>
      <c r="M10" s="638"/>
      <c r="N10" s="639"/>
    </row>
    <row r="12" spans="2:60">
      <c r="B12" s="631" t="s">
        <v>421</v>
      </c>
      <c r="C12" s="631"/>
      <c r="D12" s="631"/>
      <c r="E12" s="631"/>
      <c r="F12" s="631"/>
      <c r="G12" s="631"/>
      <c r="H12" s="631"/>
      <c r="I12" s="631"/>
      <c r="K12" s="631" t="s">
        <v>430</v>
      </c>
      <c r="L12" s="631"/>
      <c r="M12" s="631"/>
      <c r="N12" s="631"/>
    </row>
    <row r="14" spans="2:60" ht="17.25" customHeight="1">
      <c r="B14" s="612" t="s">
        <v>509</v>
      </c>
      <c r="C14" s="612" t="s">
        <v>482</v>
      </c>
      <c r="D14" s="612" t="s">
        <v>483</v>
      </c>
      <c r="F14" s="612" t="s">
        <v>506</v>
      </c>
      <c r="G14" s="612"/>
      <c r="H14" s="612" t="s">
        <v>482</v>
      </c>
      <c r="I14" s="612" t="s">
        <v>483</v>
      </c>
      <c r="K14" s="632" t="s">
        <v>495</v>
      </c>
      <c r="L14" s="632"/>
      <c r="M14" s="632"/>
      <c r="N14" s="26"/>
    </row>
    <row r="15" spans="2:60" ht="17.25" customHeight="1">
      <c r="B15" s="612"/>
      <c r="C15" s="612"/>
      <c r="D15" s="612"/>
      <c r="F15" s="612"/>
      <c r="G15" s="612"/>
      <c r="H15" s="612"/>
      <c r="I15" s="612"/>
      <c r="K15" s="632" t="s">
        <v>496</v>
      </c>
      <c r="L15" s="632"/>
      <c r="M15" s="632"/>
      <c r="N15" s="26"/>
    </row>
    <row r="16" spans="2:60" ht="17.25" customHeight="1">
      <c r="B16" s="612"/>
      <c r="C16" s="612"/>
      <c r="D16" s="612"/>
      <c r="F16" s="612"/>
      <c r="G16" s="612"/>
      <c r="H16" s="612"/>
      <c r="I16" s="612"/>
      <c r="K16" s="632" t="s">
        <v>497</v>
      </c>
      <c r="L16" s="632"/>
      <c r="M16" s="632"/>
      <c r="N16" s="26"/>
    </row>
    <row r="17" spans="2:14" ht="15.6">
      <c r="B17" s="27"/>
      <c r="C17" s="28"/>
      <c r="D17" s="29"/>
      <c r="H17" s="28"/>
      <c r="I17" s="29"/>
      <c r="K17" s="632" t="s">
        <v>498</v>
      </c>
      <c r="L17" s="632"/>
      <c r="M17" s="632"/>
      <c r="N17" s="26"/>
    </row>
    <row r="18" spans="2:14" ht="15.6">
      <c r="B18" s="44" t="s">
        <v>322</v>
      </c>
      <c r="C18" s="26"/>
      <c r="D18" s="30"/>
      <c r="F18" s="629" t="s">
        <v>484</v>
      </c>
      <c r="G18" s="630"/>
      <c r="H18" s="26"/>
      <c r="I18" s="30"/>
      <c r="K18" s="632" t="s">
        <v>499</v>
      </c>
      <c r="L18" s="632"/>
      <c r="M18" s="632"/>
      <c r="N18" s="26"/>
    </row>
    <row r="19" spans="2:14" ht="16.5" customHeight="1">
      <c r="B19" s="44" t="s">
        <v>307</v>
      </c>
      <c r="C19" s="26"/>
      <c r="D19" s="31"/>
      <c r="F19" s="629" t="s">
        <v>324</v>
      </c>
      <c r="G19" s="630"/>
      <c r="H19" s="26"/>
      <c r="I19" s="31"/>
      <c r="K19" s="632" t="s">
        <v>500</v>
      </c>
      <c r="L19" s="632"/>
      <c r="M19" s="632"/>
      <c r="N19" s="640"/>
    </row>
    <row r="20" spans="2:14" ht="15.6">
      <c r="B20" s="44" t="s">
        <v>326</v>
      </c>
      <c r="C20" s="26"/>
      <c r="D20" s="31"/>
      <c r="F20" s="629" t="s">
        <v>322</v>
      </c>
      <c r="G20" s="630"/>
      <c r="H20" s="26"/>
      <c r="I20" s="31"/>
      <c r="K20" s="632"/>
      <c r="L20" s="632"/>
      <c r="M20" s="632"/>
      <c r="N20" s="641"/>
    </row>
    <row r="21" spans="2:14" ht="15.6">
      <c r="B21" s="44" t="s">
        <v>318</v>
      </c>
      <c r="C21" s="26"/>
      <c r="D21" s="31"/>
      <c r="F21" s="629" t="s">
        <v>326</v>
      </c>
      <c r="G21" s="630"/>
      <c r="H21" s="26"/>
      <c r="I21" s="31"/>
      <c r="K21" s="633" t="s">
        <v>501</v>
      </c>
      <c r="L21" s="634"/>
      <c r="M21" s="635"/>
      <c r="N21" s="26"/>
    </row>
    <row r="22" spans="2:14" ht="16.5" customHeight="1">
      <c r="B22" s="44" t="s">
        <v>444</v>
      </c>
      <c r="C22" s="26"/>
      <c r="D22" s="31"/>
      <c r="F22" s="629" t="s">
        <v>307</v>
      </c>
      <c r="G22" s="630"/>
      <c r="H22" s="26"/>
      <c r="I22" s="31"/>
      <c r="K22" s="632" t="s">
        <v>502</v>
      </c>
      <c r="L22" s="632"/>
      <c r="M22" s="632"/>
      <c r="N22" s="636"/>
    </row>
    <row r="23" spans="2:14" ht="15.6">
      <c r="B23" s="44" t="s">
        <v>327</v>
      </c>
      <c r="C23" s="26"/>
      <c r="D23" s="31"/>
      <c r="K23" s="632"/>
      <c r="L23" s="632"/>
      <c r="M23" s="632"/>
      <c r="N23" s="636"/>
    </row>
    <row r="24" spans="2:14" ht="16.5" customHeight="1">
      <c r="B24" s="44" t="s">
        <v>313</v>
      </c>
      <c r="C24" s="26"/>
      <c r="D24" s="31"/>
      <c r="F24" s="614" t="s">
        <v>507</v>
      </c>
      <c r="G24" s="615"/>
      <c r="H24" s="618" t="s">
        <v>482</v>
      </c>
      <c r="I24" s="620" t="s">
        <v>485</v>
      </c>
    </row>
    <row r="25" spans="2:14" ht="21.75" customHeight="1">
      <c r="B25" s="44" t="s">
        <v>108</v>
      </c>
      <c r="C25" s="26"/>
      <c r="D25" s="31"/>
      <c r="F25" s="616"/>
      <c r="G25" s="617"/>
      <c r="H25" s="619"/>
      <c r="I25" s="621"/>
    </row>
    <row r="26" spans="2:14" ht="15.6">
      <c r="B26" s="44" t="s">
        <v>309</v>
      </c>
      <c r="C26" s="26"/>
      <c r="D26" s="31"/>
      <c r="F26" s="622" t="s">
        <v>490</v>
      </c>
      <c r="G26" s="623"/>
      <c r="H26" s="26"/>
      <c r="I26" s="32"/>
    </row>
    <row r="27" spans="2:14" ht="15.6">
      <c r="B27" s="44" t="s">
        <v>310</v>
      </c>
      <c r="C27" s="26"/>
      <c r="D27" s="31"/>
      <c r="F27" s="622" t="s">
        <v>112</v>
      </c>
      <c r="G27" s="623"/>
      <c r="H27" s="26"/>
      <c r="I27" s="32"/>
    </row>
    <row r="28" spans="2:14" ht="15.6">
      <c r="B28" s="44" t="s">
        <v>311</v>
      </c>
      <c r="C28" s="26"/>
      <c r="D28" s="31"/>
      <c r="F28" s="622" t="s">
        <v>328</v>
      </c>
      <c r="G28" s="623"/>
      <c r="H28" s="26"/>
      <c r="I28" s="33"/>
    </row>
    <row r="29" spans="2:14" ht="15.6">
      <c r="B29" s="44" t="s">
        <v>315</v>
      </c>
      <c r="C29" s="26"/>
      <c r="D29" s="31"/>
      <c r="F29" s="622" t="s">
        <v>64</v>
      </c>
      <c r="G29" s="623"/>
      <c r="H29" s="26"/>
      <c r="I29" s="33"/>
    </row>
    <row r="30" spans="2:14" ht="15.6">
      <c r="F30" s="622" t="s">
        <v>111</v>
      </c>
      <c r="G30" s="623"/>
      <c r="H30" s="26"/>
      <c r="I30" s="33"/>
    </row>
    <row r="31" spans="2:14" ht="17.25" customHeight="1">
      <c r="B31" s="612" t="s">
        <v>510</v>
      </c>
      <c r="C31" s="613" t="s">
        <v>482</v>
      </c>
      <c r="D31" s="612" t="s">
        <v>485</v>
      </c>
      <c r="F31" s="622" t="s">
        <v>491</v>
      </c>
      <c r="G31" s="623"/>
      <c r="H31" s="26"/>
      <c r="I31" s="33"/>
    </row>
    <row r="32" spans="2:14" ht="15.6">
      <c r="B32" s="612"/>
      <c r="C32" s="613"/>
      <c r="D32" s="612"/>
      <c r="F32" s="622" t="s">
        <v>492</v>
      </c>
      <c r="G32" s="623"/>
      <c r="H32" s="26"/>
      <c r="I32" s="33"/>
    </row>
    <row r="33" spans="2:9" ht="16.5" customHeight="1">
      <c r="B33" s="612"/>
      <c r="C33" s="613"/>
      <c r="D33" s="612"/>
      <c r="F33" s="622" t="s">
        <v>493</v>
      </c>
      <c r="G33" s="623"/>
      <c r="H33" s="26"/>
      <c r="I33" s="33"/>
    </row>
    <row r="34" spans="2:9" ht="17.25" customHeight="1">
      <c r="B34" s="34"/>
      <c r="C34" s="35"/>
      <c r="D34" s="36"/>
      <c r="F34" s="622" t="s">
        <v>113</v>
      </c>
      <c r="G34" s="623"/>
      <c r="H34" s="26"/>
      <c r="I34" s="33"/>
    </row>
    <row r="35" spans="2:9" ht="15.75" customHeight="1">
      <c r="B35" s="45" t="s">
        <v>49</v>
      </c>
      <c r="C35" s="37"/>
      <c r="D35" s="31"/>
      <c r="F35" s="38"/>
      <c r="G35" s="38"/>
    </row>
    <row r="36" spans="2:9" ht="17.25" customHeight="1">
      <c r="B36" s="45" t="s">
        <v>50</v>
      </c>
      <c r="C36" s="37"/>
      <c r="D36" s="31"/>
      <c r="F36" s="611" t="s">
        <v>508</v>
      </c>
      <c r="G36" s="626"/>
      <c r="H36" s="626" t="s">
        <v>482</v>
      </c>
      <c r="I36" s="611" t="s">
        <v>485</v>
      </c>
    </row>
    <row r="37" spans="2:9" ht="25.5" customHeight="1">
      <c r="B37" s="45" t="s">
        <v>118</v>
      </c>
      <c r="C37" s="37"/>
      <c r="D37" s="31"/>
      <c r="F37" s="626"/>
      <c r="G37" s="626"/>
      <c r="H37" s="626"/>
      <c r="I37" s="611"/>
    </row>
    <row r="38" spans="2:9" ht="15.6">
      <c r="B38" s="45" t="s">
        <v>329</v>
      </c>
      <c r="C38" s="37"/>
      <c r="D38" s="31"/>
      <c r="F38" s="627"/>
      <c r="G38" s="627"/>
      <c r="H38" s="39"/>
      <c r="I38" s="39"/>
    </row>
    <row r="39" spans="2:9" ht="15.6">
      <c r="B39" s="45" t="s">
        <v>330</v>
      </c>
      <c r="C39" s="37"/>
      <c r="D39" s="31"/>
      <c r="F39" s="628" t="s">
        <v>494</v>
      </c>
      <c r="G39" s="628"/>
      <c r="H39" s="26"/>
      <c r="I39" s="33"/>
    </row>
    <row r="40" spans="2:9" ht="15.6">
      <c r="B40" s="45" t="s">
        <v>331</v>
      </c>
      <c r="C40" s="37"/>
      <c r="D40" s="31"/>
      <c r="F40" s="624" t="s">
        <v>67</v>
      </c>
      <c r="G40" s="625"/>
      <c r="H40" s="26"/>
      <c r="I40" s="33"/>
    </row>
    <row r="41" spans="2:9" ht="30">
      <c r="B41" s="45" t="s">
        <v>486</v>
      </c>
      <c r="C41" s="37"/>
      <c r="D41" s="31"/>
      <c r="F41" s="624" t="s">
        <v>70</v>
      </c>
      <c r="G41" s="625"/>
      <c r="H41" s="26"/>
      <c r="I41" s="33"/>
    </row>
    <row r="42" spans="2:9" ht="15.6">
      <c r="B42" s="46" t="s">
        <v>487</v>
      </c>
      <c r="C42" s="37"/>
      <c r="D42" s="31"/>
      <c r="F42" s="624" t="s">
        <v>71</v>
      </c>
      <c r="G42" s="625"/>
      <c r="H42" s="26"/>
      <c r="I42" s="33"/>
    </row>
    <row r="43" spans="2:9" ht="15.6">
      <c r="B43" s="46" t="s">
        <v>488</v>
      </c>
      <c r="C43" s="37"/>
      <c r="D43" s="31"/>
      <c r="F43" s="624" t="s">
        <v>74</v>
      </c>
      <c r="G43" s="625"/>
      <c r="H43" s="26"/>
      <c r="I43" s="33"/>
    </row>
    <row r="44" spans="2:9" ht="15.6">
      <c r="F44" s="624" t="s">
        <v>78</v>
      </c>
      <c r="G44" s="625"/>
      <c r="H44" s="26"/>
      <c r="I44" s="33"/>
    </row>
    <row r="45" spans="2:9" ht="39.6">
      <c r="B45" s="47" t="s">
        <v>511</v>
      </c>
      <c r="C45" s="48" t="s">
        <v>482</v>
      </c>
      <c r="D45" s="49" t="s">
        <v>485</v>
      </c>
    </row>
    <row r="46" spans="2:9" ht="15.6">
      <c r="B46" s="40"/>
      <c r="C46" s="35"/>
      <c r="D46" s="36"/>
    </row>
    <row r="47" spans="2:9" ht="15.6">
      <c r="B47" s="50" t="s">
        <v>54</v>
      </c>
      <c r="C47" s="41"/>
      <c r="D47" s="42"/>
    </row>
    <row r="48" spans="2:9" ht="15.6">
      <c r="B48" s="50" t="s">
        <v>489</v>
      </c>
      <c r="C48" s="41"/>
      <c r="D48" s="42"/>
    </row>
    <row r="49" spans="2:4" ht="15.6">
      <c r="B49" s="50" t="s">
        <v>57</v>
      </c>
      <c r="C49" s="41"/>
      <c r="D49" s="42"/>
    </row>
    <row r="50" spans="2:4" ht="15.6">
      <c r="B50" s="50" t="s">
        <v>58</v>
      </c>
      <c r="C50" s="41"/>
      <c r="D50" s="42"/>
    </row>
    <row r="51" spans="2:4" ht="15.6">
      <c r="B51" s="50" t="s">
        <v>60</v>
      </c>
      <c r="C51" s="41"/>
      <c r="D51" s="42"/>
    </row>
  </sheetData>
  <mergeCells count="65">
    <mergeCell ref="B2:N2"/>
    <mergeCell ref="C8:E8"/>
    <mergeCell ref="F8:G8"/>
    <mergeCell ref="H8:N8"/>
    <mergeCell ref="C6:E6"/>
    <mergeCell ref="F6:G6"/>
    <mergeCell ref="H6:N6"/>
    <mergeCell ref="C7:E7"/>
    <mergeCell ref="F7:G7"/>
    <mergeCell ref="H7:N7"/>
    <mergeCell ref="H5:N5"/>
    <mergeCell ref="F5:G5"/>
    <mergeCell ref="C5:E5"/>
    <mergeCell ref="H4:N4"/>
    <mergeCell ref="F4:G4"/>
    <mergeCell ref="C4:E4"/>
    <mergeCell ref="B10:N10"/>
    <mergeCell ref="F18:G18"/>
    <mergeCell ref="F19:G19"/>
    <mergeCell ref="F20:G20"/>
    <mergeCell ref="N19:N20"/>
    <mergeCell ref="F21:G21"/>
    <mergeCell ref="F22:G22"/>
    <mergeCell ref="B12:I12"/>
    <mergeCell ref="K12:N12"/>
    <mergeCell ref="K14:M14"/>
    <mergeCell ref="K15:M15"/>
    <mergeCell ref="K16:M16"/>
    <mergeCell ref="K17:M17"/>
    <mergeCell ref="K18:M18"/>
    <mergeCell ref="K19:M20"/>
    <mergeCell ref="K21:M21"/>
    <mergeCell ref="K22:M23"/>
    <mergeCell ref="N22:N23"/>
    <mergeCell ref="F32:G32"/>
    <mergeCell ref="F33:G33"/>
    <mergeCell ref="F26:G26"/>
    <mergeCell ref="F27:G27"/>
    <mergeCell ref="F28:G28"/>
    <mergeCell ref="F29:G29"/>
    <mergeCell ref="F42:G42"/>
    <mergeCell ref="F43:G43"/>
    <mergeCell ref="F44:G44"/>
    <mergeCell ref="F36:G37"/>
    <mergeCell ref="H36:H37"/>
    <mergeCell ref="F38:G38"/>
    <mergeCell ref="F39:G39"/>
    <mergeCell ref="F40:G40"/>
    <mergeCell ref="F41:G41"/>
    <mergeCell ref="I36:I37"/>
    <mergeCell ref="B14:B16"/>
    <mergeCell ref="C14:C16"/>
    <mergeCell ref="D14:D16"/>
    <mergeCell ref="I14:I16"/>
    <mergeCell ref="F14:G16"/>
    <mergeCell ref="H14:H16"/>
    <mergeCell ref="B31:B33"/>
    <mergeCell ref="C31:C33"/>
    <mergeCell ref="D31:D33"/>
    <mergeCell ref="F24:G25"/>
    <mergeCell ref="H24:H25"/>
    <mergeCell ref="I24:I25"/>
    <mergeCell ref="F30:G30"/>
    <mergeCell ref="F31:G31"/>
    <mergeCell ref="F34:G3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xdr:col>
                    <xdr:colOff>388620</xdr:colOff>
                    <xdr:row>17</xdr:row>
                    <xdr:rowOff>190500</xdr:rowOff>
                  </from>
                  <to>
                    <xdr:col>3</xdr:col>
                    <xdr:colOff>76200</xdr:colOff>
                    <xdr:row>19</xdr:row>
                    <xdr:rowOff>22860</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2</xdr:col>
                    <xdr:colOff>388620</xdr:colOff>
                    <xdr:row>18</xdr:row>
                    <xdr:rowOff>182880</xdr:rowOff>
                  </from>
                  <to>
                    <xdr:col>3</xdr:col>
                    <xdr:colOff>76200</xdr:colOff>
                    <xdr:row>20</xdr:row>
                    <xdr:rowOff>7620</xdr:rowOff>
                  </to>
                </anchor>
              </controlPr>
            </control>
          </mc:Choice>
        </mc:AlternateContent>
        <mc:AlternateContent xmlns:mc="http://schemas.openxmlformats.org/markup-compatibility/2006">
          <mc:Choice Requires="x14">
            <control shapeId="44036" r:id="rId6" name="Check Box 4">
              <controlPr defaultSize="0" autoFill="0" autoLine="0" autoPict="0">
                <anchor moveWithCells="1">
                  <from>
                    <xdr:col>2</xdr:col>
                    <xdr:colOff>388620</xdr:colOff>
                    <xdr:row>19</xdr:row>
                    <xdr:rowOff>182880</xdr:rowOff>
                  </from>
                  <to>
                    <xdr:col>3</xdr:col>
                    <xdr:colOff>76200</xdr:colOff>
                    <xdr:row>21</xdr:row>
                    <xdr:rowOff>0</xdr:rowOff>
                  </to>
                </anchor>
              </controlPr>
            </control>
          </mc:Choice>
        </mc:AlternateContent>
        <mc:AlternateContent xmlns:mc="http://schemas.openxmlformats.org/markup-compatibility/2006">
          <mc:Choice Requires="x14">
            <control shapeId="44037" r:id="rId7" name="Check Box 5">
              <controlPr defaultSize="0" autoFill="0" autoLine="0" autoPict="0">
                <anchor moveWithCells="1">
                  <from>
                    <xdr:col>2</xdr:col>
                    <xdr:colOff>388620</xdr:colOff>
                    <xdr:row>20</xdr:row>
                    <xdr:rowOff>182880</xdr:rowOff>
                  </from>
                  <to>
                    <xdr:col>3</xdr:col>
                    <xdr:colOff>76200</xdr:colOff>
                    <xdr:row>22</xdr:row>
                    <xdr:rowOff>7620</xdr:rowOff>
                  </to>
                </anchor>
              </controlPr>
            </control>
          </mc:Choice>
        </mc:AlternateContent>
        <mc:AlternateContent xmlns:mc="http://schemas.openxmlformats.org/markup-compatibility/2006">
          <mc:Choice Requires="x14">
            <control shapeId="44038" r:id="rId8" name="Check Box 6">
              <controlPr defaultSize="0" autoFill="0" autoLine="0" autoPict="0">
                <anchor moveWithCells="1">
                  <from>
                    <xdr:col>2</xdr:col>
                    <xdr:colOff>388620</xdr:colOff>
                    <xdr:row>20</xdr:row>
                    <xdr:rowOff>182880</xdr:rowOff>
                  </from>
                  <to>
                    <xdr:col>3</xdr:col>
                    <xdr:colOff>76200</xdr:colOff>
                    <xdr:row>22</xdr:row>
                    <xdr:rowOff>0</xdr:rowOff>
                  </to>
                </anchor>
              </controlPr>
            </control>
          </mc:Choice>
        </mc:AlternateContent>
        <mc:AlternateContent xmlns:mc="http://schemas.openxmlformats.org/markup-compatibility/2006">
          <mc:Choice Requires="x14">
            <control shapeId="44041" r:id="rId9" name="Check Box 9">
              <controlPr defaultSize="0" autoFill="0" autoLine="0" autoPict="0">
                <anchor moveWithCells="1">
                  <from>
                    <xdr:col>2</xdr:col>
                    <xdr:colOff>388620</xdr:colOff>
                    <xdr:row>21</xdr:row>
                    <xdr:rowOff>182880</xdr:rowOff>
                  </from>
                  <to>
                    <xdr:col>3</xdr:col>
                    <xdr:colOff>76200</xdr:colOff>
                    <xdr:row>23</xdr:row>
                    <xdr:rowOff>7620</xdr:rowOff>
                  </to>
                </anchor>
              </controlPr>
            </control>
          </mc:Choice>
        </mc:AlternateContent>
        <mc:AlternateContent xmlns:mc="http://schemas.openxmlformats.org/markup-compatibility/2006">
          <mc:Choice Requires="x14">
            <control shapeId="44042" r:id="rId10" name="Check Box 10">
              <controlPr defaultSize="0" autoFill="0" autoLine="0" autoPict="0">
                <anchor moveWithCells="1">
                  <from>
                    <xdr:col>2</xdr:col>
                    <xdr:colOff>388620</xdr:colOff>
                    <xdr:row>21</xdr:row>
                    <xdr:rowOff>182880</xdr:rowOff>
                  </from>
                  <to>
                    <xdr:col>3</xdr:col>
                    <xdr:colOff>76200</xdr:colOff>
                    <xdr:row>23</xdr:row>
                    <xdr:rowOff>0</xdr:rowOff>
                  </to>
                </anchor>
              </controlPr>
            </control>
          </mc:Choice>
        </mc:AlternateContent>
        <mc:AlternateContent xmlns:mc="http://schemas.openxmlformats.org/markup-compatibility/2006">
          <mc:Choice Requires="x14">
            <control shapeId="44043" r:id="rId11" name="Check Box 11">
              <controlPr defaultSize="0" autoFill="0" autoLine="0" autoPict="0">
                <anchor moveWithCells="1">
                  <from>
                    <xdr:col>2</xdr:col>
                    <xdr:colOff>388620</xdr:colOff>
                    <xdr:row>22</xdr:row>
                    <xdr:rowOff>182880</xdr:rowOff>
                  </from>
                  <to>
                    <xdr:col>3</xdr:col>
                    <xdr:colOff>76200</xdr:colOff>
                    <xdr:row>24</xdr:row>
                    <xdr:rowOff>7620</xdr:rowOff>
                  </to>
                </anchor>
              </controlPr>
            </control>
          </mc:Choice>
        </mc:AlternateContent>
        <mc:AlternateContent xmlns:mc="http://schemas.openxmlformats.org/markup-compatibility/2006">
          <mc:Choice Requires="x14">
            <control shapeId="44044" r:id="rId12" name="Check Box 12">
              <controlPr defaultSize="0" autoFill="0" autoLine="0" autoPict="0">
                <anchor moveWithCells="1">
                  <from>
                    <xdr:col>2</xdr:col>
                    <xdr:colOff>388620</xdr:colOff>
                    <xdr:row>23</xdr:row>
                    <xdr:rowOff>182880</xdr:rowOff>
                  </from>
                  <to>
                    <xdr:col>3</xdr:col>
                    <xdr:colOff>76200</xdr:colOff>
                    <xdr:row>24</xdr:row>
                    <xdr:rowOff>220980</xdr:rowOff>
                  </to>
                </anchor>
              </controlPr>
            </control>
          </mc:Choice>
        </mc:AlternateContent>
        <mc:AlternateContent xmlns:mc="http://schemas.openxmlformats.org/markup-compatibility/2006">
          <mc:Choice Requires="x14">
            <control shapeId="44048" r:id="rId13" name="Check Box 16">
              <controlPr defaultSize="0" autoFill="0" autoLine="0" autoPict="0">
                <anchor moveWithCells="1">
                  <from>
                    <xdr:col>2</xdr:col>
                    <xdr:colOff>388620</xdr:colOff>
                    <xdr:row>25</xdr:row>
                    <xdr:rowOff>182880</xdr:rowOff>
                  </from>
                  <to>
                    <xdr:col>3</xdr:col>
                    <xdr:colOff>76200</xdr:colOff>
                    <xdr:row>27</xdr:row>
                    <xdr:rowOff>7620</xdr:rowOff>
                  </to>
                </anchor>
              </controlPr>
            </control>
          </mc:Choice>
        </mc:AlternateContent>
        <mc:AlternateContent xmlns:mc="http://schemas.openxmlformats.org/markup-compatibility/2006">
          <mc:Choice Requires="x14">
            <control shapeId="44051" r:id="rId14" name="Check Box 19">
              <controlPr defaultSize="0" autoFill="0" autoLine="0" autoPict="0">
                <anchor moveWithCells="1">
                  <from>
                    <xdr:col>2</xdr:col>
                    <xdr:colOff>388620</xdr:colOff>
                    <xdr:row>16</xdr:row>
                    <xdr:rowOff>175260</xdr:rowOff>
                  </from>
                  <to>
                    <xdr:col>3</xdr:col>
                    <xdr:colOff>76200</xdr:colOff>
                    <xdr:row>18</xdr:row>
                    <xdr:rowOff>38100</xdr:rowOff>
                  </to>
                </anchor>
              </controlPr>
            </control>
          </mc:Choice>
        </mc:AlternateContent>
        <mc:AlternateContent xmlns:mc="http://schemas.openxmlformats.org/markup-compatibility/2006">
          <mc:Choice Requires="x14">
            <control shapeId="44057" r:id="rId15" name="Check Box 25">
              <controlPr defaultSize="0" autoFill="0" autoLine="0" autoPict="0">
                <anchor moveWithCells="1">
                  <from>
                    <xdr:col>2</xdr:col>
                    <xdr:colOff>388620</xdr:colOff>
                    <xdr:row>21</xdr:row>
                    <xdr:rowOff>182880</xdr:rowOff>
                  </from>
                  <to>
                    <xdr:col>3</xdr:col>
                    <xdr:colOff>76200</xdr:colOff>
                    <xdr:row>23</xdr:row>
                    <xdr:rowOff>0</xdr:rowOff>
                  </to>
                </anchor>
              </controlPr>
            </control>
          </mc:Choice>
        </mc:AlternateContent>
        <mc:AlternateContent xmlns:mc="http://schemas.openxmlformats.org/markup-compatibility/2006">
          <mc:Choice Requires="x14">
            <control shapeId="44058" r:id="rId16" name="Check Box 26">
              <controlPr defaultSize="0" autoFill="0" autoLine="0" autoPict="0">
                <anchor moveWithCells="1">
                  <from>
                    <xdr:col>2</xdr:col>
                    <xdr:colOff>388620</xdr:colOff>
                    <xdr:row>22</xdr:row>
                    <xdr:rowOff>182880</xdr:rowOff>
                  </from>
                  <to>
                    <xdr:col>3</xdr:col>
                    <xdr:colOff>76200</xdr:colOff>
                    <xdr:row>24</xdr:row>
                    <xdr:rowOff>0</xdr:rowOff>
                  </to>
                </anchor>
              </controlPr>
            </control>
          </mc:Choice>
        </mc:AlternateContent>
        <mc:AlternateContent xmlns:mc="http://schemas.openxmlformats.org/markup-compatibility/2006">
          <mc:Choice Requires="x14">
            <control shapeId="44077" r:id="rId17" name="Check Box 45">
              <controlPr defaultSize="0" autoFill="0" autoLine="0" autoPict="0">
                <anchor moveWithCells="1">
                  <from>
                    <xdr:col>7</xdr:col>
                    <xdr:colOff>388620</xdr:colOff>
                    <xdr:row>18</xdr:row>
                    <xdr:rowOff>182880</xdr:rowOff>
                  </from>
                  <to>
                    <xdr:col>8</xdr:col>
                    <xdr:colOff>76200</xdr:colOff>
                    <xdr:row>20</xdr:row>
                    <xdr:rowOff>45720</xdr:rowOff>
                  </to>
                </anchor>
              </controlPr>
            </control>
          </mc:Choice>
        </mc:AlternateContent>
        <mc:AlternateContent xmlns:mc="http://schemas.openxmlformats.org/markup-compatibility/2006">
          <mc:Choice Requires="x14">
            <control shapeId="44078" r:id="rId18" name="Check Box 46">
              <controlPr defaultSize="0" autoFill="0" autoLine="0" autoPict="0">
                <anchor moveWithCells="1">
                  <from>
                    <xdr:col>7</xdr:col>
                    <xdr:colOff>388620</xdr:colOff>
                    <xdr:row>19</xdr:row>
                    <xdr:rowOff>182880</xdr:rowOff>
                  </from>
                  <to>
                    <xdr:col>8</xdr:col>
                    <xdr:colOff>76200</xdr:colOff>
                    <xdr:row>21</xdr:row>
                    <xdr:rowOff>38100</xdr:rowOff>
                  </to>
                </anchor>
              </controlPr>
            </control>
          </mc:Choice>
        </mc:AlternateContent>
        <mc:AlternateContent xmlns:mc="http://schemas.openxmlformats.org/markup-compatibility/2006">
          <mc:Choice Requires="x14">
            <control shapeId="44079" r:id="rId19" name="Check Box 47">
              <controlPr defaultSize="0" autoFill="0" autoLine="0" autoPict="0">
                <anchor moveWithCells="1">
                  <from>
                    <xdr:col>7</xdr:col>
                    <xdr:colOff>388620</xdr:colOff>
                    <xdr:row>20</xdr:row>
                    <xdr:rowOff>182880</xdr:rowOff>
                  </from>
                  <to>
                    <xdr:col>8</xdr:col>
                    <xdr:colOff>76200</xdr:colOff>
                    <xdr:row>22</xdr:row>
                    <xdr:rowOff>45720</xdr:rowOff>
                  </to>
                </anchor>
              </controlPr>
            </control>
          </mc:Choice>
        </mc:AlternateContent>
        <mc:AlternateContent xmlns:mc="http://schemas.openxmlformats.org/markup-compatibility/2006">
          <mc:Choice Requires="x14">
            <control shapeId="44080" r:id="rId20" name="Check Box 48">
              <controlPr defaultSize="0" autoFill="0" autoLine="0" autoPict="0">
                <anchor moveWithCells="1">
                  <from>
                    <xdr:col>7</xdr:col>
                    <xdr:colOff>388620</xdr:colOff>
                    <xdr:row>20</xdr:row>
                    <xdr:rowOff>182880</xdr:rowOff>
                  </from>
                  <to>
                    <xdr:col>8</xdr:col>
                    <xdr:colOff>76200</xdr:colOff>
                    <xdr:row>22</xdr:row>
                    <xdr:rowOff>38100</xdr:rowOff>
                  </to>
                </anchor>
              </controlPr>
            </control>
          </mc:Choice>
        </mc:AlternateContent>
        <mc:AlternateContent xmlns:mc="http://schemas.openxmlformats.org/markup-compatibility/2006">
          <mc:Choice Requires="x14">
            <control shapeId="44082" r:id="rId21" name="Check Box 50">
              <controlPr defaultSize="0" autoFill="0" autoLine="0" autoPict="0">
                <anchor moveWithCells="1">
                  <from>
                    <xdr:col>7</xdr:col>
                    <xdr:colOff>388620</xdr:colOff>
                    <xdr:row>20</xdr:row>
                    <xdr:rowOff>182880</xdr:rowOff>
                  </from>
                  <to>
                    <xdr:col>8</xdr:col>
                    <xdr:colOff>76200</xdr:colOff>
                    <xdr:row>22</xdr:row>
                    <xdr:rowOff>38100</xdr:rowOff>
                  </to>
                </anchor>
              </controlPr>
            </control>
          </mc:Choice>
        </mc:AlternateContent>
        <mc:AlternateContent xmlns:mc="http://schemas.openxmlformats.org/markup-compatibility/2006">
          <mc:Choice Requires="x14">
            <control shapeId="44083" r:id="rId22" name="Check Box 51">
              <controlPr defaultSize="0" autoFill="0" autoLine="0" autoPict="0">
                <anchor moveWithCells="1">
                  <from>
                    <xdr:col>7</xdr:col>
                    <xdr:colOff>388620</xdr:colOff>
                    <xdr:row>20</xdr:row>
                    <xdr:rowOff>182880</xdr:rowOff>
                  </from>
                  <to>
                    <xdr:col>8</xdr:col>
                    <xdr:colOff>76200</xdr:colOff>
                    <xdr:row>22</xdr:row>
                    <xdr:rowOff>45720</xdr:rowOff>
                  </to>
                </anchor>
              </controlPr>
            </control>
          </mc:Choice>
        </mc:AlternateContent>
        <mc:AlternateContent xmlns:mc="http://schemas.openxmlformats.org/markup-compatibility/2006">
          <mc:Choice Requires="x14">
            <control shapeId="44084" r:id="rId23" name="Check Box 52">
              <controlPr defaultSize="0" autoFill="0" autoLine="0" autoPict="0">
                <anchor moveWithCells="1">
                  <from>
                    <xdr:col>7</xdr:col>
                    <xdr:colOff>388620</xdr:colOff>
                    <xdr:row>20</xdr:row>
                    <xdr:rowOff>182880</xdr:rowOff>
                  </from>
                  <to>
                    <xdr:col>8</xdr:col>
                    <xdr:colOff>76200</xdr:colOff>
                    <xdr:row>22</xdr:row>
                    <xdr:rowOff>38100</xdr:rowOff>
                  </to>
                </anchor>
              </controlPr>
            </control>
          </mc:Choice>
        </mc:AlternateContent>
        <mc:AlternateContent xmlns:mc="http://schemas.openxmlformats.org/markup-compatibility/2006">
          <mc:Choice Requires="x14">
            <control shapeId="44120" r:id="rId24" name="Check Box 88">
              <controlPr defaultSize="0" autoFill="0" autoLine="0" autoPict="0">
                <anchor moveWithCells="1">
                  <from>
                    <xdr:col>2</xdr:col>
                    <xdr:colOff>388620</xdr:colOff>
                    <xdr:row>41</xdr:row>
                    <xdr:rowOff>182880</xdr:rowOff>
                  </from>
                  <to>
                    <xdr:col>3</xdr:col>
                    <xdr:colOff>76200</xdr:colOff>
                    <xdr:row>43</xdr:row>
                    <xdr:rowOff>45720</xdr:rowOff>
                  </to>
                </anchor>
              </controlPr>
            </control>
          </mc:Choice>
        </mc:AlternateContent>
        <mc:AlternateContent xmlns:mc="http://schemas.openxmlformats.org/markup-compatibility/2006">
          <mc:Choice Requires="x14">
            <control shapeId="44127" r:id="rId25" name="Check Box 95">
              <controlPr defaultSize="0" autoFill="0" autoLine="0" autoPict="0">
                <anchor moveWithCells="1">
                  <from>
                    <xdr:col>2</xdr:col>
                    <xdr:colOff>388620</xdr:colOff>
                    <xdr:row>49</xdr:row>
                    <xdr:rowOff>182880</xdr:rowOff>
                  </from>
                  <to>
                    <xdr:col>3</xdr:col>
                    <xdr:colOff>76200</xdr:colOff>
                    <xdr:row>51</xdr:row>
                    <xdr:rowOff>7620</xdr:rowOff>
                  </to>
                </anchor>
              </controlPr>
            </control>
          </mc:Choice>
        </mc:AlternateContent>
        <mc:AlternateContent xmlns:mc="http://schemas.openxmlformats.org/markup-compatibility/2006">
          <mc:Choice Requires="x14">
            <control shapeId="44140" r:id="rId26" name="Check Box 108">
              <controlPr defaultSize="0" autoFill="0" autoLine="0" autoPict="0">
                <anchor moveWithCells="1">
                  <from>
                    <xdr:col>2</xdr:col>
                    <xdr:colOff>388620</xdr:colOff>
                    <xdr:row>40</xdr:row>
                    <xdr:rowOff>266700</xdr:rowOff>
                  </from>
                  <to>
                    <xdr:col>3</xdr:col>
                    <xdr:colOff>76200</xdr:colOff>
                    <xdr:row>42</xdr:row>
                    <xdr:rowOff>137160</xdr:rowOff>
                  </to>
                </anchor>
              </controlPr>
            </control>
          </mc:Choice>
        </mc:AlternateContent>
        <mc:AlternateContent xmlns:mc="http://schemas.openxmlformats.org/markup-compatibility/2006">
          <mc:Choice Requires="x14">
            <control shapeId="44141" r:id="rId27" name="Check Box 109">
              <controlPr defaultSize="0" autoFill="0" autoLine="0" autoPict="0">
                <anchor moveWithCells="1">
                  <from>
                    <xdr:col>2</xdr:col>
                    <xdr:colOff>388620</xdr:colOff>
                    <xdr:row>41</xdr:row>
                    <xdr:rowOff>182880</xdr:rowOff>
                  </from>
                  <to>
                    <xdr:col>3</xdr:col>
                    <xdr:colOff>76200</xdr:colOff>
                    <xdr:row>43</xdr:row>
                    <xdr:rowOff>45720</xdr:rowOff>
                  </to>
                </anchor>
              </controlPr>
            </control>
          </mc:Choice>
        </mc:AlternateContent>
        <mc:AlternateContent xmlns:mc="http://schemas.openxmlformats.org/markup-compatibility/2006">
          <mc:Choice Requires="x14">
            <control shapeId="44142" r:id="rId28" name="Check Box 110">
              <controlPr defaultSize="0" autoFill="0" autoLine="0" autoPict="0">
                <anchor moveWithCells="1">
                  <from>
                    <xdr:col>2</xdr:col>
                    <xdr:colOff>388620</xdr:colOff>
                    <xdr:row>48</xdr:row>
                    <xdr:rowOff>182880</xdr:rowOff>
                  </from>
                  <to>
                    <xdr:col>3</xdr:col>
                    <xdr:colOff>76200</xdr:colOff>
                    <xdr:row>50</xdr:row>
                    <xdr:rowOff>45720</xdr:rowOff>
                  </to>
                </anchor>
              </controlPr>
            </control>
          </mc:Choice>
        </mc:AlternateContent>
        <mc:AlternateContent xmlns:mc="http://schemas.openxmlformats.org/markup-compatibility/2006">
          <mc:Choice Requires="x14">
            <control shapeId="44158" r:id="rId29" name="Check Box 126">
              <controlPr defaultSize="0" autoFill="0" autoLine="0" autoPict="0">
                <anchor moveWithCells="1">
                  <from>
                    <xdr:col>7</xdr:col>
                    <xdr:colOff>388620</xdr:colOff>
                    <xdr:row>25</xdr:row>
                    <xdr:rowOff>175260</xdr:rowOff>
                  </from>
                  <to>
                    <xdr:col>8</xdr:col>
                    <xdr:colOff>76200</xdr:colOff>
                    <xdr:row>27</xdr:row>
                    <xdr:rowOff>30480</xdr:rowOff>
                  </to>
                </anchor>
              </controlPr>
            </control>
          </mc:Choice>
        </mc:AlternateContent>
        <mc:AlternateContent xmlns:mc="http://schemas.openxmlformats.org/markup-compatibility/2006">
          <mc:Choice Requires="x14">
            <control shapeId="44162" r:id="rId30" name="Check Box 130">
              <controlPr defaultSize="0" autoFill="0" autoLine="0" autoPict="0">
                <anchor moveWithCells="1">
                  <from>
                    <xdr:col>7</xdr:col>
                    <xdr:colOff>388620</xdr:colOff>
                    <xdr:row>28</xdr:row>
                    <xdr:rowOff>182880</xdr:rowOff>
                  </from>
                  <to>
                    <xdr:col>8</xdr:col>
                    <xdr:colOff>76200</xdr:colOff>
                    <xdr:row>30</xdr:row>
                    <xdr:rowOff>38100</xdr:rowOff>
                  </to>
                </anchor>
              </controlPr>
            </control>
          </mc:Choice>
        </mc:AlternateContent>
        <mc:AlternateContent xmlns:mc="http://schemas.openxmlformats.org/markup-compatibility/2006">
          <mc:Choice Requires="x14">
            <control shapeId="44163" r:id="rId31" name="Check Box 131">
              <controlPr defaultSize="0" autoFill="0" autoLine="0" autoPict="0">
                <anchor moveWithCells="1">
                  <from>
                    <xdr:col>7</xdr:col>
                    <xdr:colOff>388620</xdr:colOff>
                    <xdr:row>28</xdr:row>
                    <xdr:rowOff>182880</xdr:rowOff>
                  </from>
                  <to>
                    <xdr:col>8</xdr:col>
                    <xdr:colOff>76200</xdr:colOff>
                    <xdr:row>30</xdr:row>
                    <xdr:rowOff>45720</xdr:rowOff>
                  </to>
                </anchor>
              </controlPr>
            </control>
          </mc:Choice>
        </mc:AlternateContent>
        <mc:AlternateContent xmlns:mc="http://schemas.openxmlformats.org/markup-compatibility/2006">
          <mc:Choice Requires="x14">
            <control shapeId="44164" r:id="rId32" name="Check Box 132">
              <controlPr defaultSize="0" autoFill="0" autoLine="0" autoPict="0">
                <anchor moveWithCells="1">
                  <from>
                    <xdr:col>7</xdr:col>
                    <xdr:colOff>388620</xdr:colOff>
                    <xdr:row>28</xdr:row>
                    <xdr:rowOff>182880</xdr:rowOff>
                  </from>
                  <to>
                    <xdr:col>8</xdr:col>
                    <xdr:colOff>76200</xdr:colOff>
                    <xdr:row>30</xdr:row>
                    <xdr:rowOff>38100</xdr:rowOff>
                  </to>
                </anchor>
              </controlPr>
            </control>
          </mc:Choice>
        </mc:AlternateContent>
        <mc:AlternateContent xmlns:mc="http://schemas.openxmlformats.org/markup-compatibility/2006">
          <mc:Choice Requires="x14">
            <control shapeId="44165" r:id="rId33" name="Check Box 133">
              <controlPr defaultSize="0" autoFill="0" autoLine="0" autoPict="0">
                <anchor moveWithCells="1">
                  <from>
                    <xdr:col>7</xdr:col>
                    <xdr:colOff>388620</xdr:colOff>
                    <xdr:row>29</xdr:row>
                    <xdr:rowOff>182880</xdr:rowOff>
                  </from>
                  <to>
                    <xdr:col>8</xdr:col>
                    <xdr:colOff>76200</xdr:colOff>
                    <xdr:row>31</xdr:row>
                    <xdr:rowOff>30480</xdr:rowOff>
                  </to>
                </anchor>
              </controlPr>
            </control>
          </mc:Choice>
        </mc:AlternateContent>
        <mc:AlternateContent xmlns:mc="http://schemas.openxmlformats.org/markup-compatibility/2006">
          <mc:Choice Requires="x14">
            <control shapeId="44166" r:id="rId34" name="Check Box 134">
              <controlPr defaultSize="0" autoFill="0" autoLine="0" autoPict="0">
                <anchor moveWithCells="1">
                  <from>
                    <xdr:col>7</xdr:col>
                    <xdr:colOff>388620</xdr:colOff>
                    <xdr:row>29</xdr:row>
                    <xdr:rowOff>182880</xdr:rowOff>
                  </from>
                  <to>
                    <xdr:col>8</xdr:col>
                    <xdr:colOff>76200</xdr:colOff>
                    <xdr:row>31</xdr:row>
                    <xdr:rowOff>38100</xdr:rowOff>
                  </to>
                </anchor>
              </controlPr>
            </control>
          </mc:Choice>
        </mc:AlternateContent>
        <mc:AlternateContent xmlns:mc="http://schemas.openxmlformats.org/markup-compatibility/2006">
          <mc:Choice Requires="x14">
            <control shapeId="44167" r:id="rId35" name="Check Box 135">
              <controlPr defaultSize="0" autoFill="0" autoLine="0" autoPict="0">
                <anchor moveWithCells="1">
                  <from>
                    <xdr:col>7</xdr:col>
                    <xdr:colOff>388620</xdr:colOff>
                    <xdr:row>29</xdr:row>
                    <xdr:rowOff>182880</xdr:rowOff>
                  </from>
                  <to>
                    <xdr:col>8</xdr:col>
                    <xdr:colOff>76200</xdr:colOff>
                    <xdr:row>31</xdr:row>
                    <xdr:rowOff>30480</xdr:rowOff>
                  </to>
                </anchor>
              </controlPr>
            </control>
          </mc:Choice>
        </mc:AlternateContent>
        <mc:AlternateContent xmlns:mc="http://schemas.openxmlformats.org/markup-compatibility/2006">
          <mc:Choice Requires="x14">
            <control shapeId="44168" r:id="rId36" name="Check Box 136">
              <controlPr defaultSize="0" autoFill="0" autoLine="0" autoPict="0">
                <anchor moveWithCells="1">
                  <from>
                    <xdr:col>7</xdr:col>
                    <xdr:colOff>388620</xdr:colOff>
                    <xdr:row>30</xdr:row>
                    <xdr:rowOff>182880</xdr:rowOff>
                  </from>
                  <to>
                    <xdr:col>8</xdr:col>
                    <xdr:colOff>76200</xdr:colOff>
                    <xdr:row>32</xdr:row>
                    <xdr:rowOff>30480</xdr:rowOff>
                  </to>
                </anchor>
              </controlPr>
            </control>
          </mc:Choice>
        </mc:AlternateContent>
        <mc:AlternateContent xmlns:mc="http://schemas.openxmlformats.org/markup-compatibility/2006">
          <mc:Choice Requires="x14">
            <control shapeId="44169" r:id="rId37" name="Check Box 137">
              <controlPr defaultSize="0" autoFill="0" autoLine="0" autoPict="0">
                <anchor moveWithCells="1">
                  <from>
                    <xdr:col>7</xdr:col>
                    <xdr:colOff>388620</xdr:colOff>
                    <xdr:row>30</xdr:row>
                    <xdr:rowOff>182880</xdr:rowOff>
                  </from>
                  <to>
                    <xdr:col>8</xdr:col>
                    <xdr:colOff>76200</xdr:colOff>
                    <xdr:row>32</xdr:row>
                    <xdr:rowOff>38100</xdr:rowOff>
                  </to>
                </anchor>
              </controlPr>
            </control>
          </mc:Choice>
        </mc:AlternateContent>
        <mc:AlternateContent xmlns:mc="http://schemas.openxmlformats.org/markup-compatibility/2006">
          <mc:Choice Requires="x14">
            <control shapeId="44170" r:id="rId38" name="Check Box 138">
              <controlPr defaultSize="0" autoFill="0" autoLine="0" autoPict="0">
                <anchor moveWithCells="1">
                  <from>
                    <xdr:col>7</xdr:col>
                    <xdr:colOff>388620</xdr:colOff>
                    <xdr:row>30</xdr:row>
                    <xdr:rowOff>182880</xdr:rowOff>
                  </from>
                  <to>
                    <xdr:col>8</xdr:col>
                    <xdr:colOff>76200</xdr:colOff>
                    <xdr:row>32</xdr:row>
                    <xdr:rowOff>30480</xdr:rowOff>
                  </to>
                </anchor>
              </controlPr>
            </control>
          </mc:Choice>
        </mc:AlternateContent>
        <mc:AlternateContent xmlns:mc="http://schemas.openxmlformats.org/markup-compatibility/2006">
          <mc:Choice Requires="x14">
            <control shapeId="44171" r:id="rId39" name="Check Box 139">
              <controlPr defaultSize="0" autoFill="0" autoLine="0" autoPict="0">
                <anchor moveWithCells="1">
                  <from>
                    <xdr:col>7</xdr:col>
                    <xdr:colOff>388620</xdr:colOff>
                    <xdr:row>31</xdr:row>
                    <xdr:rowOff>182880</xdr:rowOff>
                  </from>
                  <to>
                    <xdr:col>8</xdr:col>
                    <xdr:colOff>76200</xdr:colOff>
                    <xdr:row>33</xdr:row>
                    <xdr:rowOff>38100</xdr:rowOff>
                  </to>
                </anchor>
              </controlPr>
            </control>
          </mc:Choice>
        </mc:AlternateContent>
        <mc:AlternateContent xmlns:mc="http://schemas.openxmlformats.org/markup-compatibility/2006">
          <mc:Choice Requires="x14">
            <control shapeId="44172" r:id="rId40" name="Check Box 140">
              <controlPr defaultSize="0" autoFill="0" autoLine="0" autoPict="0">
                <anchor moveWithCells="1">
                  <from>
                    <xdr:col>7</xdr:col>
                    <xdr:colOff>388620</xdr:colOff>
                    <xdr:row>31</xdr:row>
                    <xdr:rowOff>182880</xdr:rowOff>
                  </from>
                  <to>
                    <xdr:col>8</xdr:col>
                    <xdr:colOff>76200</xdr:colOff>
                    <xdr:row>33</xdr:row>
                    <xdr:rowOff>45720</xdr:rowOff>
                  </to>
                </anchor>
              </controlPr>
            </control>
          </mc:Choice>
        </mc:AlternateContent>
        <mc:AlternateContent xmlns:mc="http://schemas.openxmlformats.org/markup-compatibility/2006">
          <mc:Choice Requires="x14">
            <control shapeId="44173" r:id="rId41" name="Check Box 141">
              <controlPr defaultSize="0" autoFill="0" autoLine="0" autoPict="0">
                <anchor moveWithCells="1">
                  <from>
                    <xdr:col>7</xdr:col>
                    <xdr:colOff>388620</xdr:colOff>
                    <xdr:row>31</xdr:row>
                    <xdr:rowOff>182880</xdr:rowOff>
                  </from>
                  <to>
                    <xdr:col>8</xdr:col>
                    <xdr:colOff>76200</xdr:colOff>
                    <xdr:row>33</xdr:row>
                    <xdr:rowOff>38100</xdr:rowOff>
                  </to>
                </anchor>
              </controlPr>
            </control>
          </mc:Choice>
        </mc:AlternateContent>
        <mc:AlternateContent xmlns:mc="http://schemas.openxmlformats.org/markup-compatibility/2006">
          <mc:Choice Requires="x14">
            <control shapeId="44179" r:id="rId42" name="Check Box 147">
              <controlPr defaultSize="0" autoFill="0" autoLine="0" autoPict="0">
                <anchor moveWithCells="1">
                  <from>
                    <xdr:col>7</xdr:col>
                    <xdr:colOff>388620</xdr:colOff>
                    <xdr:row>20</xdr:row>
                    <xdr:rowOff>182880</xdr:rowOff>
                  </from>
                  <to>
                    <xdr:col>8</xdr:col>
                    <xdr:colOff>76200</xdr:colOff>
                    <xdr:row>22</xdr:row>
                    <xdr:rowOff>38100</xdr:rowOff>
                  </to>
                </anchor>
              </controlPr>
            </control>
          </mc:Choice>
        </mc:AlternateContent>
        <mc:AlternateContent xmlns:mc="http://schemas.openxmlformats.org/markup-compatibility/2006">
          <mc:Choice Requires="x14">
            <control shapeId="44185" r:id="rId43" name="Check Box 153">
              <controlPr defaultSize="0" autoFill="0" autoLine="0" autoPict="0">
                <anchor moveWithCells="1">
                  <from>
                    <xdr:col>7</xdr:col>
                    <xdr:colOff>388620</xdr:colOff>
                    <xdr:row>24</xdr:row>
                    <xdr:rowOff>236220</xdr:rowOff>
                  </from>
                  <to>
                    <xdr:col>8</xdr:col>
                    <xdr:colOff>76200</xdr:colOff>
                    <xdr:row>26</xdr:row>
                    <xdr:rowOff>30480</xdr:rowOff>
                  </to>
                </anchor>
              </controlPr>
            </control>
          </mc:Choice>
        </mc:AlternateContent>
        <mc:AlternateContent xmlns:mc="http://schemas.openxmlformats.org/markup-compatibility/2006">
          <mc:Choice Requires="x14">
            <control shapeId="44186" r:id="rId44" name="Check Box 154">
              <controlPr defaultSize="0" autoFill="0" autoLine="0" autoPict="0">
                <anchor moveWithCells="1">
                  <from>
                    <xdr:col>7</xdr:col>
                    <xdr:colOff>388620</xdr:colOff>
                    <xdr:row>28</xdr:row>
                    <xdr:rowOff>182880</xdr:rowOff>
                  </from>
                  <to>
                    <xdr:col>8</xdr:col>
                    <xdr:colOff>76200</xdr:colOff>
                    <xdr:row>30</xdr:row>
                    <xdr:rowOff>38100</xdr:rowOff>
                  </to>
                </anchor>
              </controlPr>
            </control>
          </mc:Choice>
        </mc:AlternateContent>
        <mc:AlternateContent xmlns:mc="http://schemas.openxmlformats.org/markup-compatibility/2006">
          <mc:Choice Requires="x14">
            <control shapeId="44187" r:id="rId45" name="Check Box 155">
              <controlPr defaultSize="0" autoFill="0" autoLine="0" autoPict="0">
                <anchor moveWithCells="1">
                  <from>
                    <xdr:col>7</xdr:col>
                    <xdr:colOff>388620</xdr:colOff>
                    <xdr:row>28</xdr:row>
                    <xdr:rowOff>182880</xdr:rowOff>
                  </from>
                  <to>
                    <xdr:col>8</xdr:col>
                    <xdr:colOff>76200</xdr:colOff>
                    <xdr:row>30</xdr:row>
                    <xdr:rowOff>45720</xdr:rowOff>
                  </to>
                </anchor>
              </controlPr>
            </control>
          </mc:Choice>
        </mc:AlternateContent>
        <mc:AlternateContent xmlns:mc="http://schemas.openxmlformats.org/markup-compatibility/2006">
          <mc:Choice Requires="x14">
            <control shapeId="44188" r:id="rId46" name="Check Box 156">
              <controlPr defaultSize="0" autoFill="0" autoLine="0" autoPict="0">
                <anchor moveWithCells="1">
                  <from>
                    <xdr:col>7</xdr:col>
                    <xdr:colOff>388620</xdr:colOff>
                    <xdr:row>28</xdr:row>
                    <xdr:rowOff>182880</xdr:rowOff>
                  </from>
                  <to>
                    <xdr:col>8</xdr:col>
                    <xdr:colOff>76200</xdr:colOff>
                    <xdr:row>30</xdr:row>
                    <xdr:rowOff>38100</xdr:rowOff>
                  </to>
                </anchor>
              </controlPr>
            </control>
          </mc:Choice>
        </mc:AlternateContent>
        <mc:AlternateContent xmlns:mc="http://schemas.openxmlformats.org/markup-compatibility/2006">
          <mc:Choice Requires="x14">
            <control shapeId="44189" r:id="rId47" name="Check Box 157">
              <controlPr defaultSize="0" autoFill="0" autoLine="0" autoPict="0">
                <anchor moveWithCells="1">
                  <from>
                    <xdr:col>7</xdr:col>
                    <xdr:colOff>388620</xdr:colOff>
                    <xdr:row>29</xdr:row>
                    <xdr:rowOff>182880</xdr:rowOff>
                  </from>
                  <to>
                    <xdr:col>8</xdr:col>
                    <xdr:colOff>76200</xdr:colOff>
                    <xdr:row>31</xdr:row>
                    <xdr:rowOff>30480</xdr:rowOff>
                  </to>
                </anchor>
              </controlPr>
            </control>
          </mc:Choice>
        </mc:AlternateContent>
        <mc:AlternateContent xmlns:mc="http://schemas.openxmlformats.org/markup-compatibility/2006">
          <mc:Choice Requires="x14">
            <control shapeId="44190" r:id="rId48" name="Check Box 158">
              <controlPr defaultSize="0" autoFill="0" autoLine="0" autoPict="0">
                <anchor moveWithCells="1">
                  <from>
                    <xdr:col>7</xdr:col>
                    <xdr:colOff>388620</xdr:colOff>
                    <xdr:row>29</xdr:row>
                    <xdr:rowOff>182880</xdr:rowOff>
                  </from>
                  <to>
                    <xdr:col>8</xdr:col>
                    <xdr:colOff>76200</xdr:colOff>
                    <xdr:row>31</xdr:row>
                    <xdr:rowOff>38100</xdr:rowOff>
                  </to>
                </anchor>
              </controlPr>
            </control>
          </mc:Choice>
        </mc:AlternateContent>
        <mc:AlternateContent xmlns:mc="http://schemas.openxmlformats.org/markup-compatibility/2006">
          <mc:Choice Requires="x14">
            <control shapeId="44191" r:id="rId49" name="Check Box 159">
              <controlPr defaultSize="0" autoFill="0" autoLine="0" autoPict="0">
                <anchor moveWithCells="1">
                  <from>
                    <xdr:col>7</xdr:col>
                    <xdr:colOff>388620</xdr:colOff>
                    <xdr:row>29</xdr:row>
                    <xdr:rowOff>182880</xdr:rowOff>
                  </from>
                  <to>
                    <xdr:col>8</xdr:col>
                    <xdr:colOff>76200</xdr:colOff>
                    <xdr:row>31</xdr:row>
                    <xdr:rowOff>30480</xdr:rowOff>
                  </to>
                </anchor>
              </controlPr>
            </control>
          </mc:Choice>
        </mc:AlternateContent>
        <mc:AlternateContent xmlns:mc="http://schemas.openxmlformats.org/markup-compatibility/2006">
          <mc:Choice Requires="x14">
            <control shapeId="44192" r:id="rId50" name="Check Box 160">
              <controlPr defaultSize="0" autoFill="0" autoLine="0" autoPict="0">
                <anchor moveWithCells="1">
                  <from>
                    <xdr:col>7</xdr:col>
                    <xdr:colOff>388620</xdr:colOff>
                    <xdr:row>30</xdr:row>
                    <xdr:rowOff>182880</xdr:rowOff>
                  </from>
                  <to>
                    <xdr:col>8</xdr:col>
                    <xdr:colOff>76200</xdr:colOff>
                    <xdr:row>32</xdr:row>
                    <xdr:rowOff>30480</xdr:rowOff>
                  </to>
                </anchor>
              </controlPr>
            </control>
          </mc:Choice>
        </mc:AlternateContent>
        <mc:AlternateContent xmlns:mc="http://schemas.openxmlformats.org/markup-compatibility/2006">
          <mc:Choice Requires="x14">
            <control shapeId="44193" r:id="rId51" name="Check Box 161">
              <controlPr defaultSize="0" autoFill="0" autoLine="0" autoPict="0">
                <anchor moveWithCells="1">
                  <from>
                    <xdr:col>7</xdr:col>
                    <xdr:colOff>388620</xdr:colOff>
                    <xdr:row>30</xdr:row>
                    <xdr:rowOff>182880</xdr:rowOff>
                  </from>
                  <to>
                    <xdr:col>8</xdr:col>
                    <xdr:colOff>76200</xdr:colOff>
                    <xdr:row>32</xdr:row>
                    <xdr:rowOff>38100</xdr:rowOff>
                  </to>
                </anchor>
              </controlPr>
            </control>
          </mc:Choice>
        </mc:AlternateContent>
        <mc:AlternateContent xmlns:mc="http://schemas.openxmlformats.org/markup-compatibility/2006">
          <mc:Choice Requires="x14">
            <control shapeId="44194" r:id="rId52" name="Check Box 162">
              <controlPr defaultSize="0" autoFill="0" autoLine="0" autoPict="0">
                <anchor moveWithCells="1">
                  <from>
                    <xdr:col>7</xdr:col>
                    <xdr:colOff>388620</xdr:colOff>
                    <xdr:row>30</xdr:row>
                    <xdr:rowOff>182880</xdr:rowOff>
                  </from>
                  <to>
                    <xdr:col>8</xdr:col>
                    <xdr:colOff>76200</xdr:colOff>
                    <xdr:row>32</xdr:row>
                    <xdr:rowOff>30480</xdr:rowOff>
                  </to>
                </anchor>
              </controlPr>
            </control>
          </mc:Choice>
        </mc:AlternateContent>
        <mc:AlternateContent xmlns:mc="http://schemas.openxmlformats.org/markup-compatibility/2006">
          <mc:Choice Requires="x14">
            <control shapeId="44195" r:id="rId53" name="Check Box 163">
              <controlPr defaultSize="0" autoFill="0" autoLine="0" autoPict="0">
                <anchor moveWithCells="1">
                  <from>
                    <xdr:col>7</xdr:col>
                    <xdr:colOff>388620</xdr:colOff>
                    <xdr:row>31</xdr:row>
                    <xdr:rowOff>182880</xdr:rowOff>
                  </from>
                  <to>
                    <xdr:col>8</xdr:col>
                    <xdr:colOff>76200</xdr:colOff>
                    <xdr:row>33</xdr:row>
                    <xdr:rowOff>38100</xdr:rowOff>
                  </to>
                </anchor>
              </controlPr>
            </control>
          </mc:Choice>
        </mc:AlternateContent>
        <mc:AlternateContent xmlns:mc="http://schemas.openxmlformats.org/markup-compatibility/2006">
          <mc:Choice Requires="x14">
            <control shapeId="44196" r:id="rId54" name="Check Box 164">
              <controlPr defaultSize="0" autoFill="0" autoLine="0" autoPict="0">
                <anchor moveWithCells="1">
                  <from>
                    <xdr:col>7</xdr:col>
                    <xdr:colOff>388620</xdr:colOff>
                    <xdr:row>31</xdr:row>
                    <xdr:rowOff>182880</xdr:rowOff>
                  </from>
                  <to>
                    <xdr:col>8</xdr:col>
                    <xdr:colOff>76200</xdr:colOff>
                    <xdr:row>33</xdr:row>
                    <xdr:rowOff>45720</xdr:rowOff>
                  </to>
                </anchor>
              </controlPr>
            </control>
          </mc:Choice>
        </mc:AlternateContent>
        <mc:AlternateContent xmlns:mc="http://schemas.openxmlformats.org/markup-compatibility/2006">
          <mc:Choice Requires="x14">
            <control shapeId="44197" r:id="rId55" name="Check Box 165">
              <controlPr defaultSize="0" autoFill="0" autoLine="0" autoPict="0">
                <anchor moveWithCells="1">
                  <from>
                    <xdr:col>7</xdr:col>
                    <xdr:colOff>388620</xdr:colOff>
                    <xdr:row>31</xdr:row>
                    <xdr:rowOff>182880</xdr:rowOff>
                  </from>
                  <to>
                    <xdr:col>8</xdr:col>
                    <xdr:colOff>76200</xdr:colOff>
                    <xdr:row>33</xdr:row>
                    <xdr:rowOff>38100</xdr:rowOff>
                  </to>
                </anchor>
              </controlPr>
            </control>
          </mc:Choice>
        </mc:AlternateContent>
        <mc:AlternateContent xmlns:mc="http://schemas.openxmlformats.org/markup-compatibility/2006">
          <mc:Choice Requires="x14">
            <control shapeId="44198" r:id="rId56" name="Check Box 166">
              <controlPr defaultSize="0" autoFill="0" autoLine="0" autoPict="0">
                <anchor moveWithCells="1">
                  <from>
                    <xdr:col>7</xdr:col>
                    <xdr:colOff>388620</xdr:colOff>
                    <xdr:row>32</xdr:row>
                    <xdr:rowOff>182880</xdr:rowOff>
                  </from>
                  <to>
                    <xdr:col>8</xdr:col>
                    <xdr:colOff>76200</xdr:colOff>
                    <xdr:row>34</xdr:row>
                    <xdr:rowOff>30480</xdr:rowOff>
                  </to>
                </anchor>
              </controlPr>
            </control>
          </mc:Choice>
        </mc:AlternateContent>
        <mc:AlternateContent xmlns:mc="http://schemas.openxmlformats.org/markup-compatibility/2006">
          <mc:Choice Requires="x14">
            <control shapeId="44199" r:id="rId57" name="Check Box 167">
              <controlPr defaultSize="0" autoFill="0" autoLine="0" autoPict="0">
                <anchor moveWithCells="1">
                  <from>
                    <xdr:col>7</xdr:col>
                    <xdr:colOff>388620</xdr:colOff>
                    <xdr:row>32</xdr:row>
                    <xdr:rowOff>182880</xdr:rowOff>
                  </from>
                  <to>
                    <xdr:col>8</xdr:col>
                    <xdr:colOff>76200</xdr:colOff>
                    <xdr:row>34</xdr:row>
                    <xdr:rowOff>38100</xdr:rowOff>
                  </to>
                </anchor>
              </controlPr>
            </control>
          </mc:Choice>
        </mc:AlternateContent>
        <mc:AlternateContent xmlns:mc="http://schemas.openxmlformats.org/markup-compatibility/2006">
          <mc:Choice Requires="x14">
            <control shapeId="44200" r:id="rId58" name="Check Box 168">
              <controlPr defaultSize="0" autoFill="0" autoLine="0" autoPict="0">
                <anchor moveWithCells="1">
                  <from>
                    <xdr:col>7</xdr:col>
                    <xdr:colOff>388620</xdr:colOff>
                    <xdr:row>32</xdr:row>
                    <xdr:rowOff>182880</xdr:rowOff>
                  </from>
                  <to>
                    <xdr:col>8</xdr:col>
                    <xdr:colOff>76200</xdr:colOff>
                    <xdr:row>34</xdr:row>
                    <xdr:rowOff>30480</xdr:rowOff>
                  </to>
                </anchor>
              </controlPr>
            </control>
          </mc:Choice>
        </mc:AlternateContent>
        <mc:AlternateContent xmlns:mc="http://schemas.openxmlformats.org/markup-compatibility/2006">
          <mc:Choice Requires="x14">
            <control shapeId="44217" r:id="rId59" name="Check Box 185">
              <controlPr defaultSize="0" autoFill="0" autoLine="0" autoPict="0">
                <anchor moveWithCells="1">
                  <from>
                    <xdr:col>7</xdr:col>
                    <xdr:colOff>388620</xdr:colOff>
                    <xdr:row>39</xdr:row>
                    <xdr:rowOff>182880</xdr:rowOff>
                  </from>
                  <to>
                    <xdr:col>8</xdr:col>
                    <xdr:colOff>76200</xdr:colOff>
                    <xdr:row>41</xdr:row>
                    <xdr:rowOff>38100</xdr:rowOff>
                  </to>
                </anchor>
              </controlPr>
            </control>
          </mc:Choice>
        </mc:AlternateContent>
        <mc:AlternateContent xmlns:mc="http://schemas.openxmlformats.org/markup-compatibility/2006">
          <mc:Choice Requires="x14">
            <control shapeId="44218" r:id="rId60" name="Check Box 186">
              <controlPr defaultSize="0" autoFill="0" autoLine="0" autoPict="0">
                <anchor moveWithCells="1">
                  <from>
                    <xdr:col>7</xdr:col>
                    <xdr:colOff>388620</xdr:colOff>
                    <xdr:row>39</xdr:row>
                    <xdr:rowOff>182880</xdr:rowOff>
                  </from>
                  <to>
                    <xdr:col>8</xdr:col>
                    <xdr:colOff>76200</xdr:colOff>
                    <xdr:row>41</xdr:row>
                    <xdr:rowOff>45720</xdr:rowOff>
                  </to>
                </anchor>
              </controlPr>
            </control>
          </mc:Choice>
        </mc:AlternateContent>
        <mc:AlternateContent xmlns:mc="http://schemas.openxmlformats.org/markup-compatibility/2006">
          <mc:Choice Requires="x14">
            <control shapeId="44219" r:id="rId61" name="Check Box 187">
              <controlPr defaultSize="0" autoFill="0" autoLine="0" autoPict="0">
                <anchor moveWithCells="1">
                  <from>
                    <xdr:col>7</xdr:col>
                    <xdr:colOff>388620</xdr:colOff>
                    <xdr:row>39</xdr:row>
                    <xdr:rowOff>182880</xdr:rowOff>
                  </from>
                  <to>
                    <xdr:col>8</xdr:col>
                    <xdr:colOff>76200</xdr:colOff>
                    <xdr:row>41</xdr:row>
                    <xdr:rowOff>38100</xdr:rowOff>
                  </to>
                </anchor>
              </controlPr>
            </control>
          </mc:Choice>
        </mc:AlternateContent>
        <mc:AlternateContent xmlns:mc="http://schemas.openxmlformats.org/markup-compatibility/2006">
          <mc:Choice Requires="x14">
            <control shapeId="44220" r:id="rId62" name="Check Box 188">
              <controlPr defaultSize="0" autoFill="0" autoLine="0" autoPict="0">
                <anchor moveWithCells="1">
                  <from>
                    <xdr:col>7</xdr:col>
                    <xdr:colOff>388620</xdr:colOff>
                    <xdr:row>40</xdr:row>
                    <xdr:rowOff>266700</xdr:rowOff>
                  </from>
                  <to>
                    <xdr:col>8</xdr:col>
                    <xdr:colOff>76200</xdr:colOff>
                    <xdr:row>42</xdr:row>
                    <xdr:rowOff>121920</xdr:rowOff>
                  </to>
                </anchor>
              </controlPr>
            </control>
          </mc:Choice>
        </mc:AlternateContent>
        <mc:AlternateContent xmlns:mc="http://schemas.openxmlformats.org/markup-compatibility/2006">
          <mc:Choice Requires="x14">
            <control shapeId="44223" r:id="rId63" name="Check Box 191">
              <controlPr defaultSize="0" autoFill="0" autoLine="0" autoPict="0">
                <anchor moveWithCells="1">
                  <from>
                    <xdr:col>7</xdr:col>
                    <xdr:colOff>388620</xdr:colOff>
                    <xdr:row>41</xdr:row>
                    <xdr:rowOff>182880</xdr:rowOff>
                  </from>
                  <to>
                    <xdr:col>8</xdr:col>
                    <xdr:colOff>76200</xdr:colOff>
                    <xdr:row>43</xdr:row>
                    <xdr:rowOff>38100</xdr:rowOff>
                  </to>
                </anchor>
              </controlPr>
            </control>
          </mc:Choice>
        </mc:AlternateContent>
        <mc:AlternateContent xmlns:mc="http://schemas.openxmlformats.org/markup-compatibility/2006">
          <mc:Choice Requires="x14">
            <control shapeId="44224" r:id="rId64" name="Check Box 192">
              <controlPr defaultSize="0" autoFill="0" autoLine="0" autoPict="0">
                <anchor moveWithCells="1">
                  <from>
                    <xdr:col>7</xdr:col>
                    <xdr:colOff>388620</xdr:colOff>
                    <xdr:row>41</xdr:row>
                    <xdr:rowOff>182880</xdr:rowOff>
                  </from>
                  <to>
                    <xdr:col>8</xdr:col>
                    <xdr:colOff>76200</xdr:colOff>
                    <xdr:row>43</xdr:row>
                    <xdr:rowOff>45720</xdr:rowOff>
                  </to>
                </anchor>
              </controlPr>
            </control>
          </mc:Choice>
        </mc:AlternateContent>
        <mc:AlternateContent xmlns:mc="http://schemas.openxmlformats.org/markup-compatibility/2006">
          <mc:Choice Requires="x14">
            <control shapeId="44225" r:id="rId65" name="Check Box 193">
              <controlPr defaultSize="0" autoFill="0" autoLine="0" autoPict="0">
                <anchor moveWithCells="1">
                  <from>
                    <xdr:col>7</xdr:col>
                    <xdr:colOff>388620</xdr:colOff>
                    <xdr:row>41</xdr:row>
                    <xdr:rowOff>182880</xdr:rowOff>
                  </from>
                  <to>
                    <xdr:col>8</xdr:col>
                    <xdr:colOff>76200</xdr:colOff>
                    <xdr:row>43</xdr:row>
                    <xdr:rowOff>38100</xdr:rowOff>
                  </to>
                </anchor>
              </controlPr>
            </control>
          </mc:Choice>
        </mc:AlternateContent>
        <mc:AlternateContent xmlns:mc="http://schemas.openxmlformats.org/markup-compatibility/2006">
          <mc:Choice Requires="x14">
            <control shapeId="44232" r:id="rId66" name="Check Box 200">
              <controlPr defaultSize="0" autoFill="0" autoLine="0" autoPict="0">
                <anchor moveWithCells="1">
                  <from>
                    <xdr:col>7</xdr:col>
                    <xdr:colOff>388620</xdr:colOff>
                    <xdr:row>39</xdr:row>
                    <xdr:rowOff>182880</xdr:rowOff>
                  </from>
                  <to>
                    <xdr:col>8</xdr:col>
                    <xdr:colOff>76200</xdr:colOff>
                    <xdr:row>41</xdr:row>
                    <xdr:rowOff>38100</xdr:rowOff>
                  </to>
                </anchor>
              </controlPr>
            </control>
          </mc:Choice>
        </mc:AlternateContent>
        <mc:AlternateContent xmlns:mc="http://schemas.openxmlformats.org/markup-compatibility/2006">
          <mc:Choice Requires="x14">
            <control shapeId="44233" r:id="rId67" name="Check Box 201">
              <controlPr defaultSize="0" autoFill="0" autoLine="0" autoPict="0">
                <anchor moveWithCells="1">
                  <from>
                    <xdr:col>7</xdr:col>
                    <xdr:colOff>388620</xdr:colOff>
                    <xdr:row>39</xdr:row>
                    <xdr:rowOff>182880</xdr:rowOff>
                  </from>
                  <to>
                    <xdr:col>8</xdr:col>
                    <xdr:colOff>76200</xdr:colOff>
                    <xdr:row>41</xdr:row>
                    <xdr:rowOff>45720</xdr:rowOff>
                  </to>
                </anchor>
              </controlPr>
            </control>
          </mc:Choice>
        </mc:AlternateContent>
        <mc:AlternateContent xmlns:mc="http://schemas.openxmlformats.org/markup-compatibility/2006">
          <mc:Choice Requires="x14">
            <control shapeId="44234" r:id="rId68" name="Check Box 202">
              <controlPr defaultSize="0" autoFill="0" autoLine="0" autoPict="0">
                <anchor moveWithCells="1">
                  <from>
                    <xdr:col>7</xdr:col>
                    <xdr:colOff>388620</xdr:colOff>
                    <xdr:row>39</xdr:row>
                    <xdr:rowOff>182880</xdr:rowOff>
                  </from>
                  <to>
                    <xdr:col>8</xdr:col>
                    <xdr:colOff>76200</xdr:colOff>
                    <xdr:row>41</xdr:row>
                    <xdr:rowOff>38100</xdr:rowOff>
                  </to>
                </anchor>
              </controlPr>
            </control>
          </mc:Choice>
        </mc:AlternateContent>
        <mc:AlternateContent xmlns:mc="http://schemas.openxmlformats.org/markup-compatibility/2006">
          <mc:Choice Requires="x14">
            <control shapeId="44238" r:id="rId69" name="Check Box 206">
              <controlPr defaultSize="0" autoFill="0" autoLine="0" autoPict="0">
                <anchor moveWithCells="1">
                  <from>
                    <xdr:col>7</xdr:col>
                    <xdr:colOff>388620</xdr:colOff>
                    <xdr:row>41</xdr:row>
                    <xdr:rowOff>182880</xdr:rowOff>
                  </from>
                  <to>
                    <xdr:col>8</xdr:col>
                    <xdr:colOff>76200</xdr:colOff>
                    <xdr:row>43</xdr:row>
                    <xdr:rowOff>38100</xdr:rowOff>
                  </to>
                </anchor>
              </controlPr>
            </control>
          </mc:Choice>
        </mc:AlternateContent>
        <mc:AlternateContent xmlns:mc="http://schemas.openxmlformats.org/markup-compatibility/2006">
          <mc:Choice Requires="x14">
            <control shapeId="44239" r:id="rId70" name="Check Box 207">
              <controlPr defaultSize="0" autoFill="0" autoLine="0" autoPict="0">
                <anchor moveWithCells="1">
                  <from>
                    <xdr:col>7</xdr:col>
                    <xdr:colOff>388620</xdr:colOff>
                    <xdr:row>41</xdr:row>
                    <xdr:rowOff>182880</xdr:rowOff>
                  </from>
                  <to>
                    <xdr:col>8</xdr:col>
                    <xdr:colOff>76200</xdr:colOff>
                    <xdr:row>43</xdr:row>
                    <xdr:rowOff>45720</xdr:rowOff>
                  </to>
                </anchor>
              </controlPr>
            </control>
          </mc:Choice>
        </mc:AlternateContent>
        <mc:AlternateContent xmlns:mc="http://schemas.openxmlformats.org/markup-compatibility/2006">
          <mc:Choice Requires="x14">
            <control shapeId="44240" r:id="rId71" name="Check Box 208">
              <controlPr defaultSize="0" autoFill="0" autoLine="0" autoPict="0">
                <anchor moveWithCells="1">
                  <from>
                    <xdr:col>7</xdr:col>
                    <xdr:colOff>388620</xdr:colOff>
                    <xdr:row>41</xdr:row>
                    <xdr:rowOff>182880</xdr:rowOff>
                  </from>
                  <to>
                    <xdr:col>8</xdr:col>
                    <xdr:colOff>76200</xdr:colOff>
                    <xdr:row>43</xdr:row>
                    <xdr:rowOff>38100</xdr:rowOff>
                  </to>
                </anchor>
              </controlPr>
            </control>
          </mc:Choice>
        </mc:AlternateContent>
        <mc:AlternateContent xmlns:mc="http://schemas.openxmlformats.org/markup-compatibility/2006">
          <mc:Choice Requires="x14">
            <control shapeId="44241" r:id="rId72" name="Check Box 209">
              <controlPr defaultSize="0" autoFill="0" autoLine="0" autoPict="0">
                <anchor moveWithCells="1">
                  <from>
                    <xdr:col>7</xdr:col>
                    <xdr:colOff>388620</xdr:colOff>
                    <xdr:row>42</xdr:row>
                    <xdr:rowOff>182880</xdr:rowOff>
                  </from>
                  <to>
                    <xdr:col>8</xdr:col>
                    <xdr:colOff>76200</xdr:colOff>
                    <xdr:row>44</xdr:row>
                    <xdr:rowOff>38100</xdr:rowOff>
                  </to>
                </anchor>
              </controlPr>
            </control>
          </mc:Choice>
        </mc:AlternateContent>
        <mc:AlternateContent xmlns:mc="http://schemas.openxmlformats.org/markup-compatibility/2006">
          <mc:Choice Requires="x14">
            <control shapeId="44242" r:id="rId73" name="Check Box 210">
              <controlPr defaultSize="0" autoFill="0" autoLine="0" autoPict="0">
                <anchor moveWithCells="1">
                  <from>
                    <xdr:col>7</xdr:col>
                    <xdr:colOff>388620</xdr:colOff>
                    <xdr:row>42</xdr:row>
                    <xdr:rowOff>182880</xdr:rowOff>
                  </from>
                  <to>
                    <xdr:col>8</xdr:col>
                    <xdr:colOff>76200</xdr:colOff>
                    <xdr:row>44</xdr:row>
                    <xdr:rowOff>45720</xdr:rowOff>
                  </to>
                </anchor>
              </controlPr>
            </control>
          </mc:Choice>
        </mc:AlternateContent>
        <mc:AlternateContent xmlns:mc="http://schemas.openxmlformats.org/markup-compatibility/2006">
          <mc:Choice Requires="x14">
            <control shapeId="44243" r:id="rId74" name="Check Box 211">
              <controlPr defaultSize="0" autoFill="0" autoLine="0" autoPict="0">
                <anchor moveWithCells="1">
                  <from>
                    <xdr:col>7</xdr:col>
                    <xdr:colOff>388620</xdr:colOff>
                    <xdr:row>42</xdr:row>
                    <xdr:rowOff>182880</xdr:rowOff>
                  </from>
                  <to>
                    <xdr:col>8</xdr:col>
                    <xdr:colOff>76200</xdr:colOff>
                    <xdr:row>44</xdr:row>
                    <xdr:rowOff>38100</xdr:rowOff>
                  </to>
                </anchor>
              </controlPr>
            </control>
          </mc:Choice>
        </mc:AlternateContent>
        <mc:AlternateContent xmlns:mc="http://schemas.openxmlformats.org/markup-compatibility/2006">
          <mc:Choice Requires="x14">
            <control shapeId="44244" r:id="rId75" name="Check Box 212">
              <controlPr defaultSize="0" autoFill="0" autoLine="0" autoPict="0">
                <anchor moveWithCells="1">
                  <from>
                    <xdr:col>2</xdr:col>
                    <xdr:colOff>388620</xdr:colOff>
                    <xdr:row>24</xdr:row>
                    <xdr:rowOff>251460</xdr:rowOff>
                  </from>
                  <to>
                    <xdr:col>3</xdr:col>
                    <xdr:colOff>76200</xdr:colOff>
                    <xdr:row>26</xdr:row>
                    <xdr:rowOff>38100</xdr:rowOff>
                  </to>
                </anchor>
              </controlPr>
            </control>
          </mc:Choice>
        </mc:AlternateContent>
        <mc:AlternateContent xmlns:mc="http://schemas.openxmlformats.org/markup-compatibility/2006">
          <mc:Choice Requires="x14">
            <control shapeId="44245" r:id="rId76" name="Check Box 213">
              <controlPr defaultSize="0" autoFill="0" autoLine="0" autoPict="0">
                <anchor moveWithCells="1">
                  <from>
                    <xdr:col>2</xdr:col>
                    <xdr:colOff>388620</xdr:colOff>
                    <xdr:row>26</xdr:row>
                    <xdr:rowOff>182880</xdr:rowOff>
                  </from>
                  <to>
                    <xdr:col>3</xdr:col>
                    <xdr:colOff>76200</xdr:colOff>
                    <xdr:row>28</xdr:row>
                    <xdr:rowOff>38100</xdr:rowOff>
                  </to>
                </anchor>
              </controlPr>
            </control>
          </mc:Choice>
        </mc:AlternateContent>
        <mc:AlternateContent xmlns:mc="http://schemas.openxmlformats.org/markup-compatibility/2006">
          <mc:Choice Requires="x14">
            <control shapeId="44246" r:id="rId77" name="Check Box 214">
              <controlPr defaultSize="0" autoFill="0" autoLine="0" autoPict="0">
                <anchor moveWithCells="1">
                  <from>
                    <xdr:col>2</xdr:col>
                    <xdr:colOff>388620</xdr:colOff>
                    <xdr:row>27</xdr:row>
                    <xdr:rowOff>182880</xdr:rowOff>
                  </from>
                  <to>
                    <xdr:col>3</xdr:col>
                    <xdr:colOff>76200</xdr:colOff>
                    <xdr:row>29</xdr:row>
                    <xdr:rowOff>38100</xdr:rowOff>
                  </to>
                </anchor>
              </controlPr>
            </control>
          </mc:Choice>
        </mc:AlternateContent>
        <mc:AlternateContent xmlns:mc="http://schemas.openxmlformats.org/markup-compatibility/2006">
          <mc:Choice Requires="x14">
            <control shapeId="44247" r:id="rId78" name="Check Box 215">
              <controlPr defaultSize="0" autoFill="0" autoLine="0" autoPict="0">
                <anchor moveWithCells="1">
                  <from>
                    <xdr:col>2</xdr:col>
                    <xdr:colOff>388620</xdr:colOff>
                    <xdr:row>36</xdr:row>
                    <xdr:rowOff>289560</xdr:rowOff>
                  </from>
                  <to>
                    <xdr:col>3</xdr:col>
                    <xdr:colOff>76200</xdr:colOff>
                    <xdr:row>38</xdr:row>
                    <xdr:rowOff>38100</xdr:rowOff>
                  </to>
                </anchor>
              </controlPr>
            </control>
          </mc:Choice>
        </mc:AlternateContent>
        <mc:AlternateContent xmlns:mc="http://schemas.openxmlformats.org/markup-compatibility/2006">
          <mc:Choice Requires="x14">
            <control shapeId="44248" r:id="rId79" name="Check Box 216">
              <controlPr defaultSize="0" autoFill="0" autoLine="0" autoPict="0">
                <anchor moveWithCells="1">
                  <from>
                    <xdr:col>2</xdr:col>
                    <xdr:colOff>388620</xdr:colOff>
                    <xdr:row>36</xdr:row>
                    <xdr:rowOff>22860</xdr:rowOff>
                  </from>
                  <to>
                    <xdr:col>3</xdr:col>
                    <xdr:colOff>76200</xdr:colOff>
                    <xdr:row>36</xdr:row>
                    <xdr:rowOff>304800</xdr:rowOff>
                  </to>
                </anchor>
              </controlPr>
            </control>
          </mc:Choice>
        </mc:AlternateContent>
        <mc:AlternateContent xmlns:mc="http://schemas.openxmlformats.org/markup-compatibility/2006">
          <mc:Choice Requires="x14">
            <control shapeId="44249" r:id="rId80" name="Check Box 217">
              <controlPr defaultSize="0" autoFill="0" autoLine="0" autoPict="0">
                <anchor moveWithCells="1">
                  <from>
                    <xdr:col>2</xdr:col>
                    <xdr:colOff>388620</xdr:colOff>
                    <xdr:row>33</xdr:row>
                    <xdr:rowOff>182880</xdr:rowOff>
                  </from>
                  <to>
                    <xdr:col>3</xdr:col>
                    <xdr:colOff>76200</xdr:colOff>
                    <xdr:row>35</xdr:row>
                    <xdr:rowOff>45720</xdr:rowOff>
                  </to>
                </anchor>
              </controlPr>
            </control>
          </mc:Choice>
        </mc:AlternateContent>
        <mc:AlternateContent xmlns:mc="http://schemas.openxmlformats.org/markup-compatibility/2006">
          <mc:Choice Requires="x14">
            <control shapeId="44250" r:id="rId81" name="Check Box 218">
              <controlPr defaultSize="0" autoFill="0" autoLine="0" autoPict="0">
                <anchor moveWithCells="1">
                  <from>
                    <xdr:col>2</xdr:col>
                    <xdr:colOff>388620</xdr:colOff>
                    <xdr:row>34</xdr:row>
                    <xdr:rowOff>182880</xdr:rowOff>
                  </from>
                  <to>
                    <xdr:col>3</xdr:col>
                    <xdr:colOff>76200</xdr:colOff>
                    <xdr:row>36</xdr:row>
                    <xdr:rowOff>45720</xdr:rowOff>
                  </to>
                </anchor>
              </controlPr>
            </control>
          </mc:Choice>
        </mc:AlternateContent>
        <mc:AlternateContent xmlns:mc="http://schemas.openxmlformats.org/markup-compatibility/2006">
          <mc:Choice Requires="x14">
            <control shapeId="44252" r:id="rId82" name="Check Box 220">
              <controlPr defaultSize="0" autoFill="0" autoLine="0" autoPict="0">
                <anchor moveWithCells="1">
                  <from>
                    <xdr:col>2</xdr:col>
                    <xdr:colOff>388620</xdr:colOff>
                    <xdr:row>41</xdr:row>
                    <xdr:rowOff>182880</xdr:rowOff>
                  </from>
                  <to>
                    <xdr:col>3</xdr:col>
                    <xdr:colOff>76200</xdr:colOff>
                    <xdr:row>43</xdr:row>
                    <xdr:rowOff>45720</xdr:rowOff>
                  </to>
                </anchor>
              </controlPr>
            </control>
          </mc:Choice>
        </mc:AlternateContent>
        <mc:AlternateContent xmlns:mc="http://schemas.openxmlformats.org/markup-compatibility/2006">
          <mc:Choice Requires="x14">
            <control shapeId="44253" r:id="rId83" name="Check Box 221">
              <controlPr defaultSize="0" autoFill="0" autoLine="0" autoPict="0">
                <anchor moveWithCells="1">
                  <from>
                    <xdr:col>2</xdr:col>
                    <xdr:colOff>388620</xdr:colOff>
                    <xdr:row>48</xdr:row>
                    <xdr:rowOff>182880</xdr:rowOff>
                  </from>
                  <to>
                    <xdr:col>3</xdr:col>
                    <xdr:colOff>76200</xdr:colOff>
                    <xdr:row>50</xdr:row>
                    <xdr:rowOff>45720</xdr:rowOff>
                  </to>
                </anchor>
              </controlPr>
            </control>
          </mc:Choice>
        </mc:AlternateContent>
        <mc:AlternateContent xmlns:mc="http://schemas.openxmlformats.org/markup-compatibility/2006">
          <mc:Choice Requires="x14">
            <control shapeId="44255" r:id="rId84" name="Check Box 223">
              <controlPr defaultSize="0" autoFill="0" autoLine="0" autoPict="0">
                <anchor moveWithCells="1">
                  <from>
                    <xdr:col>7</xdr:col>
                    <xdr:colOff>388620</xdr:colOff>
                    <xdr:row>41</xdr:row>
                    <xdr:rowOff>182880</xdr:rowOff>
                  </from>
                  <to>
                    <xdr:col>8</xdr:col>
                    <xdr:colOff>76200</xdr:colOff>
                    <xdr:row>43</xdr:row>
                    <xdr:rowOff>38100</xdr:rowOff>
                  </to>
                </anchor>
              </controlPr>
            </control>
          </mc:Choice>
        </mc:AlternateContent>
        <mc:AlternateContent xmlns:mc="http://schemas.openxmlformats.org/markup-compatibility/2006">
          <mc:Choice Requires="x14">
            <control shapeId="44256" r:id="rId85" name="Check Box 224">
              <controlPr defaultSize="0" autoFill="0" autoLine="0" autoPict="0">
                <anchor moveWithCells="1">
                  <from>
                    <xdr:col>7</xdr:col>
                    <xdr:colOff>388620</xdr:colOff>
                    <xdr:row>41</xdr:row>
                    <xdr:rowOff>182880</xdr:rowOff>
                  </from>
                  <to>
                    <xdr:col>8</xdr:col>
                    <xdr:colOff>76200</xdr:colOff>
                    <xdr:row>43</xdr:row>
                    <xdr:rowOff>45720</xdr:rowOff>
                  </to>
                </anchor>
              </controlPr>
            </control>
          </mc:Choice>
        </mc:AlternateContent>
        <mc:AlternateContent xmlns:mc="http://schemas.openxmlformats.org/markup-compatibility/2006">
          <mc:Choice Requires="x14">
            <control shapeId="44257" r:id="rId86" name="Check Box 225">
              <controlPr defaultSize="0" autoFill="0" autoLine="0" autoPict="0">
                <anchor moveWithCells="1">
                  <from>
                    <xdr:col>7</xdr:col>
                    <xdr:colOff>388620</xdr:colOff>
                    <xdr:row>41</xdr:row>
                    <xdr:rowOff>182880</xdr:rowOff>
                  </from>
                  <to>
                    <xdr:col>8</xdr:col>
                    <xdr:colOff>76200</xdr:colOff>
                    <xdr:row>43</xdr:row>
                    <xdr:rowOff>38100</xdr:rowOff>
                  </to>
                </anchor>
              </controlPr>
            </control>
          </mc:Choice>
        </mc:AlternateContent>
        <mc:AlternateContent xmlns:mc="http://schemas.openxmlformats.org/markup-compatibility/2006">
          <mc:Choice Requires="x14">
            <control shapeId="44258" r:id="rId87" name="Check Box 226">
              <controlPr defaultSize="0" autoFill="0" autoLine="0" autoPict="0">
                <anchor moveWithCells="1">
                  <from>
                    <xdr:col>7</xdr:col>
                    <xdr:colOff>388620</xdr:colOff>
                    <xdr:row>42</xdr:row>
                    <xdr:rowOff>182880</xdr:rowOff>
                  </from>
                  <to>
                    <xdr:col>8</xdr:col>
                    <xdr:colOff>76200</xdr:colOff>
                    <xdr:row>44</xdr:row>
                    <xdr:rowOff>38100</xdr:rowOff>
                  </to>
                </anchor>
              </controlPr>
            </control>
          </mc:Choice>
        </mc:AlternateContent>
        <mc:AlternateContent xmlns:mc="http://schemas.openxmlformats.org/markup-compatibility/2006">
          <mc:Choice Requires="x14">
            <control shapeId="44259" r:id="rId88" name="Check Box 227">
              <controlPr defaultSize="0" autoFill="0" autoLine="0" autoPict="0">
                <anchor moveWithCells="1">
                  <from>
                    <xdr:col>7</xdr:col>
                    <xdr:colOff>388620</xdr:colOff>
                    <xdr:row>42</xdr:row>
                    <xdr:rowOff>182880</xdr:rowOff>
                  </from>
                  <to>
                    <xdr:col>8</xdr:col>
                    <xdr:colOff>76200</xdr:colOff>
                    <xdr:row>44</xdr:row>
                    <xdr:rowOff>45720</xdr:rowOff>
                  </to>
                </anchor>
              </controlPr>
            </control>
          </mc:Choice>
        </mc:AlternateContent>
        <mc:AlternateContent xmlns:mc="http://schemas.openxmlformats.org/markup-compatibility/2006">
          <mc:Choice Requires="x14">
            <control shapeId="44260" r:id="rId89" name="Check Box 228">
              <controlPr defaultSize="0" autoFill="0" autoLine="0" autoPict="0">
                <anchor moveWithCells="1">
                  <from>
                    <xdr:col>7</xdr:col>
                    <xdr:colOff>388620</xdr:colOff>
                    <xdr:row>42</xdr:row>
                    <xdr:rowOff>182880</xdr:rowOff>
                  </from>
                  <to>
                    <xdr:col>8</xdr:col>
                    <xdr:colOff>76200</xdr:colOff>
                    <xdr:row>44</xdr:row>
                    <xdr:rowOff>38100</xdr:rowOff>
                  </to>
                </anchor>
              </controlPr>
            </control>
          </mc:Choice>
        </mc:AlternateContent>
        <mc:AlternateContent xmlns:mc="http://schemas.openxmlformats.org/markup-compatibility/2006">
          <mc:Choice Requires="x14">
            <control shapeId="44261" r:id="rId90" name="Check Box 229">
              <controlPr defaultSize="0" autoFill="0" autoLine="0" autoPict="0">
                <anchor moveWithCells="1">
                  <from>
                    <xdr:col>7</xdr:col>
                    <xdr:colOff>388620</xdr:colOff>
                    <xdr:row>31</xdr:row>
                    <xdr:rowOff>182880</xdr:rowOff>
                  </from>
                  <to>
                    <xdr:col>8</xdr:col>
                    <xdr:colOff>76200</xdr:colOff>
                    <xdr:row>33</xdr:row>
                    <xdr:rowOff>38100</xdr:rowOff>
                  </to>
                </anchor>
              </controlPr>
            </control>
          </mc:Choice>
        </mc:AlternateContent>
        <mc:AlternateContent xmlns:mc="http://schemas.openxmlformats.org/markup-compatibility/2006">
          <mc:Choice Requires="x14">
            <control shapeId="44262" r:id="rId91" name="Check Box 230">
              <controlPr defaultSize="0" autoFill="0" autoLine="0" autoPict="0">
                <anchor moveWithCells="1">
                  <from>
                    <xdr:col>7</xdr:col>
                    <xdr:colOff>388620</xdr:colOff>
                    <xdr:row>31</xdr:row>
                    <xdr:rowOff>182880</xdr:rowOff>
                  </from>
                  <to>
                    <xdr:col>8</xdr:col>
                    <xdr:colOff>76200</xdr:colOff>
                    <xdr:row>33</xdr:row>
                    <xdr:rowOff>45720</xdr:rowOff>
                  </to>
                </anchor>
              </controlPr>
            </control>
          </mc:Choice>
        </mc:AlternateContent>
        <mc:AlternateContent xmlns:mc="http://schemas.openxmlformats.org/markup-compatibility/2006">
          <mc:Choice Requires="x14">
            <control shapeId="44263" r:id="rId92" name="Check Box 231">
              <controlPr defaultSize="0" autoFill="0" autoLine="0" autoPict="0">
                <anchor moveWithCells="1">
                  <from>
                    <xdr:col>7</xdr:col>
                    <xdr:colOff>388620</xdr:colOff>
                    <xdr:row>31</xdr:row>
                    <xdr:rowOff>182880</xdr:rowOff>
                  </from>
                  <to>
                    <xdr:col>8</xdr:col>
                    <xdr:colOff>76200</xdr:colOff>
                    <xdr:row>33</xdr:row>
                    <xdr:rowOff>38100</xdr:rowOff>
                  </to>
                </anchor>
              </controlPr>
            </control>
          </mc:Choice>
        </mc:AlternateContent>
        <mc:AlternateContent xmlns:mc="http://schemas.openxmlformats.org/markup-compatibility/2006">
          <mc:Choice Requires="x14">
            <control shapeId="44264" r:id="rId93" name="Check Box 232">
              <controlPr defaultSize="0" autoFill="0" autoLine="0" autoPict="0">
                <anchor moveWithCells="1">
                  <from>
                    <xdr:col>7</xdr:col>
                    <xdr:colOff>388620</xdr:colOff>
                    <xdr:row>32</xdr:row>
                    <xdr:rowOff>182880</xdr:rowOff>
                  </from>
                  <to>
                    <xdr:col>8</xdr:col>
                    <xdr:colOff>76200</xdr:colOff>
                    <xdr:row>34</xdr:row>
                    <xdr:rowOff>30480</xdr:rowOff>
                  </to>
                </anchor>
              </controlPr>
            </control>
          </mc:Choice>
        </mc:AlternateContent>
        <mc:AlternateContent xmlns:mc="http://schemas.openxmlformats.org/markup-compatibility/2006">
          <mc:Choice Requires="x14">
            <control shapeId="44265" r:id="rId94" name="Check Box 233">
              <controlPr defaultSize="0" autoFill="0" autoLine="0" autoPict="0">
                <anchor moveWithCells="1">
                  <from>
                    <xdr:col>7</xdr:col>
                    <xdr:colOff>388620</xdr:colOff>
                    <xdr:row>32</xdr:row>
                    <xdr:rowOff>182880</xdr:rowOff>
                  </from>
                  <to>
                    <xdr:col>8</xdr:col>
                    <xdr:colOff>76200</xdr:colOff>
                    <xdr:row>34</xdr:row>
                    <xdr:rowOff>38100</xdr:rowOff>
                  </to>
                </anchor>
              </controlPr>
            </control>
          </mc:Choice>
        </mc:AlternateContent>
        <mc:AlternateContent xmlns:mc="http://schemas.openxmlformats.org/markup-compatibility/2006">
          <mc:Choice Requires="x14">
            <control shapeId="44266" r:id="rId95" name="Check Box 234">
              <controlPr defaultSize="0" autoFill="0" autoLine="0" autoPict="0">
                <anchor moveWithCells="1">
                  <from>
                    <xdr:col>7</xdr:col>
                    <xdr:colOff>388620</xdr:colOff>
                    <xdr:row>32</xdr:row>
                    <xdr:rowOff>182880</xdr:rowOff>
                  </from>
                  <to>
                    <xdr:col>8</xdr:col>
                    <xdr:colOff>76200</xdr:colOff>
                    <xdr:row>34</xdr:row>
                    <xdr:rowOff>30480</xdr:rowOff>
                  </to>
                </anchor>
              </controlPr>
            </control>
          </mc:Choice>
        </mc:AlternateContent>
        <mc:AlternateContent xmlns:mc="http://schemas.openxmlformats.org/markup-compatibility/2006">
          <mc:Choice Requires="x14">
            <control shapeId="44267" r:id="rId96" name="Check Box 235">
              <controlPr defaultSize="0" autoFill="0" autoLine="0" autoPict="0">
                <anchor moveWithCells="1">
                  <from>
                    <xdr:col>13</xdr:col>
                    <xdr:colOff>388620</xdr:colOff>
                    <xdr:row>12</xdr:row>
                    <xdr:rowOff>182880</xdr:rowOff>
                  </from>
                  <to>
                    <xdr:col>14</xdr:col>
                    <xdr:colOff>76200</xdr:colOff>
                    <xdr:row>14</xdr:row>
                    <xdr:rowOff>60960</xdr:rowOff>
                  </to>
                </anchor>
              </controlPr>
            </control>
          </mc:Choice>
        </mc:AlternateContent>
        <mc:AlternateContent xmlns:mc="http://schemas.openxmlformats.org/markup-compatibility/2006">
          <mc:Choice Requires="x14">
            <control shapeId="44268" r:id="rId97" name="Check Box 236">
              <controlPr defaultSize="0" autoFill="0" autoLine="0" autoPict="0">
                <anchor moveWithCells="1">
                  <from>
                    <xdr:col>13</xdr:col>
                    <xdr:colOff>388620</xdr:colOff>
                    <xdr:row>13</xdr:row>
                    <xdr:rowOff>182880</xdr:rowOff>
                  </from>
                  <to>
                    <xdr:col>14</xdr:col>
                    <xdr:colOff>76200</xdr:colOff>
                    <xdr:row>15</xdr:row>
                    <xdr:rowOff>30480</xdr:rowOff>
                  </to>
                </anchor>
              </controlPr>
            </control>
          </mc:Choice>
        </mc:AlternateContent>
        <mc:AlternateContent xmlns:mc="http://schemas.openxmlformats.org/markup-compatibility/2006">
          <mc:Choice Requires="x14">
            <control shapeId="44269" r:id="rId98" name="Check Box 237">
              <controlPr defaultSize="0" autoFill="0" autoLine="0" autoPict="0">
                <anchor moveWithCells="1">
                  <from>
                    <xdr:col>13</xdr:col>
                    <xdr:colOff>388620</xdr:colOff>
                    <xdr:row>14</xdr:row>
                    <xdr:rowOff>182880</xdr:rowOff>
                  </from>
                  <to>
                    <xdr:col>14</xdr:col>
                    <xdr:colOff>76200</xdr:colOff>
                    <xdr:row>16</xdr:row>
                    <xdr:rowOff>30480</xdr:rowOff>
                  </to>
                </anchor>
              </controlPr>
            </control>
          </mc:Choice>
        </mc:AlternateContent>
        <mc:AlternateContent xmlns:mc="http://schemas.openxmlformats.org/markup-compatibility/2006">
          <mc:Choice Requires="x14">
            <control shapeId="44270" r:id="rId99" name="Check Box 238">
              <controlPr defaultSize="0" autoFill="0" autoLine="0" autoPict="0">
                <anchor moveWithCells="1">
                  <from>
                    <xdr:col>13</xdr:col>
                    <xdr:colOff>388620</xdr:colOff>
                    <xdr:row>15</xdr:row>
                    <xdr:rowOff>182880</xdr:rowOff>
                  </from>
                  <to>
                    <xdr:col>14</xdr:col>
                    <xdr:colOff>76200</xdr:colOff>
                    <xdr:row>17</xdr:row>
                    <xdr:rowOff>38100</xdr:rowOff>
                  </to>
                </anchor>
              </controlPr>
            </control>
          </mc:Choice>
        </mc:AlternateContent>
        <mc:AlternateContent xmlns:mc="http://schemas.openxmlformats.org/markup-compatibility/2006">
          <mc:Choice Requires="x14">
            <control shapeId="44271" r:id="rId100" name="Check Box 239">
              <controlPr defaultSize="0" autoFill="0" autoLine="0" autoPict="0">
                <anchor moveWithCells="1">
                  <from>
                    <xdr:col>13</xdr:col>
                    <xdr:colOff>388620</xdr:colOff>
                    <xdr:row>16</xdr:row>
                    <xdr:rowOff>182880</xdr:rowOff>
                  </from>
                  <to>
                    <xdr:col>14</xdr:col>
                    <xdr:colOff>76200</xdr:colOff>
                    <xdr:row>18</xdr:row>
                    <xdr:rowOff>45720</xdr:rowOff>
                  </to>
                </anchor>
              </controlPr>
            </control>
          </mc:Choice>
        </mc:AlternateContent>
        <mc:AlternateContent xmlns:mc="http://schemas.openxmlformats.org/markup-compatibility/2006">
          <mc:Choice Requires="x14">
            <control shapeId="44272" r:id="rId101" name="Check Box 240">
              <controlPr defaultSize="0" autoFill="0" autoLine="0" autoPict="0">
                <anchor moveWithCells="1">
                  <from>
                    <xdr:col>13</xdr:col>
                    <xdr:colOff>388620</xdr:colOff>
                    <xdr:row>17</xdr:row>
                    <xdr:rowOff>182880</xdr:rowOff>
                  </from>
                  <to>
                    <xdr:col>14</xdr:col>
                    <xdr:colOff>76200</xdr:colOff>
                    <xdr:row>19</xdr:row>
                    <xdr:rowOff>45720</xdr:rowOff>
                  </to>
                </anchor>
              </controlPr>
            </control>
          </mc:Choice>
        </mc:AlternateContent>
        <mc:AlternateContent xmlns:mc="http://schemas.openxmlformats.org/markup-compatibility/2006">
          <mc:Choice Requires="x14">
            <control shapeId="44273" r:id="rId102" name="Check Box 241">
              <controlPr defaultSize="0" autoFill="0" autoLine="0" autoPict="0">
                <anchor moveWithCells="1">
                  <from>
                    <xdr:col>13</xdr:col>
                    <xdr:colOff>388620</xdr:colOff>
                    <xdr:row>19</xdr:row>
                    <xdr:rowOff>182880</xdr:rowOff>
                  </from>
                  <to>
                    <xdr:col>14</xdr:col>
                    <xdr:colOff>76200</xdr:colOff>
                    <xdr:row>21</xdr:row>
                    <xdr:rowOff>45720</xdr:rowOff>
                  </to>
                </anchor>
              </controlPr>
            </control>
          </mc:Choice>
        </mc:AlternateContent>
        <mc:AlternateContent xmlns:mc="http://schemas.openxmlformats.org/markup-compatibility/2006">
          <mc:Choice Requires="x14">
            <control shapeId="44274" r:id="rId103" name="Check Box 242">
              <controlPr defaultSize="0" autoFill="0" autoLine="0" autoPict="0">
                <anchor moveWithCells="1">
                  <from>
                    <xdr:col>13</xdr:col>
                    <xdr:colOff>388620</xdr:colOff>
                    <xdr:row>20</xdr:row>
                    <xdr:rowOff>182880</xdr:rowOff>
                  </from>
                  <to>
                    <xdr:col>14</xdr:col>
                    <xdr:colOff>76200</xdr:colOff>
                    <xdr:row>22</xdr:row>
                    <xdr:rowOff>45720</xdr:rowOff>
                  </to>
                </anchor>
              </controlPr>
            </control>
          </mc:Choice>
        </mc:AlternateContent>
        <mc:AlternateContent xmlns:mc="http://schemas.openxmlformats.org/markup-compatibility/2006">
          <mc:Choice Requires="x14">
            <control shapeId="44275" r:id="rId104" name="Check Box 243">
              <controlPr defaultSize="0" autoFill="0" autoLine="0" autoPict="0">
                <anchor moveWithCells="1">
                  <from>
                    <xdr:col>2</xdr:col>
                    <xdr:colOff>388620</xdr:colOff>
                    <xdr:row>37</xdr:row>
                    <xdr:rowOff>182880</xdr:rowOff>
                  </from>
                  <to>
                    <xdr:col>3</xdr:col>
                    <xdr:colOff>76200</xdr:colOff>
                    <xdr:row>39</xdr:row>
                    <xdr:rowOff>45720</xdr:rowOff>
                  </to>
                </anchor>
              </controlPr>
            </control>
          </mc:Choice>
        </mc:AlternateContent>
        <mc:AlternateContent xmlns:mc="http://schemas.openxmlformats.org/markup-compatibility/2006">
          <mc:Choice Requires="x14">
            <control shapeId="44276" r:id="rId105" name="Check Box 244">
              <controlPr defaultSize="0" autoFill="0" autoLine="0" autoPict="0">
                <anchor moveWithCells="1">
                  <from>
                    <xdr:col>2</xdr:col>
                    <xdr:colOff>388620</xdr:colOff>
                    <xdr:row>38</xdr:row>
                    <xdr:rowOff>182880</xdr:rowOff>
                  </from>
                  <to>
                    <xdr:col>3</xdr:col>
                    <xdr:colOff>76200</xdr:colOff>
                    <xdr:row>40</xdr:row>
                    <xdr:rowOff>45720</xdr:rowOff>
                  </to>
                </anchor>
              </controlPr>
            </control>
          </mc:Choice>
        </mc:AlternateContent>
        <mc:AlternateContent xmlns:mc="http://schemas.openxmlformats.org/markup-compatibility/2006">
          <mc:Choice Requires="x14">
            <control shapeId="44277" r:id="rId106" name="Check Box 245">
              <controlPr defaultSize="0" autoFill="0" autoLine="0" autoPict="0">
                <anchor moveWithCells="1">
                  <from>
                    <xdr:col>2</xdr:col>
                    <xdr:colOff>388620</xdr:colOff>
                    <xdr:row>39</xdr:row>
                    <xdr:rowOff>182880</xdr:rowOff>
                  </from>
                  <to>
                    <xdr:col>3</xdr:col>
                    <xdr:colOff>76200</xdr:colOff>
                    <xdr:row>41</xdr:row>
                    <xdr:rowOff>45720</xdr:rowOff>
                  </to>
                </anchor>
              </controlPr>
            </control>
          </mc:Choice>
        </mc:AlternateContent>
        <mc:AlternateContent xmlns:mc="http://schemas.openxmlformats.org/markup-compatibility/2006">
          <mc:Choice Requires="x14">
            <control shapeId="44278" r:id="rId107" name="Check Box 246">
              <controlPr defaultSize="0" autoFill="0" autoLine="0" autoPict="0">
                <anchor moveWithCells="1">
                  <from>
                    <xdr:col>2</xdr:col>
                    <xdr:colOff>388620</xdr:colOff>
                    <xdr:row>47</xdr:row>
                    <xdr:rowOff>182880</xdr:rowOff>
                  </from>
                  <to>
                    <xdr:col>3</xdr:col>
                    <xdr:colOff>76200</xdr:colOff>
                    <xdr:row>49</xdr:row>
                    <xdr:rowOff>45720</xdr:rowOff>
                  </to>
                </anchor>
              </controlPr>
            </control>
          </mc:Choice>
        </mc:AlternateContent>
        <mc:AlternateContent xmlns:mc="http://schemas.openxmlformats.org/markup-compatibility/2006">
          <mc:Choice Requires="x14">
            <control shapeId="44279" r:id="rId108" name="Check Box 247">
              <controlPr defaultSize="0" autoFill="0" autoLine="0" autoPict="0">
                <anchor moveWithCells="1">
                  <from>
                    <xdr:col>2</xdr:col>
                    <xdr:colOff>388620</xdr:colOff>
                    <xdr:row>47</xdr:row>
                    <xdr:rowOff>182880</xdr:rowOff>
                  </from>
                  <to>
                    <xdr:col>3</xdr:col>
                    <xdr:colOff>76200</xdr:colOff>
                    <xdr:row>49</xdr:row>
                    <xdr:rowOff>45720</xdr:rowOff>
                  </to>
                </anchor>
              </controlPr>
            </control>
          </mc:Choice>
        </mc:AlternateContent>
        <mc:AlternateContent xmlns:mc="http://schemas.openxmlformats.org/markup-compatibility/2006">
          <mc:Choice Requires="x14">
            <control shapeId="44280" r:id="rId109" name="Check Box 248">
              <controlPr defaultSize="0" autoFill="0" autoLine="0" autoPict="0">
                <anchor moveWithCells="1">
                  <from>
                    <xdr:col>2</xdr:col>
                    <xdr:colOff>388620</xdr:colOff>
                    <xdr:row>46</xdr:row>
                    <xdr:rowOff>182880</xdr:rowOff>
                  </from>
                  <to>
                    <xdr:col>3</xdr:col>
                    <xdr:colOff>76200</xdr:colOff>
                    <xdr:row>48</xdr:row>
                    <xdr:rowOff>45720</xdr:rowOff>
                  </to>
                </anchor>
              </controlPr>
            </control>
          </mc:Choice>
        </mc:AlternateContent>
        <mc:AlternateContent xmlns:mc="http://schemas.openxmlformats.org/markup-compatibility/2006">
          <mc:Choice Requires="x14">
            <control shapeId="44281" r:id="rId110" name="Check Box 249">
              <controlPr defaultSize="0" autoFill="0" autoLine="0" autoPict="0">
                <anchor moveWithCells="1">
                  <from>
                    <xdr:col>2</xdr:col>
                    <xdr:colOff>388620</xdr:colOff>
                    <xdr:row>46</xdr:row>
                    <xdr:rowOff>182880</xdr:rowOff>
                  </from>
                  <to>
                    <xdr:col>3</xdr:col>
                    <xdr:colOff>76200</xdr:colOff>
                    <xdr:row>48</xdr:row>
                    <xdr:rowOff>45720</xdr:rowOff>
                  </to>
                </anchor>
              </controlPr>
            </control>
          </mc:Choice>
        </mc:AlternateContent>
        <mc:AlternateContent xmlns:mc="http://schemas.openxmlformats.org/markup-compatibility/2006">
          <mc:Choice Requires="x14">
            <control shapeId="44282" r:id="rId111" name="Check Box 250">
              <controlPr defaultSize="0" autoFill="0" autoLine="0" autoPict="0">
                <anchor moveWithCells="1">
                  <from>
                    <xdr:col>2</xdr:col>
                    <xdr:colOff>388620</xdr:colOff>
                    <xdr:row>45</xdr:row>
                    <xdr:rowOff>182880</xdr:rowOff>
                  </from>
                  <to>
                    <xdr:col>3</xdr:col>
                    <xdr:colOff>76200</xdr:colOff>
                    <xdr:row>47</xdr:row>
                    <xdr:rowOff>45720</xdr:rowOff>
                  </to>
                </anchor>
              </controlPr>
            </control>
          </mc:Choice>
        </mc:AlternateContent>
        <mc:AlternateContent xmlns:mc="http://schemas.openxmlformats.org/markup-compatibility/2006">
          <mc:Choice Requires="x14">
            <control shapeId="44283" r:id="rId112" name="Check Box 251">
              <controlPr defaultSize="0" autoFill="0" autoLine="0" autoPict="0">
                <anchor moveWithCells="1">
                  <from>
                    <xdr:col>2</xdr:col>
                    <xdr:colOff>388620</xdr:colOff>
                    <xdr:row>45</xdr:row>
                    <xdr:rowOff>182880</xdr:rowOff>
                  </from>
                  <to>
                    <xdr:col>3</xdr:col>
                    <xdr:colOff>76200</xdr:colOff>
                    <xdr:row>47</xdr:row>
                    <xdr:rowOff>45720</xdr:rowOff>
                  </to>
                </anchor>
              </controlPr>
            </control>
          </mc:Choice>
        </mc:AlternateContent>
        <mc:AlternateContent xmlns:mc="http://schemas.openxmlformats.org/markup-compatibility/2006">
          <mc:Choice Requires="x14">
            <control shapeId="44284" r:id="rId113" name="Check Box 252">
              <controlPr defaultSize="0" autoFill="0" autoLine="0" autoPict="0">
                <anchor moveWithCells="1">
                  <from>
                    <xdr:col>7</xdr:col>
                    <xdr:colOff>388620</xdr:colOff>
                    <xdr:row>17</xdr:row>
                    <xdr:rowOff>182880</xdr:rowOff>
                  </from>
                  <to>
                    <xdr:col>8</xdr:col>
                    <xdr:colOff>76200</xdr:colOff>
                    <xdr:row>19</xdr:row>
                    <xdr:rowOff>45720</xdr:rowOff>
                  </to>
                </anchor>
              </controlPr>
            </control>
          </mc:Choice>
        </mc:AlternateContent>
        <mc:AlternateContent xmlns:mc="http://schemas.openxmlformats.org/markup-compatibility/2006">
          <mc:Choice Requires="x14">
            <control shapeId="44285" r:id="rId114" name="Check Box 253">
              <controlPr defaultSize="0" autoFill="0" autoLine="0" autoPict="0">
                <anchor moveWithCells="1">
                  <from>
                    <xdr:col>7</xdr:col>
                    <xdr:colOff>388620</xdr:colOff>
                    <xdr:row>16</xdr:row>
                    <xdr:rowOff>182880</xdr:rowOff>
                  </from>
                  <to>
                    <xdr:col>8</xdr:col>
                    <xdr:colOff>76200</xdr:colOff>
                    <xdr:row>18</xdr:row>
                    <xdr:rowOff>45720</xdr:rowOff>
                  </to>
                </anchor>
              </controlPr>
            </control>
          </mc:Choice>
        </mc:AlternateContent>
        <mc:AlternateContent xmlns:mc="http://schemas.openxmlformats.org/markup-compatibility/2006">
          <mc:Choice Requires="x14">
            <control shapeId="44286" r:id="rId115" name="Check Box 254">
              <controlPr defaultSize="0" autoFill="0" autoLine="0" autoPict="0">
                <anchor moveWithCells="1">
                  <from>
                    <xdr:col>7</xdr:col>
                    <xdr:colOff>388620</xdr:colOff>
                    <xdr:row>26</xdr:row>
                    <xdr:rowOff>175260</xdr:rowOff>
                  </from>
                  <to>
                    <xdr:col>8</xdr:col>
                    <xdr:colOff>76200</xdr:colOff>
                    <xdr:row>28</xdr:row>
                    <xdr:rowOff>30480</xdr:rowOff>
                  </to>
                </anchor>
              </controlPr>
            </control>
          </mc:Choice>
        </mc:AlternateContent>
        <mc:AlternateContent xmlns:mc="http://schemas.openxmlformats.org/markup-compatibility/2006">
          <mc:Choice Requires="x14">
            <control shapeId="44287" r:id="rId116" name="Check Box 255">
              <controlPr defaultSize="0" autoFill="0" autoLine="0" autoPict="0">
                <anchor moveWithCells="1">
                  <from>
                    <xdr:col>7</xdr:col>
                    <xdr:colOff>388620</xdr:colOff>
                    <xdr:row>27</xdr:row>
                    <xdr:rowOff>175260</xdr:rowOff>
                  </from>
                  <to>
                    <xdr:col>8</xdr:col>
                    <xdr:colOff>76200</xdr:colOff>
                    <xdr:row>29</xdr:row>
                    <xdr:rowOff>30480</xdr:rowOff>
                  </to>
                </anchor>
              </controlPr>
            </control>
          </mc:Choice>
        </mc:AlternateContent>
        <mc:AlternateContent xmlns:mc="http://schemas.openxmlformats.org/markup-compatibility/2006">
          <mc:Choice Requires="x14">
            <control shapeId="44288" r:id="rId117" name="Check Box 256">
              <controlPr defaultSize="0" autoFill="0" autoLine="0" autoPict="0">
                <anchor moveWithCells="1">
                  <from>
                    <xdr:col>7</xdr:col>
                    <xdr:colOff>388620</xdr:colOff>
                    <xdr:row>38</xdr:row>
                    <xdr:rowOff>182880</xdr:rowOff>
                  </from>
                  <to>
                    <xdr:col>8</xdr:col>
                    <xdr:colOff>76200</xdr:colOff>
                    <xdr:row>40</xdr:row>
                    <xdr:rowOff>38100</xdr:rowOff>
                  </to>
                </anchor>
              </controlPr>
            </control>
          </mc:Choice>
        </mc:AlternateContent>
        <mc:AlternateContent xmlns:mc="http://schemas.openxmlformats.org/markup-compatibility/2006">
          <mc:Choice Requires="x14">
            <control shapeId="44289" r:id="rId118" name="Check Box 257">
              <controlPr defaultSize="0" autoFill="0" autoLine="0" autoPict="0">
                <anchor moveWithCells="1">
                  <from>
                    <xdr:col>7</xdr:col>
                    <xdr:colOff>388620</xdr:colOff>
                    <xdr:row>38</xdr:row>
                    <xdr:rowOff>182880</xdr:rowOff>
                  </from>
                  <to>
                    <xdr:col>8</xdr:col>
                    <xdr:colOff>76200</xdr:colOff>
                    <xdr:row>40</xdr:row>
                    <xdr:rowOff>45720</xdr:rowOff>
                  </to>
                </anchor>
              </controlPr>
            </control>
          </mc:Choice>
        </mc:AlternateContent>
        <mc:AlternateContent xmlns:mc="http://schemas.openxmlformats.org/markup-compatibility/2006">
          <mc:Choice Requires="x14">
            <control shapeId="44290" r:id="rId119" name="Check Box 258">
              <controlPr defaultSize="0" autoFill="0" autoLine="0" autoPict="0">
                <anchor moveWithCells="1">
                  <from>
                    <xdr:col>7</xdr:col>
                    <xdr:colOff>388620</xdr:colOff>
                    <xdr:row>38</xdr:row>
                    <xdr:rowOff>182880</xdr:rowOff>
                  </from>
                  <to>
                    <xdr:col>8</xdr:col>
                    <xdr:colOff>76200</xdr:colOff>
                    <xdr:row>40</xdr:row>
                    <xdr:rowOff>38100</xdr:rowOff>
                  </to>
                </anchor>
              </controlPr>
            </control>
          </mc:Choice>
        </mc:AlternateContent>
        <mc:AlternateContent xmlns:mc="http://schemas.openxmlformats.org/markup-compatibility/2006">
          <mc:Choice Requires="x14">
            <control shapeId="44291" r:id="rId120" name="Check Box 259">
              <controlPr defaultSize="0" autoFill="0" autoLine="0" autoPict="0">
                <anchor moveWithCells="1">
                  <from>
                    <xdr:col>7</xdr:col>
                    <xdr:colOff>388620</xdr:colOff>
                    <xdr:row>38</xdr:row>
                    <xdr:rowOff>182880</xdr:rowOff>
                  </from>
                  <to>
                    <xdr:col>8</xdr:col>
                    <xdr:colOff>76200</xdr:colOff>
                    <xdr:row>40</xdr:row>
                    <xdr:rowOff>38100</xdr:rowOff>
                  </to>
                </anchor>
              </controlPr>
            </control>
          </mc:Choice>
        </mc:AlternateContent>
        <mc:AlternateContent xmlns:mc="http://schemas.openxmlformats.org/markup-compatibility/2006">
          <mc:Choice Requires="x14">
            <control shapeId="44292" r:id="rId121" name="Check Box 260">
              <controlPr defaultSize="0" autoFill="0" autoLine="0" autoPict="0">
                <anchor moveWithCells="1">
                  <from>
                    <xdr:col>7</xdr:col>
                    <xdr:colOff>388620</xdr:colOff>
                    <xdr:row>38</xdr:row>
                    <xdr:rowOff>182880</xdr:rowOff>
                  </from>
                  <to>
                    <xdr:col>8</xdr:col>
                    <xdr:colOff>76200</xdr:colOff>
                    <xdr:row>40</xdr:row>
                    <xdr:rowOff>45720</xdr:rowOff>
                  </to>
                </anchor>
              </controlPr>
            </control>
          </mc:Choice>
        </mc:AlternateContent>
        <mc:AlternateContent xmlns:mc="http://schemas.openxmlformats.org/markup-compatibility/2006">
          <mc:Choice Requires="x14">
            <control shapeId="44293" r:id="rId122" name="Check Box 261">
              <controlPr defaultSize="0" autoFill="0" autoLine="0" autoPict="0">
                <anchor moveWithCells="1">
                  <from>
                    <xdr:col>7</xdr:col>
                    <xdr:colOff>388620</xdr:colOff>
                    <xdr:row>38</xdr:row>
                    <xdr:rowOff>182880</xdr:rowOff>
                  </from>
                  <to>
                    <xdr:col>8</xdr:col>
                    <xdr:colOff>76200</xdr:colOff>
                    <xdr:row>40</xdr:row>
                    <xdr:rowOff>38100</xdr:rowOff>
                  </to>
                </anchor>
              </controlPr>
            </control>
          </mc:Choice>
        </mc:AlternateContent>
        <mc:AlternateContent xmlns:mc="http://schemas.openxmlformats.org/markup-compatibility/2006">
          <mc:Choice Requires="x14">
            <control shapeId="44294" r:id="rId123" name="Check Box 262">
              <controlPr defaultSize="0" autoFill="0" autoLine="0" autoPict="0">
                <anchor moveWithCells="1">
                  <from>
                    <xdr:col>7</xdr:col>
                    <xdr:colOff>388620</xdr:colOff>
                    <xdr:row>37</xdr:row>
                    <xdr:rowOff>182880</xdr:rowOff>
                  </from>
                  <to>
                    <xdr:col>8</xdr:col>
                    <xdr:colOff>76200</xdr:colOff>
                    <xdr:row>39</xdr:row>
                    <xdr:rowOff>38100</xdr:rowOff>
                  </to>
                </anchor>
              </controlPr>
            </control>
          </mc:Choice>
        </mc:AlternateContent>
        <mc:AlternateContent xmlns:mc="http://schemas.openxmlformats.org/markup-compatibility/2006">
          <mc:Choice Requires="x14">
            <control shapeId="44295" r:id="rId124" name="Check Box 263">
              <controlPr defaultSize="0" autoFill="0" autoLine="0" autoPict="0">
                <anchor moveWithCells="1">
                  <from>
                    <xdr:col>7</xdr:col>
                    <xdr:colOff>388620</xdr:colOff>
                    <xdr:row>37</xdr:row>
                    <xdr:rowOff>182880</xdr:rowOff>
                  </from>
                  <to>
                    <xdr:col>8</xdr:col>
                    <xdr:colOff>76200</xdr:colOff>
                    <xdr:row>39</xdr:row>
                    <xdr:rowOff>45720</xdr:rowOff>
                  </to>
                </anchor>
              </controlPr>
            </control>
          </mc:Choice>
        </mc:AlternateContent>
        <mc:AlternateContent xmlns:mc="http://schemas.openxmlformats.org/markup-compatibility/2006">
          <mc:Choice Requires="x14">
            <control shapeId="44296" r:id="rId125" name="Check Box 264">
              <controlPr defaultSize="0" autoFill="0" autoLine="0" autoPict="0">
                <anchor moveWithCells="1">
                  <from>
                    <xdr:col>7</xdr:col>
                    <xdr:colOff>388620</xdr:colOff>
                    <xdr:row>37</xdr:row>
                    <xdr:rowOff>182880</xdr:rowOff>
                  </from>
                  <to>
                    <xdr:col>8</xdr:col>
                    <xdr:colOff>76200</xdr:colOff>
                    <xdr:row>39</xdr:row>
                    <xdr:rowOff>38100</xdr:rowOff>
                  </to>
                </anchor>
              </controlPr>
            </control>
          </mc:Choice>
        </mc:AlternateContent>
        <mc:AlternateContent xmlns:mc="http://schemas.openxmlformats.org/markup-compatibility/2006">
          <mc:Choice Requires="x14">
            <control shapeId="44297" r:id="rId126" name="Check Box 265">
              <controlPr defaultSize="0" autoFill="0" autoLine="0" autoPict="0">
                <anchor moveWithCells="1">
                  <from>
                    <xdr:col>7</xdr:col>
                    <xdr:colOff>388620</xdr:colOff>
                    <xdr:row>37</xdr:row>
                    <xdr:rowOff>182880</xdr:rowOff>
                  </from>
                  <to>
                    <xdr:col>8</xdr:col>
                    <xdr:colOff>76200</xdr:colOff>
                    <xdr:row>39</xdr:row>
                    <xdr:rowOff>38100</xdr:rowOff>
                  </to>
                </anchor>
              </controlPr>
            </control>
          </mc:Choice>
        </mc:AlternateContent>
        <mc:AlternateContent xmlns:mc="http://schemas.openxmlformats.org/markup-compatibility/2006">
          <mc:Choice Requires="x14">
            <control shapeId="44298" r:id="rId127" name="Check Box 266">
              <controlPr defaultSize="0" autoFill="0" autoLine="0" autoPict="0">
                <anchor moveWithCells="1">
                  <from>
                    <xdr:col>7</xdr:col>
                    <xdr:colOff>388620</xdr:colOff>
                    <xdr:row>37</xdr:row>
                    <xdr:rowOff>182880</xdr:rowOff>
                  </from>
                  <to>
                    <xdr:col>8</xdr:col>
                    <xdr:colOff>76200</xdr:colOff>
                    <xdr:row>39</xdr:row>
                    <xdr:rowOff>45720</xdr:rowOff>
                  </to>
                </anchor>
              </controlPr>
            </control>
          </mc:Choice>
        </mc:AlternateContent>
        <mc:AlternateContent xmlns:mc="http://schemas.openxmlformats.org/markup-compatibility/2006">
          <mc:Choice Requires="x14">
            <control shapeId="44299" r:id="rId128" name="Check Box 267">
              <controlPr defaultSize="0" autoFill="0" autoLine="0" autoPict="0">
                <anchor moveWithCells="1">
                  <from>
                    <xdr:col>7</xdr:col>
                    <xdr:colOff>388620</xdr:colOff>
                    <xdr:row>37</xdr:row>
                    <xdr:rowOff>182880</xdr:rowOff>
                  </from>
                  <to>
                    <xdr:col>8</xdr:col>
                    <xdr:colOff>76200</xdr:colOff>
                    <xdr:row>39</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2729-E752-44EB-916E-4B3641B236D5}">
  <sheetPr>
    <tabColor theme="0" tint="-0.499984740745262"/>
    <outlinePr summaryBelow="0" summaryRight="0"/>
  </sheetPr>
  <dimension ref="A1:Z1002"/>
  <sheetViews>
    <sheetView showGridLines="0" zoomScale="80" zoomScaleNormal="80" workbookViewId="0">
      <selection activeCell="D12" sqref="D12"/>
    </sheetView>
  </sheetViews>
  <sheetFormatPr baseColWidth="10" defaultColWidth="14.44140625" defaultRowHeight="15"/>
  <cols>
    <col min="1" max="1" width="47.88671875" style="378" customWidth="1"/>
    <col min="2" max="2" width="18.33203125" style="378" customWidth="1"/>
    <col min="3" max="3" width="16.6640625" style="378" customWidth="1"/>
    <col min="4" max="4" width="22.33203125" style="378" customWidth="1"/>
    <col min="5" max="5" width="35" style="378" customWidth="1"/>
    <col min="6" max="6" width="18.44140625" style="378" customWidth="1"/>
    <col min="7" max="7" width="18.109375" style="378" customWidth="1"/>
    <col min="8" max="8" width="14.6640625" style="378" customWidth="1"/>
    <col min="9" max="9" width="19.109375" style="378" customWidth="1"/>
    <col min="10" max="10" width="10.33203125" style="378" customWidth="1"/>
    <col min="11" max="11" width="11.109375" style="378" customWidth="1"/>
    <col min="12" max="16384" width="14.44140625" style="378"/>
  </cols>
  <sheetData>
    <row r="1" spans="1:8">
      <c r="A1" s="377"/>
      <c r="B1" s="377"/>
      <c r="C1" s="377"/>
      <c r="D1" s="377"/>
      <c r="E1" s="377"/>
      <c r="F1" s="377"/>
      <c r="G1" s="377"/>
      <c r="H1" s="377"/>
    </row>
    <row r="2" spans="1:8">
      <c r="A2" s="377"/>
      <c r="B2" s="377"/>
      <c r="C2" s="377"/>
      <c r="D2" s="377"/>
      <c r="E2" s="377"/>
      <c r="F2" s="377"/>
      <c r="G2" s="377"/>
      <c r="H2" s="377"/>
    </row>
    <row r="3" spans="1:8">
      <c r="A3" s="379" t="s">
        <v>81</v>
      </c>
      <c r="B3" s="377"/>
      <c r="C3" s="377"/>
      <c r="D3" s="377"/>
      <c r="E3" s="377"/>
      <c r="F3" s="377"/>
      <c r="G3" s="377"/>
      <c r="H3" s="377"/>
    </row>
    <row r="4" spans="1:8">
      <c r="A4" s="379" t="s">
        <v>41</v>
      </c>
      <c r="B4" s="377"/>
      <c r="C4" s="377"/>
      <c r="D4" s="377"/>
      <c r="E4" s="377"/>
      <c r="F4" s="377"/>
      <c r="G4" s="377"/>
      <c r="H4" s="377"/>
    </row>
    <row r="5" spans="1:8">
      <c r="A5" s="377"/>
      <c r="B5" s="377"/>
      <c r="C5" s="377"/>
      <c r="D5" s="377"/>
      <c r="E5" s="377"/>
      <c r="F5" s="377"/>
      <c r="G5" s="377"/>
      <c r="H5" s="377"/>
    </row>
    <row r="6" spans="1:8" s="380" customFormat="1" ht="21.75" customHeight="1">
      <c r="A6" s="793" t="s">
        <v>185</v>
      </c>
      <c r="B6" s="793"/>
      <c r="C6" s="793"/>
      <c r="D6" s="793"/>
      <c r="E6" s="793"/>
      <c r="F6" s="793"/>
      <c r="G6" s="793"/>
      <c r="H6" s="793"/>
    </row>
    <row r="7" spans="1:8" ht="11.25" customHeight="1">
      <c r="A7" s="377"/>
      <c r="B7" s="377"/>
      <c r="C7" s="377"/>
      <c r="D7" s="377"/>
      <c r="E7" s="377"/>
      <c r="F7" s="377"/>
      <c r="G7" s="377"/>
      <c r="H7" s="377"/>
    </row>
    <row r="8" spans="1:8">
      <c r="A8" s="381" t="s">
        <v>186</v>
      </c>
      <c r="B8" s="381" t="s">
        <v>44</v>
      </c>
      <c r="C8" s="381" t="s">
        <v>85</v>
      </c>
      <c r="D8" s="381" t="s">
        <v>187</v>
      </c>
      <c r="E8" s="381" t="s">
        <v>85</v>
      </c>
      <c r="F8" s="381" t="s">
        <v>188</v>
      </c>
      <c r="G8" s="381" t="s">
        <v>85</v>
      </c>
      <c r="H8" s="381" t="s">
        <v>189</v>
      </c>
    </row>
    <row r="9" spans="1:8" ht="30">
      <c r="A9" s="382" t="s">
        <v>265</v>
      </c>
      <c r="B9" s="382" t="s">
        <v>190</v>
      </c>
      <c r="C9" s="383" t="s">
        <v>301</v>
      </c>
      <c r="D9" s="384">
        <v>0.16655</v>
      </c>
      <c r="E9" s="383" t="s">
        <v>302</v>
      </c>
      <c r="F9" s="384">
        <v>3.9999999999999998E-6</v>
      </c>
      <c r="G9" s="383" t="s">
        <v>710</v>
      </c>
      <c r="H9" s="384">
        <v>1.8799999999999999E-3</v>
      </c>
    </row>
    <row r="10" spans="1:8" ht="30">
      <c r="A10" s="382" t="s">
        <v>266</v>
      </c>
      <c r="B10" s="382" t="s">
        <v>190</v>
      </c>
      <c r="C10" s="383" t="s">
        <v>301</v>
      </c>
      <c r="D10" s="384">
        <v>0.17363000000000001</v>
      </c>
      <c r="E10" s="383" t="s">
        <v>302</v>
      </c>
      <c r="F10" s="384">
        <v>3.2000000000000003E-4</v>
      </c>
      <c r="G10" s="383" t="s">
        <v>710</v>
      </c>
      <c r="H10" s="384">
        <v>3.6000000000000002E-4</v>
      </c>
    </row>
    <row r="11" spans="1:8" ht="30">
      <c r="A11" s="382" t="s">
        <v>194</v>
      </c>
      <c r="B11" s="382" t="s">
        <v>190</v>
      </c>
      <c r="C11" s="383" t="s">
        <v>301</v>
      </c>
      <c r="D11" s="384">
        <v>0.19782</v>
      </c>
      <c r="E11" s="383" t="s">
        <v>302</v>
      </c>
      <c r="F11" s="384">
        <v>5.0000000000000002E-5</v>
      </c>
      <c r="G11" s="383" t="s">
        <v>710</v>
      </c>
      <c r="H11" s="384">
        <v>4.0999999999999999E-4</v>
      </c>
    </row>
    <row r="12" spans="1:8" ht="30">
      <c r="A12" s="382" t="s">
        <v>267</v>
      </c>
      <c r="B12" s="382" t="s">
        <v>190</v>
      </c>
      <c r="C12" s="383" t="s">
        <v>301</v>
      </c>
      <c r="D12" s="384">
        <v>0.17021</v>
      </c>
      <c r="E12" s="383" t="s">
        <v>302</v>
      </c>
      <c r="F12" s="384">
        <v>1.7000000000000001E-4</v>
      </c>
      <c r="G12" s="383" t="s">
        <v>710</v>
      </c>
      <c r="H12" s="384">
        <v>1.1000000000000001E-3</v>
      </c>
    </row>
    <row r="13" spans="1:8" ht="30">
      <c r="A13" s="382" t="s">
        <v>191</v>
      </c>
      <c r="B13" s="382" t="s">
        <v>190</v>
      </c>
      <c r="C13" s="383" t="s">
        <v>301</v>
      </c>
      <c r="D13" s="384">
        <v>0.10144</v>
      </c>
      <c r="E13" s="383" t="s">
        <v>302</v>
      </c>
      <c r="F13" s="384">
        <v>1.0000000000000001E-5</v>
      </c>
      <c r="G13" s="383" t="s">
        <v>710</v>
      </c>
      <c r="H13" s="384">
        <v>8.1999999999999998E-4</v>
      </c>
    </row>
    <row r="14" spans="1:8" ht="30">
      <c r="A14" s="382" t="s">
        <v>192</v>
      </c>
      <c r="B14" s="382" t="s">
        <v>190</v>
      </c>
      <c r="C14" s="383" t="s">
        <v>301</v>
      </c>
      <c r="D14" s="384">
        <v>0.20638000000000001</v>
      </c>
      <c r="E14" s="383" t="s">
        <v>302</v>
      </c>
      <c r="F14" s="384">
        <v>3.9999999999999998E-6</v>
      </c>
      <c r="G14" s="383" t="s">
        <v>710</v>
      </c>
      <c r="H14" s="384">
        <v>1.8799999999999999E-3</v>
      </c>
    </row>
    <row r="15" spans="1:8" ht="30">
      <c r="A15" s="382" t="s">
        <v>193</v>
      </c>
      <c r="B15" s="382" t="s">
        <v>190</v>
      </c>
      <c r="C15" s="383" t="s">
        <v>301</v>
      </c>
      <c r="D15" s="384">
        <v>0.11138000000000001</v>
      </c>
      <c r="E15" s="383" t="s">
        <v>302</v>
      </c>
      <c r="F15" s="384">
        <v>1.58E-3</v>
      </c>
      <c r="G15" s="383" t="s">
        <v>710</v>
      </c>
      <c r="H15" s="384">
        <v>5.9000000000000003E-4</v>
      </c>
    </row>
    <row r="16" spans="1:8">
      <c r="A16" s="382" t="s">
        <v>691</v>
      </c>
      <c r="B16" s="382" t="s">
        <v>388</v>
      </c>
      <c r="C16" s="383" t="s">
        <v>99</v>
      </c>
      <c r="D16" s="384">
        <v>0</v>
      </c>
      <c r="E16" s="383">
        <v>0</v>
      </c>
      <c r="F16" s="384">
        <v>0</v>
      </c>
      <c r="G16" s="383">
        <v>0</v>
      </c>
      <c r="H16" s="384">
        <v>0</v>
      </c>
    </row>
    <row r="17" spans="1:26">
      <c r="A17" s="382" t="s">
        <v>389</v>
      </c>
      <c r="B17" s="382" t="s">
        <v>388</v>
      </c>
      <c r="C17" s="383" t="s">
        <v>99</v>
      </c>
      <c r="D17" s="384">
        <v>0</v>
      </c>
      <c r="E17" s="383">
        <v>0</v>
      </c>
      <c r="F17" s="384">
        <v>0</v>
      </c>
      <c r="G17" s="383">
        <v>0</v>
      </c>
      <c r="H17" s="384">
        <v>0</v>
      </c>
    </row>
    <row r="18" spans="1:26" ht="27.75" customHeight="1">
      <c r="A18" s="385"/>
      <c r="B18" s="386"/>
      <c r="C18" s="377"/>
      <c r="D18" s="377"/>
      <c r="E18" s="377"/>
      <c r="F18" s="377"/>
      <c r="G18" s="377"/>
      <c r="H18" s="377"/>
    </row>
    <row r="19" spans="1:26" s="380" customFormat="1" ht="21.75" customHeight="1">
      <c r="A19" s="793" t="s">
        <v>175</v>
      </c>
      <c r="B19" s="793"/>
      <c r="C19" s="793"/>
      <c r="D19" s="793"/>
      <c r="E19" s="793"/>
      <c r="F19" s="793"/>
      <c r="G19" s="793"/>
      <c r="H19" s="793"/>
    </row>
    <row r="20" spans="1:26" ht="11.25" customHeight="1">
      <c r="A20" s="387"/>
      <c r="B20" s="388"/>
      <c r="C20" s="388"/>
      <c r="D20" s="388"/>
      <c r="E20" s="388"/>
      <c r="F20" s="389"/>
      <c r="G20" s="389"/>
      <c r="H20" s="389"/>
      <c r="I20" s="390"/>
      <c r="J20" s="390"/>
      <c r="K20" s="390"/>
      <c r="L20" s="390"/>
      <c r="M20" s="390"/>
      <c r="N20" s="390"/>
      <c r="O20" s="390"/>
      <c r="P20" s="390"/>
      <c r="Q20" s="390"/>
      <c r="R20" s="390"/>
      <c r="S20" s="390"/>
      <c r="T20" s="390"/>
      <c r="U20" s="390"/>
      <c r="V20" s="390"/>
      <c r="W20" s="390"/>
      <c r="X20" s="390"/>
      <c r="Y20" s="390"/>
      <c r="Z20" s="390"/>
    </row>
    <row r="21" spans="1:26">
      <c r="A21" s="391" t="s">
        <v>195</v>
      </c>
      <c r="B21" s="391" t="s">
        <v>44</v>
      </c>
      <c r="C21" s="391" t="s">
        <v>85</v>
      </c>
      <c r="D21" s="391" t="s">
        <v>187</v>
      </c>
      <c r="E21" s="391" t="s">
        <v>196</v>
      </c>
      <c r="F21" s="391" t="s">
        <v>188</v>
      </c>
      <c r="G21" s="391" t="s">
        <v>197</v>
      </c>
      <c r="H21" s="391" t="s">
        <v>189</v>
      </c>
    </row>
    <row r="22" spans="1:26" ht="30">
      <c r="A22" s="392" t="s">
        <v>198</v>
      </c>
      <c r="B22" s="392" t="s">
        <v>199</v>
      </c>
      <c r="C22" s="383" t="s">
        <v>301</v>
      </c>
      <c r="D22" s="392">
        <v>0.12870999999999999</v>
      </c>
      <c r="E22" s="383" t="s">
        <v>302</v>
      </c>
      <c r="F22" s="392">
        <v>1E-4</v>
      </c>
      <c r="G22" s="383" t="s">
        <v>710</v>
      </c>
      <c r="H22" s="392">
        <v>1.2199999999999999E-3</v>
      </c>
    </row>
    <row r="23" spans="1:26" ht="30">
      <c r="A23" s="392" t="s">
        <v>200</v>
      </c>
      <c r="B23" s="392" t="s">
        <v>199</v>
      </c>
      <c r="C23" s="383" t="s">
        <v>301</v>
      </c>
      <c r="D23" s="392">
        <v>8.0399999999999999E-2</v>
      </c>
      <c r="E23" s="383" t="s">
        <v>302</v>
      </c>
      <c r="F23" s="392">
        <v>1.0000000000000001E-5</v>
      </c>
      <c r="G23" s="383" t="s">
        <v>710</v>
      </c>
      <c r="H23" s="392">
        <v>7.6000000000000004E-4</v>
      </c>
    </row>
    <row r="24" spans="1:26" ht="30">
      <c r="A24" s="392" t="s">
        <v>201</v>
      </c>
      <c r="B24" s="392" t="s">
        <v>199</v>
      </c>
      <c r="C24" s="383" t="s">
        <v>301</v>
      </c>
      <c r="D24" s="392">
        <v>0.10111000000000001</v>
      </c>
      <c r="E24" s="383" t="s">
        <v>302</v>
      </c>
      <c r="F24" s="392">
        <v>1.0000000000000001E-5</v>
      </c>
      <c r="G24" s="383" t="s">
        <v>710</v>
      </c>
      <c r="H24" s="392">
        <v>9.6000000000000002E-4</v>
      </c>
    </row>
    <row r="25" spans="1:26" ht="30">
      <c r="A25" s="392" t="s">
        <v>202</v>
      </c>
      <c r="B25" s="392" t="s">
        <v>199</v>
      </c>
      <c r="C25" s="383" t="s">
        <v>301</v>
      </c>
      <c r="D25" s="392">
        <v>0.10144</v>
      </c>
      <c r="E25" s="383" t="s">
        <v>302</v>
      </c>
      <c r="F25" s="392">
        <v>1.0000000000000001E-5</v>
      </c>
      <c r="G25" s="383" t="s">
        <v>710</v>
      </c>
      <c r="H25" s="392">
        <v>8.1999999999999998E-4</v>
      </c>
    </row>
    <row r="26" spans="1:26" ht="30">
      <c r="A26" s="392" t="s">
        <v>203</v>
      </c>
      <c r="B26" s="392" t="s">
        <v>199</v>
      </c>
      <c r="C26" s="383" t="s">
        <v>301</v>
      </c>
      <c r="D26" s="392">
        <v>0.20638000000000001</v>
      </c>
      <c r="E26" s="383" t="s">
        <v>302</v>
      </c>
      <c r="F26" s="392">
        <v>3.9999999999999998E-6</v>
      </c>
      <c r="G26" s="383" t="s">
        <v>710</v>
      </c>
      <c r="H26" s="392">
        <v>1.8799999999999999E-3</v>
      </c>
    </row>
    <row r="27" spans="1:26" ht="30">
      <c r="A27" s="392" t="s">
        <v>204</v>
      </c>
      <c r="B27" s="392" t="s">
        <v>199</v>
      </c>
      <c r="C27" s="383" t="s">
        <v>301</v>
      </c>
      <c r="D27" s="392">
        <v>0.11131000000000001</v>
      </c>
      <c r="E27" s="383" t="s">
        <v>302</v>
      </c>
      <c r="F27" s="392">
        <v>3.0000000000000001E-5</v>
      </c>
      <c r="G27" s="383" t="s">
        <v>710</v>
      </c>
      <c r="H27" s="392">
        <v>1.5200000000000001E-3</v>
      </c>
    </row>
    <row r="28" spans="1:26" ht="27.75" customHeight="1">
      <c r="A28" s="377"/>
      <c r="B28" s="377"/>
      <c r="C28" s="377"/>
      <c r="D28" s="377"/>
      <c r="E28" s="377"/>
      <c r="F28" s="377"/>
      <c r="G28" s="377"/>
      <c r="H28" s="377"/>
    </row>
    <row r="29" spans="1:26" s="380" customFormat="1" ht="21.75" customHeight="1">
      <c r="A29" s="793" t="s">
        <v>205</v>
      </c>
      <c r="B29" s="793"/>
      <c r="C29" s="793"/>
      <c r="D29" s="793"/>
      <c r="E29" s="793"/>
      <c r="F29" s="793"/>
      <c r="G29" s="793"/>
      <c r="H29" s="793"/>
      <c r="I29" s="793"/>
    </row>
    <row r="30" spans="1:26" ht="11.25" customHeight="1">
      <c r="A30" s="377"/>
      <c r="B30" s="377"/>
      <c r="C30" s="377"/>
      <c r="D30" s="377"/>
      <c r="E30" s="377"/>
      <c r="F30" s="377"/>
      <c r="G30" s="377"/>
      <c r="H30" s="377"/>
    </row>
    <row r="31" spans="1:26">
      <c r="A31" s="377"/>
      <c r="B31" s="377"/>
      <c r="C31" s="393" t="s">
        <v>44</v>
      </c>
      <c r="D31" s="393" t="s">
        <v>85</v>
      </c>
      <c r="E31" s="393" t="s">
        <v>187</v>
      </c>
      <c r="F31" s="393" t="s">
        <v>85</v>
      </c>
      <c r="G31" s="393" t="s">
        <v>188</v>
      </c>
      <c r="H31" s="393" t="s">
        <v>85</v>
      </c>
      <c r="I31" s="394" t="s">
        <v>189</v>
      </c>
      <c r="J31" s="395"/>
      <c r="K31" s="395"/>
    </row>
    <row r="32" spans="1:26" ht="30">
      <c r="A32" s="791" t="s">
        <v>206</v>
      </c>
      <c r="B32" s="383" t="s">
        <v>447</v>
      </c>
      <c r="C32" s="383" t="s">
        <v>207</v>
      </c>
      <c r="D32" s="383" t="s">
        <v>301</v>
      </c>
      <c r="E32" s="383">
        <v>0.48058000000000001</v>
      </c>
      <c r="F32" s="383" t="s">
        <v>302</v>
      </c>
      <c r="G32" s="383">
        <v>1E-4</v>
      </c>
      <c r="H32" s="383" t="s">
        <v>710</v>
      </c>
      <c r="I32" s="384">
        <v>6.0499999999999998E-3</v>
      </c>
      <c r="J32" s="396"/>
    </row>
    <row r="33" spans="1:11" ht="30">
      <c r="A33" s="792"/>
      <c r="B33" s="383" t="s">
        <v>448</v>
      </c>
      <c r="C33" s="383" t="s">
        <v>207</v>
      </c>
      <c r="D33" s="383" t="s">
        <v>301</v>
      </c>
      <c r="E33" s="383">
        <v>0.33572000000000002</v>
      </c>
      <c r="F33" s="383" t="s">
        <v>302</v>
      </c>
      <c r="G33" s="383">
        <v>6.9999999999999994E-5</v>
      </c>
      <c r="H33" s="383" t="s">
        <v>710</v>
      </c>
      <c r="I33" s="384">
        <v>4.2199999999999998E-3</v>
      </c>
      <c r="J33" s="396"/>
    </row>
    <row r="34" spans="1:11" ht="30">
      <c r="A34" s="792"/>
      <c r="B34" s="383" t="s">
        <v>449</v>
      </c>
      <c r="C34" s="383" t="s">
        <v>207</v>
      </c>
      <c r="D34" s="383" t="s">
        <v>301</v>
      </c>
      <c r="E34" s="383">
        <v>0.17913000000000001</v>
      </c>
      <c r="F34" s="383" t="s">
        <v>302</v>
      </c>
      <c r="G34" s="383">
        <v>4.0000000000000003E-5</v>
      </c>
      <c r="H34" s="383" t="s">
        <v>710</v>
      </c>
      <c r="I34" s="384">
        <v>2.2599999999999999E-3</v>
      </c>
      <c r="J34" s="396"/>
    </row>
    <row r="35" spans="1:11" ht="30">
      <c r="A35" s="792"/>
      <c r="B35" s="383" t="s">
        <v>450</v>
      </c>
      <c r="C35" s="383" t="s">
        <v>207</v>
      </c>
      <c r="D35" s="383" t="s">
        <v>301</v>
      </c>
      <c r="E35" s="383">
        <v>0.20516999999999999</v>
      </c>
      <c r="F35" s="383" t="s">
        <v>302</v>
      </c>
      <c r="G35" s="383">
        <v>4.0000000000000003E-5</v>
      </c>
      <c r="H35" s="383" t="s">
        <v>710</v>
      </c>
      <c r="I35" s="384">
        <v>2.5799999999999998E-3</v>
      </c>
      <c r="J35" s="396"/>
    </row>
    <row r="36" spans="1:11" ht="60">
      <c r="A36" s="792"/>
      <c r="B36" s="383" t="s">
        <v>451</v>
      </c>
      <c r="C36" s="383" t="s">
        <v>207</v>
      </c>
      <c r="D36" s="383" t="s">
        <v>301</v>
      </c>
      <c r="E36" s="383">
        <v>0.12401</v>
      </c>
      <c r="F36" s="383" t="s">
        <v>302</v>
      </c>
      <c r="G36" s="383">
        <v>2.0000000000000002E-5</v>
      </c>
      <c r="H36" s="383" t="s">
        <v>710</v>
      </c>
      <c r="I36" s="384">
        <v>2.2300000000000002E-3</v>
      </c>
      <c r="J36" s="396"/>
    </row>
    <row r="37" spans="1:11" ht="60">
      <c r="A37" s="792"/>
      <c r="B37" s="383" t="s">
        <v>452</v>
      </c>
      <c r="C37" s="383" t="s">
        <v>207</v>
      </c>
      <c r="D37" s="383" t="s">
        <v>301</v>
      </c>
      <c r="E37" s="383">
        <v>7.8750000000000001E-2</v>
      </c>
      <c r="F37" s="383" t="s">
        <v>302</v>
      </c>
      <c r="G37" s="383">
        <v>1.0000000000000001E-5</v>
      </c>
      <c r="H37" s="383" t="s">
        <v>710</v>
      </c>
      <c r="I37" s="384">
        <v>1.41E-3</v>
      </c>
      <c r="J37" s="396"/>
    </row>
    <row r="38" spans="1:11" ht="60.6" thickBot="1">
      <c r="A38" s="792"/>
      <c r="B38" s="383" t="s">
        <v>453</v>
      </c>
      <c r="C38" s="383" t="s">
        <v>207</v>
      </c>
      <c r="D38" s="383" t="s">
        <v>301</v>
      </c>
      <c r="E38" s="383">
        <v>7.9750000000000001E-2</v>
      </c>
      <c r="F38" s="383" t="s">
        <v>302</v>
      </c>
      <c r="G38" s="383">
        <v>1.0000000000000001E-5</v>
      </c>
      <c r="H38" s="383" t="s">
        <v>710</v>
      </c>
      <c r="I38" s="384">
        <v>1.4300000000000001E-3</v>
      </c>
      <c r="J38" s="396"/>
    </row>
    <row r="39" spans="1:11" ht="45.6" thickBot="1">
      <c r="A39" s="791" t="s">
        <v>208</v>
      </c>
      <c r="B39" s="383" t="s">
        <v>209</v>
      </c>
      <c r="C39" s="383" t="s">
        <v>207</v>
      </c>
      <c r="D39" s="383" t="s">
        <v>301</v>
      </c>
      <c r="E39" s="383">
        <v>2.35236</v>
      </c>
      <c r="F39" s="383" t="s">
        <v>302</v>
      </c>
      <c r="G39" s="383">
        <v>1.8799999999999999E-3</v>
      </c>
      <c r="H39" s="383" t="s">
        <v>710</v>
      </c>
      <c r="I39" s="384">
        <v>2.2259999999999999E-2</v>
      </c>
      <c r="J39" s="397"/>
    </row>
    <row r="40" spans="1:11" ht="30.6" thickBot="1">
      <c r="A40" s="792"/>
      <c r="B40" s="383" t="s">
        <v>210</v>
      </c>
      <c r="C40" s="383" t="s">
        <v>207</v>
      </c>
      <c r="D40" s="383" t="s">
        <v>301</v>
      </c>
      <c r="E40" s="383">
        <v>1.2056800000000001</v>
      </c>
      <c r="F40" s="383" t="s">
        <v>302</v>
      </c>
      <c r="G40" s="383">
        <v>8.0000000000000007E-5</v>
      </c>
      <c r="H40" s="383" t="s">
        <v>710</v>
      </c>
      <c r="I40" s="384">
        <v>1.141E-2</v>
      </c>
      <c r="J40" s="397"/>
    </row>
    <row r="41" spans="1:11" ht="30.6" thickBot="1">
      <c r="A41" s="792"/>
      <c r="B41" s="383" t="s">
        <v>211</v>
      </c>
      <c r="C41" s="383" t="s">
        <v>207</v>
      </c>
      <c r="D41" s="383" t="s">
        <v>301</v>
      </c>
      <c r="E41" s="383">
        <v>0.53358000000000005</v>
      </c>
      <c r="F41" s="383" t="s">
        <v>302</v>
      </c>
      <c r="G41" s="383">
        <v>4.0000000000000003E-5</v>
      </c>
      <c r="H41" s="383" t="s">
        <v>710</v>
      </c>
      <c r="I41" s="384">
        <v>5.0499999999999998E-3</v>
      </c>
      <c r="J41" s="397"/>
    </row>
    <row r="42" spans="1:11" ht="30.6" thickBot="1">
      <c r="A42" s="792"/>
      <c r="B42" s="383" t="s">
        <v>454</v>
      </c>
      <c r="C42" s="383" t="s">
        <v>207</v>
      </c>
      <c r="D42" s="383" t="s">
        <v>301</v>
      </c>
      <c r="E42" s="383">
        <v>0.53358000000000005</v>
      </c>
      <c r="F42" s="383" t="s">
        <v>302</v>
      </c>
      <c r="G42" s="383">
        <v>4.0000000000000003E-5</v>
      </c>
      <c r="H42" s="383" t="s">
        <v>710</v>
      </c>
      <c r="I42" s="384">
        <v>5.0499999999999998E-3</v>
      </c>
      <c r="J42" s="397"/>
      <c r="K42" s="398"/>
    </row>
    <row r="43" spans="1:11" ht="30">
      <c r="A43" s="791" t="s">
        <v>212</v>
      </c>
      <c r="B43" s="383" t="s">
        <v>213</v>
      </c>
      <c r="C43" s="383" t="s">
        <v>207</v>
      </c>
      <c r="D43" s="383" t="s">
        <v>301</v>
      </c>
      <c r="E43" s="383">
        <v>4.5100000000000001E-3</v>
      </c>
      <c r="F43" s="383" t="s">
        <v>302</v>
      </c>
      <c r="G43" s="383">
        <v>9.9999999999999995E-7</v>
      </c>
      <c r="H43" s="383" t="s">
        <v>710</v>
      </c>
      <c r="I43" s="384">
        <v>6.0999999999999999E-5</v>
      </c>
    </row>
    <row r="44" spans="1:11" ht="30">
      <c r="A44" s="792"/>
      <c r="B44" s="383" t="s">
        <v>214</v>
      </c>
      <c r="C44" s="383" t="s">
        <v>207</v>
      </c>
      <c r="D44" s="383" t="s">
        <v>301</v>
      </c>
      <c r="E44" s="383">
        <v>8.9099999999999995E-3</v>
      </c>
      <c r="F44" s="383" t="s">
        <v>302</v>
      </c>
      <c r="G44" s="383">
        <v>3.0000000000000001E-6</v>
      </c>
      <c r="H44" s="383" t="s">
        <v>710</v>
      </c>
      <c r="I44" s="384">
        <v>1.21E-4</v>
      </c>
    </row>
    <row r="45" spans="1:11" ht="30">
      <c r="A45" s="792"/>
      <c r="B45" s="383" t="s">
        <v>215</v>
      </c>
      <c r="C45" s="383" t="s">
        <v>207</v>
      </c>
      <c r="D45" s="383" t="s">
        <v>301</v>
      </c>
      <c r="E45" s="383">
        <v>1.018E-2</v>
      </c>
      <c r="F45" s="383" t="s">
        <v>302</v>
      </c>
      <c r="G45" s="383">
        <v>3.0000000000000001E-6</v>
      </c>
      <c r="H45" s="383" t="s">
        <v>710</v>
      </c>
      <c r="I45" s="384">
        <v>1.3899999999999999E-4</v>
      </c>
    </row>
    <row r="46" spans="1:11" ht="30">
      <c r="A46" s="792"/>
      <c r="B46" s="383" t="s">
        <v>216</v>
      </c>
      <c r="C46" s="383" t="s">
        <v>207</v>
      </c>
      <c r="D46" s="383" t="s">
        <v>301</v>
      </c>
      <c r="E46" s="383">
        <v>1.1390000000000001E-2</v>
      </c>
      <c r="F46" s="383" t="s">
        <v>302</v>
      </c>
      <c r="G46" s="383">
        <v>3.0000000000000001E-6</v>
      </c>
      <c r="H46" s="383" t="s">
        <v>710</v>
      </c>
      <c r="I46" s="384">
        <v>1.55E-4</v>
      </c>
    </row>
    <row r="47" spans="1:11" ht="30">
      <c r="A47" s="792"/>
      <c r="B47" s="383" t="s">
        <v>217</v>
      </c>
      <c r="C47" s="383" t="s">
        <v>207</v>
      </c>
      <c r="D47" s="383" t="s">
        <v>301</v>
      </c>
      <c r="E47" s="383">
        <v>1.0240000000000001E-2</v>
      </c>
      <c r="F47" s="383" t="s">
        <v>302</v>
      </c>
      <c r="G47" s="383">
        <v>3.0000000000000001E-6</v>
      </c>
      <c r="H47" s="383" t="s">
        <v>710</v>
      </c>
      <c r="I47" s="384">
        <v>1.3899999999999999E-4</v>
      </c>
    </row>
    <row r="48" spans="1:11" ht="30">
      <c r="A48" s="791" t="s">
        <v>218</v>
      </c>
      <c r="B48" s="383" t="s">
        <v>219</v>
      </c>
      <c r="C48" s="383" t="s">
        <v>207</v>
      </c>
      <c r="D48" s="383" t="s">
        <v>301</v>
      </c>
      <c r="E48" s="383">
        <v>3.49E-3</v>
      </c>
      <c r="F48" s="383" t="s">
        <v>302</v>
      </c>
      <c r="G48" s="383">
        <v>9.9999999999999995E-7</v>
      </c>
      <c r="H48" s="383" t="s">
        <v>710</v>
      </c>
      <c r="I48" s="384">
        <v>4.8000000000000001E-5</v>
      </c>
    </row>
    <row r="49" spans="1:9" ht="30">
      <c r="A49" s="792"/>
      <c r="B49" s="383" t="s">
        <v>220</v>
      </c>
      <c r="C49" s="383" t="s">
        <v>207</v>
      </c>
      <c r="D49" s="383" t="s">
        <v>301</v>
      </c>
      <c r="E49" s="383">
        <v>1.3050000000000001E-2</v>
      </c>
      <c r="F49" s="383" t="s">
        <v>302</v>
      </c>
      <c r="G49" s="383">
        <v>3.9999999999999998E-6</v>
      </c>
      <c r="H49" s="383" t="s">
        <v>710</v>
      </c>
      <c r="I49" s="384">
        <v>1.7799999999999999E-4</v>
      </c>
    </row>
    <row r="50" spans="1:9" ht="30">
      <c r="A50" s="792"/>
      <c r="B50" s="383" t="s">
        <v>221</v>
      </c>
      <c r="C50" s="383" t="s">
        <v>207</v>
      </c>
      <c r="D50" s="383" t="s">
        <v>301</v>
      </c>
      <c r="E50" s="383">
        <v>1.592E-2</v>
      </c>
      <c r="F50" s="383" t="s">
        <v>302</v>
      </c>
      <c r="G50" s="383">
        <v>5.0000000000000004E-6</v>
      </c>
      <c r="H50" s="383" t="s">
        <v>710</v>
      </c>
      <c r="I50" s="384">
        <v>2.1699999999999999E-4</v>
      </c>
    </row>
    <row r="51" spans="1:9" ht="30">
      <c r="A51" s="792"/>
      <c r="B51" s="383" t="s">
        <v>222</v>
      </c>
      <c r="C51" s="383" t="s">
        <v>207</v>
      </c>
      <c r="D51" s="383" t="s">
        <v>301</v>
      </c>
      <c r="E51" s="383">
        <v>3.805E-2</v>
      </c>
      <c r="F51" s="383" t="s">
        <v>302</v>
      </c>
      <c r="G51" s="383">
        <v>1.1E-5</v>
      </c>
      <c r="H51" s="383" t="s">
        <v>710</v>
      </c>
      <c r="I51" s="384">
        <v>5.1800000000000001E-4</v>
      </c>
    </row>
    <row r="52" spans="1:9" ht="30">
      <c r="A52" s="792"/>
      <c r="B52" s="383" t="s">
        <v>223</v>
      </c>
      <c r="C52" s="383" t="s">
        <v>207</v>
      </c>
      <c r="D52" s="383" t="s">
        <v>301</v>
      </c>
      <c r="E52" s="383">
        <v>5.0950000000000002E-2</v>
      </c>
      <c r="F52" s="383" t="s">
        <v>302</v>
      </c>
      <c r="G52" s="383">
        <v>1.5E-5</v>
      </c>
      <c r="H52" s="383" t="s">
        <v>710</v>
      </c>
      <c r="I52" s="384">
        <v>6.9399999999999996E-4</v>
      </c>
    </row>
    <row r="53" spans="1:9" ht="30">
      <c r="A53" s="792"/>
      <c r="B53" s="383" t="s">
        <v>224</v>
      </c>
      <c r="C53" s="383" t="s">
        <v>207</v>
      </c>
      <c r="D53" s="383" t="s">
        <v>301</v>
      </c>
      <c r="E53" s="383">
        <v>0.3715</v>
      </c>
      <c r="F53" s="383" t="s">
        <v>302</v>
      </c>
      <c r="G53" s="383">
        <v>1.11E-4</v>
      </c>
      <c r="H53" s="383" t="s">
        <v>710</v>
      </c>
      <c r="I53" s="384">
        <v>5.0590000000000001E-3</v>
      </c>
    </row>
    <row r="54" spans="1:9" ht="30">
      <c r="A54" s="792"/>
      <c r="B54" s="383" t="s">
        <v>225</v>
      </c>
      <c r="C54" s="383" t="s">
        <v>207</v>
      </c>
      <c r="D54" s="383" t="s">
        <v>301</v>
      </c>
      <c r="E54" s="383">
        <v>1.29E-2</v>
      </c>
      <c r="F54" s="383" t="s">
        <v>302</v>
      </c>
      <c r="G54" s="383">
        <v>3.9999999999999998E-6</v>
      </c>
      <c r="H54" s="383" t="s">
        <v>710</v>
      </c>
      <c r="I54" s="384">
        <v>1.76E-4</v>
      </c>
    </row>
    <row r="55" spans="1:9" ht="27.75" customHeight="1">
      <c r="A55" s="377"/>
      <c r="B55" s="377"/>
      <c r="C55" s="377"/>
      <c r="D55" s="377"/>
      <c r="E55" s="377"/>
      <c r="F55" s="377"/>
      <c r="G55" s="377"/>
      <c r="H55" s="377"/>
    </row>
    <row r="56" spans="1:9" s="380" customFormat="1" ht="21.75" customHeight="1">
      <c r="A56" s="794" t="s">
        <v>226</v>
      </c>
      <c r="B56" s="794"/>
      <c r="C56" s="794"/>
      <c r="D56" s="794"/>
      <c r="E56" s="794"/>
      <c r="F56" s="794"/>
      <c r="G56" s="794"/>
      <c r="H56" s="399"/>
      <c r="I56" s="399"/>
    </row>
    <row r="57" spans="1:9" ht="11.25" customHeight="1">
      <c r="A57" s="377"/>
      <c r="B57" s="377"/>
      <c r="C57" s="377"/>
      <c r="D57" s="377"/>
      <c r="E57" s="377"/>
      <c r="F57" s="377"/>
      <c r="G57" s="377"/>
      <c r="H57" s="377"/>
    </row>
    <row r="58" spans="1:9">
      <c r="A58" s="795" t="s">
        <v>179</v>
      </c>
      <c r="B58" s="391" t="s">
        <v>145</v>
      </c>
      <c r="C58" s="391" t="s">
        <v>44</v>
      </c>
      <c r="D58" s="391" t="s">
        <v>85</v>
      </c>
      <c r="E58" s="391" t="s">
        <v>227</v>
      </c>
      <c r="F58" s="377"/>
      <c r="G58" s="377"/>
      <c r="H58" s="377"/>
    </row>
    <row r="59" spans="1:9">
      <c r="A59" s="796"/>
      <c r="B59" s="392" t="s">
        <v>297</v>
      </c>
      <c r="C59" s="392" t="s">
        <v>228</v>
      </c>
      <c r="D59" s="392" t="s">
        <v>711</v>
      </c>
      <c r="E59" s="400">
        <v>0.9194</v>
      </c>
      <c r="F59" s="377"/>
      <c r="G59" s="377"/>
      <c r="H59" s="377"/>
    </row>
    <row r="60" spans="1:9">
      <c r="A60" s="797"/>
      <c r="B60" s="392" t="s">
        <v>298</v>
      </c>
      <c r="C60" s="392" t="s">
        <v>228</v>
      </c>
      <c r="D60" s="392" t="s">
        <v>712</v>
      </c>
      <c r="E60" s="400">
        <v>0.73939999999999995</v>
      </c>
      <c r="H60" s="377"/>
    </row>
    <row r="61" spans="1:9" ht="30">
      <c r="A61" s="401" t="s">
        <v>544</v>
      </c>
      <c r="B61" s="392" t="s">
        <v>663</v>
      </c>
      <c r="C61" s="392" t="s">
        <v>594</v>
      </c>
      <c r="D61" s="392" t="s">
        <v>713</v>
      </c>
      <c r="E61" s="400">
        <v>0.14899999999999999</v>
      </c>
      <c r="H61" s="377"/>
    </row>
    <row r="62" spans="1:9" ht="24" customHeight="1">
      <c r="A62" s="795" t="s">
        <v>714</v>
      </c>
      <c r="B62" s="391" t="s">
        <v>145</v>
      </c>
      <c r="C62" s="391" t="s">
        <v>44</v>
      </c>
      <c r="D62" s="391" t="s">
        <v>85</v>
      </c>
      <c r="E62" s="391" t="s">
        <v>390</v>
      </c>
      <c r="F62" s="402" t="s">
        <v>262</v>
      </c>
      <c r="G62" s="402" t="s">
        <v>263</v>
      </c>
      <c r="H62" s="377"/>
    </row>
    <row r="63" spans="1:9" ht="75">
      <c r="A63" s="797"/>
      <c r="B63" s="392" t="s">
        <v>714</v>
      </c>
      <c r="C63" s="392" t="s">
        <v>253</v>
      </c>
      <c r="D63" s="392" t="s">
        <v>715</v>
      </c>
      <c r="E63" s="392">
        <v>0.9</v>
      </c>
      <c r="F63" s="392" t="s">
        <v>254</v>
      </c>
      <c r="G63" s="403">
        <v>6.2084E-2</v>
      </c>
      <c r="H63" s="377"/>
    </row>
    <row r="64" spans="1:9">
      <c r="H64" s="377"/>
    </row>
    <row r="65" spans="1:8" ht="27.75" customHeight="1">
      <c r="A65" s="377"/>
      <c r="B65" s="377"/>
      <c r="C65" s="377"/>
      <c r="D65" s="377"/>
      <c r="E65" s="377"/>
      <c r="F65" s="377"/>
      <c r="G65" s="377"/>
      <c r="H65" s="377"/>
    </row>
    <row r="66" spans="1:8" s="380" customFormat="1" ht="21.75" customHeight="1">
      <c r="A66" s="794" t="s">
        <v>180</v>
      </c>
      <c r="B66" s="794"/>
      <c r="C66" s="794"/>
      <c r="D66" s="794"/>
      <c r="E66" s="794"/>
      <c r="F66" s="399"/>
      <c r="G66" s="399"/>
      <c r="H66" s="404"/>
    </row>
    <row r="67" spans="1:8" s="380" customFormat="1" ht="11.25" customHeight="1">
      <c r="A67" s="405"/>
      <c r="B67" s="405"/>
      <c r="C67" s="405"/>
      <c r="D67" s="405"/>
      <c r="E67" s="405"/>
      <c r="F67" s="399"/>
      <c r="G67" s="399"/>
      <c r="H67" s="404"/>
    </row>
    <row r="68" spans="1:8">
      <c r="A68" s="406" t="s">
        <v>229</v>
      </c>
      <c r="B68" s="407" t="s">
        <v>230</v>
      </c>
      <c r="C68" s="407" t="s">
        <v>44</v>
      </c>
      <c r="D68" s="407" t="s">
        <v>85</v>
      </c>
      <c r="E68" s="407" t="s">
        <v>227</v>
      </c>
      <c r="F68" s="377"/>
      <c r="G68" s="377"/>
      <c r="H68" s="377"/>
    </row>
    <row r="69" spans="1:8" ht="30">
      <c r="A69" s="392" t="s">
        <v>231</v>
      </c>
      <c r="B69" s="392" t="s">
        <v>232</v>
      </c>
      <c r="C69" s="392" t="s">
        <v>228</v>
      </c>
      <c r="D69" s="392" t="s">
        <v>716</v>
      </c>
      <c r="E69" s="392">
        <v>0.98914159999999995</v>
      </c>
      <c r="F69" s="377"/>
      <c r="G69" s="377"/>
      <c r="H69" s="377"/>
    </row>
    <row r="70" spans="1:8">
      <c r="A70" s="392" t="s">
        <v>231</v>
      </c>
      <c r="B70" s="392" t="s">
        <v>233</v>
      </c>
      <c r="C70" s="392" t="s">
        <v>228</v>
      </c>
      <c r="D70" s="392" t="s">
        <v>716</v>
      </c>
      <c r="E70" s="392">
        <v>21.293565891472866</v>
      </c>
      <c r="F70" s="377"/>
      <c r="G70" s="377"/>
      <c r="H70" s="377"/>
    </row>
    <row r="71" spans="1:8">
      <c r="A71" s="392" t="s">
        <v>231</v>
      </c>
      <c r="B71" s="392" t="s">
        <v>234</v>
      </c>
      <c r="C71" s="392" t="s">
        <v>228</v>
      </c>
      <c r="D71" s="392" t="s">
        <v>716</v>
      </c>
      <c r="E71" s="392">
        <v>21.293565891472866</v>
      </c>
      <c r="F71" s="377"/>
      <c r="G71" s="377"/>
      <c r="H71" s="377"/>
    </row>
    <row r="72" spans="1:8">
      <c r="A72" s="392" t="s">
        <v>231</v>
      </c>
      <c r="B72" s="392" t="s">
        <v>235</v>
      </c>
      <c r="C72" s="392" t="s">
        <v>228</v>
      </c>
      <c r="D72" s="392" t="s">
        <v>716</v>
      </c>
      <c r="E72" s="392">
        <v>21.293565891472866</v>
      </c>
      <c r="F72" s="377"/>
      <c r="G72" s="377"/>
      <c r="H72" s="377"/>
    </row>
    <row r="73" spans="1:8">
      <c r="A73" s="392" t="s">
        <v>231</v>
      </c>
      <c r="B73" s="392" t="s">
        <v>236</v>
      </c>
      <c r="C73" s="392" t="s">
        <v>228</v>
      </c>
      <c r="D73" s="392" t="s">
        <v>716</v>
      </c>
      <c r="E73" s="392">
        <v>21.293565891472866</v>
      </c>
      <c r="F73" s="377"/>
      <c r="G73" s="377"/>
      <c r="H73" s="377"/>
    </row>
    <row r="74" spans="1:8" ht="30">
      <c r="A74" s="392" t="s">
        <v>237</v>
      </c>
      <c r="B74" s="392" t="s">
        <v>232</v>
      </c>
      <c r="C74" s="392" t="s">
        <v>228</v>
      </c>
      <c r="D74" s="392" t="s">
        <v>716</v>
      </c>
      <c r="E74" s="392">
        <v>0.98914159999999995</v>
      </c>
      <c r="F74" s="377"/>
      <c r="G74" s="377"/>
      <c r="H74" s="377"/>
    </row>
    <row r="75" spans="1:8">
      <c r="A75" s="392" t="s">
        <v>237</v>
      </c>
      <c r="B75" s="392" t="s">
        <v>238</v>
      </c>
      <c r="C75" s="392" t="s">
        <v>228</v>
      </c>
      <c r="D75" s="392" t="s">
        <v>716</v>
      </c>
      <c r="E75" s="392">
        <v>21.293565891472866</v>
      </c>
      <c r="F75" s="377"/>
      <c r="G75" s="377"/>
      <c r="H75" s="377"/>
    </row>
    <row r="76" spans="1:8">
      <c r="A76" s="392" t="s">
        <v>237</v>
      </c>
      <c r="B76" s="392" t="s">
        <v>239</v>
      </c>
      <c r="C76" s="392" t="s">
        <v>228</v>
      </c>
      <c r="D76" s="392" t="s">
        <v>716</v>
      </c>
      <c r="E76" s="392">
        <v>21.293565891472866</v>
      </c>
      <c r="F76" s="377"/>
      <c r="G76" s="377"/>
      <c r="H76" s="377"/>
    </row>
    <row r="77" spans="1:8">
      <c r="A77" s="392" t="s">
        <v>237</v>
      </c>
      <c r="B77" s="392" t="s">
        <v>240</v>
      </c>
      <c r="C77" s="392" t="s">
        <v>228</v>
      </c>
      <c r="D77" s="392" t="s">
        <v>716</v>
      </c>
      <c r="E77" s="392">
        <v>21.293565891472866</v>
      </c>
      <c r="F77" s="377"/>
      <c r="G77" s="377"/>
      <c r="H77" s="377"/>
    </row>
    <row r="78" spans="1:8">
      <c r="A78" s="392" t="s">
        <v>237</v>
      </c>
      <c r="B78" s="392" t="s">
        <v>241</v>
      </c>
      <c r="C78" s="392" t="s">
        <v>228</v>
      </c>
      <c r="D78" s="392" t="s">
        <v>716</v>
      </c>
      <c r="E78" s="392">
        <v>21.293565891472866</v>
      </c>
      <c r="F78" s="377"/>
      <c r="G78" s="377"/>
      <c r="H78" s="377"/>
    </row>
    <row r="79" spans="1:8">
      <c r="A79" s="392" t="s">
        <v>237</v>
      </c>
      <c r="B79" s="392" t="s">
        <v>233</v>
      </c>
      <c r="C79" s="392" t="s">
        <v>228</v>
      </c>
      <c r="D79" s="392" t="s">
        <v>716</v>
      </c>
      <c r="E79" s="392">
        <v>21.293565891472866</v>
      </c>
      <c r="F79" s="377"/>
      <c r="G79" s="377"/>
      <c r="H79" s="377"/>
    </row>
    <row r="80" spans="1:8">
      <c r="A80" s="392" t="s">
        <v>237</v>
      </c>
      <c r="B80" s="392" t="s">
        <v>242</v>
      </c>
      <c r="C80" s="392" t="s">
        <v>228</v>
      </c>
      <c r="D80" s="392" t="s">
        <v>716</v>
      </c>
      <c r="E80" s="392">
        <v>21.293565891472866</v>
      </c>
      <c r="F80" s="377"/>
      <c r="G80" s="377"/>
      <c r="H80" s="377"/>
    </row>
    <row r="81" spans="1:8" ht="45">
      <c r="A81" s="392" t="s">
        <v>237</v>
      </c>
      <c r="B81" s="392" t="s">
        <v>243</v>
      </c>
      <c r="C81" s="392" t="s">
        <v>228</v>
      </c>
      <c r="D81" s="392" t="s">
        <v>716</v>
      </c>
      <c r="E81" s="392">
        <v>21.293565891472866</v>
      </c>
      <c r="F81" s="377"/>
      <c r="G81" s="377"/>
      <c r="H81" s="377"/>
    </row>
    <row r="82" spans="1:8">
      <c r="A82" s="392" t="s">
        <v>237</v>
      </c>
      <c r="B82" s="392" t="s">
        <v>235</v>
      </c>
      <c r="C82" s="392" t="s">
        <v>228</v>
      </c>
      <c r="D82" s="392" t="s">
        <v>716</v>
      </c>
      <c r="E82" s="392">
        <v>21.293565891472866</v>
      </c>
      <c r="F82" s="377"/>
      <c r="G82" s="377"/>
      <c r="H82" s="377"/>
    </row>
    <row r="83" spans="1:8">
      <c r="A83" s="392" t="s">
        <v>237</v>
      </c>
      <c r="B83" s="392" t="s">
        <v>236</v>
      </c>
      <c r="C83" s="392" t="s">
        <v>228</v>
      </c>
      <c r="D83" s="392" t="s">
        <v>716</v>
      </c>
      <c r="E83" s="392">
        <v>21.293565891472866</v>
      </c>
      <c r="F83" s="377"/>
      <c r="G83" s="377"/>
      <c r="H83" s="377"/>
    </row>
    <row r="84" spans="1:8">
      <c r="A84" s="392" t="s">
        <v>237</v>
      </c>
      <c r="B84" s="392" t="s">
        <v>156</v>
      </c>
      <c r="C84" s="392" t="s">
        <v>228</v>
      </c>
      <c r="D84" s="392" t="s">
        <v>716</v>
      </c>
      <c r="E84" s="392">
        <v>21.293565891472866</v>
      </c>
      <c r="F84" s="377"/>
      <c r="G84" s="377"/>
      <c r="H84" s="377"/>
    </row>
    <row r="85" spans="1:8">
      <c r="A85" s="392" t="s">
        <v>244</v>
      </c>
      <c r="B85" s="392" t="s">
        <v>240</v>
      </c>
      <c r="C85" s="392" t="s">
        <v>228</v>
      </c>
      <c r="D85" s="392" t="s">
        <v>716</v>
      </c>
      <c r="E85" s="392">
        <v>828.03226547429415</v>
      </c>
      <c r="F85" s="377"/>
      <c r="G85" s="377"/>
      <c r="H85" s="377"/>
    </row>
    <row r="86" spans="1:8">
      <c r="A86" s="392" t="s">
        <v>244</v>
      </c>
      <c r="B86" s="392" t="s">
        <v>241</v>
      </c>
      <c r="C86" s="392" t="s">
        <v>228</v>
      </c>
      <c r="D86" s="392" t="s">
        <v>716</v>
      </c>
      <c r="E86" s="392">
        <v>1041.8036935229597</v>
      </c>
      <c r="F86" s="377"/>
      <c r="G86" s="377"/>
      <c r="H86" s="377"/>
    </row>
    <row r="87" spans="1:8">
      <c r="A87" s="392" t="s">
        <v>244</v>
      </c>
      <c r="B87" s="392" t="s">
        <v>233</v>
      </c>
      <c r="C87" s="392" t="s">
        <v>228</v>
      </c>
      <c r="D87" s="392" t="s">
        <v>716</v>
      </c>
      <c r="E87" s="392">
        <v>8.9019922480620153</v>
      </c>
      <c r="F87" s="377"/>
      <c r="G87" s="377"/>
      <c r="H87" s="377"/>
    </row>
    <row r="88" spans="1:8">
      <c r="A88" s="392" t="s">
        <v>244</v>
      </c>
      <c r="B88" s="392" t="s">
        <v>242</v>
      </c>
      <c r="C88" s="392" t="s">
        <v>228</v>
      </c>
      <c r="D88" s="392" t="s">
        <v>716</v>
      </c>
      <c r="E88" s="392">
        <v>444.94340664702185</v>
      </c>
      <c r="F88" s="377"/>
      <c r="G88" s="377"/>
      <c r="H88" s="377"/>
    </row>
    <row r="89" spans="1:8">
      <c r="A89" s="392" t="s">
        <v>244</v>
      </c>
      <c r="B89" s="392" t="s">
        <v>245</v>
      </c>
      <c r="C89" s="392" t="s">
        <v>228</v>
      </c>
      <c r="D89" s="392" t="s">
        <v>716</v>
      </c>
      <c r="E89" s="392">
        <v>626.87486615417743</v>
      </c>
      <c r="F89" s="377"/>
      <c r="G89" s="377"/>
      <c r="H89" s="377"/>
    </row>
    <row r="90" spans="1:8">
      <c r="A90" s="392" t="s">
        <v>244</v>
      </c>
      <c r="B90" s="392" t="s">
        <v>246</v>
      </c>
      <c r="C90" s="392" t="s">
        <v>228</v>
      </c>
      <c r="D90" s="392" t="s">
        <v>716</v>
      </c>
      <c r="E90" s="392">
        <v>578.95913371117013</v>
      </c>
      <c r="F90" s="377"/>
      <c r="G90" s="377"/>
      <c r="H90" s="377"/>
    </row>
    <row r="91" spans="1:8" ht="30">
      <c r="A91" s="392" t="s">
        <v>244</v>
      </c>
      <c r="B91" s="392" t="s">
        <v>247</v>
      </c>
      <c r="C91" s="392" t="s">
        <v>228</v>
      </c>
      <c r="D91" s="392" t="s">
        <v>716</v>
      </c>
      <c r="E91" s="392">
        <v>587.34438688869636</v>
      </c>
      <c r="F91" s="377"/>
      <c r="G91" s="377"/>
      <c r="H91" s="377"/>
    </row>
    <row r="92" spans="1:8" ht="45">
      <c r="A92" s="392" t="s">
        <v>244</v>
      </c>
      <c r="B92" s="392" t="s">
        <v>243</v>
      </c>
      <c r="C92" s="392" t="s">
        <v>228</v>
      </c>
      <c r="D92" s="392" t="s">
        <v>716</v>
      </c>
      <c r="E92" s="392">
        <v>467.04579999999999</v>
      </c>
      <c r="F92" s="377"/>
      <c r="G92" s="377"/>
      <c r="H92" s="377"/>
    </row>
    <row r="93" spans="1:8">
      <c r="A93" s="392" t="s">
        <v>244</v>
      </c>
      <c r="B93" s="392" t="s">
        <v>234</v>
      </c>
      <c r="C93" s="392" t="s">
        <v>228</v>
      </c>
      <c r="D93" s="392" t="s">
        <v>716</v>
      </c>
      <c r="E93" s="392">
        <v>8.9019922480620153</v>
      </c>
      <c r="F93" s="377"/>
      <c r="G93" s="377"/>
      <c r="H93" s="377"/>
    </row>
    <row r="94" spans="1:8">
      <c r="A94" s="392" t="s">
        <v>244</v>
      </c>
      <c r="B94" s="392" t="s">
        <v>235</v>
      </c>
      <c r="C94" s="392" t="s">
        <v>228</v>
      </c>
      <c r="D94" s="392" t="s">
        <v>716</v>
      </c>
      <c r="E94" s="392">
        <v>8.9019922480620153</v>
      </c>
      <c r="F94" s="377"/>
      <c r="G94" s="377"/>
      <c r="H94" s="377"/>
    </row>
    <row r="95" spans="1:8">
      <c r="A95" s="392" t="s">
        <v>244</v>
      </c>
      <c r="B95" s="392" t="s">
        <v>236</v>
      </c>
      <c r="C95" s="392" t="s">
        <v>228</v>
      </c>
      <c r="D95" s="392" t="s">
        <v>716</v>
      </c>
      <c r="E95" s="392">
        <v>8.9019922480620153</v>
      </c>
      <c r="F95" s="377"/>
      <c r="G95" s="377"/>
      <c r="H95" s="377"/>
    </row>
    <row r="96" spans="1:8">
      <c r="A96" s="392" t="s">
        <v>244</v>
      </c>
      <c r="B96" s="392" t="s">
        <v>156</v>
      </c>
      <c r="C96" s="392" t="s">
        <v>228</v>
      </c>
      <c r="D96" s="392" t="s">
        <v>716</v>
      </c>
      <c r="E96" s="392">
        <v>1041.8036935229597</v>
      </c>
      <c r="F96" s="377"/>
      <c r="G96" s="377"/>
      <c r="H96" s="377"/>
    </row>
    <row r="97" spans="1:8">
      <c r="A97" s="377"/>
      <c r="B97" s="377"/>
      <c r="C97" s="377"/>
      <c r="D97" s="377"/>
      <c r="E97" s="377"/>
      <c r="F97" s="377"/>
      <c r="G97" s="377"/>
      <c r="H97" s="377"/>
    </row>
    <row r="98" spans="1:8">
      <c r="A98" s="391" t="s">
        <v>71</v>
      </c>
      <c r="B98" s="391"/>
      <c r="C98" s="391" t="s">
        <v>44</v>
      </c>
      <c r="D98" s="391" t="s">
        <v>85</v>
      </c>
      <c r="E98" s="391" t="s">
        <v>248</v>
      </c>
      <c r="F98" s="377"/>
      <c r="G98" s="377"/>
      <c r="H98" s="377"/>
    </row>
    <row r="99" spans="1:8">
      <c r="A99" s="392" t="s">
        <v>249</v>
      </c>
      <c r="B99" s="392" t="s">
        <v>240</v>
      </c>
      <c r="C99" s="392" t="s">
        <v>228</v>
      </c>
      <c r="D99" s="392" t="s">
        <v>716</v>
      </c>
      <c r="E99" s="392">
        <v>8.9506976744186044</v>
      </c>
      <c r="F99" s="377"/>
      <c r="G99" s="377"/>
      <c r="H99" s="377"/>
    </row>
    <row r="100" spans="1:8">
      <c r="A100" s="392" t="s">
        <v>249</v>
      </c>
      <c r="B100" s="392" t="s">
        <v>245</v>
      </c>
      <c r="C100" s="392" t="s">
        <v>228</v>
      </c>
      <c r="D100" s="392" t="s">
        <v>716</v>
      </c>
      <c r="E100" s="392">
        <v>8.9506976744186044</v>
      </c>
      <c r="F100" s="377"/>
      <c r="G100" s="377"/>
      <c r="H100" s="377"/>
    </row>
    <row r="101" spans="1:8">
      <c r="A101" s="392" t="s">
        <v>249</v>
      </c>
      <c r="B101" s="392" t="s">
        <v>246</v>
      </c>
      <c r="C101" s="392" t="s">
        <v>228</v>
      </c>
      <c r="D101" s="392" t="s">
        <v>716</v>
      </c>
      <c r="E101" s="392">
        <v>8.9506976744186044</v>
      </c>
      <c r="F101" s="377"/>
      <c r="G101" s="377"/>
      <c r="H101" s="377"/>
    </row>
    <row r="102" spans="1:8" ht="30">
      <c r="A102" s="392" t="s">
        <v>249</v>
      </c>
      <c r="B102" s="392" t="s">
        <v>247</v>
      </c>
      <c r="C102" s="392" t="s">
        <v>228</v>
      </c>
      <c r="D102" s="392" t="s">
        <v>716</v>
      </c>
      <c r="E102" s="392">
        <v>8.9506976744186044</v>
      </c>
      <c r="F102" s="377"/>
      <c r="G102" s="377"/>
      <c r="H102" s="377"/>
    </row>
    <row r="103" spans="1:8" ht="45">
      <c r="A103" s="392" t="s">
        <v>249</v>
      </c>
      <c r="B103" s="392" t="s">
        <v>243</v>
      </c>
      <c r="C103" s="392" t="s">
        <v>228</v>
      </c>
      <c r="D103" s="392" t="s">
        <v>716</v>
      </c>
      <c r="E103" s="392">
        <v>8.9506976744186044</v>
      </c>
      <c r="F103" s="377"/>
      <c r="G103" s="377"/>
      <c r="H103" s="377"/>
    </row>
    <row r="104" spans="1:8">
      <c r="A104" s="392" t="s">
        <v>249</v>
      </c>
      <c r="B104" s="392" t="s">
        <v>156</v>
      </c>
      <c r="C104" s="392" t="s">
        <v>228</v>
      </c>
      <c r="D104" s="392" t="s">
        <v>716</v>
      </c>
      <c r="E104" s="392">
        <v>8.9506976744186044</v>
      </c>
      <c r="F104" s="377"/>
      <c r="G104" s="377"/>
      <c r="H104" s="377"/>
    </row>
    <row r="105" spans="1:8">
      <c r="A105" s="392" t="s">
        <v>250</v>
      </c>
      <c r="B105" s="392" t="s">
        <v>245</v>
      </c>
      <c r="C105" s="392" t="s">
        <v>228</v>
      </c>
      <c r="D105" s="392" t="s">
        <v>716</v>
      </c>
      <c r="E105" s="392">
        <v>8.9506976744186044</v>
      </c>
      <c r="F105" s="377"/>
      <c r="G105" s="377"/>
      <c r="H105" s="377"/>
    </row>
    <row r="106" spans="1:8">
      <c r="A106" s="392" t="s">
        <v>250</v>
      </c>
      <c r="B106" s="392" t="s">
        <v>246</v>
      </c>
      <c r="C106" s="392" t="s">
        <v>228</v>
      </c>
      <c r="D106" s="392" t="s">
        <v>716</v>
      </c>
      <c r="E106" s="392">
        <v>8.9506976744186044</v>
      </c>
      <c r="F106" s="377"/>
      <c r="G106" s="377"/>
      <c r="H106" s="377"/>
    </row>
    <row r="107" spans="1:8" ht="30">
      <c r="A107" s="392" t="s">
        <v>250</v>
      </c>
      <c r="B107" s="392" t="s">
        <v>247</v>
      </c>
      <c r="C107" s="392" t="s">
        <v>228</v>
      </c>
      <c r="D107" s="392" t="s">
        <v>716</v>
      </c>
      <c r="E107" s="392">
        <v>8.9506976744186044</v>
      </c>
      <c r="F107" s="377"/>
      <c r="G107" s="377"/>
      <c r="H107" s="377"/>
    </row>
    <row r="108" spans="1:8" ht="45">
      <c r="A108" s="392" t="s">
        <v>250</v>
      </c>
      <c r="B108" s="392" t="s">
        <v>243</v>
      </c>
      <c r="C108" s="392" t="s">
        <v>228</v>
      </c>
      <c r="D108" s="392" t="s">
        <v>716</v>
      </c>
      <c r="E108" s="392">
        <v>8.9506976744186044</v>
      </c>
      <c r="F108" s="377"/>
      <c r="G108" s="377"/>
      <c r="H108" s="377"/>
    </row>
    <row r="109" spans="1:8">
      <c r="A109" s="377"/>
      <c r="B109" s="377"/>
      <c r="C109" s="377"/>
      <c r="D109" s="377"/>
      <c r="E109" s="377"/>
      <c r="F109" s="377"/>
      <c r="G109" s="377"/>
      <c r="H109" s="377"/>
    </row>
    <row r="110" spans="1:8">
      <c r="A110" s="406" t="s">
        <v>67</v>
      </c>
      <c r="B110" s="391" t="s">
        <v>44</v>
      </c>
      <c r="C110" s="391" t="s">
        <v>85</v>
      </c>
      <c r="D110" s="391" t="s">
        <v>227</v>
      </c>
      <c r="E110" s="377"/>
      <c r="F110" s="377"/>
      <c r="G110" s="377"/>
      <c r="H110" s="377"/>
    </row>
    <row r="111" spans="1:8">
      <c r="A111" s="392" t="s">
        <v>238</v>
      </c>
      <c r="B111" s="392" t="s">
        <v>228</v>
      </c>
      <c r="C111" s="408" t="s">
        <v>716</v>
      </c>
      <c r="D111" s="392">
        <v>21.293565891472866</v>
      </c>
      <c r="E111" s="377"/>
      <c r="F111" s="377"/>
      <c r="G111" s="377"/>
      <c r="H111" s="377"/>
    </row>
    <row r="112" spans="1:8">
      <c r="A112" s="392" t="s">
        <v>240</v>
      </c>
      <c r="B112" s="392" t="s">
        <v>228</v>
      </c>
      <c r="C112" s="408" t="s">
        <v>716</v>
      </c>
      <c r="D112" s="392">
        <v>21.293565891472866</v>
      </c>
      <c r="E112" s="377"/>
      <c r="F112" s="377"/>
      <c r="G112" s="377"/>
      <c r="H112" s="377"/>
    </row>
    <row r="113" spans="1:8">
      <c r="A113" s="392" t="s">
        <v>241</v>
      </c>
      <c r="B113" s="392" t="s">
        <v>228</v>
      </c>
      <c r="C113" s="408" t="s">
        <v>716</v>
      </c>
      <c r="D113" s="392">
        <v>21.293565891472866</v>
      </c>
      <c r="E113" s="377"/>
      <c r="F113" s="377"/>
      <c r="G113" s="377"/>
      <c r="H113" s="377"/>
    </row>
    <row r="114" spans="1:8">
      <c r="A114" s="392" t="s">
        <v>233</v>
      </c>
      <c r="B114" s="392" t="s">
        <v>228</v>
      </c>
      <c r="C114" s="408" t="s">
        <v>716</v>
      </c>
      <c r="D114" s="392">
        <v>21.293565891472866</v>
      </c>
      <c r="E114" s="377"/>
      <c r="F114" s="377"/>
      <c r="G114" s="377"/>
      <c r="H114" s="377"/>
    </row>
    <row r="115" spans="1:8">
      <c r="A115" s="392" t="s">
        <v>242</v>
      </c>
      <c r="B115" s="392" t="s">
        <v>228</v>
      </c>
      <c r="C115" s="408" t="s">
        <v>716</v>
      </c>
      <c r="D115" s="392">
        <v>21.293565891472866</v>
      </c>
      <c r="E115" s="377"/>
      <c r="F115" s="377"/>
      <c r="G115" s="377"/>
      <c r="H115" s="377"/>
    </row>
    <row r="116" spans="1:8">
      <c r="A116" s="392" t="s">
        <v>245</v>
      </c>
      <c r="B116" s="392" t="s">
        <v>228</v>
      </c>
      <c r="C116" s="408" t="s">
        <v>716</v>
      </c>
      <c r="D116" s="392">
        <v>21.293565891472866</v>
      </c>
      <c r="E116" s="377"/>
      <c r="F116" s="377"/>
      <c r="G116" s="377"/>
      <c r="H116" s="377"/>
    </row>
    <row r="117" spans="1:8">
      <c r="A117" s="392" t="s">
        <v>246</v>
      </c>
      <c r="B117" s="392" t="s">
        <v>228</v>
      </c>
      <c r="C117" s="408" t="s">
        <v>716</v>
      </c>
      <c r="D117" s="392">
        <v>21.293565891472866</v>
      </c>
      <c r="E117" s="377"/>
      <c r="F117" s="377"/>
      <c r="G117" s="377"/>
      <c r="H117" s="377"/>
    </row>
    <row r="118" spans="1:8">
      <c r="A118" s="392" t="s">
        <v>247</v>
      </c>
      <c r="B118" s="392" t="s">
        <v>228</v>
      </c>
      <c r="C118" s="408" t="s">
        <v>716</v>
      </c>
      <c r="D118" s="392">
        <v>21.293565891472866</v>
      </c>
      <c r="E118" s="377"/>
      <c r="F118" s="377"/>
      <c r="G118" s="377"/>
      <c r="H118" s="377"/>
    </row>
    <row r="119" spans="1:8">
      <c r="A119" s="392" t="s">
        <v>243</v>
      </c>
      <c r="B119" s="392" t="s">
        <v>228</v>
      </c>
      <c r="C119" s="408" t="s">
        <v>716</v>
      </c>
      <c r="D119" s="392">
        <v>21.293565891472866</v>
      </c>
      <c r="E119" s="377"/>
      <c r="F119" s="377"/>
      <c r="G119" s="377"/>
      <c r="H119" s="377"/>
    </row>
    <row r="120" spans="1:8">
      <c r="A120" s="392" t="s">
        <v>235</v>
      </c>
      <c r="B120" s="392" t="s">
        <v>228</v>
      </c>
      <c r="C120" s="408" t="s">
        <v>716</v>
      </c>
      <c r="D120" s="392">
        <v>21.293565891472866</v>
      </c>
      <c r="E120" s="377"/>
      <c r="F120" s="377"/>
      <c r="G120" s="377"/>
      <c r="H120" s="377"/>
    </row>
    <row r="121" spans="1:8">
      <c r="A121" s="392" t="s">
        <v>236</v>
      </c>
      <c r="B121" s="392" t="s">
        <v>228</v>
      </c>
      <c r="C121" s="408" t="s">
        <v>716</v>
      </c>
      <c r="D121" s="392">
        <v>21.293565891472866</v>
      </c>
      <c r="E121" s="377"/>
      <c r="F121" s="377"/>
      <c r="G121" s="377"/>
      <c r="H121" s="377"/>
    </row>
    <row r="122" spans="1:8">
      <c r="A122" s="392" t="s">
        <v>156</v>
      </c>
      <c r="B122" s="392" t="s">
        <v>228</v>
      </c>
      <c r="C122" s="408" t="s">
        <v>716</v>
      </c>
      <c r="D122" s="392">
        <v>21.293565891472866</v>
      </c>
      <c r="E122" s="377"/>
      <c r="F122" s="377"/>
      <c r="G122" s="377"/>
      <c r="H122" s="377"/>
    </row>
    <row r="123" spans="1:8">
      <c r="A123" s="377"/>
      <c r="B123" s="377"/>
      <c r="C123" s="377"/>
      <c r="D123" s="377"/>
      <c r="E123" s="377"/>
      <c r="F123" s="377"/>
      <c r="G123" s="377"/>
      <c r="H123" s="377"/>
    </row>
    <row r="124" spans="1:8" ht="30">
      <c r="A124" s="406" t="s">
        <v>164</v>
      </c>
      <c r="B124" s="391" t="s">
        <v>251</v>
      </c>
      <c r="C124" s="391" t="s">
        <v>85</v>
      </c>
      <c r="D124" s="391" t="s">
        <v>227</v>
      </c>
      <c r="E124" s="377"/>
      <c r="F124" s="377"/>
      <c r="G124" s="377"/>
      <c r="H124" s="377"/>
    </row>
    <row r="125" spans="1:8">
      <c r="A125" s="392" t="s">
        <v>664</v>
      </c>
      <c r="B125" s="392" t="s">
        <v>252</v>
      </c>
      <c r="C125" s="392" t="s">
        <v>716</v>
      </c>
      <c r="D125" s="392">
        <v>0.27200000000000002</v>
      </c>
      <c r="E125" s="377"/>
      <c r="F125" s="377"/>
      <c r="G125" s="377"/>
      <c r="H125" s="377"/>
    </row>
    <row r="126" spans="1:8">
      <c r="A126" s="377"/>
      <c r="B126" s="377"/>
      <c r="C126" s="377"/>
      <c r="D126" s="377"/>
      <c r="E126" s="377"/>
      <c r="F126" s="377"/>
      <c r="G126" s="377"/>
      <c r="H126" s="377"/>
    </row>
    <row r="128" spans="1:8">
      <c r="A128" s="377"/>
      <c r="B128" s="377"/>
      <c r="C128" s="377"/>
      <c r="D128" s="377"/>
      <c r="E128" s="377"/>
      <c r="F128" s="377"/>
      <c r="G128" s="377"/>
      <c r="H128" s="377"/>
    </row>
    <row r="131" spans="1:8">
      <c r="A131" s="377"/>
      <c r="B131" s="377"/>
      <c r="C131" s="377"/>
      <c r="D131" s="377"/>
      <c r="E131" s="377"/>
      <c r="F131" s="377"/>
      <c r="G131" s="377"/>
      <c r="H131" s="377"/>
    </row>
    <row r="132" spans="1:8">
      <c r="A132" s="409" t="s">
        <v>109</v>
      </c>
      <c r="B132" s="409" t="s">
        <v>255</v>
      </c>
      <c r="C132" s="409" t="s">
        <v>256</v>
      </c>
      <c r="D132" s="377"/>
      <c r="E132" s="377"/>
      <c r="F132" s="377"/>
      <c r="G132" s="377"/>
      <c r="H132" s="377"/>
    </row>
    <row r="133" spans="1:8">
      <c r="A133" s="392" t="s">
        <v>257</v>
      </c>
      <c r="B133" s="392">
        <v>1</v>
      </c>
      <c r="C133" s="392" t="s">
        <v>258</v>
      </c>
      <c r="D133" s="377"/>
      <c r="E133" s="377"/>
      <c r="F133" s="377"/>
      <c r="G133" s="377"/>
      <c r="H133" s="377"/>
    </row>
    <row r="134" spans="1:8">
      <c r="A134" s="392" t="s">
        <v>259</v>
      </c>
      <c r="B134" s="392">
        <v>28</v>
      </c>
      <c r="C134" s="392" t="s">
        <v>258</v>
      </c>
      <c r="D134" s="377"/>
      <c r="E134" s="377"/>
      <c r="F134" s="377"/>
      <c r="G134" s="377"/>
      <c r="H134" s="377"/>
    </row>
    <row r="135" spans="1:8">
      <c r="A135" s="392" t="s">
        <v>260</v>
      </c>
      <c r="B135" s="392">
        <v>30</v>
      </c>
      <c r="C135" s="392" t="s">
        <v>258</v>
      </c>
      <c r="D135" s="377"/>
      <c r="E135" s="377"/>
      <c r="F135" s="377"/>
      <c r="G135" s="377"/>
      <c r="H135" s="377"/>
    </row>
    <row r="136" spans="1:8">
      <c r="A136" s="392" t="s">
        <v>110</v>
      </c>
      <c r="B136" s="392">
        <v>265</v>
      </c>
      <c r="C136" s="392" t="s">
        <v>258</v>
      </c>
      <c r="D136" s="377"/>
      <c r="E136" s="377"/>
      <c r="F136" s="377"/>
      <c r="G136" s="377"/>
      <c r="H136" s="377"/>
    </row>
    <row r="137" spans="1:8">
      <c r="A137" s="392" t="s">
        <v>114</v>
      </c>
      <c r="B137" s="392">
        <v>23500</v>
      </c>
      <c r="C137" s="392" t="s">
        <v>258</v>
      </c>
      <c r="D137" s="377"/>
      <c r="E137" s="377"/>
      <c r="F137" s="377"/>
      <c r="G137" s="377"/>
      <c r="H137" s="377"/>
    </row>
    <row r="138" spans="1:8">
      <c r="A138" s="392" t="s">
        <v>261</v>
      </c>
      <c r="B138" s="392">
        <v>16100</v>
      </c>
      <c r="C138" s="392" t="s">
        <v>258</v>
      </c>
      <c r="D138" s="377"/>
      <c r="E138" s="377"/>
      <c r="F138" s="377"/>
      <c r="G138" s="377"/>
      <c r="H138" s="377"/>
    </row>
    <row r="139" spans="1:8">
      <c r="A139" s="377"/>
      <c r="B139" s="377"/>
      <c r="C139" s="377"/>
      <c r="D139" s="377"/>
      <c r="E139" s="377"/>
      <c r="F139" s="377"/>
      <c r="G139" s="377"/>
      <c r="H139" s="377"/>
    </row>
    <row r="140" spans="1:8">
      <c r="A140" s="377"/>
      <c r="B140" s="377"/>
      <c r="C140" s="377"/>
      <c r="D140" s="377"/>
      <c r="E140" s="377"/>
      <c r="F140" s="377"/>
      <c r="G140" s="377"/>
      <c r="H140" s="377"/>
    </row>
    <row r="141" spans="1:8">
      <c r="A141" s="377"/>
      <c r="B141" s="377"/>
      <c r="C141" s="377"/>
      <c r="D141" s="377"/>
      <c r="E141" s="377"/>
      <c r="F141" s="377"/>
      <c r="G141" s="377"/>
      <c r="H141" s="377"/>
    </row>
    <row r="142" spans="1:8">
      <c r="A142" s="377"/>
      <c r="B142" s="377"/>
      <c r="C142" s="377"/>
      <c r="D142" s="377"/>
      <c r="E142" s="377"/>
      <c r="F142" s="377"/>
      <c r="G142" s="377"/>
      <c r="H142" s="377"/>
    </row>
    <row r="143" spans="1:8">
      <c r="A143" s="377"/>
      <c r="B143" s="377"/>
      <c r="C143" s="377"/>
      <c r="D143" s="377"/>
      <c r="E143" s="377"/>
      <c r="F143" s="377"/>
      <c r="G143" s="377"/>
      <c r="H143" s="377"/>
    </row>
    <row r="144" spans="1:8">
      <c r="A144" s="377"/>
      <c r="B144" s="377"/>
      <c r="C144" s="377"/>
      <c r="D144" s="377"/>
      <c r="E144" s="377"/>
      <c r="F144" s="377"/>
      <c r="G144" s="377"/>
      <c r="H144" s="377"/>
    </row>
    <row r="145" spans="1:8">
      <c r="A145" s="377"/>
      <c r="B145" s="377"/>
      <c r="C145" s="377"/>
      <c r="D145" s="377"/>
      <c r="E145" s="377"/>
      <c r="F145" s="377"/>
      <c r="G145" s="377"/>
      <c r="H145" s="377"/>
    </row>
    <row r="146" spans="1:8">
      <c r="A146" s="377"/>
      <c r="B146" s="377"/>
      <c r="C146" s="377"/>
      <c r="D146" s="377"/>
      <c r="E146" s="377"/>
      <c r="F146" s="377"/>
      <c r="G146" s="377"/>
      <c r="H146" s="377"/>
    </row>
    <row r="147" spans="1:8">
      <c r="A147" s="377"/>
      <c r="B147" s="377"/>
      <c r="C147" s="377"/>
      <c r="D147" s="377"/>
      <c r="E147" s="377"/>
      <c r="F147" s="377"/>
      <c r="G147" s="377"/>
      <c r="H147" s="377"/>
    </row>
    <row r="148" spans="1:8">
      <c r="A148" s="377"/>
      <c r="B148" s="377"/>
      <c r="C148" s="377"/>
      <c r="D148" s="377"/>
      <c r="E148" s="377"/>
      <c r="F148" s="377"/>
      <c r="G148" s="377"/>
      <c r="H148" s="377"/>
    </row>
    <row r="149" spans="1:8">
      <c r="A149" s="377"/>
      <c r="B149" s="377"/>
      <c r="C149" s="377"/>
      <c r="D149" s="377"/>
      <c r="E149" s="377"/>
      <c r="F149" s="377"/>
      <c r="G149" s="377"/>
      <c r="H149" s="377"/>
    </row>
    <row r="150" spans="1:8">
      <c r="A150" s="377"/>
      <c r="B150" s="377"/>
      <c r="C150" s="377"/>
      <c r="D150" s="377"/>
      <c r="E150" s="377"/>
      <c r="F150" s="377"/>
      <c r="G150" s="377"/>
      <c r="H150" s="377"/>
    </row>
    <row r="151" spans="1:8">
      <c r="A151" s="377"/>
      <c r="B151" s="377"/>
      <c r="C151" s="377"/>
      <c r="D151" s="377"/>
      <c r="E151" s="377"/>
      <c r="F151" s="377"/>
      <c r="G151" s="377"/>
      <c r="H151" s="377"/>
    </row>
    <row r="152" spans="1:8">
      <c r="A152" s="377"/>
      <c r="B152" s="377"/>
      <c r="C152" s="377"/>
      <c r="D152" s="377"/>
      <c r="E152" s="377"/>
      <c r="F152" s="377"/>
      <c r="G152" s="377"/>
      <c r="H152" s="377"/>
    </row>
    <row r="153" spans="1:8">
      <c r="A153" s="377"/>
      <c r="B153" s="377"/>
      <c r="C153" s="377"/>
      <c r="D153" s="377"/>
      <c r="E153" s="377"/>
      <c r="F153" s="377"/>
      <c r="G153" s="377"/>
      <c r="H153" s="377"/>
    </row>
    <row r="154" spans="1:8">
      <c r="A154" s="377"/>
      <c r="B154" s="377"/>
      <c r="C154" s="377"/>
      <c r="D154" s="377"/>
      <c r="E154" s="377"/>
      <c r="F154" s="377"/>
      <c r="G154" s="377"/>
      <c r="H154" s="377"/>
    </row>
    <row r="155" spans="1:8">
      <c r="A155" s="377"/>
      <c r="B155" s="377"/>
      <c r="C155" s="377"/>
      <c r="D155" s="377"/>
      <c r="E155" s="377"/>
      <c r="F155" s="377"/>
      <c r="G155" s="377"/>
      <c r="H155" s="377"/>
    </row>
    <row r="156" spans="1:8">
      <c r="A156" s="377"/>
      <c r="B156" s="377"/>
      <c r="C156" s="377"/>
      <c r="D156" s="377"/>
      <c r="E156" s="377"/>
      <c r="F156" s="377"/>
      <c r="G156" s="377"/>
      <c r="H156" s="377"/>
    </row>
    <row r="157" spans="1:8">
      <c r="A157" s="377"/>
      <c r="B157" s="377"/>
      <c r="C157" s="377"/>
      <c r="D157" s="377"/>
      <c r="E157" s="377"/>
      <c r="F157" s="377"/>
      <c r="G157" s="377"/>
      <c r="H157" s="377"/>
    </row>
    <row r="158" spans="1:8">
      <c r="A158" s="377"/>
      <c r="B158" s="377"/>
      <c r="C158" s="377"/>
      <c r="D158" s="377"/>
      <c r="E158" s="377"/>
      <c r="F158" s="377"/>
      <c r="G158" s="377"/>
      <c r="H158" s="377"/>
    </row>
    <row r="159" spans="1:8">
      <c r="A159" s="377"/>
      <c r="B159" s="377"/>
      <c r="C159" s="377"/>
      <c r="D159" s="377"/>
      <c r="E159" s="377"/>
      <c r="F159" s="377"/>
      <c r="G159" s="377"/>
      <c r="H159" s="377"/>
    </row>
    <row r="160" spans="1:8">
      <c r="A160" s="377"/>
      <c r="B160" s="377"/>
      <c r="C160" s="377"/>
      <c r="D160" s="377"/>
      <c r="E160" s="377"/>
      <c r="F160" s="377"/>
      <c r="G160" s="377"/>
      <c r="H160" s="377"/>
    </row>
    <row r="161" spans="1:8">
      <c r="A161" s="377"/>
      <c r="B161" s="377"/>
      <c r="C161" s="377"/>
      <c r="D161" s="377"/>
      <c r="E161" s="377"/>
      <c r="F161" s="377"/>
      <c r="G161" s="377"/>
      <c r="H161" s="377"/>
    </row>
    <row r="162" spans="1:8">
      <c r="A162" s="377"/>
      <c r="B162" s="377"/>
      <c r="C162" s="377"/>
      <c r="D162" s="377"/>
      <c r="E162" s="377"/>
      <c r="F162" s="377"/>
      <c r="G162" s="377"/>
      <c r="H162" s="377"/>
    </row>
    <row r="163" spans="1:8">
      <c r="A163" s="377"/>
      <c r="B163" s="377"/>
      <c r="C163" s="377"/>
      <c r="D163" s="377"/>
      <c r="E163" s="377"/>
      <c r="F163" s="377"/>
      <c r="G163" s="377"/>
      <c r="H163" s="377"/>
    </row>
    <row r="164" spans="1:8">
      <c r="A164" s="377"/>
      <c r="B164" s="377"/>
      <c r="C164" s="377"/>
      <c r="D164" s="377"/>
      <c r="E164" s="377"/>
      <c r="F164" s="377"/>
      <c r="G164" s="377"/>
      <c r="H164" s="377"/>
    </row>
    <row r="165" spans="1:8">
      <c r="A165" s="377"/>
      <c r="B165" s="377"/>
      <c r="C165" s="377"/>
      <c r="D165" s="377"/>
      <c r="E165" s="377"/>
      <c r="F165" s="377"/>
      <c r="G165" s="377"/>
      <c r="H165" s="377"/>
    </row>
    <row r="166" spans="1:8">
      <c r="A166" s="377"/>
      <c r="B166" s="377"/>
      <c r="C166" s="377"/>
      <c r="D166" s="377"/>
      <c r="E166" s="377"/>
      <c r="F166" s="377"/>
      <c r="G166" s="377"/>
      <c r="H166" s="377"/>
    </row>
    <row r="167" spans="1:8">
      <c r="A167" s="377"/>
      <c r="B167" s="377"/>
      <c r="C167" s="377"/>
      <c r="D167" s="377"/>
      <c r="E167" s="377"/>
      <c r="F167" s="377"/>
      <c r="G167" s="377"/>
      <c r="H167" s="377"/>
    </row>
    <row r="168" spans="1:8">
      <c r="A168" s="377"/>
      <c r="B168" s="377"/>
      <c r="C168" s="377"/>
      <c r="D168" s="377"/>
      <c r="E168" s="377"/>
      <c r="F168" s="377"/>
      <c r="G168" s="377"/>
      <c r="H168" s="377"/>
    </row>
    <row r="169" spans="1:8">
      <c r="A169" s="377"/>
      <c r="B169" s="377"/>
      <c r="C169" s="377"/>
      <c r="D169" s="377"/>
      <c r="E169" s="377"/>
      <c r="F169" s="377"/>
      <c r="G169" s="377"/>
      <c r="H169" s="377"/>
    </row>
    <row r="170" spans="1:8">
      <c r="A170" s="377"/>
      <c r="B170" s="377"/>
      <c r="C170" s="377"/>
      <c r="D170" s="377"/>
      <c r="E170" s="377"/>
      <c r="F170" s="377"/>
      <c r="G170" s="377"/>
      <c r="H170" s="377"/>
    </row>
    <row r="171" spans="1:8">
      <c r="A171" s="377"/>
      <c r="B171" s="377"/>
      <c r="C171" s="377"/>
      <c r="D171" s="377"/>
      <c r="E171" s="377"/>
      <c r="F171" s="377"/>
      <c r="G171" s="377"/>
      <c r="H171" s="377"/>
    </row>
    <row r="172" spans="1:8">
      <c r="A172" s="377"/>
      <c r="B172" s="377"/>
      <c r="C172" s="377"/>
      <c r="D172" s="377"/>
      <c r="E172" s="377"/>
      <c r="F172" s="377"/>
      <c r="G172" s="377"/>
      <c r="H172" s="377"/>
    </row>
    <row r="173" spans="1:8">
      <c r="A173" s="377"/>
      <c r="B173" s="377"/>
      <c r="C173" s="377"/>
      <c r="D173" s="377"/>
      <c r="E173" s="377"/>
      <c r="F173" s="377"/>
      <c r="G173" s="377"/>
      <c r="H173" s="377"/>
    </row>
    <row r="174" spans="1:8">
      <c r="A174" s="377"/>
      <c r="B174" s="377"/>
      <c r="C174" s="377"/>
      <c r="D174" s="377"/>
      <c r="E174" s="377"/>
      <c r="F174" s="377"/>
      <c r="G174" s="377"/>
      <c r="H174" s="377"/>
    </row>
    <row r="175" spans="1:8">
      <c r="A175" s="377"/>
      <c r="B175" s="377"/>
      <c r="C175" s="377"/>
      <c r="D175" s="377"/>
      <c r="E175" s="377"/>
      <c r="F175" s="377"/>
      <c r="G175" s="377"/>
      <c r="H175" s="377"/>
    </row>
    <row r="176" spans="1:8">
      <c r="A176" s="377"/>
      <c r="B176" s="377"/>
      <c r="C176" s="377"/>
      <c r="D176" s="377"/>
      <c r="E176" s="377"/>
      <c r="F176" s="377"/>
      <c r="G176" s="377"/>
      <c r="H176" s="377"/>
    </row>
    <row r="177" spans="1:8">
      <c r="A177" s="377"/>
      <c r="B177" s="377"/>
      <c r="C177" s="377"/>
      <c r="D177" s="377"/>
      <c r="E177" s="377"/>
      <c r="F177" s="377"/>
      <c r="G177" s="377"/>
      <c r="H177" s="377"/>
    </row>
    <row r="178" spans="1:8">
      <c r="A178" s="377"/>
      <c r="B178" s="377"/>
      <c r="C178" s="377"/>
      <c r="D178" s="377"/>
      <c r="E178" s="377"/>
      <c r="F178" s="377"/>
      <c r="G178" s="377"/>
      <c r="H178" s="377"/>
    </row>
    <row r="179" spans="1:8">
      <c r="A179" s="377"/>
      <c r="B179" s="377"/>
      <c r="C179" s="377"/>
      <c r="D179" s="377"/>
      <c r="E179" s="377"/>
      <c r="F179" s="377"/>
      <c r="G179" s="377"/>
      <c r="H179" s="377"/>
    </row>
    <row r="180" spans="1:8">
      <c r="A180" s="377"/>
      <c r="B180" s="377"/>
      <c r="C180" s="377"/>
      <c r="D180" s="377"/>
      <c r="E180" s="377"/>
      <c r="F180" s="377"/>
      <c r="G180" s="377"/>
      <c r="H180" s="377"/>
    </row>
    <row r="181" spans="1:8">
      <c r="A181" s="377"/>
      <c r="B181" s="377"/>
      <c r="C181" s="377"/>
      <c r="D181" s="377"/>
      <c r="E181" s="377"/>
      <c r="F181" s="377"/>
      <c r="G181" s="377"/>
      <c r="H181" s="377"/>
    </row>
    <row r="182" spans="1:8">
      <c r="A182" s="377"/>
      <c r="B182" s="377"/>
      <c r="C182" s="377"/>
      <c r="D182" s="377"/>
      <c r="E182" s="377"/>
      <c r="F182" s="377"/>
      <c r="G182" s="377"/>
      <c r="H182" s="377"/>
    </row>
    <row r="183" spans="1:8">
      <c r="A183" s="377"/>
      <c r="B183" s="377"/>
      <c r="C183" s="377"/>
      <c r="D183" s="377"/>
      <c r="E183" s="377"/>
      <c r="F183" s="377"/>
      <c r="G183" s="377"/>
      <c r="H183" s="377"/>
    </row>
    <row r="184" spans="1:8">
      <c r="A184" s="377"/>
      <c r="B184" s="377"/>
      <c r="C184" s="377"/>
      <c r="D184" s="377"/>
      <c r="E184" s="377"/>
      <c r="F184" s="377"/>
      <c r="G184" s="377"/>
      <c r="H184" s="377"/>
    </row>
    <row r="185" spans="1:8">
      <c r="A185" s="377"/>
      <c r="B185" s="377"/>
      <c r="C185" s="377"/>
      <c r="D185" s="377"/>
      <c r="E185" s="377"/>
      <c r="F185" s="377"/>
      <c r="G185" s="377"/>
      <c r="H185" s="377"/>
    </row>
    <row r="186" spans="1:8">
      <c r="A186" s="377"/>
      <c r="B186" s="377"/>
      <c r="C186" s="377"/>
      <c r="D186" s="377"/>
      <c r="E186" s="377"/>
      <c r="F186" s="377"/>
      <c r="G186" s="377"/>
      <c r="H186" s="377"/>
    </row>
    <row r="187" spans="1:8">
      <c r="A187" s="377"/>
      <c r="B187" s="377"/>
      <c r="C187" s="377"/>
      <c r="D187" s="377"/>
      <c r="E187" s="377"/>
      <c r="F187" s="377"/>
      <c r="G187" s="377"/>
      <c r="H187" s="377"/>
    </row>
    <row r="188" spans="1:8">
      <c r="A188" s="377"/>
      <c r="B188" s="377"/>
      <c r="C188" s="377"/>
      <c r="D188" s="377"/>
      <c r="E188" s="377"/>
      <c r="F188" s="377"/>
      <c r="G188" s="377"/>
      <c r="H188" s="377"/>
    </row>
    <row r="189" spans="1:8">
      <c r="A189" s="377"/>
      <c r="B189" s="377"/>
      <c r="C189" s="377"/>
      <c r="D189" s="377"/>
      <c r="E189" s="377"/>
      <c r="F189" s="377"/>
      <c r="G189" s="377"/>
      <c r="H189" s="377"/>
    </row>
    <row r="190" spans="1:8">
      <c r="A190" s="377"/>
      <c r="B190" s="377"/>
      <c r="C190" s="377"/>
      <c r="D190" s="377"/>
      <c r="E190" s="377"/>
      <c r="F190" s="377"/>
      <c r="G190" s="377"/>
      <c r="H190" s="377"/>
    </row>
    <row r="191" spans="1:8">
      <c r="A191" s="377"/>
      <c r="B191" s="377"/>
      <c r="C191" s="377"/>
      <c r="D191" s="377"/>
      <c r="E191" s="377"/>
      <c r="F191" s="377"/>
      <c r="G191" s="377"/>
      <c r="H191" s="377"/>
    </row>
    <row r="192" spans="1:8">
      <c r="A192" s="377"/>
      <c r="B192" s="377"/>
      <c r="C192" s="377"/>
      <c r="D192" s="377"/>
      <c r="E192" s="377"/>
      <c r="F192" s="377"/>
      <c r="G192" s="377"/>
      <c r="H192" s="377"/>
    </row>
    <row r="193" spans="1:8">
      <c r="A193" s="377"/>
      <c r="B193" s="377"/>
      <c r="C193" s="377"/>
      <c r="D193" s="377"/>
      <c r="E193" s="377"/>
      <c r="F193" s="377"/>
      <c r="G193" s="377"/>
      <c r="H193" s="377"/>
    </row>
    <row r="194" spans="1:8">
      <c r="A194" s="377"/>
      <c r="B194" s="377"/>
      <c r="C194" s="377"/>
      <c r="D194" s="377"/>
      <c r="E194" s="377"/>
      <c r="F194" s="377"/>
      <c r="G194" s="377"/>
      <c r="H194" s="377"/>
    </row>
    <row r="195" spans="1:8">
      <c r="A195" s="377"/>
      <c r="B195" s="377"/>
      <c r="C195" s="377"/>
      <c r="D195" s="377"/>
      <c r="E195" s="377"/>
      <c r="F195" s="377"/>
      <c r="G195" s="377"/>
      <c r="H195" s="377"/>
    </row>
    <row r="196" spans="1:8">
      <c r="A196" s="377"/>
      <c r="B196" s="377"/>
      <c r="C196" s="377"/>
      <c r="D196" s="377"/>
      <c r="E196" s="377"/>
      <c r="F196" s="377"/>
      <c r="G196" s="377"/>
      <c r="H196" s="377"/>
    </row>
    <row r="197" spans="1:8">
      <c r="A197" s="377"/>
      <c r="B197" s="377"/>
      <c r="C197" s="377"/>
      <c r="D197" s="377"/>
      <c r="E197" s="377"/>
      <c r="F197" s="377"/>
      <c r="G197" s="377"/>
      <c r="H197" s="377"/>
    </row>
    <row r="198" spans="1:8">
      <c r="A198" s="377"/>
      <c r="B198" s="377"/>
      <c r="C198" s="377"/>
      <c r="D198" s="377"/>
      <c r="E198" s="377"/>
      <c r="F198" s="377"/>
      <c r="G198" s="377"/>
      <c r="H198" s="377"/>
    </row>
    <row r="199" spans="1:8">
      <c r="A199" s="377"/>
      <c r="B199" s="377"/>
      <c r="C199" s="377"/>
      <c r="D199" s="377"/>
      <c r="E199" s="377"/>
      <c r="F199" s="377"/>
      <c r="G199" s="377"/>
      <c r="H199" s="377"/>
    </row>
    <row r="200" spans="1:8">
      <c r="A200" s="377"/>
      <c r="B200" s="377"/>
      <c r="C200" s="377"/>
      <c r="D200" s="377"/>
      <c r="E200" s="377"/>
      <c r="F200" s="377"/>
      <c r="G200" s="377"/>
      <c r="H200" s="377"/>
    </row>
    <row r="201" spans="1:8">
      <c r="A201" s="377"/>
      <c r="B201" s="377"/>
      <c r="C201" s="377"/>
      <c r="D201" s="377"/>
      <c r="E201" s="377"/>
      <c r="F201" s="377"/>
      <c r="G201" s="377"/>
      <c r="H201" s="377"/>
    </row>
    <row r="202" spans="1:8">
      <c r="A202" s="377"/>
      <c r="B202" s="377"/>
      <c r="C202" s="377"/>
      <c r="D202" s="377"/>
      <c r="E202" s="377"/>
      <c r="F202" s="377"/>
      <c r="G202" s="377"/>
      <c r="H202" s="377"/>
    </row>
    <row r="203" spans="1:8">
      <c r="A203" s="377"/>
      <c r="B203" s="377"/>
      <c r="C203" s="377"/>
      <c r="D203" s="377"/>
      <c r="E203" s="377"/>
      <c r="F203" s="377"/>
      <c r="G203" s="377"/>
      <c r="H203" s="377"/>
    </row>
    <row r="204" spans="1:8">
      <c r="A204" s="377"/>
      <c r="B204" s="377"/>
      <c r="C204" s="377"/>
      <c r="D204" s="377"/>
      <c r="E204" s="377"/>
      <c r="F204" s="377"/>
      <c r="G204" s="377"/>
      <c r="H204" s="377"/>
    </row>
    <row r="205" spans="1:8">
      <c r="A205" s="377"/>
      <c r="B205" s="377"/>
      <c r="C205" s="377"/>
      <c r="D205" s="377"/>
      <c r="E205" s="377"/>
      <c r="F205" s="377"/>
      <c r="G205" s="377"/>
      <c r="H205" s="377"/>
    </row>
    <row r="206" spans="1:8">
      <c r="A206" s="377"/>
      <c r="B206" s="377"/>
      <c r="C206" s="377"/>
      <c r="D206" s="377"/>
      <c r="E206" s="377"/>
      <c r="F206" s="377"/>
      <c r="G206" s="377"/>
      <c r="H206" s="377"/>
    </row>
    <row r="207" spans="1:8">
      <c r="A207" s="377"/>
      <c r="B207" s="377"/>
      <c r="C207" s="377"/>
      <c r="D207" s="377"/>
      <c r="E207" s="377"/>
      <c r="F207" s="377"/>
      <c r="G207" s="377"/>
      <c r="H207" s="377"/>
    </row>
    <row r="208" spans="1:8">
      <c r="A208" s="377"/>
      <c r="B208" s="377"/>
      <c r="C208" s="377"/>
      <c r="D208" s="377"/>
      <c r="E208" s="377"/>
      <c r="F208" s="377"/>
      <c r="G208" s="377"/>
      <c r="H208" s="377"/>
    </row>
    <row r="209" spans="1:8">
      <c r="A209" s="377"/>
      <c r="B209" s="377"/>
      <c r="C209" s="377"/>
      <c r="D209" s="377"/>
      <c r="E209" s="377"/>
      <c r="F209" s="377"/>
      <c r="G209" s="377"/>
      <c r="H209" s="377"/>
    </row>
    <row r="210" spans="1:8">
      <c r="A210" s="377"/>
      <c r="B210" s="377"/>
      <c r="C210" s="377"/>
      <c r="D210" s="377"/>
      <c r="E210" s="377"/>
      <c r="F210" s="377"/>
      <c r="G210" s="377"/>
      <c r="H210" s="377"/>
    </row>
    <row r="211" spans="1:8">
      <c r="A211" s="377"/>
      <c r="B211" s="377"/>
      <c r="C211" s="377"/>
      <c r="D211" s="377"/>
      <c r="E211" s="377"/>
      <c r="F211" s="377"/>
      <c r="G211" s="377"/>
      <c r="H211" s="377"/>
    </row>
    <row r="212" spans="1:8">
      <c r="A212" s="377"/>
      <c r="B212" s="377"/>
      <c r="C212" s="377"/>
      <c r="D212" s="377"/>
      <c r="E212" s="377"/>
      <c r="F212" s="377"/>
      <c r="G212" s="377"/>
      <c r="H212" s="377"/>
    </row>
    <row r="213" spans="1:8">
      <c r="A213" s="377"/>
      <c r="B213" s="377"/>
      <c r="C213" s="377"/>
      <c r="D213" s="377"/>
      <c r="E213" s="377"/>
      <c r="F213" s="377"/>
      <c r="G213" s="377"/>
      <c r="H213" s="377"/>
    </row>
    <row r="214" spans="1:8">
      <c r="A214" s="377"/>
      <c r="B214" s="377"/>
      <c r="C214" s="377"/>
      <c r="D214" s="377"/>
      <c r="E214" s="377"/>
      <c r="F214" s="377"/>
      <c r="G214" s="377"/>
      <c r="H214" s="377"/>
    </row>
    <row r="215" spans="1:8">
      <c r="A215" s="377"/>
      <c r="B215" s="377"/>
      <c r="C215" s="377"/>
      <c r="D215" s="377"/>
      <c r="E215" s="377"/>
      <c r="F215" s="377"/>
      <c r="G215" s="377"/>
      <c r="H215" s="377"/>
    </row>
    <row r="216" spans="1:8">
      <c r="A216" s="377"/>
      <c r="B216" s="377"/>
      <c r="C216" s="377"/>
      <c r="D216" s="377"/>
      <c r="E216" s="377"/>
      <c r="F216" s="377"/>
      <c r="G216" s="377"/>
      <c r="H216" s="377"/>
    </row>
    <row r="217" spans="1:8">
      <c r="A217" s="377"/>
      <c r="B217" s="377"/>
      <c r="C217" s="377"/>
      <c r="D217" s="377"/>
      <c r="E217" s="377"/>
      <c r="F217" s="377"/>
      <c r="G217" s="377"/>
      <c r="H217" s="377"/>
    </row>
    <row r="218" spans="1:8">
      <c r="A218" s="377"/>
      <c r="B218" s="377"/>
      <c r="C218" s="377"/>
      <c r="D218" s="377"/>
      <c r="E218" s="377"/>
      <c r="F218" s="377"/>
      <c r="G218" s="377"/>
      <c r="H218" s="377"/>
    </row>
    <row r="219" spans="1:8">
      <c r="A219" s="377"/>
      <c r="B219" s="377"/>
      <c r="C219" s="377"/>
      <c r="D219" s="377"/>
      <c r="E219" s="377"/>
      <c r="F219" s="377"/>
      <c r="G219" s="377"/>
      <c r="H219" s="377"/>
    </row>
    <row r="220" spans="1:8">
      <c r="A220" s="377"/>
      <c r="B220" s="377"/>
      <c r="C220" s="377"/>
      <c r="D220" s="377"/>
      <c r="E220" s="377"/>
      <c r="F220" s="377"/>
      <c r="G220" s="377"/>
      <c r="H220" s="377"/>
    </row>
    <row r="221" spans="1:8">
      <c r="A221" s="377"/>
      <c r="B221" s="377"/>
      <c r="C221" s="377"/>
      <c r="D221" s="377"/>
      <c r="E221" s="377"/>
      <c r="F221" s="377"/>
      <c r="G221" s="377"/>
      <c r="H221" s="377"/>
    </row>
    <row r="222" spans="1:8">
      <c r="A222" s="377"/>
      <c r="B222" s="377"/>
      <c r="C222" s="377"/>
      <c r="D222" s="377"/>
      <c r="E222" s="377"/>
      <c r="F222" s="377"/>
      <c r="G222" s="377"/>
      <c r="H222" s="377"/>
    </row>
    <row r="223" spans="1:8">
      <c r="A223" s="377"/>
      <c r="B223" s="377"/>
      <c r="C223" s="377"/>
      <c r="D223" s="377"/>
      <c r="E223" s="377"/>
      <c r="F223" s="377"/>
      <c r="G223" s="377"/>
      <c r="H223" s="377"/>
    </row>
    <row r="224" spans="1:8">
      <c r="A224" s="377"/>
      <c r="B224" s="377"/>
      <c r="C224" s="377"/>
      <c r="D224" s="377"/>
      <c r="E224" s="377"/>
      <c r="F224" s="377"/>
      <c r="G224" s="377"/>
      <c r="H224" s="377"/>
    </row>
    <row r="225" spans="1:8">
      <c r="A225" s="377"/>
      <c r="B225" s="377"/>
      <c r="C225" s="377"/>
      <c r="D225" s="377"/>
      <c r="E225" s="377"/>
      <c r="F225" s="377"/>
      <c r="G225" s="377"/>
      <c r="H225" s="377"/>
    </row>
    <row r="226" spans="1:8">
      <c r="A226" s="377"/>
      <c r="B226" s="377"/>
      <c r="C226" s="377"/>
      <c r="D226" s="377"/>
      <c r="E226" s="377"/>
      <c r="F226" s="377"/>
      <c r="G226" s="377"/>
      <c r="H226" s="377"/>
    </row>
    <row r="227" spans="1:8">
      <c r="A227" s="377"/>
      <c r="B227" s="377"/>
      <c r="C227" s="377"/>
      <c r="D227" s="377"/>
      <c r="E227" s="377"/>
      <c r="F227" s="377"/>
      <c r="G227" s="377"/>
      <c r="H227" s="377"/>
    </row>
    <row r="228" spans="1:8">
      <c r="A228" s="377"/>
      <c r="B228" s="377"/>
      <c r="C228" s="377"/>
      <c r="D228" s="377"/>
      <c r="E228" s="377"/>
      <c r="F228" s="377"/>
      <c r="G228" s="377"/>
      <c r="H228" s="377"/>
    </row>
    <row r="229" spans="1:8">
      <c r="A229" s="377"/>
      <c r="B229" s="377"/>
      <c r="C229" s="377"/>
      <c r="D229" s="377"/>
      <c r="E229" s="377"/>
      <c r="F229" s="377"/>
      <c r="G229" s="377"/>
      <c r="H229" s="377"/>
    </row>
    <row r="230" spans="1:8">
      <c r="A230" s="377"/>
      <c r="B230" s="377"/>
      <c r="C230" s="377"/>
      <c r="D230" s="377"/>
      <c r="E230" s="377"/>
      <c r="F230" s="377"/>
      <c r="G230" s="377"/>
      <c r="H230" s="377"/>
    </row>
    <row r="231" spans="1:8">
      <c r="A231" s="377"/>
      <c r="B231" s="377"/>
      <c r="C231" s="377"/>
      <c r="D231" s="377"/>
      <c r="E231" s="377"/>
      <c r="F231" s="377"/>
      <c r="G231" s="377"/>
      <c r="H231" s="377"/>
    </row>
    <row r="232" spans="1:8">
      <c r="A232" s="377"/>
      <c r="B232" s="377"/>
      <c r="C232" s="377"/>
      <c r="D232" s="377"/>
      <c r="E232" s="377"/>
      <c r="F232" s="377"/>
      <c r="G232" s="377"/>
      <c r="H232" s="377"/>
    </row>
    <row r="233" spans="1:8">
      <c r="A233" s="377"/>
      <c r="B233" s="377"/>
      <c r="C233" s="377"/>
      <c r="D233" s="377"/>
      <c r="E233" s="377"/>
      <c r="F233" s="377"/>
      <c r="G233" s="377"/>
      <c r="H233" s="377"/>
    </row>
    <row r="234" spans="1:8">
      <c r="A234" s="377"/>
      <c r="B234" s="377"/>
      <c r="C234" s="377"/>
      <c r="D234" s="377"/>
      <c r="E234" s="377"/>
      <c r="F234" s="377"/>
      <c r="G234" s="377"/>
      <c r="H234" s="377"/>
    </row>
    <row r="235" spans="1:8">
      <c r="A235" s="377"/>
      <c r="B235" s="377"/>
      <c r="C235" s="377"/>
      <c r="D235" s="377"/>
      <c r="E235" s="377"/>
      <c r="F235" s="377"/>
      <c r="G235" s="377"/>
      <c r="H235" s="377"/>
    </row>
    <row r="236" spans="1:8">
      <c r="A236" s="377"/>
      <c r="B236" s="377"/>
      <c r="C236" s="377"/>
      <c r="D236" s="377"/>
      <c r="E236" s="377"/>
      <c r="F236" s="377"/>
      <c r="G236" s="377"/>
      <c r="H236" s="377"/>
    </row>
    <row r="237" spans="1:8">
      <c r="A237" s="377"/>
      <c r="B237" s="377"/>
      <c r="C237" s="377"/>
      <c r="D237" s="377"/>
      <c r="E237" s="377"/>
      <c r="F237" s="377"/>
      <c r="G237" s="377"/>
      <c r="H237" s="377"/>
    </row>
    <row r="238" spans="1:8">
      <c r="A238" s="377"/>
      <c r="B238" s="377"/>
      <c r="C238" s="377"/>
      <c r="D238" s="377"/>
      <c r="E238" s="377"/>
      <c r="F238" s="377"/>
      <c r="G238" s="377"/>
      <c r="H238" s="377"/>
    </row>
    <row r="239" spans="1:8">
      <c r="A239" s="377"/>
      <c r="B239" s="377"/>
      <c r="C239" s="377"/>
      <c r="D239" s="377"/>
      <c r="E239" s="377"/>
      <c r="F239" s="377"/>
      <c r="G239" s="377"/>
      <c r="H239" s="377"/>
    </row>
    <row r="240" spans="1:8">
      <c r="A240" s="377"/>
      <c r="B240" s="377"/>
      <c r="C240" s="377"/>
      <c r="D240" s="377"/>
      <c r="E240" s="377"/>
      <c r="F240" s="377"/>
      <c r="G240" s="377"/>
      <c r="H240" s="377"/>
    </row>
    <row r="241" spans="1:8">
      <c r="A241" s="377"/>
      <c r="B241" s="377"/>
      <c r="C241" s="377"/>
      <c r="D241" s="377"/>
      <c r="E241" s="377"/>
      <c r="F241" s="377"/>
      <c r="G241" s="377"/>
      <c r="H241" s="377"/>
    </row>
    <row r="242" spans="1:8">
      <c r="A242" s="377"/>
      <c r="B242" s="377"/>
      <c r="C242" s="377"/>
      <c r="D242" s="377"/>
      <c r="E242" s="377"/>
      <c r="F242" s="377"/>
      <c r="G242" s="377"/>
      <c r="H242" s="377"/>
    </row>
    <row r="243" spans="1:8">
      <c r="A243" s="377"/>
      <c r="B243" s="377"/>
      <c r="C243" s="377"/>
      <c r="D243" s="377"/>
      <c r="E243" s="377"/>
      <c r="F243" s="377"/>
      <c r="G243" s="377"/>
      <c r="H243" s="377"/>
    </row>
    <row r="244" spans="1:8">
      <c r="A244" s="377"/>
      <c r="B244" s="377"/>
      <c r="C244" s="377"/>
      <c r="D244" s="377"/>
      <c r="E244" s="377"/>
      <c r="F244" s="377"/>
      <c r="G244" s="377"/>
      <c r="H244" s="377"/>
    </row>
    <row r="245" spans="1:8">
      <c r="A245" s="377"/>
      <c r="B245" s="377"/>
      <c r="C245" s="377"/>
      <c r="D245" s="377"/>
      <c r="E245" s="377"/>
      <c r="F245" s="377"/>
      <c r="G245" s="377"/>
      <c r="H245" s="377"/>
    </row>
    <row r="246" spans="1:8">
      <c r="A246" s="377"/>
      <c r="B246" s="377"/>
      <c r="C246" s="377"/>
      <c r="D246" s="377"/>
      <c r="E246" s="377"/>
      <c r="F246" s="377"/>
      <c r="G246" s="377"/>
      <c r="H246" s="377"/>
    </row>
    <row r="247" spans="1:8">
      <c r="A247" s="377"/>
      <c r="B247" s="377"/>
      <c r="C247" s="377"/>
      <c r="D247" s="377"/>
      <c r="E247" s="377"/>
      <c r="F247" s="377"/>
      <c r="G247" s="377"/>
      <c r="H247" s="377"/>
    </row>
    <row r="248" spans="1:8">
      <c r="A248" s="377"/>
      <c r="B248" s="377"/>
      <c r="C248" s="377"/>
      <c r="D248" s="377"/>
      <c r="E248" s="377"/>
      <c r="F248" s="377"/>
      <c r="G248" s="377"/>
      <c r="H248" s="377"/>
    </row>
    <row r="249" spans="1:8">
      <c r="A249" s="377"/>
      <c r="B249" s="377"/>
      <c r="C249" s="377"/>
      <c r="D249" s="377"/>
      <c r="E249" s="377"/>
      <c r="F249" s="377"/>
      <c r="G249" s="377"/>
      <c r="H249" s="377"/>
    </row>
    <row r="250" spans="1:8">
      <c r="A250" s="377"/>
      <c r="B250" s="377"/>
      <c r="C250" s="377"/>
      <c r="D250" s="377"/>
      <c r="E250" s="377"/>
      <c r="F250" s="377"/>
      <c r="G250" s="377"/>
      <c r="H250" s="377"/>
    </row>
    <row r="251" spans="1:8">
      <c r="A251" s="377"/>
      <c r="B251" s="377"/>
      <c r="C251" s="377"/>
      <c r="D251" s="377"/>
      <c r="E251" s="377"/>
      <c r="F251" s="377"/>
      <c r="G251" s="377"/>
      <c r="H251" s="377"/>
    </row>
    <row r="252" spans="1:8">
      <c r="A252" s="377"/>
      <c r="B252" s="377"/>
      <c r="C252" s="377"/>
      <c r="D252" s="377"/>
      <c r="E252" s="377"/>
      <c r="F252" s="377"/>
      <c r="G252" s="377"/>
      <c r="H252" s="377"/>
    </row>
    <row r="253" spans="1:8">
      <c r="A253" s="377"/>
      <c r="B253" s="377"/>
      <c r="C253" s="377"/>
      <c r="D253" s="377"/>
      <c r="E253" s="377"/>
      <c r="F253" s="377"/>
      <c r="G253" s="377"/>
      <c r="H253" s="377"/>
    </row>
    <row r="254" spans="1:8">
      <c r="A254" s="377"/>
      <c r="B254" s="377"/>
      <c r="C254" s="377"/>
      <c r="D254" s="377"/>
      <c r="E254" s="377"/>
      <c r="F254" s="377"/>
      <c r="G254" s="377"/>
      <c r="H254" s="377"/>
    </row>
    <row r="255" spans="1:8">
      <c r="A255" s="377"/>
      <c r="B255" s="377"/>
      <c r="C255" s="377"/>
      <c r="D255" s="377"/>
      <c r="E255" s="377"/>
      <c r="F255" s="377"/>
      <c r="G255" s="377"/>
      <c r="H255" s="377"/>
    </row>
    <row r="256" spans="1:8">
      <c r="A256" s="377"/>
      <c r="B256" s="377"/>
      <c r="C256" s="377"/>
      <c r="D256" s="377"/>
      <c r="E256" s="377"/>
      <c r="F256" s="377"/>
      <c r="G256" s="377"/>
      <c r="H256" s="377"/>
    </row>
    <row r="257" spans="1:8">
      <c r="A257" s="377"/>
      <c r="B257" s="377"/>
      <c r="C257" s="377"/>
      <c r="D257" s="377"/>
      <c r="E257" s="377"/>
      <c r="F257" s="377"/>
      <c r="G257" s="377"/>
      <c r="H257" s="377"/>
    </row>
    <row r="258" spans="1:8">
      <c r="A258" s="377"/>
      <c r="B258" s="377"/>
      <c r="C258" s="377"/>
      <c r="D258" s="377"/>
      <c r="E258" s="377"/>
      <c r="F258" s="377"/>
      <c r="G258" s="377"/>
      <c r="H258" s="377"/>
    </row>
    <row r="259" spans="1:8">
      <c r="A259" s="377"/>
      <c r="B259" s="377"/>
      <c r="C259" s="377"/>
      <c r="D259" s="377"/>
      <c r="E259" s="377"/>
      <c r="F259" s="377"/>
      <c r="G259" s="377"/>
      <c r="H259" s="377"/>
    </row>
    <row r="260" spans="1:8">
      <c r="A260" s="377"/>
      <c r="B260" s="377"/>
      <c r="C260" s="377"/>
      <c r="D260" s="377"/>
      <c r="E260" s="377"/>
      <c r="F260" s="377"/>
      <c r="G260" s="377"/>
      <c r="H260" s="377"/>
    </row>
    <row r="261" spans="1:8">
      <c r="A261" s="377"/>
      <c r="B261" s="377"/>
      <c r="C261" s="377"/>
      <c r="D261" s="377"/>
      <c r="E261" s="377"/>
      <c r="F261" s="377"/>
      <c r="G261" s="377"/>
      <c r="H261" s="377"/>
    </row>
    <row r="262" spans="1:8">
      <c r="A262" s="377"/>
      <c r="B262" s="377"/>
      <c r="C262" s="377"/>
      <c r="D262" s="377"/>
      <c r="E262" s="377"/>
      <c r="F262" s="377"/>
      <c r="G262" s="377"/>
      <c r="H262" s="377"/>
    </row>
    <row r="263" spans="1:8">
      <c r="A263" s="377"/>
      <c r="B263" s="377"/>
      <c r="C263" s="377"/>
      <c r="D263" s="377"/>
      <c r="E263" s="377"/>
      <c r="F263" s="377"/>
      <c r="G263" s="377"/>
      <c r="H263" s="377"/>
    </row>
    <row r="264" spans="1:8">
      <c r="A264" s="377"/>
      <c r="B264" s="377"/>
      <c r="C264" s="377"/>
      <c r="D264" s="377"/>
      <c r="E264" s="377"/>
      <c r="F264" s="377"/>
      <c r="G264" s="377"/>
      <c r="H264" s="377"/>
    </row>
    <row r="265" spans="1:8">
      <c r="A265" s="377"/>
      <c r="B265" s="377"/>
      <c r="C265" s="377"/>
      <c r="D265" s="377"/>
      <c r="E265" s="377"/>
      <c r="F265" s="377"/>
      <c r="G265" s="377"/>
      <c r="H265" s="377"/>
    </row>
    <row r="266" spans="1:8">
      <c r="A266" s="377"/>
      <c r="B266" s="377"/>
      <c r="C266" s="377"/>
      <c r="D266" s="377"/>
      <c r="E266" s="377"/>
      <c r="F266" s="377"/>
      <c r="G266" s="377"/>
      <c r="H266" s="377"/>
    </row>
    <row r="267" spans="1:8">
      <c r="A267" s="377"/>
      <c r="B267" s="377"/>
      <c r="C267" s="377"/>
      <c r="D267" s="377"/>
      <c r="E267" s="377"/>
      <c r="F267" s="377"/>
      <c r="G267" s="377"/>
      <c r="H267" s="377"/>
    </row>
    <row r="268" spans="1:8">
      <c r="A268" s="377"/>
      <c r="B268" s="377"/>
      <c r="C268" s="377"/>
      <c r="D268" s="377"/>
      <c r="E268" s="377"/>
      <c r="F268" s="377"/>
      <c r="G268" s="377"/>
      <c r="H268" s="377"/>
    </row>
    <row r="269" spans="1:8">
      <c r="A269" s="377"/>
      <c r="B269" s="377"/>
      <c r="C269" s="377"/>
      <c r="D269" s="377"/>
      <c r="E269" s="377"/>
      <c r="F269" s="377"/>
      <c r="G269" s="377"/>
      <c r="H269" s="377"/>
    </row>
    <row r="270" spans="1:8">
      <c r="A270" s="377"/>
      <c r="B270" s="377"/>
      <c r="C270" s="377"/>
      <c r="D270" s="377"/>
      <c r="E270" s="377"/>
      <c r="F270" s="377"/>
      <c r="G270" s="377"/>
      <c r="H270" s="377"/>
    </row>
    <row r="271" spans="1:8">
      <c r="A271" s="377"/>
      <c r="B271" s="377"/>
      <c r="C271" s="377"/>
      <c r="D271" s="377"/>
      <c r="E271" s="377"/>
      <c r="F271" s="377"/>
      <c r="G271" s="377"/>
      <c r="H271" s="377"/>
    </row>
    <row r="272" spans="1:8">
      <c r="A272" s="377"/>
      <c r="B272" s="377"/>
      <c r="C272" s="377"/>
      <c r="D272" s="377"/>
      <c r="E272" s="377"/>
      <c r="F272" s="377"/>
      <c r="G272" s="377"/>
      <c r="H272" s="377"/>
    </row>
    <row r="273" spans="1:8">
      <c r="A273" s="377"/>
      <c r="B273" s="377"/>
      <c r="C273" s="377"/>
      <c r="D273" s="377"/>
      <c r="E273" s="377"/>
      <c r="F273" s="377"/>
      <c r="G273" s="377"/>
      <c r="H273" s="377"/>
    </row>
    <row r="274" spans="1:8">
      <c r="A274" s="377"/>
      <c r="B274" s="377"/>
      <c r="C274" s="377"/>
      <c r="D274" s="377"/>
      <c r="E274" s="377"/>
      <c r="F274" s="377"/>
      <c r="G274" s="377"/>
      <c r="H274" s="377"/>
    </row>
    <row r="275" spans="1:8">
      <c r="A275" s="377"/>
      <c r="B275" s="377"/>
      <c r="C275" s="377"/>
      <c r="D275" s="377"/>
      <c r="E275" s="377"/>
      <c r="F275" s="377"/>
      <c r="G275" s="377"/>
      <c r="H275" s="377"/>
    </row>
    <row r="276" spans="1:8">
      <c r="A276" s="377"/>
      <c r="B276" s="377"/>
      <c r="C276" s="377"/>
      <c r="D276" s="377"/>
      <c r="E276" s="377"/>
      <c r="F276" s="377"/>
      <c r="G276" s="377"/>
      <c r="H276" s="377"/>
    </row>
    <row r="277" spans="1:8">
      <c r="A277" s="377"/>
      <c r="B277" s="377"/>
      <c r="C277" s="377"/>
      <c r="D277" s="377"/>
      <c r="E277" s="377"/>
      <c r="F277" s="377"/>
      <c r="G277" s="377"/>
      <c r="H277" s="377"/>
    </row>
    <row r="278" spans="1:8">
      <c r="A278" s="377"/>
      <c r="B278" s="377"/>
      <c r="C278" s="377"/>
      <c r="D278" s="377"/>
      <c r="E278" s="377"/>
      <c r="F278" s="377"/>
      <c r="G278" s="377"/>
      <c r="H278" s="377"/>
    </row>
    <row r="279" spans="1:8">
      <c r="A279" s="377"/>
      <c r="B279" s="377"/>
      <c r="C279" s="377"/>
      <c r="D279" s="377"/>
      <c r="E279" s="377"/>
      <c r="F279" s="377"/>
      <c r="G279" s="377"/>
      <c r="H279" s="377"/>
    </row>
    <row r="280" spans="1:8">
      <c r="A280" s="377"/>
      <c r="B280" s="377"/>
      <c r="C280" s="377"/>
      <c r="D280" s="377"/>
      <c r="E280" s="377"/>
      <c r="F280" s="377"/>
      <c r="G280" s="377"/>
      <c r="H280" s="377"/>
    </row>
    <row r="281" spans="1:8">
      <c r="A281" s="377"/>
      <c r="B281" s="377"/>
      <c r="C281" s="377"/>
      <c r="D281" s="377"/>
      <c r="E281" s="377"/>
      <c r="F281" s="377"/>
      <c r="G281" s="377"/>
      <c r="H281" s="377"/>
    </row>
    <row r="282" spans="1:8">
      <c r="A282" s="377"/>
      <c r="B282" s="377"/>
      <c r="C282" s="377"/>
      <c r="D282" s="377"/>
      <c r="E282" s="377"/>
      <c r="F282" s="377"/>
      <c r="G282" s="377"/>
      <c r="H282" s="377"/>
    </row>
    <row r="283" spans="1:8">
      <c r="A283" s="377"/>
      <c r="B283" s="377"/>
      <c r="C283" s="377"/>
      <c r="D283" s="377"/>
      <c r="E283" s="377"/>
      <c r="F283" s="377"/>
      <c r="G283" s="377"/>
      <c r="H283" s="377"/>
    </row>
    <row r="284" spans="1:8">
      <c r="A284" s="377"/>
      <c r="B284" s="377"/>
      <c r="C284" s="377"/>
      <c r="D284" s="377"/>
      <c r="E284" s="377"/>
      <c r="F284" s="377"/>
      <c r="G284" s="377"/>
      <c r="H284" s="377"/>
    </row>
    <row r="285" spans="1:8">
      <c r="A285" s="377"/>
      <c r="B285" s="377"/>
      <c r="C285" s="377"/>
      <c r="D285" s="377"/>
      <c r="E285" s="377"/>
      <c r="F285" s="377"/>
      <c r="G285" s="377"/>
      <c r="H285" s="377"/>
    </row>
    <row r="286" spans="1:8">
      <c r="A286" s="377"/>
      <c r="B286" s="377"/>
      <c r="C286" s="377"/>
      <c r="D286" s="377"/>
      <c r="E286" s="377"/>
      <c r="F286" s="377"/>
      <c r="G286" s="377"/>
      <c r="H286" s="377"/>
    </row>
    <row r="287" spans="1:8">
      <c r="A287" s="377"/>
      <c r="B287" s="377"/>
      <c r="C287" s="377"/>
      <c r="D287" s="377"/>
      <c r="E287" s="377"/>
      <c r="F287" s="377"/>
      <c r="G287" s="377"/>
      <c r="H287" s="377"/>
    </row>
    <row r="288" spans="1:8">
      <c r="A288" s="377"/>
      <c r="B288" s="377"/>
      <c r="C288" s="377"/>
      <c r="D288" s="377"/>
      <c r="E288" s="377"/>
      <c r="F288" s="377"/>
      <c r="G288" s="377"/>
      <c r="H288" s="377"/>
    </row>
    <row r="289" spans="1:8">
      <c r="A289" s="377"/>
      <c r="B289" s="377"/>
      <c r="C289" s="377"/>
      <c r="D289" s="377"/>
      <c r="E289" s="377"/>
      <c r="F289" s="377"/>
      <c r="G289" s="377"/>
      <c r="H289" s="377"/>
    </row>
    <row r="290" spans="1:8">
      <c r="A290" s="377"/>
      <c r="B290" s="377"/>
      <c r="C290" s="377"/>
      <c r="D290" s="377"/>
      <c r="E290" s="377"/>
      <c r="F290" s="377"/>
      <c r="G290" s="377"/>
      <c r="H290" s="377"/>
    </row>
    <row r="291" spans="1:8">
      <c r="A291" s="377"/>
      <c r="B291" s="377"/>
      <c r="C291" s="377"/>
      <c r="D291" s="377"/>
      <c r="E291" s="377"/>
      <c r="F291" s="377"/>
      <c r="G291" s="377"/>
      <c r="H291" s="377"/>
    </row>
    <row r="292" spans="1:8">
      <c r="A292" s="377"/>
      <c r="B292" s="377"/>
      <c r="C292" s="377"/>
      <c r="D292" s="377"/>
      <c r="E292" s="377"/>
      <c r="F292" s="377"/>
      <c r="G292" s="377"/>
      <c r="H292" s="377"/>
    </row>
    <row r="293" spans="1:8">
      <c r="A293" s="377"/>
      <c r="B293" s="377"/>
      <c r="C293" s="377"/>
      <c r="D293" s="377"/>
      <c r="E293" s="377"/>
      <c r="F293" s="377"/>
      <c r="G293" s="377"/>
      <c r="H293" s="377"/>
    </row>
    <row r="294" spans="1:8">
      <c r="A294" s="377"/>
      <c r="B294" s="377"/>
      <c r="C294" s="377"/>
      <c r="D294" s="377"/>
      <c r="E294" s="377"/>
      <c r="F294" s="377"/>
      <c r="G294" s="377"/>
      <c r="H294" s="377"/>
    </row>
    <row r="295" spans="1:8">
      <c r="A295" s="377"/>
      <c r="B295" s="377"/>
      <c r="C295" s="377"/>
      <c r="D295" s="377"/>
      <c r="E295" s="377"/>
      <c r="F295" s="377"/>
      <c r="G295" s="377"/>
      <c r="H295" s="377"/>
    </row>
    <row r="296" spans="1:8">
      <c r="A296" s="377"/>
      <c r="B296" s="377"/>
      <c r="C296" s="377"/>
      <c r="D296" s="377"/>
      <c r="E296" s="377"/>
      <c r="F296" s="377"/>
      <c r="G296" s="377"/>
      <c r="H296" s="377"/>
    </row>
    <row r="297" spans="1:8">
      <c r="A297" s="377"/>
      <c r="B297" s="377"/>
      <c r="C297" s="377"/>
      <c r="D297" s="377"/>
      <c r="E297" s="377"/>
      <c r="F297" s="377"/>
      <c r="G297" s="377"/>
      <c r="H297" s="377"/>
    </row>
    <row r="298" spans="1:8">
      <c r="A298" s="377"/>
      <c r="B298" s="377"/>
      <c r="C298" s="377"/>
      <c r="D298" s="377"/>
      <c r="E298" s="377"/>
      <c r="F298" s="377"/>
      <c r="G298" s="377"/>
      <c r="H298" s="377"/>
    </row>
    <row r="299" spans="1:8">
      <c r="A299" s="377"/>
      <c r="B299" s="377"/>
      <c r="C299" s="377"/>
      <c r="D299" s="377"/>
      <c r="E299" s="377"/>
      <c r="F299" s="377"/>
      <c r="G299" s="377"/>
      <c r="H299" s="377"/>
    </row>
    <row r="300" spans="1:8">
      <c r="A300" s="377"/>
      <c r="B300" s="377"/>
      <c r="C300" s="377"/>
      <c r="D300" s="377"/>
      <c r="E300" s="377"/>
      <c r="F300" s="377"/>
      <c r="G300" s="377"/>
      <c r="H300" s="377"/>
    </row>
    <row r="301" spans="1:8">
      <c r="A301" s="377"/>
      <c r="B301" s="377"/>
      <c r="C301" s="377"/>
      <c r="D301" s="377"/>
      <c r="E301" s="377"/>
      <c r="F301" s="377"/>
      <c r="G301" s="377"/>
      <c r="H301" s="377"/>
    </row>
    <row r="302" spans="1:8">
      <c r="A302" s="377"/>
      <c r="B302" s="377"/>
      <c r="C302" s="377"/>
      <c r="D302" s="377"/>
      <c r="E302" s="377"/>
      <c r="F302" s="377"/>
      <c r="G302" s="377"/>
      <c r="H302" s="377"/>
    </row>
    <row r="303" spans="1:8">
      <c r="A303" s="377"/>
      <c r="B303" s="377"/>
      <c r="C303" s="377"/>
      <c r="D303" s="377"/>
      <c r="E303" s="377"/>
      <c r="F303" s="377"/>
      <c r="G303" s="377"/>
      <c r="H303" s="377"/>
    </row>
    <row r="304" spans="1:8">
      <c r="A304" s="377"/>
      <c r="B304" s="377"/>
      <c r="C304" s="377"/>
      <c r="D304" s="377"/>
      <c r="E304" s="377"/>
      <c r="F304" s="377"/>
      <c r="G304" s="377"/>
      <c r="H304" s="377"/>
    </row>
    <row r="305" spans="1:8">
      <c r="A305" s="377"/>
      <c r="B305" s="377"/>
      <c r="C305" s="377"/>
      <c r="D305" s="377"/>
      <c r="E305" s="377"/>
      <c r="F305" s="377"/>
      <c r="G305" s="377"/>
      <c r="H305" s="377"/>
    </row>
    <row r="306" spans="1:8">
      <c r="A306" s="377"/>
      <c r="B306" s="377"/>
      <c r="C306" s="377"/>
      <c r="D306" s="377"/>
      <c r="E306" s="377"/>
      <c r="F306" s="377"/>
      <c r="G306" s="377"/>
      <c r="H306" s="377"/>
    </row>
    <row r="307" spans="1:8">
      <c r="A307" s="377"/>
      <c r="B307" s="377"/>
      <c r="C307" s="377"/>
      <c r="D307" s="377"/>
      <c r="E307" s="377"/>
      <c r="F307" s="377"/>
      <c r="G307" s="377"/>
      <c r="H307" s="377"/>
    </row>
    <row r="308" spans="1:8">
      <c r="A308" s="377"/>
      <c r="B308" s="377"/>
      <c r="C308" s="377"/>
      <c r="D308" s="377"/>
      <c r="E308" s="377"/>
      <c r="F308" s="377"/>
      <c r="G308" s="377"/>
      <c r="H308" s="377"/>
    </row>
    <row r="309" spans="1:8">
      <c r="A309" s="377"/>
      <c r="B309" s="377"/>
      <c r="C309" s="377"/>
      <c r="D309" s="377"/>
      <c r="E309" s="377"/>
      <c r="F309" s="377"/>
      <c r="G309" s="377"/>
      <c r="H309" s="377"/>
    </row>
    <row r="310" spans="1:8">
      <c r="A310" s="377"/>
      <c r="B310" s="377"/>
      <c r="C310" s="377"/>
      <c r="D310" s="377"/>
      <c r="E310" s="377"/>
      <c r="F310" s="377"/>
      <c r="G310" s="377"/>
      <c r="H310" s="377"/>
    </row>
    <row r="311" spans="1:8">
      <c r="A311" s="377"/>
      <c r="B311" s="377"/>
      <c r="C311" s="377"/>
      <c r="D311" s="377"/>
      <c r="E311" s="377"/>
      <c r="F311" s="377"/>
      <c r="G311" s="377"/>
      <c r="H311" s="377"/>
    </row>
    <row r="312" spans="1:8">
      <c r="A312" s="377"/>
      <c r="B312" s="377"/>
      <c r="C312" s="377"/>
      <c r="D312" s="377"/>
      <c r="E312" s="377"/>
      <c r="F312" s="377"/>
      <c r="G312" s="377"/>
      <c r="H312" s="377"/>
    </row>
    <row r="313" spans="1:8">
      <c r="A313" s="377"/>
      <c r="B313" s="377"/>
      <c r="C313" s="377"/>
      <c r="D313" s="377"/>
      <c r="E313" s="377"/>
      <c r="F313" s="377"/>
      <c r="G313" s="377"/>
      <c r="H313" s="377"/>
    </row>
    <row r="314" spans="1:8">
      <c r="A314" s="377"/>
      <c r="B314" s="377"/>
      <c r="C314" s="377"/>
      <c r="D314" s="377"/>
      <c r="E314" s="377"/>
      <c r="F314" s="377"/>
      <c r="G314" s="377"/>
      <c r="H314" s="377"/>
    </row>
    <row r="315" spans="1:8">
      <c r="A315" s="377"/>
      <c r="B315" s="377"/>
      <c r="C315" s="377"/>
      <c r="D315" s="377"/>
      <c r="E315" s="377"/>
      <c r="F315" s="377"/>
      <c r="G315" s="377"/>
      <c r="H315" s="377"/>
    </row>
    <row r="316" spans="1:8">
      <c r="A316" s="377"/>
      <c r="B316" s="377"/>
      <c r="C316" s="377"/>
      <c r="D316" s="377"/>
      <c r="E316" s="377"/>
      <c r="F316" s="377"/>
      <c r="G316" s="377"/>
      <c r="H316" s="377"/>
    </row>
    <row r="317" spans="1:8">
      <c r="A317" s="377"/>
      <c r="B317" s="377"/>
      <c r="C317" s="377"/>
      <c r="D317" s="377"/>
      <c r="E317" s="377"/>
      <c r="F317" s="377"/>
      <c r="G317" s="377"/>
      <c r="H317" s="377"/>
    </row>
    <row r="318" spans="1:8">
      <c r="A318" s="377"/>
      <c r="B318" s="377"/>
      <c r="C318" s="377"/>
      <c r="D318" s="377"/>
      <c r="E318" s="377"/>
      <c r="F318" s="377"/>
      <c r="G318" s="377"/>
      <c r="H318" s="377"/>
    </row>
    <row r="319" spans="1:8">
      <c r="A319" s="377"/>
      <c r="B319" s="377"/>
      <c r="C319" s="377"/>
      <c r="D319" s="377"/>
      <c r="E319" s="377"/>
      <c r="F319" s="377"/>
      <c r="G319" s="377"/>
      <c r="H319" s="377"/>
    </row>
    <row r="320" spans="1:8">
      <c r="A320" s="377"/>
      <c r="B320" s="377"/>
      <c r="C320" s="377"/>
      <c r="D320" s="377"/>
      <c r="E320" s="377"/>
      <c r="F320" s="377"/>
      <c r="G320" s="377"/>
      <c r="H320" s="377"/>
    </row>
    <row r="321" spans="1:8">
      <c r="A321" s="377"/>
      <c r="B321" s="377"/>
      <c r="C321" s="377"/>
      <c r="D321" s="377"/>
      <c r="E321" s="377"/>
      <c r="F321" s="377"/>
      <c r="G321" s="377"/>
      <c r="H321" s="377"/>
    </row>
    <row r="322" spans="1:8">
      <c r="A322" s="377"/>
      <c r="B322" s="377"/>
      <c r="C322" s="377"/>
      <c r="D322" s="377"/>
      <c r="E322" s="377"/>
      <c r="F322" s="377"/>
      <c r="G322" s="377"/>
      <c r="H322" s="377"/>
    </row>
    <row r="323" spans="1:8">
      <c r="A323" s="377"/>
      <c r="B323" s="377"/>
      <c r="C323" s="377"/>
      <c r="D323" s="377"/>
      <c r="E323" s="377"/>
      <c r="F323" s="377"/>
      <c r="G323" s="377"/>
      <c r="H323" s="377"/>
    </row>
    <row r="324" spans="1:8">
      <c r="A324" s="377"/>
      <c r="B324" s="377"/>
      <c r="C324" s="377"/>
      <c r="D324" s="377"/>
      <c r="E324" s="377"/>
      <c r="F324" s="377"/>
      <c r="G324" s="377"/>
      <c r="H324" s="377"/>
    </row>
    <row r="325" spans="1:8">
      <c r="A325" s="377"/>
      <c r="B325" s="377"/>
      <c r="C325" s="377"/>
      <c r="D325" s="377"/>
      <c r="E325" s="377"/>
      <c r="F325" s="377"/>
      <c r="G325" s="377"/>
      <c r="H325" s="377"/>
    </row>
    <row r="326" spans="1:8">
      <c r="A326" s="377"/>
      <c r="B326" s="377"/>
      <c r="C326" s="377"/>
      <c r="D326" s="377"/>
      <c r="E326" s="377"/>
      <c r="F326" s="377"/>
      <c r="G326" s="377"/>
      <c r="H326" s="377"/>
    </row>
    <row r="327" spans="1:8">
      <c r="A327" s="377"/>
      <c r="B327" s="377"/>
      <c r="C327" s="377"/>
      <c r="D327" s="377"/>
      <c r="E327" s="377"/>
      <c r="F327" s="377"/>
      <c r="G327" s="377"/>
      <c r="H327" s="377"/>
    </row>
    <row r="328" spans="1:8">
      <c r="A328" s="377"/>
      <c r="B328" s="377"/>
      <c r="C328" s="377"/>
      <c r="D328" s="377"/>
      <c r="E328" s="377"/>
      <c r="F328" s="377"/>
      <c r="G328" s="377"/>
      <c r="H328" s="377"/>
    </row>
    <row r="329" spans="1:8">
      <c r="A329" s="377"/>
      <c r="B329" s="377"/>
      <c r="C329" s="377"/>
      <c r="D329" s="377"/>
      <c r="E329" s="377"/>
      <c r="F329" s="377"/>
      <c r="G329" s="377"/>
      <c r="H329" s="377"/>
    </row>
    <row r="330" spans="1:8">
      <c r="A330" s="377"/>
      <c r="B330" s="377"/>
      <c r="C330" s="377"/>
      <c r="D330" s="377"/>
      <c r="E330" s="377"/>
      <c r="F330" s="377"/>
      <c r="G330" s="377"/>
      <c r="H330" s="377"/>
    </row>
    <row r="331" spans="1:8">
      <c r="A331" s="377"/>
      <c r="B331" s="377"/>
      <c r="C331" s="377"/>
      <c r="D331" s="377"/>
      <c r="E331" s="377"/>
      <c r="F331" s="377"/>
      <c r="G331" s="377"/>
      <c r="H331" s="377"/>
    </row>
    <row r="332" spans="1:8">
      <c r="A332" s="377"/>
      <c r="B332" s="377"/>
      <c r="C332" s="377"/>
      <c r="D332" s="377"/>
      <c r="E332" s="377"/>
      <c r="F332" s="377"/>
      <c r="G332" s="377"/>
      <c r="H332" s="377"/>
    </row>
    <row r="333" spans="1:8">
      <c r="A333" s="377"/>
      <c r="B333" s="377"/>
      <c r="C333" s="377"/>
      <c r="D333" s="377"/>
      <c r="E333" s="377"/>
      <c r="F333" s="377"/>
      <c r="G333" s="377"/>
      <c r="H333" s="377"/>
    </row>
    <row r="334" spans="1:8">
      <c r="A334" s="377"/>
      <c r="B334" s="377"/>
      <c r="C334" s="377"/>
      <c r="D334" s="377"/>
      <c r="E334" s="377"/>
      <c r="F334" s="377"/>
      <c r="G334" s="377"/>
      <c r="H334" s="377"/>
    </row>
    <row r="335" spans="1:8">
      <c r="A335" s="377"/>
      <c r="B335" s="377"/>
      <c r="C335" s="377"/>
      <c r="D335" s="377"/>
      <c r="E335" s="377"/>
      <c r="F335" s="377"/>
      <c r="G335" s="377"/>
      <c r="H335" s="377"/>
    </row>
    <row r="336" spans="1:8">
      <c r="A336" s="377"/>
      <c r="B336" s="377"/>
      <c r="C336" s="377"/>
      <c r="D336" s="377"/>
      <c r="E336" s="377"/>
      <c r="F336" s="377"/>
      <c r="G336" s="377"/>
      <c r="H336" s="377"/>
    </row>
    <row r="337" spans="1:8">
      <c r="A337" s="377"/>
      <c r="B337" s="377"/>
      <c r="C337" s="377"/>
      <c r="D337" s="377"/>
      <c r="E337" s="377"/>
      <c r="F337" s="377"/>
      <c r="G337" s="377"/>
      <c r="H337" s="377"/>
    </row>
    <row r="338" spans="1:8">
      <c r="A338" s="377"/>
      <c r="B338" s="377"/>
      <c r="C338" s="377"/>
      <c r="D338" s="377"/>
      <c r="E338" s="377"/>
      <c r="F338" s="377"/>
      <c r="G338" s="377"/>
      <c r="H338" s="377"/>
    </row>
    <row r="339" spans="1:8">
      <c r="A339" s="377"/>
      <c r="B339" s="377"/>
      <c r="C339" s="377"/>
      <c r="D339" s="377"/>
      <c r="E339" s="377"/>
      <c r="F339" s="377"/>
      <c r="G339" s="377"/>
      <c r="H339" s="377"/>
    </row>
    <row r="340" spans="1:8">
      <c r="A340" s="377"/>
      <c r="B340" s="377"/>
      <c r="C340" s="377"/>
      <c r="D340" s="377"/>
      <c r="E340" s="377"/>
      <c r="F340" s="377"/>
      <c r="G340" s="377"/>
      <c r="H340" s="377"/>
    </row>
    <row r="341" spans="1:8">
      <c r="A341" s="377"/>
      <c r="B341" s="377"/>
      <c r="C341" s="377"/>
      <c r="D341" s="377"/>
      <c r="E341" s="377"/>
      <c r="F341" s="377"/>
      <c r="G341" s="377"/>
      <c r="H341" s="377"/>
    </row>
    <row r="342" spans="1:8">
      <c r="A342" s="377"/>
      <c r="B342" s="377"/>
      <c r="C342" s="377"/>
      <c r="D342" s="377"/>
      <c r="E342" s="377"/>
      <c r="F342" s="377"/>
      <c r="G342" s="377"/>
      <c r="H342" s="377"/>
    </row>
    <row r="343" spans="1:8">
      <c r="A343" s="377"/>
      <c r="B343" s="377"/>
      <c r="C343" s="377"/>
      <c r="D343" s="377"/>
      <c r="E343" s="377"/>
      <c r="F343" s="377"/>
      <c r="G343" s="377"/>
      <c r="H343" s="377"/>
    </row>
    <row r="344" spans="1:8">
      <c r="A344" s="377"/>
      <c r="B344" s="377"/>
      <c r="C344" s="377"/>
      <c r="D344" s="377"/>
      <c r="E344" s="377"/>
      <c r="F344" s="377"/>
      <c r="G344" s="377"/>
      <c r="H344" s="377"/>
    </row>
    <row r="345" spans="1:8">
      <c r="A345" s="377"/>
      <c r="B345" s="377"/>
      <c r="C345" s="377"/>
      <c r="D345" s="377"/>
      <c r="E345" s="377"/>
      <c r="F345" s="377"/>
      <c r="G345" s="377"/>
      <c r="H345" s="377"/>
    </row>
    <row r="346" spans="1:8">
      <c r="A346" s="377"/>
      <c r="B346" s="377"/>
      <c r="C346" s="377"/>
      <c r="D346" s="377"/>
      <c r="E346" s="377"/>
      <c r="F346" s="377"/>
      <c r="G346" s="377"/>
      <c r="H346" s="377"/>
    </row>
    <row r="347" spans="1:8">
      <c r="A347" s="377"/>
      <c r="B347" s="377"/>
      <c r="C347" s="377"/>
      <c r="D347" s="377"/>
      <c r="E347" s="377"/>
      <c r="F347" s="377"/>
      <c r="G347" s="377"/>
      <c r="H347" s="377"/>
    </row>
    <row r="348" spans="1:8">
      <c r="A348" s="377"/>
      <c r="B348" s="377"/>
      <c r="C348" s="377"/>
      <c r="D348" s="377"/>
      <c r="E348" s="377"/>
      <c r="F348" s="377"/>
      <c r="G348" s="377"/>
      <c r="H348" s="377"/>
    </row>
    <row r="349" spans="1:8">
      <c r="A349" s="377"/>
      <c r="B349" s="377"/>
      <c r="C349" s="377"/>
      <c r="D349" s="377"/>
      <c r="E349" s="377"/>
      <c r="F349" s="377"/>
      <c r="G349" s="377"/>
      <c r="H349" s="377"/>
    </row>
    <row r="350" spans="1:8">
      <c r="A350" s="377"/>
      <c r="B350" s="377"/>
      <c r="C350" s="377"/>
      <c r="D350" s="377"/>
      <c r="E350" s="377"/>
      <c r="F350" s="377"/>
      <c r="G350" s="377"/>
      <c r="H350" s="377"/>
    </row>
    <row r="351" spans="1:8">
      <c r="A351" s="377"/>
      <c r="B351" s="377"/>
      <c r="C351" s="377"/>
      <c r="D351" s="377"/>
      <c r="E351" s="377"/>
      <c r="F351" s="377"/>
      <c r="G351" s="377"/>
      <c r="H351" s="377"/>
    </row>
    <row r="352" spans="1:8">
      <c r="A352" s="377"/>
      <c r="B352" s="377"/>
      <c r="C352" s="377"/>
      <c r="D352" s="377"/>
      <c r="E352" s="377"/>
      <c r="F352" s="377"/>
      <c r="G352" s="377"/>
      <c r="H352" s="377"/>
    </row>
    <row r="353" spans="1:8">
      <c r="A353" s="377"/>
      <c r="B353" s="377"/>
      <c r="C353" s="377"/>
      <c r="D353" s="377"/>
      <c r="E353" s="377"/>
      <c r="F353" s="377"/>
      <c r="G353" s="377"/>
      <c r="H353" s="377"/>
    </row>
    <row r="354" spans="1:8">
      <c r="A354" s="377"/>
      <c r="B354" s="377"/>
      <c r="C354" s="377"/>
      <c r="D354" s="377"/>
      <c r="E354" s="377"/>
      <c r="F354" s="377"/>
      <c r="G354" s="377"/>
      <c r="H354" s="377"/>
    </row>
    <row r="355" spans="1:8">
      <c r="A355" s="377"/>
      <c r="B355" s="377"/>
      <c r="C355" s="377"/>
      <c r="D355" s="377"/>
      <c r="E355" s="377"/>
      <c r="F355" s="377"/>
      <c r="G355" s="377"/>
      <c r="H355" s="377"/>
    </row>
    <row r="356" spans="1:8">
      <c r="A356" s="377"/>
      <c r="B356" s="377"/>
      <c r="C356" s="377"/>
      <c r="D356" s="377"/>
      <c r="E356" s="377"/>
      <c r="F356" s="377"/>
      <c r="G356" s="377"/>
      <c r="H356" s="377"/>
    </row>
    <row r="357" spans="1:8">
      <c r="A357" s="377"/>
      <c r="B357" s="377"/>
      <c r="C357" s="377"/>
      <c r="D357" s="377"/>
      <c r="E357" s="377"/>
      <c r="F357" s="377"/>
      <c r="G357" s="377"/>
      <c r="H357" s="377"/>
    </row>
    <row r="358" spans="1:8">
      <c r="A358" s="377"/>
      <c r="B358" s="377"/>
      <c r="C358" s="377"/>
      <c r="D358" s="377"/>
      <c r="E358" s="377"/>
      <c r="F358" s="377"/>
      <c r="G358" s="377"/>
      <c r="H358" s="377"/>
    </row>
    <row r="359" spans="1:8">
      <c r="A359" s="377"/>
      <c r="B359" s="377"/>
      <c r="C359" s="377"/>
      <c r="D359" s="377"/>
      <c r="E359" s="377"/>
      <c r="F359" s="377"/>
      <c r="G359" s="377"/>
      <c r="H359" s="377"/>
    </row>
    <row r="360" spans="1:8">
      <c r="A360" s="377"/>
      <c r="B360" s="377"/>
      <c r="C360" s="377"/>
      <c r="D360" s="377"/>
      <c r="E360" s="377"/>
      <c r="F360" s="377"/>
      <c r="G360" s="377"/>
      <c r="H360" s="377"/>
    </row>
    <row r="361" spans="1:8">
      <c r="A361" s="377"/>
      <c r="B361" s="377"/>
      <c r="C361" s="377"/>
      <c r="D361" s="377"/>
      <c r="E361" s="377"/>
      <c r="F361" s="377"/>
      <c r="G361" s="377"/>
      <c r="H361" s="377"/>
    </row>
    <row r="362" spans="1:8">
      <c r="A362" s="377"/>
      <c r="B362" s="377"/>
      <c r="C362" s="377"/>
      <c r="D362" s="377"/>
      <c r="E362" s="377"/>
      <c r="F362" s="377"/>
      <c r="G362" s="377"/>
      <c r="H362" s="377"/>
    </row>
    <row r="363" spans="1:8">
      <c r="A363" s="377"/>
      <c r="B363" s="377"/>
      <c r="C363" s="377"/>
      <c r="D363" s="377"/>
      <c r="E363" s="377"/>
      <c r="F363" s="377"/>
      <c r="G363" s="377"/>
      <c r="H363" s="377"/>
    </row>
    <row r="364" spans="1:8">
      <c r="A364" s="377"/>
      <c r="B364" s="377"/>
      <c r="C364" s="377"/>
      <c r="D364" s="377"/>
      <c r="E364" s="377"/>
      <c r="F364" s="377"/>
      <c r="G364" s="377"/>
      <c r="H364" s="377"/>
    </row>
    <row r="365" spans="1:8">
      <c r="A365" s="377"/>
      <c r="B365" s="377"/>
      <c r="C365" s="377"/>
      <c r="D365" s="377"/>
      <c r="E365" s="377"/>
      <c r="F365" s="377"/>
      <c r="G365" s="377"/>
      <c r="H365" s="377"/>
    </row>
    <row r="366" spans="1:8">
      <c r="A366" s="377"/>
      <c r="B366" s="377"/>
      <c r="C366" s="377"/>
      <c r="D366" s="377"/>
      <c r="E366" s="377"/>
      <c r="F366" s="377"/>
      <c r="G366" s="377"/>
      <c r="H366" s="377"/>
    </row>
    <row r="367" spans="1:8">
      <c r="A367" s="377"/>
      <c r="B367" s="377"/>
      <c r="C367" s="377"/>
      <c r="D367" s="377"/>
      <c r="E367" s="377"/>
      <c r="F367" s="377"/>
      <c r="G367" s="377"/>
      <c r="H367" s="377"/>
    </row>
    <row r="368" spans="1:8">
      <c r="A368" s="377"/>
      <c r="B368" s="377"/>
      <c r="C368" s="377"/>
      <c r="D368" s="377"/>
      <c r="E368" s="377"/>
      <c r="F368" s="377"/>
      <c r="G368" s="377"/>
      <c r="H368" s="377"/>
    </row>
    <row r="369" spans="1:8">
      <c r="A369" s="377"/>
      <c r="B369" s="377"/>
      <c r="C369" s="377"/>
      <c r="D369" s="377"/>
      <c r="E369" s="377"/>
      <c r="F369" s="377"/>
      <c r="G369" s="377"/>
      <c r="H369" s="377"/>
    </row>
    <row r="370" spans="1:8">
      <c r="A370" s="377"/>
      <c r="B370" s="377"/>
      <c r="C370" s="377"/>
      <c r="D370" s="377"/>
      <c r="E370" s="377"/>
      <c r="F370" s="377"/>
      <c r="G370" s="377"/>
      <c r="H370" s="377"/>
    </row>
    <row r="371" spans="1:8">
      <c r="A371" s="377"/>
      <c r="B371" s="377"/>
      <c r="C371" s="377"/>
      <c r="D371" s="377"/>
      <c r="E371" s="377"/>
      <c r="F371" s="377"/>
      <c r="G371" s="377"/>
      <c r="H371" s="377"/>
    </row>
    <row r="372" spans="1:8">
      <c r="A372" s="377"/>
      <c r="B372" s="377"/>
      <c r="C372" s="377"/>
      <c r="D372" s="377"/>
      <c r="E372" s="377"/>
      <c r="F372" s="377"/>
      <c r="G372" s="377"/>
      <c r="H372" s="377"/>
    </row>
    <row r="373" spans="1:8">
      <c r="A373" s="377"/>
      <c r="B373" s="377"/>
      <c r="C373" s="377"/>
      <c r="D373" s="377"/>
      <c r="E373" s="377"/>
      <c r="F373" s="377"/>
      <c r="G373" s="377"/>
      <c r="H373" s="377"/>
    </row>
    <row r="374" spans="1:8">
      <c r="A374" s="377"/>
      <c r="B374" s="377"/>
      <c r="C374" s="377"/>
      <c r="D374" s="377"/>
      <c r="E374" s="377"/>
      <c r="F374" s="377"/>
      <c r="G374" s="377"/>
      <c r="H374" s="377"/>
    </row>
    <row r="375" spans="1:8">
      <c r="A375" s="377"/>
      <c r="B375" s="377"/>
      <c r="C375" s="377"/>
      <c r="D375" s="377"/>
      <c r="E375" s="377"/>
      <c r="F375" s="377"/>
      <c r="G375" s="377"/>
      <c r="H375" s="377"/>
    </row>
    <row r="376" spans="1:8">
      <c r="A376" s="377"/>
      <c r="B376" s="377"/>
      <c r="C376" s="377"/>
      <c r="D376" s="377"/>
      <c r="E376" s="377"/>
      <c r="F376" s="377"/>
      <c r="G376" s="377"/>
      <c r="H376" s="377"/>
    </row>
    <row r="377" spans="1:8">
      <c r="A377" s="377"/>
      <c r="B377" s="377"/>
      <c r="C377" s="377"/>
      <c r="D377" s="377"/>
      <c r="E377" s="377"/>
      <c r="F377" s="377"/>
      <c r="G377" s="377"/>
      <c r="H377" s="377"/>
    </row>
    <row r="378" spans="1:8">
      <c r="A378" s="377"/>
      <c r="B378" s="377"/>
      <c r="C378" s="377"/>
      <c r="D378" s="377"/>
      <c r="E378" s="377"/>
      <c r="F378" s="377"/>
      <c r="G378" s="377"/>
      <c r="H378" s="377"/>
    </row>
    <row r="379" spans="1:8">
      <c r="A379" s="377"/>
      <c r="B379" s="377"/>
      <c r="C379" s="377"/>
      <c r="D379" s="377"/>
      <c r="E379" s="377"/>
      <c r="F379" s="377"/>
      <c r="G379" s="377"/>
      <c r="H379" s="377"/>
    </row>
    <row r="380" spans="1:8">
      <c r="A380" s="377"/>
      <c r="B380" s="377"/>
      <c r="C380" s="377"/>
      <c r="D380" s="377"/>
      <c r="E380" s="377"/>
      <c r="F380" s="377"/>
      <c r="G380" s="377"/>
      <c r="H380" s="377"/>
    </row>
    <row r="381" spans="1:8">
      <c r="A381" s="377"/>
      <c r="B381" s="377"/>
      <c r="C381" s="377"/>
      <c r="D381" s="377"/>
      <c r="E381" s="377"/>
      <c r="F381" s="377"/>
      <c r="G381" s="377"/>
      <c r="H381" s="377"/>
    </row>
    <row r="382" spans="1:8">
      <c r="A382" s="377"/>
      <c r="B382" s="377"/>
      <c r="C382" s="377"/>
      <c r="D382" s="377"/>
      <c r="E382" s="377"/>
      <c r="F382" s="377"/>
      <c r="G382" s="377"/>
      <c r="H382" s="377"/>
    </row>
    <row r="383" spans="1:8">
      <c r="A383" s="377"/>
      <c r="B383" s="377"/>
      <c r="C383" s="377"/>
      <c r="D383" s="377"/>
      <c r="E383" s="377"/>
      <c r="F383" s="377"/>
      <c r="G383" s="377"/>
      <c r="H383" s="377"/>
    </row>
    <row r="384" spans="1:8">
      <c r="A384" s="377"/>
      <c r="B384" s="377"/>
      <c r="C384" s="377"/>
      <c r="D384" s="377"/>
      <c r="E384" s="377"/>
      <c r="F384" s="377"/>
      <c r="G384" s="377"/>
      <c r="H384" s="377"/>
    </row>
    <row r="385" spans="1:8">
      <c r="A385" s="377"/>
      <c r="B385" s="377"/>
      <c r="C385" s="377"/>
      <c r="D385" s="377"/>
      <c r="E385" s="377"/>
      <c r="F385" s="377"/>
      <c r="G385" s="377"/>
      <c r="H385" s="377"/>
    </row>
    <row r="386" spans="1:8">
      <c r="A386" s="377"/>
      <c r="B386" s="377"/>
      <c r="C386" s="377"/>
      <c r="D386" s="377"/>
      <c r="E386" s="377"/>
      <c r="F386" s="377"/>
      <c r="G386" s="377"/>
      <c r="H386" s="377"/>
    </row>
    <row r="387" spans="1:8">
      <c r="A387" s="377"/>
      <c r="B387" s="377"/>
      <c r="C387" s="377"/>
      <c r="D387" s="377"/>
      <c r="E387" s="377"/>
      <c r="F387" s="377"/>
      <c r="G387" s="377"/>
      <c r="H387" s="377"/>
    </row>
    <row r="388" spans="1:8">
      <c r="A388" s="377"/>
      <c r="B388" s="377"/>
      <c r="C388" s="377"/>
      <c r="D388" s="377"/>
      <c r="E388" s="377"/>
      <c r="F388" s="377"/>
      <c r="G388" s="377"/>
      <c r="H388" s="377"/>
    </row>
    <row r="389" spans="1:8">
      <c r="A389" s="377"/>
      <c r="B389" s="377"/>
      <c r="C389" s="377"/>
      <c r="D389" s="377"/>
      <c r="E389" s="377"/>
      <c r="F389" s="377"/>
      <c r="G389" s="377"/>
      <c r="H389" s="377"/>
    </row>
    <row r="390" spans="1:8">
      <c r="A390" s="377"/>
      <c r="B390" s="377"/>
      <c r="C390" s="377"/>
      <c r="D390" s="377"/>
      <c r="E390" s="377"/>
      <c r="F390" s="377"/>
      <c r="G390" s="377"/>
      <c r="H390" s="377"/>
    </row>
    <row r="391" spans="1:8">
      <c r="A391" s="377"/>
      <c r="B391" s="377"/>
      <c r="C391" s="377"/>
      <c r="D391" s="377"/>
      <c r="E391" s="377"/>
      <c r="F391" s="377"/>
      <c r="G391" s="377"/>
      <c r="H391" s="377"/>
    </row>
    <row r="392" spans="1:8">
      <c r="A392" s="377"/>
      <c r="B392" s="377"/>
      <c r="C392" s="377"/>
      <c r="D392" s="377"/>
      <c r="E392" s="377"/>
      <c r="F392" s="377"/>
      <c r="G392" s="377"/>
      <c r="H392" s="377"/>
    </row>
    <row r="393" spans="1:8">
      <c r="A393" s="377"/>
      <c r="B393" s="377"/>
      <c r="C393" s="377"/>
      <c r="D393" s="377"/>
      <c r="E393" s="377"/>
      <c r="F393" s="377"/>
      <c r="G393" s="377"/>
      <c r="H393" s="377"/>
    </row>
    <row r="394" spans="1:8">
      <c r="A394" s="377"/>
      <c r="B394" s="377"/>
      <c r="C394" s="377"/>
      <c r="D394" s="377"/>
      <c r="E394" s="377"/>
      <c r="F394" s="377"/>
      <c r="G394" s="377"/>
      <c r="H394" s="377"/>
    </row>
    <row r="395" spans="1:8">
      <c r="A395" s="377"/>
      <c r="B395" s="377"/>
      <c r="C395" s="377"/>
      <c r="D395" s="377"/>
      <c r="E395" s="377"/>
      <c r="F395" s="377"/>
      <c r="G395" s="377"/>
      <c r="H395" s="377"/>
    </row>
    <row r="396" spans="1:8">
      <c r="A396" s="377"/>
      <c r="B396" s="377"/>
      <c r="C396" s="377"/>
      <c r="D396" s="377"/>
      <c r="E396" s="377"/>
      <c r="F396" s="377"/>
      <c r="G396" s="377"/>
      <c r="H396" s="377"/>
    </row>
    <row r="397" spans="1:8">
      <c r="A397" s="377"/>
      <c r="B397" s="377"/>
      <c r="C397" s="377"/>
      <c r="D397" s="377"/>
      <c r="E397" s="377"/>
      <c r="F397" s="377"/>
      <c r="G397" s="377"/>
      <c r="H397" s="377"/>
    </row>
    <row r="398" spans="1:8">
      <c r="A398" s="377"/>
      <c r="B398" s="377"/>
      <c r="C398" s="377"/>
      <c r="D398" s="377"/>
      <c r="E398" s="377"/>
      <c r="F398" s="377"/>
      <c r="G398" s="377"/>
      <c r="H398" s="377"/>
    </row>
    <row r="399" spans="1:8">
      <c r="A399" s="377"/>
      <c r="B399" s="377"/>
      <c r="C399" s="377"/>
      <c r="D399" s="377"/>
      <c r="E399" s="377"/>
      <c r="F399" s="377"/>
      <c r="G399" s="377"/>
      <c r="H399" s="377"/>
    </row>
    <row r="400" spans="1:8">
      <c r="A400" s="377"/>
      <c r="B400" s="377"/>
      <c r="C400" s="377"/>
      <c r="D400" s="377"/>
      <c r="E400" s="377"/>
      <c r="F400" s="377"/>
      <c r="G400" s="377"/>
      <c r="H400" s="377"/>
    </row>
    <row r="401" spans="1:8">
      <c r="A401" s="377"/>
      <c r="B401" s="377"/>
      <c r="C401" s="377"/>
      <c r="D401" s="377"/>
      <c r="E401" s="377"/>
      <c r="F401" s="377"/>
      <c r="G401" s="377"/>
      <c r="H401" s="377"/>
    </row>
    <row r="402" spans="1:8">
      <c r="A402" s="377"/>
      <c r="B402" s="377"/>
      <c r="C402" s="377"/>
      <c r="D402" s="377"/>
      <c r="E402" s="377"/>
      <c r="F402" s="377"/>
      <c r="G402" s="377"/>
      <c r="H402" s="377"/>
    </row>
    <row r="403" spans="1:8">
      <c r="A403" s="377"/>
      <c r="B403" s="377"/>
      <c r="C403" s="377"/>
      <c r="D403" s="377"/>
      <c r="E403" s="377"/>
      <c r="F403" s="377"/>
      <c r="G403" s="377"/>
      <c r="H403" s="377"/>
    </row>
    <row r="404" spans="1:8">
      <c r="A404" s="377"/>
      <c r="B404" s="377"/>
      <c r="C404" s="377"/>
      <c r="D404" s="377"/>
      <c r="E404" s="377"/>
      <c r="F404" s="377"/>
      <c r="G404" s="377"/>
      <c r="H404" s="377"/>
    </row>
    <row r="405" spans="1:8">
      <c r="A405" s="377"/>
      <c r="B405" s="377"/>
      <c r="C405" s="377"/>
      <c r="D405" s="377"/>
      <c r="E405" s="377"/>
      <c r="F405" s="377"/>
      <c r="G405" s="377"/>
      <c r="H405" s="377"/>
    </row>
    <row r="406" spans="1:8">
      <c r="A406" s="377"/>
      <c r="B406" s="377"/>
      <c r="C406" s="377"/>
      <c r="D406" s="377"/>
      <c r="E406" s="377"/>
      <c r="F406" s="377"/>
      <c r="G406" s="377"/>
      <c r="H406" s="377"/>
    </row>
    <row r="407" spans="1:8">
      <c r="A407" s="377"/>
      <c r="B407" s="377"/>
      <c r="C407" s="377"/>
      <c r="D407" s="377"/>
      <c r="E407" s="377"/>
      <c r="F407" s="377"/>
      <c r="G407" s="377"/>
      <c r="H407" s="377"/>
    </row>
    <row r="408" spans="1:8">
      <c r="A408" s="377"/>
      <c r="B408" s="377"/>
      <c r="C408" s="377"/>
      <c r="D408" s="377"/>
      <c r="E408" s="377"/>
      <c r="F408" s="377"/>
      <c r="G408" s="377"/>
      <c r="H408" s="377"/>
    </row>
    <row r="409" spans="1:8">
      <c r="A409" s="377"/>
      <c r="B409" s="377"/>
      <c r="C409" s="377"/>
      <c r="D409" s="377"/>
      <c r="E409" s="377"/>
      <c r="F409" s="377"/>
      <c r="G409" s="377"/>
      <c r="H409" s="377"/>
    </row>
    <row r="410" spans="1:8">
      <c r="A410" s="377"/>
      <c r="B410" s="377"/>
      <c r="C410" s="377"/>
      <c r="D410" s="377"/>
      <c r="E410" s="377"/>
      <c r="F410" s="377"/>
      <c r="G410" s="377"/>
      <c r="H410" s="377"/>
    </row>
    <row r="411" spans="1:8">
      <c r="A411" s="377"/>
      <c r="B411" s="377"/>
      <c r="C411" s="377"/>
      <c r="D411" s="377"/>
      <c r="E411" s="377"/>
      <c r="F411" s="377"/>
      <c r="G411" s="377"/>
      <c r="H411" s="377"/>
    </row>
    <row r="412" spans="1:8">
      <c r="A412" s="377"/>
      <c r="B412" s="377"/>
      <c r="C412" s="377"/>
      <c r="D412" s="377"/>
      <c r="E412" s="377"/>
      <c r="F412" s="377"/>
      <c r="G412" s="377"/>
      <c r="H412" s="377"/>
    </row>
    <row r="413" spans="1:8">
      <c r="A413" s="377"/>
      <c r="B413" s="377"/>
      <c r="C413" s="377"/>
      <c r="D413" s="377"/>
      <c r="E413" s="377"/>
      <c r="F413" s="377"/>
      <c r="G413" s="377"/>
      <c r="H413" s="377"/>
    </row>
    <row r="414" spans="1:8">
      <c r="A414" s="377"/>
      <c r="B414" s="377"/>
      <c r="C414" s="377"/>
      <c r="D414" s="377"/>
      <c r="E414" s="377"/>
      <c r="F414" s="377"/>
      <c r="G414" s="377"/>
      <c r="H414" s="377"/>
    </row>
    <row r="415" spans="1:8">
      <c r="A415" s="377"/>
      <c r="B415" s="377"/>
      <c r="C415" s="377"/>
      <c r="D415" s="377"/>
      <c r="E415" s="377"/>
      <c r="F415" s="377"/>
      <c r="G415" s="377"/>
      <c r="H415" s="377"/>
    </row>
    <row r="416" spans="1:8">
      <c r="A416" s="377"/>
      <c r="B416" s="377"/>
      <c r="C416" s="377"/>
      <c r="D416" s="377"/>
      <c r="E416" s="377"/>
      <c r="F416" s="377"/>
      <c r="G416" s="377"/>
      <c r="H416" s="377"/>
    </row>
    <row r="417" spans="1:8">
      <c r="A417" s="377"/>
      <c r="B417" s="377"/>
      <c r="C417" s="377"/>
      <c r="D417" s="377"/>
      <c r="E417" s="377"/>
      <c r="F417" s="377"/>
      <c r="G417" s="377"/>
      <c r="H417" s="377"/>
    </row>
    <row r="418" spans="1:8">
      <c r="A418" s="377"/>
      <c r="B418" s="377"/>
      <c r="C418" s="377"/>
      <c r="D418" s="377"/>
      <c r="E418" s="377"/>
      <c r="F418" s="377"/>
      <c r="G418" s="377"/>
      <c r="H418" s="377"/>
    </row>
    <row r="419" spans="1:8">
      <c r="A419" s="377"/>
      <c r="B419" s="377"/>
      <c r="C419" s="377"/>
      <c r="D419" s="377"/>
      <c r="E419" s="377"/>
      <c r="F419" s="377"/>
      <c r="G419" s="377"/>
      <c r="H419" s="377"/>
    </row>
    <row r="420" spans="1:8">
      <c r="A420" s="377"/>
      <c r="B420" s="377"/>
      <c r="C420" s="377"/>
      <c r="D420" s="377"/>
      <c r="E420" s="377"/>
      <c r="F420" s="377"/>
      <c r="G420" s="377"/>
      <c r="H420" s="377"/>
    </row>
    <row r="421" spans="1:8">
      <c r="A421" s="377"/>
      <c r="B421" s="377"/>
      <c r="C421" s="377"/>
      <c r="D421" s="377"/>
      <c r="E421" s="377"/>
      <c r="F421" s="377"/>
      <c r="G421" s="377"/>
      <c r="H421" s="377"/>
    </row>
    <row r="422" spans="1:8">
      <c r="A422" s="377"/>
      <c r="B422" s="377"/>
      <c r="C422" s="377"/>
      <c r="D422" s="377"/>
      <c r="E422" s="377"/>
      <c r="F422" s="377"/>
      <c r="G422" s="377"/>
      <c r="H422" s="377"/>
    </row>
    <row r="423" spans="1:8">
      <c r="A423" s="377"/>
      <c r="B423" s="377"/>
      <c r="C423" s="377"/>
      <c r="D423" s="377"/>
      <c r="E423" s="377"/>
      <c r="F423" s="377"/>
      <c r="G423" s="377"/>
      <c r="H423" s="377"/>
    </row>
    <row r="424" spans="1:8">
      <c r="A424" s="377"/>
      <c r="B424" s="377"/>
      <c r="C424" s="377"/>
      <c r="D424" s="377"/>
      <c r="E424" s="377"/>
      <c r="F424" s="377"/>
      <c r="G424" s="377"/>
      <c r="H424" s="377"/>
    </row>
    <row r="425" spans="1:8">
      <c r="A425" s="377"/>
      <c r="B425" s="377"/>
      <c r="C425" s="377"/>
      <c r="D425" s="377"/>
      <c r="E425" s="377"/>
      <c r="F425" s="377"/>
      <c r="G425" s="377"/>
      <c r="H425" s="377"/>
    </row>
    <row r="426" spans="1:8">
      <c r="A426" s="377"/>
      <c r="B426" s="377"/>
      <c r="C426" s="377"/>
      <c r="D426" s="377"/>
      <c r="E426" s="377"/>
      <c r="F426" s="377"/>
      <c r="G426" s="377"/>
      <c r="H426" s="377"/>
    </row>
    <row r="427" spans="1:8">
      <c r="A427" s="377"/>
      <c r="B427" s="377"/>
      <c r="C427" s="377"/>
      <c r="D427" s="377"/>
      <c r="E427" s="377"/>
      <c r="F427" s="377"/>
      <c r="G427" s="377"/>
      <c r="H427" s="377"/>
    </row>
    <row r="428" spans="1:8">
      <c r="A428" s="377"/>
      <c r="B428" s="377"/>
      <c r="C428" s="377"/>
      <c r="D428" s="377"/>
      <c r="E428" s="377"/>
      <c r="F428" s="377"/>
      <c r="G428" s="377"/>
      <c r="H428" s="377"/>
    </row>
    <row r="429" spans="1:8">
      <c r="A429" s="377"/>
      <c r="B429" s="377"/>
      <c r="C429" s="377"/>
      <c r="D429" s="377"/>
      <c r="E429" s="377"/>
      <c r="F429" s="377"/>
      <c r="G429" s="377"/>
      <c r="H429" s="377"/>
    </row>
    <row r="430" spans="1:8">
      <c r="A430" s="377"/>
      <c r="B430" s="377"/>
      <c r="C430" s="377"/>
      <c r="D430" s="377"/>
      <c r="E430" s="377"/>
      <c r="F430" s="377"/>
      <c r="G430" s="377"/>
      <c r="H430" s="377"/>
    </row>
    <row r="431" spans="1:8">
      <c r="A431" s="377"/>
      <c r="B431" s="377"/>
      <c r="C431" s="377"/>
      <c r="D431" s="377"/>
      <c r="E431" s="377"/>
      <c r="F431" s="377"/>
      <c r="G431" s="377"/>
      <c r="H431" s="377"/>
    </row>
    <row r="432" spans="1:8">
      <c r="A432" s="377"/>
      <c r="B432" s="377"/>
      <c r="C432" s="377"/>
      <c r="D432" s="377"/>
      <c r="E432" s="377"/>
      <c r="F432" s="377"/>
      <c r="G432" s="377"/>
      <c r="H432" s="377"/>
    </row>
    <row r="433" spans="1:8">
      <c r="A433" s="377"/>
      <c r="B433" s="377"/>
      <c r="C433" s="377"/>
      <c r="D433" s="377"/>
      <c r="E433" s="377"/>
      <c r="F433" s="377"/>
      <c r="G433" s="377"/>
      <c r="H433" s="377"/>
    </row>
    <row r="434" spans="1:8">
      <c r="A434" s="377"/>
      <c r="B434" s="377"/>
      <c r="C434" s="377"/>
      <c r="D434" s="377"/>
      <c r="E434" s="377"/>
      <c r="F434" s="377"/>
      <c r="G434" s="377"/>
      <c r="H434" s="377"/>
    </row>
    <row r="435" spans="1:8">
      <c r="A435" s="377"/>
      <c r="B435" s="377"/>
      <c r="C435" s="377"/>
      <c r="D435" s="377"/>
      <c r="E435" s="377"/>
      <c r="F435" s="377"/>
      <c r="G435" s="377"/>
      <c r="H435" s="377"/>
    </row>
    <row r="436" spans="1:8">
      <c r="A436" s="377"/>
      <c r="B436" s="377"/>
      <c r="C436" s="377"/>
      <c r="D436" s="377"/>
      <c r="E436" s="377"/>
      <c r="F436" s="377"/>
      <c r="G436" s="377"/>
      <c r="H436" s="377"/>
    </row>
    <row r="437" spans="1:8">
      <c r="A437" s="377"/>
      <c r="B437" s="377"/>
      <c r="C437" s="377"/>
      <c r="D437" s="377"/>
      <c r="E437" s="377"/>
      <c r="F437" s="377"/>
      <c r="G437" s="377"/>
      <c r="H437" s="377"/>
    </row>
    <row r="438" spans="1:8">
      <c r="A438" s="377"/>
      <c r="B438" s="377"/>
      <c r="C438" s="377"/>
      <c r="D438" s="377"/>
      <c r="E438" s="377"/>
      <c r="F438" s="377"/>
      <c r="G438" s="377"/>
      <c r="H438" s="377"/>
    </row>
    <row r="439" spans="1:8">
      <c r="A439" s="377"/>
      <c r="B439" s="377"/>
      <c r="C439" s="377"/>
      <c r="D439" s="377"/>
      <c r="E439" s="377"/>
      <c r="F439" s="377"/>
      <c r="G439" s="377"/>
      <c r="H439" s="377"/>
    </row>
    <row r="440" spans="1:8">
      <c r="A440" s="377"/>
      <c r="B440" s="377"/>
      <c r="C440" s="377"/>
      <c r="D440" s="377"/>
      <c r="E440" s="377"/>
      <c r="F440" s="377"/>
      <c r="G440" s="377"/>
      <c r="H440" s="377"/>
    </row>
    <row r="441" spans="1:8">
      <c r="A441" s="377"/>
      <c r="B441" s="377"/>
      <c r="C441" s="377"/>
      <c r="D441" s="377"/>
      <c r="E441" s="377"/>
      <c r="F441" s="377"/>
      <c r="G441" s="377"/>
      <c r="H441" s="377"/>
    </row>
    <row r="442" spans="1:8">
      <c r="A442" s="377"/>
      <c r="B442" s="377"/>
      <c r="C442" s="377"/>
      <c r="D442" s="377"/>
      <c r="E442" s="377"/>
      <c r="F442" s="377"/>
      <c r="G442" s="377"/>
      <c r="H442" s="377"/>
    </row>
    <row r="443" spans="1:8">
      <c r="A443" s="377"/>
      <c r="B443" s="377"/>
      <c r="C443" s="377"/>
      <c r="D443" s="377"/>
      <c r="E443" s="377"/>
      <c r="F443" s="377"/>
      <c r="G443" s="377"/>
      <c r="H443" s="377"/>
    </row>
    <row r="444" spans="1:8">
      <c r="A444" s="377"/>
      <c r="B444" s="377"/>
      <c r="C444" s="377"/>
      <c r="D444" s="377"/>
      <c r="E444" s="377"/>
      <c r="F444" s="377"/>
      <c r="G444" s="377"/>
      <c r="H444" s="377"/>
    </row>
    <row r="445" spans="1:8">
      <c r="A445" s="377"/>
      <c r="B445" s="377"/>
      <c r="C445" s="377"/>
      <c r="D445" s="377"/>
      <c r="E445" s="377"/>
      <c r="F445" s="377"/>
      <c r="G445" s="377"/>
      <c r="H445" s="377"/>
    </row>
    <row r="446" spans="1:8">
      <c r="A446" s="377"/>
      <c r="B446" s="377"/>
      <c r="C446" s="377"/>
      <c r="D446" s="377"/>
      <c r="E446" s="377"/>
      <c r="F446" s="377"/>
      <c r="G446" s="377"/>
      <c r="H446" s="377"/>
    </row>
    <row r="447" spans="1:8">
      <c r="A447" s="377"/>
      <c r="B447" s="377"/>
      <c r="C447" s="377"/>
      <c r="D447" s="377"/>
      <c r="E447" s="377"/>
      <c r="F447" s="377"/>
      <c r="G447" s="377"/>
      <c r="H447" s="377"/>
    </row>
    <row r="448" spans="1:8">
      <c r="A448" s="377"/>
      <c r="B448" s="377"/>
      <c r="C448" s="377"/>
      <c r="D448" s="377"/>
      <c r="E448" s="377"/>
      <c r="F448" s="377"/>
      <c r="G448" s="377"/>
      <c r="H448" s="377"/>
    </row>
    <row r="449" spans="1:8">
      <c r="A449" s="377"/>
      <c r="B449" s="377"/>
      <c r="C449" s="377"/>
      <c r="D449" s="377"/>
      <c r="E449" s="377"/>
      <c r="F449" s="377"/>
      <c r="G449" s="377"/>
      <c r="H449" s="377"/>
    </row>
    <row r="450" spans="1:8">
      <c r="A450" s="377"/>
      <c r="B450" s="377"/>
      <c r="C450" s="377"/>
      <c r="D450" s="377"/>
      <c r="E450" s="377"/>
      <c r="F450" s="377"/>
      <c r="G450" s="377"/>
      <c r="H450" s="377"/>
    </row>
    <row r="451" spans="1:8">
      <c r="A451" s="377"/>
      <c r="B451" s="377"/>
      <c r="C451" s="377"/>
      <c r="D451" s="377"/>
      <c r="E451" s="377"/>
      <c r="F451" s="377"/>
      <c r="G451" s="377"/>
      <c r="H451" s="377"/>
    </row>
    <row r="452" spans="1:8">
      <c r="A452" s="377"/>
      <c r="B452" s="377"/>
      <c r="C452" s="377"/>
      <c r="D452" s="377"/>
      <c r="E452" s="377"/>
      <c r="F452" s="377"/>
      <c r="G452" s="377"/>
      <c r="H452" s="377"/>
    </row>
    <row r="453" spans="1:8">
      <c r="A453" s="377"/>
      <c r="B453" s="377"/>
      <c r="C453" s="377"/>
      <c r="D453" s="377"/>
      <c r="E453" s="377"/>
      <c r="F453" s="377"/>
      <c r="G453" s="377"/>
      <c r="H453" s="377"/>
    </row>
    <row r="454" spans="1:8">
      <c r="A454" s="377"/>
      <c r="B454" s="377"/>
      <c r="C454" s="377"/>
      <c r="D454" s="377"/>
      <c r="E454" s="377"/>
      <c r="F454" s="377"/>
      <c r="G454" s="377"/>
      <c r="H454" s="377"/>
    </row>
    <row r="455" spans="1:8">
      <c r="A455" s="377"/>
      <c r="B455" s="377"/>
      <c r="C455" s="377"/>
      <c r="D455" s="377"/>
      <c r="E455" s="377"/>
      <c r="F455" s="377"/>
      <c r="G455" s="377"/>
      <c r="H455" s="377"/>
    </row>
    <row r="456" spans="1:8">
      <c r="A456" s="377"/>
      <c r="B456" s="377"/>
      <c r="C456" s="377"/>
      <c r="D456" s="377"/>
      <c r="E456" s="377"/>
      <c r="F456" s="377"/>
      <c r="G456" s="377"/>
      <c r="H456" s="377"/>
    </row>
    <row r="457" spans="1:8">
      <c r="A457" s="377"/>
      <c r="B457" s="377"/>
      <c r="C457" s="377"/>
      <c r="D457" s="377"/>
      <c r="E457" s="377"/>
      <c r="F457" s="377"/>
      <c r="G457" s="377"/>
      <c r="H457" s="377"/>
    </row>
    <row r="458" spans="1:8">
      <c r="A458" s="377"/>
      <c r="B458" s="377"/>
      <c r="C458" s="377"/>
      <c r="D458" s="377"/>
      <c r="E458" s="377"/>
      <c r="F458" s="377"/>
      <c r="G458" s="377"/>
      <c r="H458" s="377"/>
    </row>
    <row r="459" spans="1:8">
      <c r="A459" s="377"/>
      <c r="B459" s="377"/>
      <c r="C459" s="377"/>
      <c r="D459" s="377"/>
      <c r="E459" s="377"/>
      <c r="F459" s="377"/>
      <c r="G459" s="377"/>
      <c r="H459" s="377"/>
    </row>
    <row r="460" spans="1:8">
      <c r="A460" s="377"/>
      <c r="B460" s="377"/>
      <c r="C460" s="377"/>
      <c r="D460" s="377"/>
      <c r="E460" s="377"/>
      <c r="F460" s="377"/>
      <c r="G460" s="377"/>
      <c r="H460" s="377"/>
    </row>
    <row r="461" spans="1:8">
      <c r="A461" s="377"/>
      <c r="B461" s="377"/>
      <c r="C461" s="377"/>
      <c r="D461" s="377"/>
      <c r="E461" s="377"/>
      <c r="F461" s="377"/>
      <c r="G461" s="377"/>
      <c r="H461" s="377"/>
    </row>
    <row r="462" spans="1:8">
      <c r="A462" s="377"/>
      <c r="B462" s="377"/>
      <c r="C462" s="377"/>
      <c r="D462" s="377"/>
      <c r="E462" s="377"/>
      <c r="F462" s="377"/>
      <c r="G462" s="377"/>
      <c r="H462" s="377"/>
    </row>
    <row r="463" spans="1:8">
      <c r="A463" s="377"/>
      <c r="B463" s="377"/>
      <c r="C463" s="377"/>
      <c r="D463" s="377"/>
      <c r="E463" s="377"/>
      <c r="F463" s="377"/>
      <c r="G463" s="377"/>
      <c r="H463" s="377"/>
    </row>
    <row r="464" spans="1:8">
      <c r="A464" s="377"/>
      <c r="B464" s="377"/>
      <c r="C464" s="377"/>
      <c r="D464" s="377"/>
      <c r="E464" s="377"/>
      <c r="F464" s="377"/>
      <c r="G464" s="377"/>
      <c r="H464" s="377"/>
    </row>
    <row r="465" spans="1:8">
      <c r="A465" s="377"/>
      <c r="B465" s="377"/>
      <c r="C465" s="377"/>
      <c r="D465" s="377"/>
      <c r="E465" s="377"/>
      <c r="F465" s="377"/>
      <c r="G465" s="377"/>
      <c r="H465" s="377"/>
    </row>
    <row r="466" spans="1:8">
      <c r="A466" s="377"/>
      <c r="B466" s="377"/>
      <c r="C466" s="377"/>
      <c r="D466" s="377"/>
      <c r="E466" s="377"/>
      <c r="F466" s="377"/>
      <c r="G466" s="377"/>
      <c r="H466" s="377"/>
    </row>
    <row r="467" spans="1:8">
      <c r="A467" s="377"/>
      <c r="B467" s="377"/>
      <c r="C467" s="377"/>
      <c r="D467" s="377"/>
      <c r="E467" s="377"/>
      <c r="F467" s="377"/>
      <c r="G467" s="377"/>
      <c r="H467" s="377"/>
    </row>
    <row r="468" spans="1:8">
      <c r="A468" s="377"/>
      <c r="B468" s="377"/>
      <c r="C468" s="377"/>
      <c r="D468" s="377"/>
      <c r="E468" s="377"/>
      <c r="F468" s="377"/>
      <c r="G468" s="377"/>
      <c r="H468" s="377"/>
    </row>
    <row r="469" spans="1:8">
      <c r="A469" s="377"/>
      <c r="B469" s="377"/>
      <c r="C469" s="377"/>
      <c r="D469" s="377"/>
      <c r="E469" s="377"/>
      <c r="F469" s="377"/>
      <c r="G469" s="377"/>
      <c r="H469" s="377"/>
    </row>
    <row r="470" spans="1:8">
      <c r="A470" s="377"/>
      <c r="B470" s="377"/>
      <c r="C470" s="377"/>
      <c r="D470" s="377"/>
      <c r="E470" s="377"/>
      <c r="F470" s="377"/>
      <c r="G470" s="377"/>
      <c r="H470" s="377"/>
    </row>
    <row r="471" spans="1:8">
      <c r="A471" s="377"/>
      <c r="B471" s="377"/>
      <c r="C471" s="377"/>
      <c r="D471" s="377"/>
      <c r="E471" s="377"/>
      <c r="F471" s="377"/>
      <c r="G471" s="377"/>
      <c r="H471" s="377"/>
    </row>
    <row r="472" spans="1:8">
      <c r="A472" s="377"/>
      <c r="B472" s="377"/>
      <c r="C472" s="377"/>
      <c r="D472" s="377"/>
      <c r="E472" s="377"/>
      <c r="F472" s="377"/>
      <c r="G472" s="377"/>
      <c r="H472" s="377"/>
    </row>
    <row r="473" spans="1:8">
      <c r="A473" s="377"/>
      <c r="B473" s="377"/>
      <c r="C473" s="377"/>
      <c r="D473" s="377"/>
      <c r="E473" s="377"/>
      <c r="F473" s="377"/>
      <c r="G473" s="377"/>
      <c r="H473" s="377"/>
    </row>
    <row r="474" spans="1:8">
      <c r="A474" s="377"/>
      <c r="B474" s="377"/>
      <c r="C474" s="377"/>
      <c r="D474" s="377"/>
      <c r="E474" s="377"/>
      <c r="F474" s="377"/>
      <c r="G474" s="377"/>
      <c r="H474" s="377"/>
    </row>
    <row r="475" spans="1:8">
      <c r="A475" s="377"/>
      <c r="B475" s="377"/>
      <c r="C475" s="377"/>
      <c r="D475" s="377"/>
      <c r="E475" s="377"/>
      <c r="F475" s="377"/>
      <c r="G475" s="377"/>
      <c r="H475" s="377"/>
    </row>
    <row r="476" spans="1:8">
      <c r="A476" s="377"/>
      <c r="B476" s="377"/>
      <c r="C476" s="377"/>
      <c r="D476" s="377"/>
      <c r="E476" s="377"/>
      <c r="F476" s="377"/>
      <c r="G476" s="377"/>
      <c r="H476" s="377"/>
    </row>
    <row r="477" spans="1:8">
      <c r="A477" s="377"/>
      <c r="B477" s="377"/>
      <c r="C477" s="377"/>
      <c r="D477" s="377"/>
      <c r="E477" s="377"/>
      <c r="F477" s="377"/>
      <c r="G477" s="377"/>
      <c r="H477" s="377"/>
    </row>
    <row r="478" spans="1:8">
      <c r="A478" s="377"/>
      <c r="B478" s="377"/>
      <c r="C478" s="377"/>
      <c r="D478" s="377"/>
      <c r="E478" s="377"/>
      <c r="F478" s="377"/>
      <c r="G478" s="377"/>
      <c r="H478" s="377"/>
    </row>
    <row r="479" spans="1:8">
      <c r="A479" s="377"/>
      <c r="B479" s="377"/>
      <c r="C479" s="377"/>
      <c r="D479" s="377"/>
      <c r="E479" s="377"/>
      <c r="F479" s="377"/>
      <c r="G479" s="377"/>
      <c r="H479" s="377"/>
    </row>
    <row r="480" spans="1:8">
      <c r="A480" s="377"/>
      <c r="B480" s="377"/>
      <c r="C480" s="377"/>
      <c r="D480" s="377"/>
      <c r="E480" s="377"/>
      <c r="F480" s="377"/>
      <c r="G480" s="377"/>
      <c r="H480" s="377"/>
    </row>
    <row r="481" spans="1:8">
      <c r="A481" s="377"/>
      <c r="B481" s="377"/>
      <c r="C481" s="377"/>
      <c r="D481" s="377"/>
      <c r="E481" s="377"/>
      <c r="F481" s="377"/>
      <c r="G481" s="377"/>
      <c r="H481" s="377"/>
    </row>
    <row r="482" spans="1:8">
      <c r="A482" s="377"/>
      <c r="B482" s="377"/>
      <c r="C482" s="377"/>
      <c r="D482" s="377"/>
      <c r="E482" s="377"/>
      <c r="F482" s="377"/>
      <c r="G482" s="377"/>
      <c r="H482" s="377"/>
    </row>
    <row r="483" spans="1:8">
      <c r="A483" s="377"/>
      <c r="B483" s="377"/>
      <c r="C483" s="377"/>
      <c r="D483" s="377"/>
      <c r="E483" s="377"/>
      <c r="F483" s="377"/>
      <c r="G483" s="377"/>
      <c r="H483" s="377"/>
    </row>
    <row r="484" spans="1:8">
      <c r="A484" s="377"/>
      <c r="B484" s="377"/>
      <c r="C484" s="377"/>
      <c r="D484" s="377"/>
      <c r="E484" s="377"/>
      <c r="F484" s="377"/>
      <c r="G484" s="377"/>
      <c r="H484" s="377"/>
    </row>
    <row r="485" spans="1:8">
      <c r="A485" s="377"/>
      <c r="B485" s="377"/>
      <c r="C485" s="377"/>
      <c r="D485" s="377"/>
      <c r="E485" s="377"/>
      <c r="F485" s="377"/>
      <c r="G485" s="377"/>
      <c r="H485" s="377"/>
    </row>
    <row r="486" spans="1:8">
      <c r="A486" s="377"/>
      <c r="B486" s="377"/>
      <c r="C486" s="377"/>
      <c r="D486" s="377"/>
      <c r="E486" s="377"/>
      <c r="F486" s="377"/>
      <c r="G486" s="377"/>
      <c r="H486" s="377"/>
    </row>
    <row r="487" spans="1:8">
      <c r="A487" s="377"/>
      <c r="B487" s="377"/>
      <c r="C487" s="377"/>
      <c r="D487" s="377"/>
      <c r="E487" s="377"/>
      <c r="F487" s="377"/>
      <c r="G487" s="377"/>
      <c r="H487" s="377"/>
    </row>
    <row r="488" spans="1:8">
      <c r="A488" s="377"/>
      <c r="B488" s="377"/>
      <c r="C488" s="377"/>
      <c r="D488" s="377"/>
      <c r="E488" s="377"/>
      <c r="F488" s="377"/>
      <c r="G488" s="377"/>
      <c r="H488" s="377"/>
    </row>
    <row r="489" spans="1:8">
      <c r="A489" s="377"/>
      <c r="B489" s="377"/>
      <c r="C489" s="377"/>
      <c r="D489" s="377"/>
      <c r="E489" s="377"/>
      <c r="F489" s="377"/>
      <c r="G489" s="377"/>
      <c r="H489" s="377"/>
    </row>
    <row r="490" spans="1:8">
      <c r="A490" s="377"/>
      <c r="B490" s="377"/>
      <c r="C490" s="377"/>
      <c r="D490" s="377"/>
      <c r="E490" s="377"/>
      <c r="F490" s="377"/>
      <c r="G490" s="377"/>
      <c r="H490" s="377"/>
    </row>
    <row r="491" spans="1:8">
      <c r="A491" s="377"/>
      <c r="B491" s="377"/>
      <c r="C491" s="377"/>
      <c r="D491" s="377"/>
      <c r="E491" s="377"/>
      <c r="F491" s="377"/>
      <c r="G491" s="377"/>
      <c r="H491" s="377"/>
    </row>
    <row r="492" spans="1:8">
      <c r="A492" s="377"/>
      <c r="B492" s="377"/>
      <c r="C492" s="377"/>
      <c r="D492" s="377"/>
      <c r="E492" s="377"/>
      <c r="F492" s="377"/>
      <c r="G492" s="377"/>
      <c r="H492" s="377"/>
    </row>
    <row r="493" spans="1:8">
      <c r="A493" s="377"/>
      <c r="B493" s="377"/>
      <c r="C493" s="377"/>
      <c r="D493" s="377"/>
      <c r="E493" s="377"/>
      <c r="F493" s="377"/>
      <c r="G493" s="377"/>
      <c r="H493" s="377"/>
    </row>
    <row r="494" spans="1:8">
      <c r="A494" s="377"/>
      <c r="B494" s="377"/>
      <c r="C494" s="377"/>
      <c r="D494" s="377"/>
      <c r="E494" s="377"/>
      <c r="F494" s="377"/>
      <c r="G494" s="377"/>
      <c r="H494" s="377"/>
    </row>
    <row r="495" spans="1:8">
      <c r="A495" s="377"/>
      <c r="B495" s="377"/>
      <c r="C495" s="377"/>
      <c r="D495" s="377"/>
      <c r="E495" s="377"/>
      <c r="F495" s="377"/>
      <c r="G495" s="377"/>
      <c r="H495" s="377"/>
    </row>
    <row r="496" spans="1:8">
      <c r="A496" s="377"/>
      <c r="B496" s="377"/>
      <c r="C496" s="377"/>
      <c r="D496" s="377"/>
      <c r="E496" s="377"/>
      <c r="F496" s="377"/>
      <c r="G496" s="377"/>
      <c r="H496" s="377"/>
    </row>
    <row r="497" spans="1:8">
      <c r="A497" s="377"/>
      <c r="B497" s="377"/>
      <c r="C497" s="377"/>
      <c r="D497" s="377"/>
      <c r="E497" s="377"/>
      <c r="F497" s="377"/>
      <c r="G497" s="377"/>
      <c r="H497" s="377"/>
    </row>
    <row r="498" spans="1:8">
      <c r="A498" s="377"/>
      <c r="B498" s="377"/>
      <c r="C498" s="377"/>
      <c r="D498" s="377"/>
      <c r="E498" s="377"/>
      <c r="F498" s="377"/>
      <c r="G498" s="377"/>
      <c r="H498" s="377"/>
    </row>
    <row r="499" spans="1:8">
      <c r="A499" s="377"/>
      <c r="B499" s="377"/>
      <c r="C499" s="377"/>
      <c r="D499" s="377"/>
      <c r="E499" s="377"/>
      <c r="F499" s="377"/>
      <c r="G499" s="377"/>
      <c r="H499" s="377"/>
    </row>
    <row r="500" spans="1:8">
      <c r="A500" s="377"/>
      <c r="B500" s="377"/>
      <c r="C500" s="377"/>
      <c r="D500" s="377"/>
      <c r="E500" s="377"/>
      <c r="F500" s="377"/>
      <c r="G500" s="377"/>
      <c r="H500" s="377"/>
    </row>
    <row r="501" spans="1:8">
      <c r="A501" s="377"/>
      <c r="B501" s="377"/>
      <c r="C501" s="377"/>
      <c r="D501" s="377"/>
      <c r="E501" s="377"/>
      <c r="F501" s="377"/>
      <c r="G501" s="377"/>
      <c r="H501" s="377"/>
    </row>
    <row r="502" spans="1:8">
      <c r="A502" s="377"/>
      <c r="B502" s="377"/>
      <c r="C502" s="377"/>
      <c r="D502" s="377"/>
      <c r="E502" s="377"/>
      <c r="F502" s="377"/>
      <c r="G502" s="377"/>
      <c r="H502" s="377"/>
    </row>
    <row r="503" spans="1:8">
      <c r="A503" s="377"/>
      <c r="B503" s="377"/>
      <c r="C503" s="377"/>
      <c r="D503" s="377"/>
      <c r="E503" s="377"/>
      <c r="F503" s="377"/>
      <c r="G503" s="377"/>
      <c r="H503" s="377"/>
    </row>
    <row r="504" spans="1:8">
      <c r="A504" s="377"/>
      <c r="B504" s="377"/>
      <c r="C504" s="377"/>
      <c r="D504" s="377"/>
      <c r="E504" s="377"/>
      <c r="F504" s="377"/>
      <c r="G504" s="377"/>
      <c r="H504" s="377"/>
    </row>
    <row r="505" spans="1:8">
      <c r="A505" s="377"/>
      <c r="B505" s="377"/>
      <c r="C505" s="377"/>
      <c r="D505" s="377"/>
      <c r="E505" s="377"/>
      <c r="F505" s="377"/>
      <c r="G505" s="377"/>
      <c r="H505" s="377"/>
    </row>
    <row r="506" spans="1:8">
      <c r="A506" s="377"/>
      <c r="B506" s="377"/>
      <c r="C506" s="377"/>
      <c r="D506" s="377"/>
      <c r="E506" s="377"/>
      <c r="F506" s="377"/>
      <c r="G506" s="377"/>
      <c r="H506" s="377"/>
    </row>
    <row r="507" spans="1:8">
      <c r="A507" s="377"/>
      <c r="B507" s="377"/>
      <c r="C507" s="377"/>
      <c r="D507" s="377"/>
      <c r="E507" s="377"/>
      <c r="F507" s="377"/>
      <c r="G507" s="377"/>
      <c r="H507" s="377"/>
    </row>
    <row r="508" spans="1:8">
      <c r="A508" s="377"/>
      <c r="B508" s="377"/>
      <c r="C508" s="377"/>
      <c r="D508" s="377"/>
      <c r="E508" s="377"/>
      <c r="F508" s="377"/>
      <c r="G508" s="377"/>
      <c r="H508" s="377"/>
    </row>
    <row r="509" spans="1:8">
      <c r="A509" s="377"/>
      <c r="B509" s="377"/>
      <c r="C509" s="377"/>
      <c r="D509" s="377"/>
      <c r="E509" s="377"/>
      <c r="F509" s="377"/>
      <c r="G509" s="377"/>
      <c r="H509" s="377"/>
    </row>
    <row r="510" spans="1:8">
      <c r="A510" s="377"/>
      <c r="B510" s="377"/>
      <c r="C510" s="377"/>
      <c r="D510" s="377"/>
      <c r="E510" s="377"/>
      <c r="F510" s="377"/>
      <c r="G510" s="377"/>
      <c r="H510" s="377"/>
    </row>
    <row r="511" spans="1:8">
      <c r="A511" s="377"/>
      <c r="B511" s="377"/>
      <c r="C511" s="377"/>
      <c r="D511" s="377"/>
      <c r="E511" s="377"/>
      <c r="F511" s="377"/>
      <c r="G511" s="377"/>
      <c r="H511" s="377"/>
    </row>
    <row r="512" spans="1:8">
      <c r="A512" s="377"/>
      <c r="B512" s="377"/>
      <c r="C512" s="377"/>
      <c r="D512" s="377"/>
      <c r="E512" s="377"/>
      <c r="F512" s="377"/>
      <c r="G512" s="377"/>
      <c r="H512" s="377"/>
    </row>
    <row r="513" spans="1:8">
      <c r="A513" s="377"/>
      <c r="B513" s="377"/>
      <c r="C513" s="377"/>
      <c r="D513" s="377"/>
      <c r="E513" s="377"/>
      <c r="F513" s="377"/>
      <c r="G513" s="377"/>
      <c r="H513" s="377"/>
    </row>
    <row r="514" spans="1:8">
      <c r="A514" s="377"/>
      <c r="B514" s="377"/>
      <c r="C514" s="377"/>
      <c r="D514" s="377"/>
      <c r="E514" s="377"/>
      <c r="F514" s="377"/>
      <c r="G514" s="377"/>
      <c r="H514" s="377"/>
    </row>
    <row r="515" spans="1:8">
      <c r="A515" s="377"/>
      <c r="B515" s="377"/>
      <c r="C515" s="377"/>
      <c r="D515" s="377"/>
      <c r="E515" s="377"/>
      <c r="F515" s="377"/>
      <c r="G515" s="377"/>
      <c r="H515" s="377"/>
    </row>
    <row r="516" spans="1:8">
      <c r="A516" s="377"/>
      <c r="B516" s="377"/>
      <c r="C516" s="377"/>
      <c r="D516" s="377"/>
      <c r="E516" s="377"/>
      <c r="F516" s="377"/>
      <c r="G516" s="377"/>
      <c r="H516" s="377"/>
    </row>
    <row r="517" spans="1:8">
      <c r="A517" s="377"/>
      <c r="B517" s="377"/>
      <c r="C517" s="377"/>
      <c r="D517" s="377"/>
      <c r="E517" s="377"/>
      <c r="F517" s="377"/>
      <c r="G517" s="377"/>
      <c r="H517" s="377"/>
    </row>
    <row r="518" spans="1:8">
      <c r="A518" s="377"/>
      <c r="B518" s="377"/>
      <c r="C518" s="377"/>
      <c r="D518" s="377"/>
      <c r="E518" s="377"/>
      <c r="F518" s="377"/>
      <c r="G518" s="377"/>
      <c r="H518" s="377"/>
    </row>
    <row r="519" spans="1:8">
      <c r="A519" s="377"/>
      <c r="B519" s="377"/>
      <c r="C519" s="377"/>
      <c r="D519" s="377"/>
      <c r="E519" s="377"/>
      <c r="F519" s="377"/>
      <c r="G519" s="377"/>
      <c r="H519" s="377"/>
    </row>
    <row r="520" spans="1:8">
      <c r="A520" s="377"/>
      <c r="B520" s="377"/>
      <c r="C520" s="377"/>
      <c r="D520" s="377"/>
      <c r="E520" s="377"/>
      <c r="F520" s="377"/>
      <c r="G520" s="377"/>
      <c r="H520" s="377"/>
    </row>
    <row r="521" spans="1:8">
      <c r="A521" s="377"/>
      <c r="B521" s="377"/>
      <c r="C521" s="377"/>
      <c r="D521" s="377"/>
      <c r="E521" s="377"/>
      <c r="F521" s="377"/>
      <c r="G521" s="377"/>
      <c r="H521" s="377"/>
    </row>
    <row r="522" spans="1:8">
      <c r="A522" s="377"/>
      <c r="B522" s="377"/>
      <c r="C522" s="377"/>
      <c r="D522" s="377"/>
      <c r="E522" s="377"/>
      <c r="F522" s="377"/>
      <c r="G522" s="377"/>
      <c r="H522" s="377"/>
    </row>
    <row r="523" spans="1:8">
      <c r="A523" s="377"/>
      <c r="B523" s="377"/>
      <c r="C523" s="377"/>
      <c r="D523" s="377"/>
      <c r="E523" s="377"/>
      <c r="F523" s="377"/>
      <c r="G523" s="377"/>
      <c r="H523" s="377"/>
    </row>
    <row r="524" spans="1:8">
      <c r="A524" s="377"/>
      <c r="B524" s="377"/>
      <c r="C524" s="377"/>
      <c r="D524" s="377"/>
      <c r="E524" s="377"/>
      <c r="F524" s="377"/>
      <c r="G524" s="377"/>
      <c r="H524" s="377"/>
    </row>
    <row r="525" spans="1:8">
      <c r="A525" s="377"/>
      <c r="B525" s="377"/>
      <c r="C525" s="377"/>
      <c r="D525" s="377"/>
      <c r="E525" s="377"/>
      <c r="F525" s="377"/>
      <c r="G525" s="377"/>
      <c r="H525" s="377"/>
    </row>
    <row r="526" spans="1:8">
      <c r="A526" s="377"/>
      <c r="B526" s="377"/>
      <c r="C526" s="377"/>
      <c r="D526" s="377"/>
      <c r="E526" s="377"/>
      <c r="F526" s="377"/>
      <c r="G526" s="377"/>
      <c r="H526" s="377"/>
    </row>
    <row r="527" spans="1:8">
      <c r="A527" s="377"/>
      <c r="B527" s="377"/>
      <c r="C527" s="377"/>
      <c r="D527" s="377"/>
      <c r="E527" s="377"/>
      <c r="F527" s="377"/>
      <c r="G527" s="377"/>
      <c r="H527" s="377"/>
    </row>
    <row r="528" spans="1:8">
      <c r="A528" s="377"/>
      <c r="B528" s="377"/>
      <c r="C528" s="377"/>
      <c r="D528" s="377"/>
      <c r="E528" s="377"/>
      <c r="F528" s="377"/>
      <c r="G528" s="377"/>
      <c r="H528" s="377"/>
    </row>
    <row r="529" spans="1:8">
      <c r="A529" s="377"/>
      <c r="B529" s="377"/>
      <c r="C529" s="377"/>
      <c r="D529" s="377"/>
      <c r="E529" s="377"/>
      <c r="F529" s="377"/>
      <c r="G529" s="377"/>
      <c r="H529" s="377"/>
    </row>
    <row r="530" spans="1:8">
      <c r="A530" s="377"/>
      <c r="B530" s="377"/>
      <c r="C530" s="377"/>
      <c r="D530" s="377"/>
      <c r="E530" s="377"/>
      <c r="F530" s="377"/>
      <c r="G530" s="377"/>
      <c r="H530" s="377"/>
    </row>
    <row r="531" spans="1:8">
      <c r="A531" s="377"/>
      <c r="B531" s="377"/>
      <c r="C531" s="377"/>
      <c r="D531" s="377"/>
      <c r="E531" s="377"/>
      <c r="F531" s="377"/>
      <c r="G531" s="377"/>
      <c r="H531" s="377"/>
    </row>
    <row r="532" spans="1:8">
      <c r="A532" s="377"/>
      <c r="B532" s="377"/>
      <c r="C532" s="377"/>
      <c r="D532" s="377"/>
      <c r="E532" s="377"/>
      <c r="F532" s="377"/>
      <c r="G532" s="377"/>
      <c r="H532" s="377"/>
    </row>
    <row r="533" spans="1:8">
      <c r="A533" s="377"/>
      <c r="B533" s="377"/>
      <c r="C533" s="377"/>
      <c r="D533" s="377"/>
      <c r="E533" s="377"/>
      <c r="F533" s="377"/>
      <c r="G533" s="377"/>
      <c r="H533" s="377"/>
    </row>
    <row r="534" spans="1:8">
      <c r="A534" s="377"/>
      <c r="B534" s="377"/>
      <c r="C534" s="377"/>
      <c r="D534" s="377"/>
      <c r="E534" s="377"/>
      <c r="F534" s="377"/>
      <c r="G534" s="377"/>
      <c r="H534" s="377"/>
    </row>
    <row r="535" spans="1:8">
      <c r="A535" s="377"/>
      <c r="B535" s="377"/>
      <c r="C535" s="377"/>
      <c r="D535" s="377"/>
      <c r="E535" s="377"/>
      <c r="F535" s="377"/>
      <c r="G535" s="377"/>
      <c r="H535" s="377"/>
    </row>
    <row r="536" spans="1:8">
      <c r="A536" s="377"/>
      <c r="B536" s="377"/>
      <c r="C536" s="377"/>
      <c r="D536" s="377"/>
      <c r="E536" s="377"/>
      <c r="F536" s="377"/>
      <c r="G536" s="377"/>
      <c r="H536" s="377"/>
    </row>
    <row r="537" spans="1:8">
      <c r="A537" s="377"/>
      <c r="B537" s="377"/>
      <c r="C537" s="377"/>
      <c r="D537" s="377"/>
      <c r="E537" s="377"/>
      <c r="F537" s="377"/>
      <c r="G537" s="377"/>
      <c r="H537" s="377"/>
    </row>
    <row r="538" spans="1:8">
      <c r="A538" s="377"/>
      <c r="B538" s="377"/>
      <c r="C538" s="377"/>
      <c r="D538" s="377"/>
      <c r="E538" s="377"/>
      <c r="F538" s="377"/>
      <c r="G538" s="377"/>
      <c r="H538" s="377"/>
    </row>
    <row r="539" spans="1:8">
      <c r="A539" s="377"/>
      <c r="B539" s="377"/>
      <c r="C539" s="377"/>
      <c r="D539" s="377"/>
      <c r="E539" s="377"/>
      <c r="F539" s="377"/>
      <c r="G539" s="377"/>
      <c r="H539" s="377"/>
    </row>
    <row r="540" spans="1:8">
      <c r="A540" s="377"/>
      <c r="B540" s="377"/>
      <c r="C540" s="377"/>
      <c r="D540" s="377"/>
      <c r="E540" s="377"/>
      <c r="F540" s="377"/>
      <c r="G540" s="377"/>
      <c r="H540" s="377"/>
    </row>
    <row r="541" spans="1:8">
      <c r="A541" s="377"/>
      <c r="B541" s="377"/>
      <c r="C541" s="377"/>
      <c r="D541" s="377"/>
      <c r="E541" s="377"/>
      <c r="F541" s="377"/>
      <c r="G541" s="377"/>
      <c r="H541" s="377"/>
    </row>
    <row r="542" spans="1:8">
      <c r="A542" s="377"/>
      <c r="B542" s="377"/>
      <c r="C542" s="377"/>
      <c r="D542" s="377"/>
      <c r="E542" s="377"/>
      <c r="F542" s="377"/>
      <c r="G542" s="377"/>
      <c r="H542" s="377"/>
    </row>
    <row r="543" spans="1:8">
      <c r="A543" s="377"/>
      <c r="B543" s="377"/>
      <c r="C543" s="377"/>
      <c r="D543" s="377"/>
      <c r="E543" s="377"/>
      <c r="F543" s="377"/>
      <c r="G543" s="377"/>
      <c r="H543" s="377"/>
    </row>
    <row r="544" spans="1:8">
      <c r="A544" s="377"/>
      <c r="B544" s="377"/>
      <c r="C544" s="377"/>
      <c r="D544" s="377"/>
      <c r="E544" s="377"/>
      <c r="F544" s="377"/>
      <c r="G544" s="377"/>
      <c r="H544" s="377"/>
    </row>
    <row r="545" spans="1:8">
      <c r="A545" s="377"/>
      <c r="B545" s="377"/>
      <c r="C545" s="377"/>
      <c r="D545" s="377"/>
      <c r="E545" s="377"/>
      <c r="F545" s="377"/>
      <c r="G545" s="377"/>
      <c r="H545" s="377"/>
    </row>
    <row r="546" spans="1:8">
      <c r="A546" s="377"/>
      <c r="B546" s="377"/>
      <c r="C546" s="377"/>
      <c r="D546" s="377"/>
      <c r="E546" s="377"/>
      <c r="F546" s="377"/>
      <c r="G546" s="377"/>
      <c r="H546" s="377"/>
    </row>
    <row r="547" spans="1:8">
      <c r="A547" s="377"/>
      <c r="B547" s="377"/>
      <c r="C547" s="377"/>
      <c r="D547" s="377"/>
      <c r="E547" s="377"/>
      <c r="F547" s="377"/>
      <c r="G547" s="377"/>
      <c r="H547" s="377"/>
    </row>
    <row r="548" spans="1:8">
      <c r="A548" s="377"/>
      <c r="B548" s="377"/>
      <c r="C548" s="377"/>
      <c r="D548" s="377"/>
      <c r="E548" s="377"/>
      <c r="F548" s="377"/>
      <c r="G548" s="377"/>
      <c r="H548" s="377"/>
    </row>
    <row r="549" spans="1:8">
      <c r="A549" s="377"/>
      <c r="B549" s="377"/>
      <c r="C549" s="377"/>
      <c r="D549" s="377"/>
      <c r="E549" s="377"/>
      <c r="F549" s="377"/>
      <c r="G549" s="377"/>
      <c r="H549" s="377"/>
    </row>
    <row r="550" spans="1:8">
      <c r="A550" s="377"/>
      <c r="B550" s="377"/>
      <c r="C550" s="377"/>
      <c r="D550" s="377"/>
      <c r="E550" s="377"/>
      <c r="F550" s="377"/>
      <c r="G550" s="377"/>
      <c r="H550" s="377"/>
    </row>
    <row r="551" spans="1:8">
      <c r="A551" s="377"/>
      <c r="B551" s="377"/>
      <c r="C551" s="377"/>
      <c r="D551" s="377"/>
      <c r="E551" s="377"/>
      <c r="F551" s="377"/>
      <c r="G551" s="377"/>
      <c r="H551" s="377"/>
    </row>
    <row r="552" spans="1:8">
      <c r="A552" s="377"/>
      <c r="B552" s="377"/>
      <c r="C552" s="377"/>
      <c r="D552" s="377"/>
      <c r="E552" s="377"/>
      <c r="F552" s="377"/>
      <c r="G552" s="377"/>
      <c r="H552" s="377"/>
    </row>
    <row r="553" spans="1:8">
      <c r="A553" s="377"/>
      <c r="B553" s="377"/>
      <c r="C553" s="377"/>
      <c r="D553" s="377"/>
      <c r="E553" s="377"/>
      <c r="F553" s="377"/>
      <c r="G553" s="377"/>
      <c r="H553" s="377"/>
    </row>
    <row r="554" spans="1:8">
      <c r="A554" s="377"/>
      <c r="B554" s="377"/>
      <c r="C554" s="377"/>
      <c r="D554" s="377"/>
      <c r="E554" s="377"/>
      <c r="F554" s="377"/>
      <c r="G554" s="377"/>
      <c r="H554" s="377"/>
    </row>
    <row r="555" spans="1:8">
      <c r="A555" s="377"/>
      <c r="B555" s="377"/>
      <c r="C555" s="377"/>
      <c r="D555" s="377"/>
      <c r="E555" s="377"/>
      <c r="F555" s="377"/>
      <c r="G555" s="377"/>
      <c r="H555" s="377"/>
    </row>
    <row r="556" spans="1:8">
      <c r="A556" s="377"/>
      <c r="B556" s="377"/>
      <c r="C556" s="377"/>
      <c r="D556" s="377"/>
      <c r="E556" s="377"/>
      <c r="F556" s="377"/>
      <c r="G556" s="377"/>
      <c r="H556" s="377"/>
    </row>
    <row r="557" spans="1:8">
      <c r="A557" s="377"/>
      <c r="B557" s="377"/>
      <c r="C557" s="377"/>
      <c r="D557" s="377"/>
      <c r="E557" s="377"/>
      <c r="F557" s="377"/>
      <c r="G557" s="377"/>
      <c r="H557" s="377"/>
    </row>
    <row r="558" spans="1:8">
      <c r="A558" s="377"/>
      <c r="B558" s="377"/>
      <c r="C558" s="377"/>
      <c r="D558" s="377"/>
      <c r="E558" s="377"/>
      <c r="F558" s="377"/>
      <c r="G558" s="377"/>
      <c r="H558" s="377"/>
    </row>
    <row r="559" spans="1:8">
      <c r="A559" s="377"/>
      <c r="B559" s="377"/>
      <c r="C559" s="377"/>
      <c r="D559" s="377"/>
      <c r="E559" s="377"/>
      <c r="F559" s="377"/>
      <c r="G559" s="377"/>
      <c r="H559" s="377"/>
    </row>
    <row r="560" spans="1:8">
      <c r="A560" s="377"/>
      <c r="B560" s="377"/>
      <c r="C560" s="377"/>
      <c r="D560" s="377"/>
      <c r="E560" s="377"/>
      <c r="F560" s="377"/>
      <c r="G560" s="377"/>
      <c r="H560" s="377"/>
    </row>
    <row r="561" spans="1:8">
      <c r="A561" s="377"/>
      <c r="B561" s="377"/>
      <c r="C561" s="377"/>
      <c r="D561" s="377"/>
      <c r="E561" s="377"/>
      <c r="F561" s="377"/>
      <c r="G561" s="377"/>
      <c r="H561" s="377"/>
    </row>
    <row r="562" spans="1:8">
      <c r="A562" s="377"/>
      <c r="B562" s="377"/>
      <c r="C562" s="377"/>
      <c r="D562" s="377"/>
      <c r="E562" s="377"/>
      <c r="F562" s="377"/>
      <c r="G562" s="377"/>
      <c r="H562" s="377"/>
    </row>
    <row r="563" spans="1:8">
      <c r="A563" s="377"/>
      <c r="B563" s="377"/>
      <c r="C563" s="377"/>
      <c r="D563" s="377"/>
      <c r="E563" s="377"/>
      <c r="F563" s="377"/>
      <c r="G563" s="377"/>
      <c r="H563" s="377"/>
    </row>
    <row r="564" spans="1:8">
      <c r="A564" s="377"/>
      <c r="B564" s="377"/>
      <c r="C564" s="377"/>
      <c r="D564" s="377"/>
      <c r="E564" s="377"/>
      <c r="F564" s="377"/>
      <c r="G564" s="377"/>
      <c r="H564" s="377"/>
    </row>
    <row r="565" spans="1:8">
      <c r="A565" s="377"/>
      <c r="B565" s="377"/>
      <c r="C565" s="377"/>
      <c r="D565" s="377"/>
      <c r="E565" s="377"/>
      <c r="F565" s="377"/>
      <c r="G565" s="377"/>
      <c r="H565" s="377"/>
    </row>
    <row r="566" spans="1:8">
      <c r="A566" s="377"/>
      <c r="B566" s="377"/>
      <c r="C566" s="377"/>
      <c r="D566" s="377"/>
      <c r="E566" s="377"/>
      <c r="F566" s="377"/>
      <c r="G566" s="377"/>
      <c r="H566" s="377"/>
    </row>
    <row r="567" spans="1:8">
      <c r="A567" s="377"/>
      <c r="B567" s="377"/>
      <c r="C567" s="377"/>
      <c r="D567" s="377"/>
      <c r="E567" s="377"/>
      <c r="F567" s="377"/>
      <c r="G567" s="377"/>
      <c r="H567" s="377"/>
    </row>
    <row r="568" spans="1:8">
      <c r="A568" s="377"/>
      <c r="B568" s="377"/>
      <c r="C568" s="377"/>
      <c r="D568" s="377"/>
      <c r="E568" s="377"/>
      <c r="F568" s="377"/>
      <c r="G568" s="377"/>
      <c r="H568" s="377"/>
    </row>
    <row r="569" spans="1:8">
      <c r="A569" s="377"/>
      <c r="B569" s="377"/>
      <c r="C569" s="377"/>
      <c r="D569" s="377"/>
      <c r="E569" s="377"/>
      <c r="F569" s="377"/>
      <c r="G569" s="377"/>
      <c r="H569" s="377"/>
    </row>
    <row r="570" spans="1:8">
      <c r="A570" s="377"/>
      <c r="B570" s="377"/>
      <c r="C570" s="377"/>
      <c r="D570" s="377"/>
      <c r="E570" s="377"/>
      <c r="F570" s="377"/>
      <c r="G570" s="377"/>
      <c r="H570" s="377"/>
    </row>
    <row r="571" spans="1:8">
      <c r="A571" s="377"/>
      <c r="B571" s="377"/>
      <c r="C571" s="377"/>
      <c r="D571" s="377"/>
      <c r="E571" s="377"/>
      <c r="F571" s="377"/>
      <c r="G571" s="377"/>
      <c r="H571" s="377"/>
    </row>
    <row r="572" spans="1:8">
      <c r="A572" s="377"/>
      <c r="B572" s="377"/>
      <c r="C572" s="377"/>
      <c r="D572" s="377"/>
      <c r="E572" s="377"/>
      <c r="F572" s="377"/>
      <c r="G572" s="377"/>
      <c r="H572" s="377"/>
    </row>
    <row r="573" spans="1:8">
      <c r="A573" s="377"/>
      <c r="B573" s="377"/>
      <c r="C573" s="377"/>
      <c r="D573" s="377"/>
      <c r="E573" s="377"/>
      <c r="F573" s="377"/>
      <c r="G573" s="377"/>
      <c r="H573" s="377"/>
    </row>
    <row r="574" spans="1:8">
      <c r="A574" s="377"/>
      <c r="B574" s="377"/>
      <c r="C574" s="377"/>
      <c r="D574" s="377"/>
      <c r="E574" s="377"/>
      <c r="F574" s="377"/>
      <c r="G574" s="377"/>
      <c r="H574" s="377"/>
    </row>
    <row r="575" spans="1:8">
      <c r="A575" s="377"/>
      <c r="B575" s="377"/>
      <c r="C575" s="377"/>
      <c r="D575" s="377"/>
      <c r="E575" s="377"/>
      <c r="F575" s="377"/>
      <c r="G575" s="377"/>
      <c r="H575" s="377"/>
    </row>
    <row r="576" spans="1:8">
      <c r="A576" s="377"/>
      <c r="B576" s="377"/>
      <c r="C576" s="377"/>
      <c r="D576" s="377"/>
      <c r="E576" s="377"/>
      <c r="F576" s="377"/>
      <c r="G576" s="377"/>
      <c r="H576" s="377"/>
    </row>
    <row r="577" spans="1:8">
      <c r="A577" s="377"/>
      <c r="B577" s="377"/>
      <c r="C577" s="377"/>
      <c r="D577" s="377"/>
      <c r="E577" s="377"/>
      <c r="F577" s="377"/>
      <c r="G577" s="377"/>
      <c r="H577" s="377"/>
    </row>
    <row r="578" spans="1:8">
      <c r="A578" s="377"/>
      <c r="B578" s="377"/>
      <c r="C578" s="377"/>
      <c r="D578" s="377"/>
      <c r="E578" s="377"/>
      <c r="F578" s="377"/>
      <c r="G578" s="377"/>
      <c r="H578" s="377"/>
    </row>
    <row r="579" spans="1:8">
      <c r="A579" s="377"/>
      <c r="B579" s="377"/>
      <c r="C579" s="377"/>
      <c r="D579" s="377"/>
      <c r="E579" s="377"/>
      <c r="F579" s="377"/>
      <c r="G579" s="377"/>
      <c r="H579" s="377"/>
    </row>
    <row r="580" spans="1:8">
      <c r="A580" s="377"/>
      <c r="B580" s="377"/>
      <c r="C580" s="377"/>
      <c r="D580" s="377"/>
      <c r="E580" s="377"/>
      <c r="F580" s="377"/>
      <c r="G580" s="377"/>
      <c r="H580" s="377"/>
    </row>
    <row r="581" spans="1:8">
      <c r="A581" s="377"/>
      <c r="B581" s="377"/>
      <c r="C581" s="377"/>
      <c r="D581" s="377"/>
      <c r="E581" s="377"/>
      <c r="F581" s="377"/>
      <c r="G581" s="377"/>
      <c r="H581" s="377"/>
    </row>
    <row r="582" spans="1:8">
      <c r="A582" s="377"/>
      <c r="B582" s="377"/>
      <c r="C582" s="377"/>
      <c r="D582" s="377"/>
      <c r="E582" s="377"/>
      <c r="F582" s="377"/>
      <c r="G582" s="377"/>
      <c r="H582" s="377"/>
    </row>
    <row r="583" spans="1:8">
      <c r="A583" s="377"/>
      <c r="B583" s="377"/>
      <c r="C583" s="377"/>
      <c r="D583" s="377"/>
      <c r="E583" s="377"/>
      <c r="F583" s="377"/>
      <c r="G583" s="377"/>
      <c r="H583" s="377"/>
    </row>
    <row r="584" spans="1:8">
      <c r="A584" s="377"/>
      <c r="B584" s="377"/>
      <c r="C584" s="377"/>
      <c r="D584" s="377"/>
      <c r="E584" s="377"/>
      <c r="F584" s="377"/>
      <c r="G584" s="377"/>
      <c r="H584" s="377"/>
    </row>
    <row r="585" spans="1:8">
      <c r="A585" s="377"/>
      <c r="B585" s="377"/>
      <c r="C585" s="377"/>
      <c r="D585" s="377"/>
      <c r="E585" s="377"/>
      <c r="F585" s="377"/>
      <c r="G585" s="377"/>
      <c r="H585" s="377"/>
    </row>
    <row r="586" spans="1:8">
      <c r="A586" s="377"/>
      <c r="B586" s="377"/>
      <c r="C586" s="377"/>
      <c r="D586" s="377"/>
      <c r="E586" s="377"/>
      <c r="F586" s="377"/>
      <c r="G586" s="377"/>
      <c r="H586" s="377"/>
    </row>
    <row r="587" spans="1:8">
      <c r="A587" s="377"/>
      <c r="B587" s="377"/>
      <c r="C587" s="377"/>
      <c r="D587" s="377"/>
      <c r="E587" s="377"/>
      <c r="F587" s="377"/>
      <c r="G587" s="377"/>
      <c r="H587" s="377"/>
    </row>
    <row r="588" spans="1:8">
      <c r="A588" s="377"/>
      <c r="B588" s="377"/>
      <c r="C588" s="377"/>
      <c r="D588" s="377"/>
      <c r="E588" s="377"/>
      <c r="F588" s="377"/>
      <c r="G588" s="377"/>
      <c r="H588" s="377"/>
    </row>
    <row r="589" spans="1:8">
      <c r="A589" s="377"/>
      <c r="B589" s="377"/>
      <c r="C589" s="377"/>
      <c r="D589" s="377"/>
      <c r="E589" s="377"/>
      <c r="F589" s="377"/>
      <c r="G589" s="377"/>
      <c r="H589" s="377"/>
    </row>
    <row r="590" spans="1:8">
      <c r="A590" s="377"/>
      <c r="B590" s="377"/>
      <c r="C590" s="377"/>
      <c r="D590" s="377"/>
      <c r="E590" s="377"/>
      <c r="F590" s="377"/>
      <c r="G590" s="377"/>
      <c r="H590" s="377"/>
    </row>
    <row r="591" spans="1:8">
      <c r="A591" s="377"/>
      <c r="B591" s="377"/>
      <c r="C591" s="377"/>
      <c r="D591" s="377"/>
      <c r="E591" s="377"/>
      <c r="F591" s="377"/>
      <c r="G591" s="377"/>
      <c r="H591" s="377"/>
    </row>
    <row r="592" spans="1:8">
      <c r="A592" s="377"/>
      <c r="B592" s="377"/>
      <c r="C592" s="377"/>
      <c r="D592" s="377"/>
      <c r="E592" s="377"/>
      <c r="F592" s="377"/>
      <c r="G592" s="377"/>
      <c r="H592" s="377"/>
    </row>
    <row r="593" spans="1:8">
      <c r="A593" s="377"/>
      <c r="B593" s="377"/>
      <c r="C593" s="377"/>
      <c r="D593" s="377"/>
      <c r="E593" s="377"/>
      <c r="F593" s="377"/>
      <c r="G593" s="377"/>
      <c r="H593" s="377"/>
    </row>
    <row r="594" spans="1:8">
      <c r="A594" s="377"/>
      <c r="B594" s="377"/>
      <c r="C594" s="377"/>
      <c r="D594" s="377"/>
      <c r="E594" s="377"/>
      <c r="F594" s="377"/>
      <c r="G594" s="377"/>
      <c r="H594" s="377"/>
    </row>
    <row r="595" spans="1:8">
      <c r="A595" s="377"/>
      <c r="B595" s="377"/>
      <c r="C595" s="377"/>
      <c r="D595" s="377"/>
      <c r="E595" s="377"/>
      <c r="F595" s="377"/>
      <c r="G595" s="377"/>
      <c r="H595" s="377"/>
    </row>
    <row r="596" spans="1:8">
      <c r="A596" s="377"/>
      <c r="B596" s="377"/>
      <c r="C596" s="377"/>
      <c r="D596" s="377"/>
      <c r="E596" s="377"/>
      <c r="F596" s="377"/>
      <c r="G596" s="377"/>
      <c r="H596" s="377"/>
    </row>
    <row r="597" spans="1:8">
      <c r="A597" s="377"/>
      <c r="B597" s="377"/>
      <c r="C597" s="377"/>
      <c r="D597" s="377"/>
      <c r="E597" s="377"/>
      <c r="F597" s="377"/>
      <c r="G597" s="377"/>
      <c r="H597" s="377"/>
    </row>
    <row r="598" spans="1:8">
      <c r="A598" s="377"/>
      <c r="B598" s="377"/>
      <c r="C598" s="377"/>
      <c r="D598" s="377"/>
      <c r="E598" s="377"/>
      <c r="F598" s="377"/>
      <c r="G598" s="377"/>
      <c r="H598" s="377"/>
    </row>
    <row r="599" spans="1:8">
      <c r="A599" s="377"/>
      <c r="B599" s="377"/>
      <c r="C599" s="377"/>
      <c r="D599" s="377"/>
      <c r="E599" s="377"/>
      <c r="F599" s="377"/>
      <c r="G599" s="377"/>
      <c r="H599" s="377"/>
    </row>
    <row r="600" spans="1:8">
      <c r="A600" s="377"/>
      <c r="B600" s="377"/>
      <c r="C600" s="377"/>
      <c r="D600" s="377"/>
      <c r="E600" s="377"/>
      <c r="F600" s="377"/>
      <c r="G600" s="377"/>
      <c r="H600" s="377"/>
    </row>
    <row r="601" spans="1:8">
      <c r="A601" s="377"/>
      <c r="B601" s="377"/>
      <c r="C601" s="377"/>
      <c r="D601" s="377"/>
      <c r="E601" s="377"/>
      <c r="F601" s="377"/>
      <c r="G601" s="377"/>
      <c r="H601" s="377"/>
    </row>
    <row r="602" spans="1:8">
      <c r="A602" s="377"/>
      <c r="B602" s="377"/>
      <c r="C602" s="377"/>
      <c r="D602" s="377"/>
      <c r="E602" s="377"/>
      <c r="F602" s="377"/>
      <c r="G602" s="377"/>
      <c r="H602" s="377"/>
    </row>
    <row r="603" spans="1:8">
      <c r="A603" s="377"/>
      <c r="B603" s="377"/>
      <c r="C603" s="377"/>
      <c r="D603" s="377"/>
      <c r="E603" s="377"/>
      <c r="F603" s="377"/>
      <c r="G603" s="377"/>
      <c r="H603" s="377"/>
    </row>
    <row r="604" spans="1:8">
      <c r="A604" s="377"/>
      <c r="B604" s="377"/>
      <c r="C604" s="377"/>
      <c r="D604" s="377"/>
      <c r="E604" s="377"/>
      <c r="F604" s="377"/>
      <c r="G604" s="377"/>
      <c r="H604" s="377"/>
    </row>
    <row r="605" spans="1:8">
      <c r="A605" s="377"/>
      <c r="B605" s="377"/>
      <c r="C605" s="377"/>
      <c r="D605" s="377"/>
      <c r="E605" s="377"/>
      <c r="F605" s="377"/>
      <c r="G605" s="377"/>
      <c r="H605" s="377"/>
    </row>
    <row r="606" spans="1:8">
      <c r="A606" s="377"/>
      <c r="B606" s="377"/>
      <c r="C606" s="377"/>
      <c r="D606" s="377"/>
      <c r="E606" s="377"/>
      <c r="F606" s="377"/>
      <c r="G606" s="377"/>
      <c r="H606" s="377"/>
    </row>
    <row r="607" spans="1:8">
      <c r="A607" s="377"/>
      <c r="B607" s="377"/>
      <c r="C607" s="377"/>
      <c r="D607" s="377"/>
      <c r="E607" s="377"/>
      <c r="F607" s="377"/>
      <c r="G607" s="377"/>
      <c r="H607" s="377"/>
    </row>
    <row r="608" spans="1:8">
      <c r="A608" s="377"/>
      <c r="B608" s="377"/>
      <c r="C608" s="377"/>
      <c r="D608" s="377"/>
      <c r="E608" s="377"/>
      <c r="F608" s="377"/>
      <c r="G608" s="377"/>
      <c r="H608" s="377"/>
    </row>
    <row r="609" spans="1:8">
      <c r="A609" s="377"/>
      <c r="B609" s="377"/>
      <c r="C609" s="377"/>
      <c r="D609" s="377"/>
      <c r="E609" s="377"/>
      <c r="F609" s="377"/>
      <c r="G609" s="377"/>
      <c r="H609" s="377"/>
    </row>
    <row r="610" spans="1:8">
      <c r="A610" s="377"/>
      <c r="B610" s="377"/>
      <c r="C610" s="377"/>
      <c r="D610" s="377"/>
      <c r="E610" s="377"/>
      <c r="F610" s="377"/>
      <c r="G610" s="377"/>
      <c r="H610" s="377"/>
    </row>
    <row r="611" spans="1:8">
      <c r="A611" s="377"/>
      <c r="B611" s="377"/>
      <c r="C611" s="377"/>
      <c r="D611" s="377"/>
      <c r="E611" s="377"/>
      <c r="F611" s="377"/>
      <c r="G611" s="377"/>
      <c r="H611" s="377"/>
    </row>
    <row r="612" spans="1:8">
      <c r="A612" s="377"/>
      <c r="B612" s="377"/>
      <c r="C612" s="377"/>
      <c r="D612" s="377"/>
      <c r="E612" s="377"/>
      <c r="F612" s="377"/>
      <c r="G612" s="377"/>
      <c r="H612" s="377"/>
    </row>
    <row r="613" spans="1:8">
      <c r="A613" s="377"/>
      <c r="B613" s="377"/>
      <c r="C613" s="377"/>
      <c r="D613" s="377"/>
      <c r="E613" s="377"/>
      <c r="F613" s="377"/>
      <c r="G613" s="377"/>
      <c r="H613" s="377"/>
    </row>
    <row r="614" spans="1:8">
      <c r="A614" s="377"/>
      <c r="B614" s="377"/>
      <c r="C614" s="377"/>
      <c r="D614" s="377"/>
      <c r="E614" s="377"/>
      <c r="F614" s="377"/>
      <c r="G614" s="377"/>
      <c r="H614" s="377"/>
    </row>
    <row r="615" spans="1:8">
      <c r="A615" s="377"/>
      <c r="B615" s="377"/>
      <c r="C615" s="377"/>
      <c r="D615" s="377"/>
      <c r="E615" s="377"/>
      <c r="F615" s="377"/>
      <c r="G615" s="377"/>
      <c r="H615" s="377"/>
    </row>
    <row r="616" spans="1:8">
      <c r="A616" s="377"/>
      <c r="B616" s="377"/>
      <c r="C616" s="377"/>
      <c r="D616" s="377"/>
      <c r="E616" s="377"/>
      <c r="F616" s="377"/>
      <c r="G616" s="377"/>
      <c r="H616" s="377"/>
    </row>
    <row r="617" spans="1:8">
      <c r="A617" s="377"/>
      <c r="B617" s="377"/>
      <c r="C617" s="377"/>
      <c r="D617" s="377"/>
      <c r="E617" s="377"/>
      <c r="F617" s="377"/>
      <c r="G617" s="377"/>
      <c r="H617" s="377"/>
    </row>
    <row r="618" spans="1:8">
      <c r="A618" s="377"/>
      <c r="B618" s="377"/>
      <c r="C618" s="377"/>
      <c r="D618" s="377"/>
      <c r="E618" s="377"/>
      <c r="F618" s="377"/>
      <c r="G618" s="377"/>
      <c r="H618" s="377"/>
    </row>
    <row r="619" spans="1:8">
      <c r="A619" s="377"/>
      <c r="B619" s="377"/>
      <c r="C619" s="377"/>
      <c r="D619" s="377"/>
      <c r="E619" s="377"/>
      <c r="F619" s="377"/>
      <c r="G619" s="377"/>
      <c r="H619" s="377"/>
    </row>
    <row r="620" spans="1:8">
      <c r="A620" s="377"/>
      <c r="B620" s="377"/>
      <c r="C620" s="377"/>
      <c r="D620" s="377"/>
      <c r="E620" s="377"/>
      <c r="F620" s="377"/>
      <c r="G620" s="377"/>
      <c r="H620" s="377"/>
    </row>
    <row r="621" spans="1:8">
      <c r="A621" s="377"/>
      <c r="B621" s="377"/>
      <c r="C621" s="377"/>
      <c r="D621" s="377"/>
      <c r="E621" s="377"/>
      <c r="F621" s="377"/>
      <c r="G621" s="377"/>
      <c r="H621" s="377"/>
    </row>
    <row r="622" spans="1:8">
      <c r="A622" s="377"/>
      <c r="B622" s="377"/>
      <c r="C622" s="377"/>
      <c r="D622" s="377"/>
      <c r="E622" s="377"/>
      <c r="F622" s="377"/>
      <c r="G622" s="377"/>
      <c r="H622" s="377"/>
    </row>
    <row r="623" spans="1:8">
      <c r="A623" s="377"/>
      <c r="B623" s="377"/>
      <c r="C623" s="377"/>
      <c r="D623" s="377"/>
      <c r="E623" s="377"/>
      <c r="F623" s="377"/>
      <c r="G623" s="377"/>
      <c r="H623" s="377"/>
    </row>
    <row r="624" spans="1:8">
      <c r="A624" s="377"/>
      <c r="B624" s="377"/>
      <c r="C624" s="377"/>
      <c r="D624" s="377"/>
      <c r="E624" s="377"/>
      <c r="F624" s="377"/>
      <c r="G624" s="377"/>
      <c r="H624" s="377"/>
    </row>
    <row r="625" spans="1:8">
      <c r="A625" s="377"/>
      <c r="B625" s="377"/>
      <c r="C625" s="377"/>
      <c r="D625" s="377"/>
      <c r="E625" s="377"/>
      <c r="F625" s="377"/>
      <c r="G625" s="377"/>
      <c r="H625" s="377"/>
    </row>
    <row r="626" spans="1:8">
      <c r="A626" s="377"/>
      <c r="B626" s="377"/>
      <c r="C626" s="377"/>
      <c r="D626" s="377"/>
      <c r="E626" s="377"/>
      <c r="F626" s="377"/>
      <c r="G626" s="377"/>
      <c r="H626" s="377"/>
    </row>
    <row r="627" spans="1:8">
      <c r="A627" s="377"/>
      <c r="B627" s="377"/>
      <c r="C627" s="377"/>
      <c r="D627" s="377"/>
      <c r="E627" s="377"/>
      <c r="F627" s="377"/>
      <c r="G627" s="377"/>
      <c r="H627" s="377"/>
    </row>
    <row r="628" spans="1:8">
      <c r="A628" s="377"/>
      <c r="B628" s="377"/>
      <c r="C628" s="377"/>
      <c r="D628" s="377"/>
      <c r="E628" s="377"/>
      <c r="F628" s="377"/>
      <c r="G628" s="377"/>
      <c r="H628" s="377"/>
    </row>
    <row r="629" spans="1:8">
      <c r="A629" s="377"/>
      <c r="B629" s="377"/>
      <c r="C629" s="377"/>
      <c r="D629" s="377"/>
      <c r="E629" s="377"/>
      <c r="F629" s="377"/>
      <c r="G629" s="377"/>
      <c r="H629" s="377"/>
    </row>
    <row r="630" spans="1:8">
      <c r="A630" s="377"/>
      <c r="B630" s="377"/>
      <c r="C630" s="377"/>
      <c r="D630" s="377"/>
      <c r="E630" s="377"/>
      <c r="F630" s="377"/>
      <c r="G630" s="377"/>
      <c r="H630" s="377"/>
    </row>
    <row r="631" spans="1:8">
      <c r="A631" s="377"/>
      <c r="B631" s="377"/>
      <c r="C631" s="377"/>
      <c r="D631" s="377"/>
      <c r="E631" s="377"/>
      <c r="F631" s="377"/>
      <c r="G631" s="377"/>
      <c r="H631" s="377"/>
    </row>
    <row r="632" spans="1:8">
      <c r="A632" s="377"/>
      <c r="B632" s="377"/>
      <c r="C632" s="377"/>
      <c r="D632" s="377"/>
      <c r="E632" s="377"/>
      <c r="F632" s="377"/>
      <c r="G632" s="377"/>
      <c r="H632" s="377"/>
    </row>
    <row r="633" spans="1:8">
      <c r="A633" s="377"/>
      <c r="B633" s="377"/>
      <c r="C633" s="377"/>
      <c r="D633" s="377"/>
      <c r="E633" s="377"/>
      <c r="F633" s="377"/>
      <c r="G633" s="377"/>
      <c r="H633" s="377"/>
    </row>
    <row r="634" spans="1:8">
      <c r="A634" s="377"/>
      <c r="B634" s="377"/>
      <c r="C634" s="377"/>
      <c r="D634" s="377"/>
      <c r="E634" s="377"/>
      <c r="F634" s="377"/>
      <c r="G634" s="377"/>
      <c r="H634" s="377"/>
    </row>
    <row r="635" spans="1:8">
      <c r="A635" s="377"/>
      <c r="B635" s="377"/>
      <c r="C635" s="377"/>
      <c r="D635" s="377"/>
      <c r="E635" s="377"/>
      <c r="F635" s="377"/>
      <c r="G635" s="377"/>
      <c r="H635" s="377"/>
    </row>
    <row r="636" spans="1:8">
      <c r="A636" s="377"/>
      <c r="B636" s="377"/>
      <c r="C636" s="377"/>
      <c r="D636" s="377"/>
      <c r="E636" s="377"/>
      <c r="F636" s="377"/>
      <c r="G636" s="377"/>
      <c r="H636" s="377"/>
    </row>
    <row r="637" spans="1:8">
      <c r="A637" s="377"/>
      <c r="B637" s="377"/>
      <c r="C637" s="377"/>
      <c r="D637" s="377"/>
      <c r="E637" s="377"/>
      <c r="F637" s="377"/>
      <c r="G637" s="377"/>
      <c r="H637" s="377"/>
    </row>
    <row r="638" spans="1:8">
      <c r="A638" s="377"/>
      <c r="B638" s="377"/>
      <c r="C638" s="377"/>
      <c r="D638" s="377"/>
      <c r="E638" s="377"/>
      <c r="F638" s="377"/>
      <c r="G638" s="377"/>
      <c r="H638" s="377"/>
    </row>
    <row r="639" spans="1:8">
      <c r="A639" s="377"/>
      <c r="B639" s="377"/>
      <c r="C639" s="377"/>
      <c r="D639" s="377"/>
      <c r="E639" s="377"/>
      <c r="F639" s="377"/>
      <c r="G639" s="377"/>
      <c r="H639" s="377"/>
    </row>
    <row r="640" spans="1:8">
      <c r="A640" s="377"/>
      <c r="B640" s="377"/>
      <c r="C640" s="377"/>
      <c r="D640" s="377"/>
      <c r="E640" s="377"/>
      <c r="F640" s="377"/>
      <c r="G640" s="377"/>
      <c r="H640" s="377"/>
    </row>
    <row r="641" spans="1:8">
      <c r="A641" s="377"/>
      <c r="B641" s="377"/>
      <c r="C641" s="377"/>
      <c r="D641" s="377"/>
      <c r="E641" s="377"/>
      <c r="F641" s="377"/>
      <c r="G641" s="377"/>
      <c r="H641" s="377"/>
    </row>
    <row r="642" spans="1:8">
      <c r="A642" s="377"/>
      <c r="B642" s="377"/>
      <c r="C642" s="377"/>
      <c r="D642" s="377"/>
      <c r="E642" s="377"/>
      <c r="F642" s="377"/>
      <c r="G642" s="377"/>
      <c r="H642" s="377"/>
    </row>
    <row r="643" spans="1:8">
      <c r="A643" s="377"/>
      <c r="B643" s="377"/>
      <c r="C643" s="377"/>
      <c r="D643" s="377"/>
      <c r="E643" s="377"/>
      <c r="F643" s="377"/>
      <c r="G643" s="377"/>
      <c r="H643" s="377"/>
    </row>
    <row r="644" spans="1:8">
      <c r="A644" s="377"/>
      <c r="B644" s="377"/>
      <c r="C644" s="377"/>
      <c r="D644" s="377"/>
      <c r="E644" s="377"/>
      <c r="F644" s="377"/>
      <c r="G644" s="377"/>
      <c r="H644" s="377"/>
    </row>
    <row r="645" spans="1:8">
      <c r="A645" s="377"/>
      <c r="B645" s="377"/>
      <c r="C645" s="377"/>
      <c r="D645" s="377"/>
      <c r="E645" s="377"/>
      <c r="F645" s="377"/>
      <c r="G645" s="377"/>
      <c r="H645" s="377"/>
    </row>
    <row r="646" spans="1:8">
      <c r="A646" s="377"/>
      <c r="B646" s="377"/>
      <c r="C646" s="377"/>
      <c r="D646" s="377"/>
      <c r="E646" s="377"/>
      <c r="F646" s="377"/>
      <c r="G646" s="377"/>
      <c r="H646" s="377"/>
    </row>
    <row r="647" spans="1:8">
      <c r="A647" s="377"/>
      <c r="B647" s="377"/>
      <c r="C647" s="377"/>
      <c r="D647" s="377"/>
      <c r="E647" s="377"/>
      <c r="F647" s="377"/>
      <c r="G647" s="377"/>
      <c r="H647" s="377"/>
    </row>
    <row r="648" spans="1:8">
      <c r="A648" s="377"/>
      <c r="B648" s="377"/>
      <c r="C648" s="377"/>
      <c r="D648" s="377"/>
      <c r="E648" s="377"/>
      <c r="F648" s="377"/>
      <c r="G648" s="377"/>
      <c r="H648" s="377"/>
    </row>
    <row r="649" spans="1:8">
      <c r="A649" s="377"/>
      <c r="B649" s="377"/>
      <c r="C649" s="377"/>
      <c r="D649" s="377"/>
      <c r="E649" s="377"/>
      <c r="F649" s="377"/>
      <c r="G649" s="377"/>
      <c r="H649" s="377"/>
    </row>
    <row r="650" spans="1:8">
      <c r="A650" s="377"/>
      <c r="B650" s="377"/>
      <c r="C650" s="377"/>
      <c r="D650" s="377"/>
      <c r="E650" s="377"/>
      <c r="F650" s="377"/>
      <c r="G650" s="377"/>
      <c r="H650" s="377"/>
    </row>
    <row r="651" spans="1:8">
      <c r="A651" s="377"/>
      <c r="B651" s="377"/>
      <c r="C651" s="377"/>
      <c r="D651" s="377"/>
      <c r="E651" s="377"/>
      <c r="F651" s="377"/>
      <c r="G651" s="377"/>
      <c r="H651" s="377"/>
    </row>
    <row r="652" spans="1:8">
      <c r="A652" s="377"/>
      <c r="B652" s="377"/>
      <c r="C652" s="377"/>
      <c r="D652" s="377"/>
      <c r="E652" s="377"/>
      <c r="F652" s="377"/>
      <c r="G652" s="377"/>
      <c r="H652" s="377"/>
    </row>
    <row r="653" spans="1:8">
      <c r="A653" s="377"/>
      <c r="B653" s="377"/>
      <c r="C653" s="377"/>
      <c r="D653" s="377"/>
      <c r="E653" s="377"/>
      <c r="F653" s="377"/>
      <c r="G653" s="377"/>
      <c r="H653" s="377"/>
    </row>
    <row r="654" spans="1:8">
      <c r="A654" s="377"/>
      <c r="B654" s="377"/>
      <c r="C654" s="377"/>
      <c r="D654" s="377"/>
      <c r="E654" s="377"/>
      <c r="F654" s="377"/>
      <c r="G654" s="377"/>
      <c r="H654" s="377"/>
    </row>
    <row r="655" spans="1:8">
      <c r="A655" s="377"/>
      <c r="B655" s="377"/>
      <c r="C655" s="377"/>
      <c r="D655" s="377"/>
      <c r="E655" s="377"/>
      <c r="F655" s="377"/>
      <c r="G655" s="377"/>
      <c r="H655" s="377"/>
    </row>
    <row r="656" spans="1:8">
      <c r="A656" s="377"/>
      <c r="B656" s="377"/>
      <c r="C656" s="377"/>
      <c r="D656" s="377"/>
      <c r="E656" s="377"/>
      <c r="F656" s="377"/>
      <c r="G656" s="377"/>
      <c r="H656" s="377"/>
    </row>
    <row r="657" spans="1:8">
      <c r="A657" s="377"/>
      <c r="B657" s="377"/>
      <c r="C657" s="377"/>
      <c r="D657" s="377"/>
      <c r="E657" s="377"/>
      <c r="F657" s="377"/>
      <c r="G657" s="377"/>
      <c r="H657" s="377"/>
    </row>
    <row r="658" spans="1:8">
      <c r="A658" s="377"/>
      <c r="B658" s="377"/>
      <c r="C658" s="377"/>
      <c r="D658" s="377"/>
      <c r="E658" s="377"/>
      <c r="F658" s="377"/>
      <c r="G658" s="377"/>
      <c r="H658" s="377"/>
    </row>
    <row r="659" spans="1:8">
      <c r="A659" s="377"/>
      <c r="B659" s="377"/>
      <c r="C659" s="377"/>
      <c r="D659" s="377"/>
      <c r="E659" s="377"/>
      <c r="F659" s="377"/>
      <c r="G659" s="377"/>
      <c r="H659" s="377"/>
    </row>
    <row r="660" spans="1:8">
      <c r="A660" s="377"/>
      <c r="B660" s="377"/>
      <c r="C660" s="377"/>
      <c r="D660" s="377"/>
      <c r="E660" s="377"/>
      <c r="F660" s="377"/>
      <c r="G660" s="377"/>
      <c r="H660" s="377"/>
    </row>
    <row r="661" spans="1:8">
      <c r="A661" s="377"/>
      <c r="B661" s="377"/>
      <c r="C661" s="377"/>
      <c r="D661" s="377"/>
      <c r="E661" s="377"/>
      <c r="F661" s="377"/>
      <c r="G661" s="377"/>
      <c r="H661" s="377"/>
    </row>
    <row r="662" spans="1:8">
      <c r="A662" s="377"/>
      <c r="B662" s="377"/>
      <c r="C662" s="377"/>
      <c r="D662" s="377"/>
      <c r="E662" s="377"/>
      <c r="F662" s="377"/>
      <c r="G662" s="377"/>
      <c r="H662" s="377"/>
    </row>
    <row r="663" spans="1:8">
      <c r="A663" s="377"/>
      <c r="B663" s="377"/>
      <c r="C663" s="377"/>
      <c r="D663" s="377"/>
      <c r="E663" s="377"/>
      <c r="F663" s="377"/>
      <c r="G663" s="377"/>
      <c r="H663" s="377"/>
    </row>
    <row r="664" spans="1:8">
      <c r="A664" s="377"/>
      <c r="B664" s="377"/>
      <c r="C664" s="377"/>
      <c r="D664" s="377"/>
      <c r="E664" s="377"/>
      <c r="F664" s="377"/>
      <c r="G664" s="377"/>
      <c r="H664" s="377"/>
    </row>
    <row r="665" spans="1:8">
      <c r="A665" s="377"/>
      <c r="B665" s="377"/>
      <c r="C665" s="377"/>
      <c r="D665" s="377"/>
      <c r="E665" s="377"/>
      <c r="F665" s="377"/>
      <c r="G665" s="377"/>
      <c r="H665" s="377"/>
    </row>
    <row r="666" spans="1:8">
      <c r="A666" s="377"/>
      <c r="B666" s="377"/>
      <c r="C666" s="377"/>
      <c r="D666" s="377"/>
      <c r="E666" s="377"/>
      <c r="F666" s="377"/>
      <c r="G666" s="377"/>
      <c r="H666" s="377"/>
    </row>
    <row r="667" spans="1:8">
      <c r="A667" s="377"/>
      <c r="B667" s="377"/>
      <c r="C667" s="377"/>
      <c r="D667" s="377"/>
      <c r="E667" s="377"/>
      <c r="F667" s="377"/>
      <c r="G667" s="377"/>
      <c r="H667" s="377"/>
    </row>
    <row r="668" spans="1:8">
      <c r="A668" s="377"/>
      <c r="B668" s="377"/>
      <c r="C668" s="377"/>
      <c r="D668" s="377"/>
      <c r="E668" s="377"/>
      <c r="F668" s="377"/>
      <c r="G668" s="377"/>
      <c r="H668" s="377"/>
    </row>
    <row r="669" spans="1:8">
      <c r="A669" s="377"/>
      <c r="B669" s="377"/>
      <c r="C669" s="377"/>
      <c r="D669" s="377"/>
      <c r="E669" s="377"/>
      <c r="F669" s="377"/>
      <c r="G669" s="377"/>
      <c r="H669" s="377"/>
    </row>
    <row r="670" spans="1:8">
      <c r="A670" s="377"/>
      <c r="B670" s="377"/>
      <c r="C670" s="377"/>
      <c r="D670" s="377"/>
      <c r="E670" s="377"/>
      <c r="F670" s="377"/>
      <c r="G670" s="377"/>
      <c r="H670" s="377"/>
    </row>
    <row r="671" spans="1:8">
      <c r="A671" s="377"/>
      <c r="B671" s="377"/>
      <c r="C671" s="377"/>
      <c r="D671" s="377"/>
      <c r="E671" s="377"/>
      <c r="F671" s="377"/>
      <c r="G671" s="377"/>
      <c r="H671" s="377"/>
    </row>
    <row r="672" spans="1:8">
      <c r="A672" s="377"/>
      <c r="B672" s="377"/>
      <c r="C672" s="377"/>
      <c r="D672" s="377"/>
      <c r="E672" s="377"/>
      <c r="F672" s="377"/>
      <c r="G672" s="377"/>
      <c r="H672" s="377"/>
    </row>
    <row r="673" spans="1:8">
      <c r="A673" s="377"/>
      <c r="B673" s="377"/>
      <c r="C673" s="377"/>
      <c r="D673" s="377"/>
      <c r="E673" s="377"/>
      <c r="F673" s="377"/>
      <c r="G673" s="377"/>
      <c r="H673" s="377"/>
    </row>
    <row r="674" spans="1:8">
      <c r="A674" s="377"/>
      <c r="B674" s="377"/>
      <c r="C674" s="377"/>
      <c r="D674" s="377"/>
      <c r="E674" s="377"/>
      <c r="F674" s="377"/>
      <c r="G674" s="377"/>
      <c r="H674" s="377"/>
    </row>
    <row r="675" spans="1:8">
      <c r="A675" s="377"/>
      <c r="B675" s="377"/>
      <c r="C675" s="377"/>
      <c r="D675" s="377"/>
      <c r="E675" s="377"/>
      <c r="F675" s="377"/>
      <c r="G675" s="377"/>
      <c r="H675" s="377"/>
    </row>
    <row r="676" spans="1:8">
      <c r="A676" s="377"/>
      <c r="B676" s="377"/>
      <c r="C676" s="377"/>
      <c r="D676" s="377"/>
      <c r="E676" s="377"/>
      <c r="F676" s="377"/>
      <c r="G676" s="377"/>
      <c r="H676" s="377"/>
    </row>
    <row r="677" spans="1:8">
      <c r="A677" s="377"/>
      <c r="B677" s="377"/>
      <c r="C677" s="377"/>
      <c r="D677" s="377"/>
      <c r="E677" s="377"/>
      <c r="F677" s="377"/>
      <c r="G677" s="377"/>
      <c r="H677" s="377"/>
    </row>
    <row r="678" spans="1:8">
      <c r="A678" s="377"/>
      <c r="B678" s="377"/>
      <c r="C678" s="377"/>
      <c r="D678" s="377"/>
      <c r="E678" s="377"/>
      <c r="F678" s="377"/>
      <c r="G678" s="377"/>
      <c r="H678" s="377"/>
    </row>
    <row r="679" spans="1:8">
      <c r="A679" s="377"/>
      <c r="B679" s="377"/>
      <c r="C679" s="377"/>
      <c r="D679" s="377"/>
      <c r="E679" s="377"/>
      <c r="F679" s="377"/>
      <c r="G679" s="377"/>
      <c r="H679" s="377"/>
    </row>
    <row r="680" spans="1:8">
      <c r="A680" s="377"/>
      <c r="B680" s="377"/>
      <c r="C680" s="377"/>
      <c r="D680" s="377"/>
      <c r="E680" s="377"/>
      <c r="F680" s="377"/>
      <c r="G680" s="377"/>
      <c r="H680" s="377"/>
    </row>
    <row r="681" spans="1:8">
      <c r="A681" s="377"/>
      <c r="B681" s="377"/>
      <c r="C681" s="377"/>
      <c r="D681" s="377"/>
      <c r="E681" s="377"/>
      <c r="F681" s="377"/>
      <c r="G681" s="377"/>
      <c r="H681" s="377"/>
    </row>
    <row r="682" spans="1:8">
      <c r="A682" s="377"/>
      <c r="B682" s="377"/>
      <c r="C682" s="377"/>
      <c r="D682" s="377"/>
      <c r="E682" s="377"/>
      <c r="F682" s="377"/>
      <c r="G682" s="377"/>
      <c r="H682" s="377"/>
    </row>
    <row r="683" spans="1:8">
      <c r="A683" s="377"/>
      <c r="B683" s="377"/>
      <c r="C683" s="377"/>
      <c r="D683" s="377"/>
      <c r="E683" s="377"/>
      <c r="F683" s="377"/>
      <c r="G683" s="377"/>
      <c r="H683" s="377"/>
    </row>
    <row r="684" spans="1:8">
      <c r="A684" s="377"/>
      <c r="B684" s="377"/>
      <c r="C684" s="377"/>
      <c r="D684" s="377"/>
      <c r="E684" s="377"/>
      <c r="F684" s="377"/>
      <c r="G684" s="377"/>
      <c r="H684" s="377"/>
    </row>
    <row r="685" spans="1:8">
      <c r="A685" s="377"/>
      <c r="B685" s="377"/>
      <c r="C685" s="377"/>
      <c r="D685" s="377"/>
      <c r="E685" s="377"/>
      <c r="F685" s="377"/>
      <c r="G685" s="377"/>
      <c r="H685" s="377"/>
    </row>
    <row r="686" spans="1:8">
      <c r="A686" s="377"/>
      <c r="B686" s="377"/>
      <c r="C686" s="377"/>
      <c r="D686" s="377"/>
      <c r="E686" s="377"/>
      <c r="F686" s="377"/>
      <c r="G686" s="377"/>
      <c r="H686" s="377"/>
    </row>
    <row r="687" spans="1:8">
      <c r="A687" s="377"/>
      <c r="B687" s="377"/>
      <c r="C687" s="377"/>
      <c r="D687" s="377"/>
      <c r="E687" s="377"/>
      <c r="F687" s="377"/>
      <c r="G687" s="377"/>
      <c r="H687" s="377"/>
    </row>
    <row r="688" spans="1:8">
      <c r="A688" s="377"/>
      <c r="B688" s="377"/>
      <c r="C688" s="377"/>
      <c r="D688" s="377"/>
      <c r="E688" s="377"/>
      <c r="F688" s="377"/>
      <c r="G688" s="377"/>
      <c r="H688" s="377"/>
    </row>
    <row r="689" spans="1:8">
      <c r="A689" s="377"/>
      <c r="B689" s="377"/>
      <c r="C689" s="377"/>
      <c r="D689" s="377"/>
      <c r="E689" s="377"/>
      <c r="F689" s="377"/>
      <c r="G689" s="377"/>
      <c r="H689" s="377"/>
    </row>
    <row r="690" spans="1:8">
      <c r="A690" s="377"/>
      <c r="B690" s="377"/>
      <c r="C690" s="377"/>
      <c r="D690" s="377"/>
      <c r="E690" s="377"/>
      <c r="F690" s="377"/>
      <c r="G690" s="377"/>
      <c r="H690" s="377"/>
    </row>
    <row r="691" spans="1:8">
      <c r="A691" s="377"/>
      <c r="B691" s="377"/>
      <c r="C691" s="377"/>
      <c r="D691" s="377"/>
      <c r="E691" s="377"/>
      <c r="F691" s="377"/>
      <c r="G691" s="377"/>
      <c r="H691" s="377"/>
    </row>
    <row r="692" spans="1:8">
      <c r="A692" s="377"/>
      <c r="B692" s="377"/>
      <c r="C692" s="377"/>
      <c r="D692" s="377"/>
      <c r="E692" s="377"/>
      <c r="F692" s="377"/>
      <c r="G692" s="377"/>
      <c r="H692" s="377"/>
    </row>
    <row r="693" spans="1:8">
      <c r="A693" s="377"/>
      <c r="B693" s="377"/>
      <c r="C693" s="377"/>
      <c r="D693" s="377"/>
      <c r="E693" s="377"/>
      <c r="F693" s="377"/>
      <c r="G693" s="377"/>
      <c r="H693" s="377"/>
    </row>
    <row r="694" spans="1:8">
      <c r="A694" s="377"/>
      <c r="B694" s="377"/>
      <c r="C694" s="377"/>
      <c r="D694" s="377"/>
      <c r="E694" s="377"/>
      <c r="F694" s="377"/>
      <c r="G694" s="377"/>
      <c r="H694" s="377"/>
    </row>
    <row r="695" spans="1:8">
      <c r="A695" s="377"/>
      <c r="B695" s="377"/>
      <c r="C695" s="377"/>
      <c r="D695" s="377"/>
      <c r="E695" s="377"/>
      <c r="F695" s="377"/>
      <c r="G695" s="377"/>
      <c r="H695" s="377"/>
    </row>
    <row r="696" spans="1:8">
      <c r="A696" s="377"/>
      <c r="B696" s="377"/>
      <c r="C696" s="377"/>
      <c r="D696" s="377"/>
      <c r="E696" s="377"/>
      <c r="F696" s="377"/>
      <c r="G696" s="377"/>
      <c r="H696" s="377"/>
    </row>
    <row r="697" spans="1:8">
      <c r="A697" s="377"/>
      <c r="B697" s="377"/>
      <c r="C697" s="377"/>
      <c r="D697" s="377"/>
      <c r="E697" s="377"/>
      <c r="F697" s="377"/>
      <c r="G697" s="377"/>
      <c r="H697" s="377"/>
    </row>
    <row r="698" spans="1:8">
      <c r="A698" s="377"/>
      <c r="B698" s="377"/>
      <c r="C698" s="377"/>
      <c r="D698" s="377"/>
      <c r="E698" s="377"/>
      <c r="F698" s="377"/>
      <c r="G698" s="377"/>
      <c r="H698" s="377"/>
    </row>
    <row r="699" spans="1:8">
      <c r="A699" s="377"/>
      <c r="B699" s="377"/>
      <c r="C699" s="377"/>
      <c r="D699" s="377"/>
      <c r="E699" s="377"/>
      <c r="F699" s="377"/>
      <c r="G699" s="377"/>
      <c r="H699" s="377"/>
    </row>
    <row r="700" spans="1:8">
      <c r="A700" s="377"/>
      <c r="B700" s="377"/>
      <c r="C700" s="377"/>
      <c r="D700" s="377"/>
      <c r="E700" s="377"/>
      <c r="F700" s="377"/>
      <c r="G700" s="377"/>
      <c r="H700" s="377"/>
    </row>
    <row r="701" spans="1:8">
      <c r="A701" s="377"/>
      <c r="B701" s="377"/>
      <c r="C701" s="377"/>
      <c r="D701" s="377"/>
      <c r="E701" s="377"/>
      <c r="F701" s="377"/>
      <c r="G701" s="377"/>
      <c r="H701" s="377"/>
    </row>
    <row r="702" spans="1:8">
      <c r="A702" s="377"/>
      <c r="B702" s="377"/>
      <c r="C702" s="377"/>
      <c r="D702" s="377"/>
      <c r="E702" s="377"/>
      <c r="F702" s="377"/>
      <c r="G702" s="377"/>
      <c r="H702" s="377"/>
    </row>
    <row r="703" spans="1:8">
      <c r="A703" s="377"/>
      <c r="B703" s="377"/>
      <c r="C703" s="377"/>
      <c r="D703" s="377"/>
      <c r="E703" s="377"/>
      <c r="F703" s="377"/>
      <c r="G703" s="377"/>
      <c r="H703" s="377"/>
    </row>
    <row r="704" spans="1:8">
      <c r="A704" s="377"/>
      <c r="B704" s="377"/>
      <c r="C704" s="377"/>
      <c r="D704" s="377"/>
      <c r="E704" s="377"/>
      <c r="F704" s="377"/>
      <c r="G704" s="377"/>
      <c r="H704" s="377"/>
    </row>
    <row r="705" spans="1:8">
      <c r="A705" s="377"/>
      <c r="B705" s="377"/>
      <c r="C705" s="377"/>
      <c r="D705" s="377"/>
      <c r="E705" s="377"/>
      <c r="F705" s="377"/>
      <c r="G705" s="377"/>
      <c r="H705" s="377"/>
    </row>
    <row r="706" spans="1:8">
      <c r="A706" s="377"/>
      <c r="B706" s="377"/>
      <c r="C706" s="377"/>
      <c r="D706" s="377"/>
      <c r="E706" s="377"/>
      <c r="F706" s="377"/>
      <c r="G706" s="377"/>
      <c r="H706" s="377"/>
    </row>
    <row r="707" spans="1:8">
      <c r="A707" s="377"/>
      <c r="B707" s="377"/>
      <c r="C707" s="377"/>
      <c r="D707" s="377"/>
      <c r="E707" s="377"/>
      <c r="F707" s="377"/>
      <c r="G707" s="377"/>
      <c r="H707" s="377"/>
    </row>
    <row r="708" spans="1:8">
      <c r="A708" s="377"/>
      <c r="B708" s="377"/>
      <c r="C708" s="377"/>
      <c r="D708" s="377"/>
      <c r="E708" s="377"/>
      <c r="F708" s="377"/>
      <c r="G708" s="377"/>
      <c r="H708" s="377"/>
    </row>
    <row r="709" spans="1:8">
      <c r="A709" s="377"/>
      <c r="B709" s="377"/>
      <c r="C709" s="377"/>
      <c r="D709" s="377"/>
      <c r="E709" s="377"/>
      <c r="F709" s="377"/>
      <c r="G709" s="377"/>
      <c r="H709" s="377"/>
    </row>
    <row r="710" spans="1:8">
      <c r="A710" s="377"/>
      <c r="B710" s="377"/>
      <c r="C710" s="377"/>
      <c r="D710" s="377"/>
      <c r="E710" s="377"/>
      <c r="F710" s="377"/>
      <c r="G710" s="377"/>
      <c r="H710" s="377"/>
    </row>
    <row r="711" spans="1:8">
      <c r="A711" s="377"/>
      <c r="B711" s="377"/>
      <c r="C711" s="377"/>
      <c r="D711" s="377"/>
      <c r="E711" s="377"/>
      <c r="F711" s="377"/>
      <c r="G711" s="377"/>
      <c r="H711" s="377"/>
    </row>
    <row r="712" spans="1:8">
      <c r="A712" s="377"/>
      <c r="B712" s="377"/>
      <c r="C712" s="377"/>
      <c r="D712" s="377"/>
      <c r="E712" s="377"/>
      <c r="F712" s="377"/>
      <c r="G712" s="377"/>
      <c r="H712" s="377"/>
    </row>
    <row r="713" spans="1:8">
      <c r="A713" s="377"/>
      <c r="B713" s="377"/>
      <c r="C713" s="377"/>
      <c r="D713" s="377"/>
      <c r="E713" s="377"/>
      <c r="F713" s="377"/>
      <c r="G713" s="377"/>
      <c r="H713" s="377"/>
    </row>
    <row r="714" spans="1:8">
      <c r="A714" s="377"/>
      <c r="B714" s="377"/>
      <c r="C714" s="377"/>
      <c r="D714" s="377"/>
      <c r="E714" s="377"/>
      <c r="F714" s="377"/>
      <c r="G714" s="377"/>
      <c r="H714" s="377"/>
    </row>
    <row r="715" spans="1:8">
      <c r="A715" s="377"/>
      <c r="B715" s="377"/>
      <c r="C715" s="377"/>
      <c r="D715" s="377"/>
      <c r="E715" s="377"/>
      <c r="F715" s="377"/>
      <c r="G715" s="377"/>
      <c r="H715" s="377"/>
    </row>
    <row r="716" spans="1:8">
      <c r="A716" s="377"/>
      <c r="B716" s="377"/>
      <c r="C716" s="377"/>
      <c r="D716" s="377"/>
      <c r="E716" s="377"/>
      <c r="F716" s="377"/>
      <c r="G716" s="377"/>
      <c r="H716" s="377"/>
    </row>
    <row r="717" spans="1:8">
      <c r="A717" s="377"/>
      <c r="B717" s="377"/>
      <c r="C717" s="377"/>
      <c r="D717" s="377"/>
      <c r="E717" s="377"/>
      <c r="F717" s="377"/>
      <c r="G717" s="377"/>
      <c r="H717" s="377"/>
    </row>
    <row r="718" spans="1:8">
      <c r="A718" s="377"/>
      <c r="B718" s="377"/>
      <c r="C718" s="377"/>
      <c r="D718" s="377"/>
      <c r="E718" s="377"/>
      <c r="F718" s="377"/>
      <c r="G718" s="377"/>
      <c r="H718" s="377"/>
    </row>
    <row r="719" spans="1:8">
      <c r="A719" s="377"/>
      <c r="B719" s="377"/>
      <c r="C719" s="377"/>
      <c r="D719" s="377"/>
      <c r="E719" s="377"/>
      <c r="F719" s="377"/>
      <c r="G719" s="377"/>
      <c r="H719" s="377"/>
    </row>
    <row r="720" spans="1:8">
      <c r="A720" s="377"/>
      <c r="B720" s="377"/>
      <c r="C720" s="377"/>
      <c r="D720" s="377"/>
      <c r="E720" s="377"/>
      <c r="F720" s="377"/>
      <c r="G720" s="377"/>
      <c r="H720" s="377"/>
    </row>
    <row r="721" spans="1:8">
      <c r="A721" s="377"/>
      <c r="B721" s="377"/>
      <c r="C721" s="377"/>
      <c r="D721" s="377"/>
      <c r="E721" s="377"/>
      <c r="F721" s="377"/>
      <c r="G721" s="377"/>
      <c r="H721" s="377"/>
    </row>
    <row r="722" spans="1:8">
      <c r="A722" s="377"/>
      <c r="B722" s="377"/>
      <c r="C722" s="377"/>
      <c r="D722" s="377"/>
      <c r="E722" s="377"/>
      <c r="F722" s="377"/>
      <c r="G722" s="377"/>
      <c r="H722" s="377"/>
    </row>
    <row r="723" spans="1:8">
      <c r="A723" s="377"/>
      <c r="B723" s="377"/>
      <c r="C723" s="377"/>
      <c r="D723" s="377"/>
      <c r="E723" s="377"/>
      <c r="F723" s="377"/>
      <c r="G723" s="377"/>
      <c r="H723" s="377"/>
    </row>
    <row r="724" spans="1:8">
      <c r="A724" s="377"/>
      <c r="B724" s="377"/>
      <c r="C724" s="377"/>
      <c r="D724" s="377"/>
      <c r="E724" s="377"/>
      <c r="F724" s="377"/>
      <c r="G724" s="377"/>
      <c r="H724" s="377"/>
    </row>
    <row r="725" spans="1:8">
      <c r="A725" s="377"/>
      <c r="B725" s="377"/>
      <c r="C725" s="377"/>
      <c r="D725" s="377"/>
      <c r="E725" s="377"/>
      <c r="F725" s="377"/>
      <c r="G725" s="377"/>
      <c r="H725" s="377"/>
    </row>
    <row r="726" spans="1:8">
      <c r="A726" s="377"/>
      <c r="B726" s="377"/>
      <c r="C726" s="377"/>
      <c r="D726" s="377"/>
      <c r="E726" s="377"/>
      <c r="F726" s="377"/>
      <c r="G726" s="377"/>
      <c r="H726" s="377"/>
    </row>
    <row r="727" spans="1:8">
      <c r="A727" s="377"/>
      <c r="B727" s="377"/>
      <c r="C727" s="377"/>
      <c r="D727" s="377"/>
      <c r="E727" s="377"/>
      <c r="F727" s="377"/>
      <c r="G727" s="377"/>
      <c r="H727" s="377"/>
    </row>
    <row r="728" spans="1:8">
      <c r="A728" s="377"/>
      <c r="B728" s="377"/>
      <c r="C728" s="377"/>
      <c r="D728" s="377"/>
      <c r="E728" s="377"/>
      <c r="F728" s="377"/>
      <c r="G728" s="377"/>
      <c r="H728" s="377"/>
    </row>
    <row r="729" spans="1:8">
      <c r="A729" s="377"/>
      <c r="B729" s="377"/>
      <c r="C729" s="377"/>
      <c r="D729" s="377"/>
      <c r="E729" s="377"/>
      <c r="F729" s="377"/>
      <c r="G729" s="377"/>
      <c r="H729" s="377"/>
    </row>
    <row r="730" spans="1:8">
      <c r="A730" s="377"/>
      <c r="B730" s="377"/>
      <c r="C730" s="377"/>
      <c r="D730" s="377"/>
      <c r="E730" s="377"/>
      <c r="F730" s="377"/>
      <c r="G730" s="377"/>
      <c r="H730" s="377"/>
    </row>
    <row r="731" spans="1:8">
      <c r="A731" s="377"/>
      <c r="B731" s="377"/>
      <c r="C731" s="377"/>
      <c r="D731" s="377"/>
      <c r="E731" s="377"/>
      <c r="F731" s="377"/>
      <c r="G731" s="377"/>
      <c r="H731" s="377"/>
    </row>
    <row r="732" spans="1:8">
      <c r="A732" s="377"/>
      <c r="B732" s="377"/>
      <c r="C732" s="377"/>
      <c r="D732" s="377"/>
      <c r="E732" s="377"/>
      <c r="F732" s="377"/>
      <c r="G732" s="377"/>
      <c r="H732" s="377"/>
    </row>
    <row r="733" spans="1:8">
      <c r="A733" s="377"/>
      <c r="B733" s="377"/>
      <c r="C733" s="377"/>
      <c r="D733" s="377"/>
      <c r="E733" s="377"/>
      <c r="F733" s="377"/>
      <c r="G733" s="377"/>
      <c r="H733" s="377"/>
    </row>
    <row r="734" spans="1:8">
      <c r="A734" s="377"/>
      <c r="B734" s="377"/>
      <c r="C734" s="377"/>
      <c r="D734" s="377"/>
      <c r="E734" s="377"/>
      <c r="F734" s="377"/>
      <c r="G734" s="377"/>
      <c r="H734" s="377"/>
    </row>
    <row r="735" spans="1:8">
      <c r="A735" s="377"/>
      <c r="B735" s="377"/>
      <c r="C735" s="377"/>
      <c r="D735" s="377"/>
      <c r="E735" s="377"/>
      <c r="F735" s="377"/>
      <c r="G735" s="377"/>
      <c r="H735" s="377"/>
    </row>
    <row r="736" spans="1:8">
      <c r="A736" s="377"/>
      <c r="B736" s="377"/>
      <c r="C736" s="377"/>
      <c r="D736" s="377"/>
      <c r="E736" s="377"/>
      <c r="F736" s="377"/>
      <c r="G736" s="377"/>
      <c r="H736" s="377"/>
    </row>
    <row r="737" spans="1:8">
      <c r="A737" s="377"/>
      <c r="B737" s="377"/>
      <c r="C737" s="377"/>
      <c r="D737" s="377"/>
      <c r="E737" s="377"/>
      <c r="F737" s="377"/>
      <c r="G737" s="377"/>
      <c r="H737" s="377"/>
    </row>
    <row r="738" spans="1:8">
      <c r="A738" s="377"/>
      <c r="B738" s="377"/>
      <c r="C738" s="377"/>
      <c r="D738" s="377"/>
      <c r="E738" s="377"/>
      <c r="F738" s="377"/>
      <c r="G738" s="377"/>
      <c r="H738" s="377"/>
    </row>
    <row r="739" spans="1:8">
      <c r="A739" s="377"/>
      <c r="B739" s="377"/>
      <c r="C739" s="377"/>
      <c r="D739" s="377"/>
      <c r="E739" s="377"/>
      <c r="F739" s="377"/>
      <c r="G739" s="377"/>
      <c r="H739" s="377"/>
    </row>
    <row r="740" spans="1:8">
      <c r="A740" s="377"/>
      <c r="B740" s="377"/>
      <c r="C740" s="377"/>
      <c r="D740" s="377"/>
      <c r="E740" s="377"/>
      <c r="F740" s="377"/>
      <c r="G740" s="377"/>
      <c r="H740" s="377"/>
    </row>
    <row r="741" spans="1:8">
      <c r="A741" s="377"/>
      <c r="B741" s="377"/>
      <c r="C741" s="377"/>
      <c r="D741" s="377"/>
      <c r="E741" s="377"/>
      <c r="F741" s="377"/>
      <c r="G741" s="377"/>
      <c r="H741" s="377"/>
    </row>
    <row r="742" spans="1:8">
      <c r="A742" s="377"/>
      <c r="B742" s="377"/>
      <c r="C742" s="377"/>
      <c r="D742" s="377"/>
      <c r="E742" s="377"/>
      <c r="F742" s="377"/>
      <c r="G742" s="377"/>
      <c r="H742" s="377"/>
    </row>
    <row r="743" spans="1:8">
      <c r="A743" s="377"/>
      <c r="B743" s="377"/>
      <c r="C743" s="377"/>
      <c r="D743" s="377"/>
      <c r="E743" s="377"/>
      <c r="F743" s="377"/>
      <c r="G743" s="377"/>
      <c r="H743" s="377"/>
    </row>
    <row r="744" spans="1:8">
      <c r="A744" s="377"/>
      <c r="B744" s="377"/>
      <c r="C744" s="377"/>
      <c r="D744" s="377"/>
      <c r="E744" s="377"/>
      <c r="F744" s="377"/>
      <c r="G744" s="377"/>
      <c r="H744" s="377"/>
    </row>
    <row r="745" spans="1:8">
      <c r="A745" s="377"/>
      <c r="B745" s="377"/>
      <c r="C745" s="377"/>
      <c r="D745" s="377"/>
      <c r="E745" s="377"/>
      <c r="F745" s="377"/>
      <c r="G745" s="377"/>
      <c r="H745" s="377"/>
    </row>
    <row r="746" spans="1:8">
      <c r="A746" s="377"/>
      <c r="B746" s="377"/>
      <c r="C746" s="377"/>
      <c r="D746" s="377"/>
      <c r="E746" s="377"/>
      <c r="F746" s="377"/>
      <c r="G746" s="377"/>
      <c r="H746" s="377"/>
    </row>
    <row r="747" spans="1:8">
      <c r="A747" s="377"/>
      <c r="B747" s="377"/>
      <c r="C747" s="377"/>
      <c r="D747" s="377"/>
      <c r="E747" s="377"/>
      <c r="F747" s="377"/>
      <c r="G747" s="377"/>
      <c r="H747" s="377"/>
    </row>
    <row r="748" spans="1:8">
      <c r="A748" s="377"/>
      <c r="B748" s="377"/>
      <c r="C748" s="377"/>
      <c r="D748" s="377"/>
      <c r="E748" s="377"/>
      <c r="F748" s="377"/>
      <c r="G748" s="377"/>
      <c r="H748" s="377"/>
    </row>
    <row r="749" spans="1:8">
      <c r="A749" s="377"/>
      <c r="B749" s="377"/>
      <c r="C749" s="377"/>
      <c r="D749" s="377"/>
      <c r="E749" s="377"/>
      <c r="F749" s="377"/>
      <c r="G749" s="377"/>
      <c r="H749" s="377"/>
    </row>
    <row r="750" spans="1:8">
      <c r="A750" s="377"/>
      <c r="B750" s="377"/>
      <c r="C750" s="377"/>
      <c r="D750" s="377"/>
      <c r="E750" s="377"/>
      <c r="F750" s="377"/>
      <c r="G750" s="377"/>
      <c r="H750" s="377"/>
    </row>
    <row r="751" spans="1:8">
      <c r="A751" s="377"/>
      <c r="B751" s="377"/>
      <c r="C751" s="377"/>
      <c r="D751" s="377"/>
      <c r="E751" s="377"/>
      <c r="F751" s="377"/>
      <c r="G751" s="377"/>
      <c r="H751" s="377"/>
    </row>
    <row r="752" spans="1:8">
      <c r="A752" s="377"/>
      <c r="B752" s="377"/>
      <c r="C752" s="377"/>
      <c r="D752" s="377"/>
      <c r="E752" s="377"/>
      <c r="F752" s="377"/>
      <c r="G752" s="377"/>
      <c r="H752" s="377"/>
    </row>
    <row r="753" spans="1:8">
      <c r="A753" s="377"/>
      <c r="B753" s="377"/>
      <c r="C753" s="377"/>
      <c r="D753" s="377"/>
      <c r="E753" s="377"/>
      <c r="F753" s="377"/>
      <c r="G753" s="377"/>
      <c r="H753" s="377"/>
    </row>
    <row r="754" spans="1:8">
      <c r="A754" s="377"/>
      <c r="B754" s="377"/>
      <c r="C754" s="377"/>
      <c r="D754" s="377"/>
      <c r="E754" s="377"/>
      <c r="F754" s="377"/>
      <c r="G754" s="377"/>
      <c r="H754" s="377"/>
    </row>
    <row r="755" spans="1:8">
      <c r="A755" s="377"/>
      <c r="B755" s="377"/>
      <c r="C755" s="377"/>
      <c r="D755" s="377"/>
      <c r="E755" s="377"/>
      <c r="F755" s="377"/>
      <c r="G755" s="377"/>
      <c r="H755" s="377"/>
    </row>
    <row r="756" spans="1:8">
      <c r="A756" s="377"/>
      <c r="B756" s="377"/>
      <c r="C756" s="377"/>
      <c r="D756" s="377"/>
      <c r="E756" s="377"/>
      <c r="F756" s="377"/>
      <c r="G756" s="377"/>
      <c r="H756" s="377"/>
    </row>
    <row r="757" spans="1:8">
      <c r="A757" s="377"/>
      <c r="B757" s="377"/>
      <c r="C757" s="377"/>
      <c r="D757" s="377"/>
      <c r="E757" s="377"/>
      <c r="F757" s="377"/>
      <c r="G757" s="377"/>
      <c r="H757" s="377"/>
    </row>
    <row r="758" spans="1:8">
      <c r="A758" s="377"/>
      <c r="B758" s="377"/>
      <c r="C758" s="377"/>
      <c r="D758" s="377"/>
      <c r="E758" s="377"/>
      <c r="F758" s="377"/>
      <c r="G758" s="377"/>
      <c r="H758" s="377"/>
    </row>
    <row r="759" spans="1:8">
      <c r="A759" s="377"/>
      <c r="B759" s="377"/>
      <c r="C759" s="377"/>
      <c r="D759" s="377"/>
      <c r="E759" s="377"/>
      <c r="F759" s="377"/>
      <c r="G759" s="377"/>
      <c r="H759" s="377"/>
    </row>
    <row r="760" spans="1:8">
      <c r="A760" s="377"/>
      <c r="B760" s="377"/>
      <c r="C760" s="377"/>
      <c r="D760" s="377"/>
      <c r="E760" s="377"/>
      <c r="F760" s="377"/>
      <c r="G760" s="377"/>
      <c r="H760" s="377"/>
    </row>
    <row r="761" spans="1:8">
      <c r="A761" s="377"/>
      <c r="B761" s="377"/>
      <c r="C761" s="377"/>
      <c r="D761" s="377"/>
      <c r="E761" s="377"/>
      <c r="F761" s="377"/>
      <c r="G761" s="377"/>
      <c r="H761" s="377"/>
    </row>
    <row r="762" spans="1:8">
      <c r="A762" s="377"/>
      <c r="B762" s="377"/>
      <c r="C762" s="377"/>
      <c r="D762" s="377"/>
      <c r="E762" s="377"/>
      <c r="F762" s="377"/>
      <c r="G762" s="377"/>
      <c r="H762" s="377"/>
    </row>
    <row r="763" spans="1:8">
      <c r="A763" s="377"/>
      <c r="B763" s="377"/>
      <c r="C763" s="377"/>
      <c r="D763" s="377"/>
      <c r="E763" s="377"/>
      <c r="F763" s="377"/>
      <c r="G763" s="377"/>
      <c r="H763" s="377"/>
    </row>
    <row r="764" spans="1:8">
      <c r="A764" s="377"/>
      <c r="B764" s="377"/>
      <c r="C764" s="377"/>
      <c r="D764" s="377"/>
      <c r="E764" s="377"/>
      <c r="F764" s="377"/>
      <c r="G764" s="377"/>
      <c r="H764" s="377"/>
    </row>
    <row r="765" spans="1:8">
      <c r="A765" s="377"/>
      <c r="B765" s="377"/>
      <c r="C765" s="377"/>
      <c r="D765" s="377"/>
      <c r="E765" s="377"/>
      <c r="F765" s="377"/>
      <c r="G765" s="377"/>
      <c r="H765" s="377"/>
    </row>
    <row r="766" spans="1:8">
      <c r="A766" s="377"/>
      <c r="B766" s="377"/>
      <c r="C766" s="377"/>
      <c r="D766" s="377"/>
      <c r="E766" s="377"/>
      <c r="F766" s="377"/>
      <c r="G766" s="377"/>
      <c r="H766" s="377"/>
    </row>
    <row r="767" spans="1:8">
      <c r="A767" s="377"/>
      <c r="B767" s="377"/>
      <c r="C767" s="377"/>
      <c r="D767" s="377"/>
      <c r="E767" s="377"/>
      <c r="F767" s="377"/>
      <c r="G767" s="377"/>
      <c r="H767" s="377"/>
    </row>
    <row r="768" spans="1:8">
      <c r="A768" s="377"/>
      <c r="B768" s="377"/>
      <c r="C768" s="377"/>
      <c r="D768" s="377"/>
      <c r="E768" s="377"/>
      <c r="F768" s="377"/>
      <c r="G768" s="377"/>
      <c r="H768" s="377"/>
    </row>
    <row r="769" spans="1:8">
      <c r="A769" s="377"/>
      <c r="B769" s="377"/>
      <c r="C769" s="377"/>
      <c r="D769" s="377"/>
      <c r="E769" s="377"/>
      <c r="F769" s="377"/>
      <c r="G769" s="377"/>
      <c r="H769" s="377"/>
    </row>
    <row r="770" spans="1:8">
      <c r="A770" s="377"/>
      <c r="B770" s="377"/>
      <c r="C770" s="377"/>
      <c r="D770" s="377"/>
      <c r="E770" s="377"/>
      <c r="F770" s="377"/>
      <c r="G770" s="377"/>
      <c r="H770" s="377"/>
    </row>
    <row r="771" spans="1:8">
      <c r="A771" s="377"/>
      <c r="B771" s="377"/>
      <c r="C771" s="377"/>
      <c r="D771" s="377"/>
      <c r="E771" s="377"/>
      <c r="F771" s="377"/>
      <c r="G771" s="377"/>
      <c r="H771" s="377"/>
    </row>
    <row r="772" spans="1:8">
      <c r="A772" s="377"/>
      <c r="B772" s="377"/>
      <c r="C772" s="377"/>
      <c r="D772" s="377"/>
      <c r="E772" s="377"/>
      <c r="F772" s="377"/>
      <c r="G772" s="377"/>
      <c r="H772" s="377"/>
    </row>
    <row r="773" spans="1:8">
      <c r="A773" s="377"/>
      <c r="B773" s="377"/>
      <c r="C773" s="377"/>
      <c r="D773" s="377"/>
      <c r="E773" s="377"/>
      <c r="F773" s="377"/>
      <c r="G773" s="377"/>
      <c r="H773" s="377"/>
    </row>
    <row r="774" spans="1:8">
      <c r="A774" s="377"/>
      <c r="B774" s="377"/>
      <c r="C774" s="377"/>
      <c r="D774" s="377"/>
      <c r="E774" s="377"/>
      <c r="F774" s="377"/>
      <c r="G774" s="377"/>
      <c r="H774" s="377"/>
    </row>
    <row r="775" spans="1:8">
      <c r="A775" s="377"/>
      <c r="B775" s="377"/>
      <c r="C775" s="377"/>
      <c r="D775" s="377"/>
      <c r="E775" s="377"/>
      <c r="F775" s="377"/>
      <c r="G775" s="377"/>
      <c r="H775" s="377"/>
    </row>
    <row r="776" spans="1:8">
      <c r="A776" s="377"/>
      <c r="B776" s="377"/>
      <c r="C776" s="377"/>
      <c r="D776" s="377"/>
      <c r="E776" s="377"/>
      <c r="F776" s="377"/>
      <c r="G776" s="377"/>
      <c r="H776" s="377"/>
    </row>
    <row r="777" spans="1:8">
      <c r="A777" s="377"/>
      <c r="B777" s="377"/>
      <c r="C777" s="377"/>
      <c r="D777" s="377"/>
      <c r="E777" s="377"/>
      <c r="F777" s="377"/>
      <c r="G777" s="377"/>
      <c r="H777" s="377"/>
    </row>
    <row r="778" spans="1:8">
      <c r="A778" s="377"/>
      <c r="B778" s="377"/>
      <c r="C778" s="377"/>
      <c r="D778" s="377"/>
      <c r="E778" s="377"/>
      <c r="F778" s="377"/>
      <c r="G778" s="377"/>
      <c r="H778" s="377"/>
    </row>
    <row r="779" spans="1:8">
      <c r="A779" s="377"/>
      <c r="B779" s="377"/>
      <c r="C779" s="377"/>
      <c r="D779" s="377"/>
      <c r="E779" s="377"/>
      <c r="F779" s="377"/>
      <c r="G779" s="377"/>
      <c r="H779" s="377"/>
    </row>
    <row r="780" spans="1:8">
      <c r="A780" s="377"/>
      <c r="B780" s="377"/>
      <c r="C780" s="377"/>
      <c r="D780" s="377"/>
      <c r="E780" s="377"/>
      <c r="F780" s="377"/>
      <c r="G780" s="377"/>
      <c r="H780" s="377"/>
    </row>
    <row r="781" spans="1:8">
      <c r="A781" s="377"/>
      <c r="B781" s="377"/>
      <c r="C781" s="377"/>
      <c r="D781" s="377"/>
      <c r="E781" s="377"/>
      <c r="F781" s="377"/>
      <c r="G781" s="377"/>
      <c r="H781" s="377"/>
    </row>
    <row r="782" spans="1:8">
      <c r="A782" s="377"/>
      <c r="B782" s="377"/>
      <c r="C782" s="377"/>
      <c r="D782" s="377"/>
      <c r="E782" s="377"/>
      <c r="F782" s="377"/>
      <c r="G782" s="377"/>
      <c r="H782" s="377"/>
    </row>
    <row r="783" spans="1:8">
      <c r="A783" s="377"/>
      <c r="B783" s="377"/>
      <c r="C783" s="377"/>
      <c r="D783" s="377"/>
      <c r="E783" s="377"/>
      <c r="F783" s="377"/>
      <c r="G783" s="377"/>
      <c r="H783" s="377"/>
    </row>
    <row r="784" spans="1:8">
      <c r="A784" s="377"/>
      <c r="B784" s="377"/>
      <c r="C784" s="377"/>
      <c r="D784" s="377"/>
      <c r="E784" s="377"/>
      <c r="F784" s="377"/>
      <c r="G784" s="377"/>
      <c r="H784" s="377"/>
    </row>
    <row r="785" spans="1:8">
      <c r="A785" s="377"/>
      <c r="B785" s="377"/>
      <c r="C785" s="377"/>
      <c r="D785" s="377"/>
      <c r="E785" s="377"/>
      <c r="F785" s="377"/>
      <c r="G785" s="377"/>
      <c r="H785" s="377"/>
    </row>
    <row r="786" spans="1:8">
      <c r="A786" s="377"/>
      <c r="B786" s="377"/>
      <c r="C786" s="377"/>
      <c r="D786" s="377"/>
      <c r="E786" s="377"/>
      <c r="F786" s="377"/>
      <c r="G786" s="377"/>
      <c r="H786" s="377"/>
    </row>
    <row r="787" spans="1:8">
      <c r="A787" s="377"/>
      <c r="B787" s="377"/>
      <c r="C787" s="377"/>
      <c r="D787" s="377"/>
      <c r="E787" s="377"/>
      <c r="F787" s="377"/>
      <c r="G787" s="377"/>
      <c r="H787" s="377"/>
    </row>
    <row r="788" spans="1:8">
      <c r="A788" s="377"/>
      <c r="B788" s="377"/>
      <c r="C788" s="377"/>
      <c r="D788" s="377"/>
      <c r="E788" s="377"/>
      <c r="F788" s="377"/>
      <c r="G788" s="377"/>
      <c r="H788" s="377"/>
    </row>
    <row r="789" spans="1:8">
      <c r="A789" s="377"/>
      <c r="B789" s="377"/>
      <c r="C789" s="377"/>
      <c r="D789" s="377"/>
      <c r="E789" s="377"/>
      <c r="F789" s="377"/>
      <c r="G789" s="377"/>
      <c r="H789" s="377"/>
    </row>
    <row r="790" spans="1:8">
      <c r="A790" s="377"/>
      <c r="B790" s="377"/>
      <c r="C790" s="377"/>
      <c r="D790" s="377"/>
      <c r="E790" s="377"/>
      <c r="F790" s="377"/>
      <c r="G790" s="377"/>
      <c r="H790" s="377"/>
    </row>
    <row r="791" spans="1:8">
      <c r="A791" s="377"/>
      <c r="B791" s="377"/>
      <c r="C791" s="377"/>
      <c r="D791" s="377"/>
      <c r="E791" s="377"/>
      <c r="F791" s="377"/>
      <c r="G791" s="377"/>
      <c r="H791" s="377"/>
    </row>
    <row r="792" spans="1:8">
      <c r="A792" s="377"/>
      <c r="B792" s="377"/>
      <c r="C792" s="377"/>
      <c r="D792" s="377"/>
      <c r="E792" s="377"/>
      <c r="F792" s="377"/>
      <c r="G792" s="377"/>
      <c r="H792" s="377"/>
    </row>
    <row r="793" spans="1:8">
      <c r="A793" s="377"/>
      <c r="B793" s="377"/>
      <c r="C793" s="377"/>
      <c r="D793" s="377"/>
      <c r="E793" s="377"/>
      <c r="F793" s="377"/>
      <c r="G793" s="377"/>
      <c r="H793" s="377"/>
    </row>
    <row r="794" spans="1:8">
      <c r="A794" s="377"/>
      <c r="B794" s="377"/>
      <c r="C794" s="377"/>
      <c r="D794" s="377"/>
      <c r="E794" s="377"/>
      <c r="F794" s="377"/>
      <c r="G794" s="377"/>
      <c r="H794" s="377"/>
    </row>
    <row r="795" spans="1:8">
      <c r="A795" s="377"/>
      <c r="B795" s="377"/>
      <c r="C795" s="377"/>
      <c r="D795" s="377"/>
      <c r="E795" s="377"/>
      <c r="F795" s="377"/>
      <c r="G795" s="377"/>
      <c r="H795" s="377"/>
    </row>
    <row r="796" spans="1:8">
      <c r="A796" s="377"/>
      <c r="B796" s="377"/>
      <c r="C796" s="377"/>
      <c r="D796" s="377"/>
      <c r="E796" s="377"/>
      <c r="F796" s="377"/>
      <c r="G796" s="377"/>
      <c r="H796" s="377"/>
    </row>
    <row r="797" spans="1:8">
      <c r="A797" s="377"/>
      <c r="B797" s="377"/>
      <c r="C797" s="377"/>
      <c r="D797" s="377"/>
      <c r="E797" s="377"/>
      <c r="F797" s="377"/>
      <c r="G797" s="377"/>
      <c r="H797" s="377"/>
    </row>
    <row r="798" spans="1:8">
      <c r="A798" s="377"/>
      <c r="B798" s="377"/>
      <c r="C798" s="377"/>
      <c r="D798" s="377"/>
      <c r="E798" s="377"/>
      <c r="F798" s="377"/>
      <c r="G798" s="377"/>
      <c r="H798" s="377"/>
    </row>
    <row r="799" spans="1:8">
      <c r="A799" s="377"/>
      <c r="B799" s="377"/>
      <c r="C799" s="377"/>
      <c r="D799" s="377"/>
      <c r="E799" s="377"/>
      <c r="F799" s="377"/>
      <c r="G799" s="377"/>
      <c r="H799" s="377"/>
    </row>
    <row r="800" spans="1:8">
      <c r="A800" s="377"/>
      <c r="B800" s="377"/>
      <c r="C800" s="377"/>
      <c r="D800" s="377"/>
      <c r="E800" s="377"/>
      <c r="F800" s="377"/>
      <c r="G800" s="377"/>
      <c r="H800" s="377"/>
    </row>
    <row r="801" spans="1:8">
      <c r="A801" s="377"/>
      <c r="B801" s="377"/>
      <c r="C801" s="377"/>
      <c r="D801" s="377"/>
      <c r="E801" s="377"/>
      <c r="F801" s="377"/>
      <c r="G801" s="377"/>
      <c r="H801" s="377"/>
    </row>
    <row r="802" spans="1:8">
      <c r="A802" s="377"/>
      <c r="B802" s="377"/>
      <c r="C802" s="377"/>
      <c r="D802" s="377"/>
      <c r="E802" s="377"/>
      <c r="F802" s="377"/>
      <c r="G802" s="377"/>
      <c r="H802" s="377"/>
    </row>
    <row r="803" spans="1:8">
      <c r="A803" s="377"/>
      <c r="B803" s="377"/>
      <c r="C803" s="377"/>
      <c r="D803" s="377"/>
      <c r="E803" s="377"/>
      <c r="F803" s="377"/>
      <c r="G803" s="377"/>
      <c r="H803" s="377"/>
    </row>
    <row r="804" spans="1:8">
      <c r="A804" s="377"/>
      <c r="B804" s="377"/>
      <c r="C804" s="377"/>
      <c r="D804" s="377"/>
      <c r="E804" s="377"/>
      <c r="F804" s="377"/>
      <c r="G804" s="377"/>
      <c r="H804" s="377"/>
    </row>
    <row r="805" spans="1:8">
      <c r="A805" s="377"/>
      <c r="B805" s="377"/>
      <c r="C805" s="377"/>
      <c r="D805" s="377"/>
      <c r="E805" s="377"/>
      <c r="F805" s="377"/>
      <c r="G805" s="377"/>
      <c r="H805" s="377"/>
    </row>
    <row r="806" spans="1:8">
      <c r="A806" s="377"/>
      <c r="B806" s="377"/>
      <c r="C806" s="377"/>
      <c r="D806" s="377"/>
      <c r="E806" s="377"/>
      <c r="F806" s="377"/>
      <c r="G806" s="377"/>
      <c r="H806" s="377"/>
    </row>
    <row r="807" spans="1:8">
      <c r="A807" s="377"/>
      <c r="B807" s="377"/>
      <c r="C807" s="377"/>
      <c r="D807" s="377"/>
      <c r="E807" s="377"/>
      <c r="F807" s="377"/>
      <c r="G807" s="377"/>
      <c r="H807" s="377"/>
    </row>
    <row r="808" spans="1:8">
      <c r="A808" s="377"/>
      <c r="B808" s="377"/>
      <c r="C808" s="377"/>
      <c r="D808" s="377"/>
      <c r="E808" s="377"/>
      <c r="F808" s="377"/>
      <c r="G808" s="377"/>
      <c r="H808" s="377"/>
    </row>
    <row r="809" spans="1:8">
      <c r="A809" s="377"/>
      <c r="B809" s="377"/>
      <c r="C809" s="377"/>
      <c r="D809" s="377"/>
      <c r="E809" s="377"/>
      <c r="F809" s="377"/>
      <c r="G809" s="377"/>
      <c r="H809" s="377"/>
    </row>
    <row r="810" spans="1:8">
      <c r="A810" s="377"/>
      <c r="B810" s="377"/>
      <c r="C810" s="377"/>
      <c r="D810" s="377"/>
      <c r="E810" s="377"/>
      <c r="F810" s="377"/>
      <c r="G810" s="377"/>
      <c r="H810" s="377"/>
    </row>
    <row r="811" spans="1:8">
      <c r="A811" s="377"/>
      <c r="B811" s="377"/>
      <c r="C811" s="377"/>
      <c r="D811" s="377"/>
      <c r="E811" s="377"/>
      <c r="F811" s="377"/>
      <c r="G811" s="377"/>
      <c r="H811" s="377"/>
    </row>
    <row r="812" spans="1:8">
      <c r="A812" s="377"/>
      <c r="B812" s="377"/>
      <c r="C812" s="377"/>
      <c r="D812" s="377"/>
      <c r="E812" s="377"/>
      <c r="F812" s="377"/>
      <c r="G812" s="377"/>
      <c r="H812" s="377"/>
    </row>
    <row r="813" spans="1:8">
      <c r="A813" s="377"/>
      <c r="B813" s="377"/>
      <c r="C813" s="377"/>
      <c r="D813" s="377"/>
      <c r="E813" s="377"/>
      <c r="F813" s="377"/>
      <c r="G813" s="377"/>
      <c r="H813" s="377"/>
    </row>
    <row r="814" spans="1:8">
      <c r="A814" s="377"/>
      <c r="B814" s="377"/>
      <c r="C814" s="377"/>
      <c r="D814" s="377"/>
      <c r="E814" s="377"/>
      <c r="F814" s="377"/>
      <c r="G814" s="377"/>
      <c r="H814" s="377"/>
    </row>
    <row r="815" spans="1:8">
      <c r="A815" s="377"/>
      <c r="B815" s="377"/>
      <c r="C815" s="377"/>
      <c r="D815" s="377"/>
      <c r="E815" s="377"/>
      <c r="F815" s="377"/>
      <c r="G815" s="377"/>
      <c r="H815" s="377"/>
    </row>
    <row r="816" spans="1:8">
      <c r="A816" s="377"/>
      <c r="B816" s="377"/>
      <c r="C816" s="377"/>
      <c r="D816" s="377"/>
      <c r="E816" s="377"/>
      <c r="F816" s="377"/>
      <c r="G816" s="377"/>
      <c r="H816" s="377"/>
    </row>
    <row r="817" spans="1:8">
      <c r="A817" s="377"/>
      <c r="B817" s="377"/>
      <c r="C817" s="377"/>
      <c r="D817" s="377"/>
      <c r="E817" s="377"/>
      <c r="F817" s="377"/>
      <c r="G817" s="377"/>
      <c r="H817" s="377"/>
    </row>
    <row r="818" spans="1:8">
      <c r="A818" s="377"/>
      <c r="B818" s="377"/>
      <c r="C818" s="377"/>
      <c r="D818" s="377"/>
      <c r="E818" s="377"/>
      <c r="F818" s="377"/>
      <c r="G818" s="377"/>
      <c r="H818" s="377"/>
    </row>
    <row r="819" spans="1:8">
      <c r="A819" s="377"/>
      <c r="B819" s="377"/>
      <c r="C819" s="377"/>
      <c r="D819" s="377"/>
      <c r="E819" s="377"/>
      <c r="F819" s="377"/>
      <c r="G819" s="377"/>
      <c r="H819" s="377"/>
    </row>
    <row r="820" spans="1:8">
      <c r="A820" s="377"/>
      <c r="B820" s="377"/>
      <c r="C820" s="377"/>
      <c r="D820" s="377"/>
      <c r="E820" s="377"/>
      <c r="F820" s="377"/>
      <c r="G820" s="377"/>
      <c r="H820" s="377"/>
    </row>
    <row r="821" spans="1:8">
      <c r="A821" s="377"/>
      <c r="B821" s="377"/>
      <c r="C821" s="377"/>
      <c r="D821" s="377"/>
      <c r="E821" s="377"/>
      <c r="F821" s="377"/>
      <c r="G821" s="377"/>
      <c r="H821" s="377"/>
    </row>
    <row r="822" spans="1:8">
      <c r="A822" s="377"/>
      <c r="B822" s="377"/>
      <c r="C822" s="377"/>
      <c r="D822" s="377"/>
      <c r="E822" s="377"/>
      <c r="F822" s="377"/>
      <c r="G822" s="377"/>
      <c r="H822" s="377"/>
    </row>
    <row r="823" spans="1:8">
      <c r="A823" s="377"/>
      <c r="B823" s="377"/>
      <c r="C823" s="377"/>
      <c r="D823" s="377"/>
      <c r="E823" s="377"/>
      <c r="F823" s="377"/>
      <c r="G823" s="377"/>
      <c r="H823" s="377"/>
    </row>
    <row r="824" spans="1:8">
      <c r="A824" s="377"/>
      <c r="B824" s="377"/>
      <c r="C824" s="377"/>
      <c r="D824" s="377"/>
      <c r="E824" s="377"/>
      <c r="F824" s="377"/>
      <c r="G824" s="377"/>
      <c r="H824" s="377"/>
    </row>
    <row r="825" spans="1:8">
      <c r="A825" s="377"/>
      <c r="B825" s="377"/>
      <c r="C825" s="377"/>
      <c r="D825" s="377"/>
      <c r="E825" s="377"/>
      <c r="F825" s="377"/>
      <c r="G825" s="377"/>
      <c r="H825" s="377"/>
    </row>
    <row r="826" spans="1:8">
      <c r="A826" s="377"/>
      <c r="B826" s="377"/>
      <c r="C826" s="377"/>
      <c r="D826" s="377"/>
      <c r="E826" s="377"/>
      <c r="F826" s="377"/>
      <c r="G826" s="377"/>
      <c r="H826" s="377"/>
    </row>
    <row r="827" spans="1:8">
      <c r="A827" s="377"/>
      <c r="B827" s="377"/>
      <c r="C827" s="377"/>
      <c r="D827" s="377"/>
      <c r="E827" s="377"/>
      <c r="F827" s="377"/>
      <c r="G827" s="377"/>
      <c r="H827" s="377"/>
    </row>
    <row r="828" spans="1:8">
      <c r="A828" s="377"/>
      <c r="B828" s="377"/>
      <c r="C828" s="377"/>
      <c r="D828" s="377"/>
      <c r="E828" s="377"/>
      <c r="F828" s="377"/>
      <c r="G828" s="377"/>
      <c r="H828" s="377"/>
    </row>
    <row r="829" spans="1:8">
      <c r="A829" s="377"/>
      <c r="B829" s="377"/>
      <c r="C829" s="377"/>
      <c r="D829" s="377"/>
      <c r="E829" s="377"/>
      <c r="F829" s="377"/>
      <c r="G829" s="377"/>
      <c r="H829" s="377"/>
    </row>
    <row r="830" spans="1:8">
      <c r="A830" s="377"/>
      <c r="B830" s="377"/>
      <c r="C830" s="377"/>
      <c r="D830" s="377"/>
      <c r="E830" s="377"/>
      <c r="F830" s="377"/>
      <c r="G830" s="377"/>
      <c r="H830" s="377"/>
    </row>
    <row r="831" spans="1:8">
      <c r="A831" s="377"/>
      <c r="B831" s="377"/>
      <c r="C831" s="377"/>
      <c r="D831" s="377"/>
      <c r="E831" s="377"/>
      <c r="F831" s="377"/>
      <c r="G831" s="377"/>
      <c r="H831" s="377"/>
    </row>
    <row r="832" spans="1:8">
      <c r="A832" s="377"/>
      <c r="B832" s="377"/>
      <c r="C832" s="377"/>
      <c r="D832" s="377"/>
      <c r="E832" s="377"/>
      <c r="F832" s="377"/>
      <c r="G832" s="377"/>
      <c r="H832" s="377"/>
    </row>
    <row r="833" spans="1:8">
      <c r="A833" s="377"/>
      <c r="B833" s="377"/>
      <c r="C833" s="377"/>
      <c r="D833" s="377"/>
      <c r="E833" s="377"/>
      <c r="F833" s="377"/>
      <c r="G833" s="377"/>
      <c r="H833" s="377"/>
    </row>
    <row r="834" spans="1:8">
      <c r="A834" s="377"/>
      <c r="B834" s="377"/>
      <c r="C834" s="377"/>
      <c r="D834" s="377"/>
      <c r="E834" s="377"/>
      <c r="F834" s="377"/>
      <c r="G834" s="377"/>
      <c r="H834" s="377"/>
    </row>
    <row r="835" spans="1:8">
      <c r="A835" s="377"/>
      <c r="B835" s="377"/>
      <c r="C835" s="377"/>
      <c r="D835" s="377"/>
      <c r="E835" s="377"/>
      <c r="F835" s="377"/>
      <c r="G835" s="377"/>
      <c r="H835" s="377"/>
    </row>
    <row r="836" spans="1:8">
      <c r="A836" s="377"/>
      <c r="B836" s="377"/>
      <c r="C836" s="377"/>
      <c r="D836" s="377"/>
      <c r="E836" s="377"/>
      <c r="F836" s="377"/>
      <c r="G836" s="377"/>
      <c r="H836" s="377"/>
    </row>
    <row r="837" spans="1:8">
      <c r="A837" s="377"/>
      <c r="B837" s="377"/>
      <c r="C837" s="377"/>
      <c r="D837" s="377"/>
      <c r="E837" s="377"/>
      <c r="F837" s="377"/>
      <c r="G837" s="377"/>
      <c r="H837" s="377"/>
    </row>
    <row r="838" spans="1:8">
      <c r="A838" s="377"/>
      <c r="B838" s="377"/>
      <c r="C838" s="377"/>
      <c r="D838" s="377"/>
      <c r="E838" s="377"/>
      <c r="F838" s="377"/>
      <c r="G838" s="377"/>
      <c r="H838" s="377"/>
    </row>
    <row r="839" spans="1:8">
      <c r="A839" s="377"/>
      <c r="B839" s="377"/>
      <c r="C839" s="377"/>
      <c r="D839" s="377"/>
      <c r="E839" s="377"/>
      <c r="F839" s="377"/>
      <c r="G839" s="377"/>
      <c r="H839" s="377"/>
    </row>
    <row r="840" spans="1:8">
      <c r="A840" s="377"/>
      <c r="B840" s="377"/>
      <c r="C840" s="377"/>
      <c r="D840" s="377"/>
      <c r="E840" s="377"/>
      <c r="F840" s="377"/>
      <c r="G840" s="377"/>
      <c r="H840" s="377"/>
    </row>
    <row r="841" spans="1:8">
      <c r="A841" s="377"/>
      <c r="B841" s="377"/>
      <c r="C841" s="377"/>
      <c r="D841" s="377"/>
      <c r="E841" s="377"/>
      <c r="F841" s="377"/>
      <c r="G841" s="377"/>
      <c r="H841" s="377"/>
    </row>
    <row r="842" spans="1:8">
      <c r="A842" s="377"/>
      <c r="B842" s="377"/>
      <c r="C842" s="377"/>
      <c r="D842" s="377"/>
      <c r="E842" s="377"/>
      <c r="F842" s="377"/>
      <c r="G842" s="377"/>
      <c r="H842" s="377"/>
    </row>
    <row r="843" spans="1:8">
      <c r="A843" s="377"/>
      <c r="B843" s="377"/>
      <c r="C843" s="377"/>
      <c r="D843" s="377"/>
      <c r="E843" s="377"/>
      <c r="F843" s="377"/>
      <c r="G843" s="377"/>
      <c r="H843" s="377"/>
    </row>
    <row r="844" spans="1:8">
      <c r="A844" s="377"/>
      <c r="B844" s="377"/>
      <c r="C844" s="377"/>
      <c r="D844" s="377"/>
      <c r="E844" s="377"/>
      <c r="F844" s="377"/>
      <c r="G844" s="377"/>
      <c r="H844" s="377"/>
    </row>
    <row r="845" spans="1:8">
      <c r="A845" s="377"/>
      <c r="B845" s="377"/>
      <c r="C845" s="377"/>
      <c r="D845" s="377"/>
      <c r="E845" s="377"/>
      <c r="F845" s="377"/>
      <c r="G845" s="377"/>
      <c r="H845" s="377"/>
    </row>
    <row r="846" spans="1:8">
      <c r="A846" s="377"/>
      <c r="B846" s="377"/>
      <c r="C846" s="377"/>
      <c r="D846" s="377"/>
      <c r="E846" s="377"/>
      <c r="F846" s="377"/>
      <c r="G846" s="377"/>
      <c r="H846" s="377"/>
    </row>
    <row r="847" spans="1:8">
      <c r="A847" s="377"/>
      <c r="B847" s="377"/>
      <c r="C847" s="377"/>
      <c r="D847" s="377"/>
      <c r="E847" s="377"/>
      <c r="F847" s="377"/>
      <c r="G847" s="377"/>
      <c r="H847" s="377"/>
    </row>
    <row r="848" spans="1:8">
      <c r="A848" s="377"/>
      <c r="B848" s="377"/>
      <c r="C848" s="377"/>
      <c r="D848" s="377"/>
      <c r="E848" s="377"/>
      <c r="F848" s="377"/>
      <c r="G848" s="377"/>
      <c r="H848" s="377"/>
    </row>
    <row r="849" spans="1:8">
      <c r="A849" s="377"/>
      <c r="B849" s="377"/>
      <c r="C849" s="377"/>
      <c r="D849" s="377"/>
      <c r="E849" s="377"/>
      <c r="F849" s="377"/>
      <c r="G849" s="377"/>
      <c r="H849" s="377"/>
    </row>
    <row r="850" spans="1:8">
      <c r="A850" s="377"/>
      <c r="B850" s="377"/>
      <c r="C850" s="377"/>
      <c r="D850" s="377"/>
      <c r="E850" s="377"/>
      <c r="F850" s="377"/>
      <c r="G850" s="377"/>
      <c r="H850" s="377"/>
    </row>
    <row r="851" spans="1:8">
      <c r="A851" s="377"/>
      <c r="B851" s="377"/>
      <c r="C851" s="377"/>
      <c r="D851" s="377"/>
      <c r="E851" s="377"/>
      <c r="F851" s="377"/>
      <c r="G851" s="377"/>
      <c r="H851" s="377"/>
    </row>
    <row r="852" spans="1:8">
      <c r="A852" s="377"/>
      <c r="B852" s="377"/>
      <c r="C852" s="377"/>
      <c r="D852" s="377"/>
      <c r="E852" s="377"/>
      <c r="F852" s="377"/>
      <c r="G852" s="377"/>
      <c r="H852" s="377"/>
    </row>
    <row r="853" spans="1:8">
      <c r="A853" s="377"/>
      <c r="B853" s="377"/>
      <c r="C853" s="377"/>
      <c r="D853" s="377"/>
      <c r="E853" s="377"/>
      <c r="F853" s="377"/>
      <c r="G853" s="377"/>
      <c r="H853" s="377"/>
    </row>
    <row r="854" spans="1:8">
      <c r="A854" s="377"/>
      <c r="B854" s="377"/>
      <c r="C854" s="377"/>
      <c r="D854" s="377"/>
      <c r="E854" s="377"/>
      <c r="F854" s="377"/>
      <c r="G854" s="377"/>
      <c r="H854" s="377"/>
    </row>
    <row r="855" spans="1:8">
      <c r="A855" s="377"/>
      <c r="B855" s="377"/>
      <c r="C855" s="377"/>
      <c r="D855" s="377"/>
      <c r="E855" s="377"/>
      <c r="F855" s="377"/>
      <c r="G855" s="377"/>
      <c r="H855" s="377"/>
    </row>
    <row r="856" spans="1:8">
      <c r="A856" s="377"/>
      <c r="B856" s="377"/>
      <c r="C856" s="377"/>
      <c r="D856" s="377"/>
      <c r="E856" s="377"/>
      <c r="F856" s="377"/>
      <c r="G856" s="377"/>
      <c r="H856" s="377"/>
    </row>
    <row r="857" spans="1:8">
      <c r="A857" s="377"/>
      <c r="B857" s="377"/>
      <c r="C857" s="377"/>
      <c r="D857" s="377"/>
      <c r="E857" s="377"/>
      <c r="F857" s="377"/>
      <c r="G857" s="377"/>
      <c r="H857" s="377"/>
    </row>
    <row r="858" spans="1:8">
      <c r="A858" s="377"/>
      <c r="B858" s="377"/>
      <c r="C858" s="377"/>
      <c r="D858" s="377"/>
      <c r="E858" s="377"/>
      <c r="F858" s="377"/>
      <c r="G858" s="377"/>
      <c r="H858" s="377"/>
    </row>
    <row r="859" spans="1:8">
      <c r="A859" s="377"/>
      <c r="B859" s="377"/>
      <c r="C859" s="377"/>
      <c r="D859" s="377"/>
      <c r="E859" s="377"/>
      <c r="F859" s="377"/>
      <c r="G859" s="377"/>
      <c r="H859" s="377"/>
    </row>
    <row r="860" spans="1:8">
      <c r="A860" s="377"/>
      <c r="B860" s="377"/>
      <c r="C860" s="377"/>
      <c r="D860" s="377"/>
      <c r="E860" s="377"/>
      <c r="F860" s="377"/>
      <c r="G860" s="377"/>
      <c r="H860" s="377"/>
    </row>
    <row r="861" spans="1:8">
      <c r="A861" s="377"/>
      <c r="B861" s="377"/>
      <c r="C861" s="377"/>
      <c r="D861" s="377"/>
      <c r="E861" s="377"/>
      <c r="F861" s="377"/>
      <c r="G861" s="377"/>
      <c r="H861" s="377"/>
    </row>
    <row r="862" spans="1:8">
      <c r="A862" s="377"/>
      <c r="B862" s="377"/>
      <c r="C862" s="377"/>
      <c r="D862" s="377"/>
      <c r="E862" s="377"/>
      <c r="F862" s="377"/>
      <c r="G862" s="377"/>
      <c r="H862" s="377"/>
    </row>
    <row r="863" spans="1:8">
      <c r="A863" s="377"/>
      <c r="B863" s="377"/>
      <c r="C863" s="377"/>
      <c r="D863" s="377"/>
      <c r="E863" s="377"/>
      <c r="F863" s="377"/>
      <c r="G863" s="377"/>
      <c r="H863" s="377"/>
    </row>
    <row r="864" spans="1:8">
      <c r="A864" s="377"/>
      <c r="B864" s="377"/>
      <c r="C864" s="377"/>
      <c r="D864" s="377"/>
      <c r="E864" s="377"/>
      <c r="F864" s="377"/>
      <c r="G864" s="377"/>
      <c r="H864" s="377"/>
    </row>
    <row r="865" spans="1:8">
      <c r="A865" s="377"/>
      <c r="B865" s="377"/>
      <c r="C865" s="377"/>
      <c r="D865" s="377"/>
      <c r="E865" s="377"/>
      <c r="F865" s="377"/>
      <c r="G865" s="377"/>
      <c r="H865" s="377"/>
    </row>
    <row r="866" spans="1:8">
      <c r="A866" s="377"/>
      <c r="B866" s="377"/>
      <c r="C866" s="377"/>
      <c r="D866" s="377"/>
      <c r="E866" s="377"/>
      <c r="F866" s="377"/>
      <c r="G866" s="377"/>
      <c r="H866" s="377"/>
    </row>
    <row r="867" spans="1:8">
      <c r="A867" s="377"/>
      <c r="B867" s="377"/>
      <c r="C867" s="377"/>
      <c r="D867" s="377"/>
      <c r="E867" s="377"/>
      <c r="F867" s="377"/>
      <c r="G867" s="377"/>
      <c r="H867" s="377"/>
    </row>
    <row r="868" spans="1:8">
      <c r="A868" s="377"/>
      <c r="B868" s="377"/>
      <c r="C868" s="377"/>
      <c r="D868" s="377"/>
      <c r="E868" s="377"/>
      <c r="F868" s="377"/>
      <c r="G868" s="377"/>
      <c r="H868" s="377"/>
    </row>
    <row r="869" spans="1:8">
      <c r="A869" s="377"/>
      <c r="B869" s="377"/>
      <c r="C869" s="377"/>
      <c r="D869" s="377"/>
      <c r="E869" s="377"/>
      <c r="F869" s="377"/>
      <c r="G869" s="377"/>
      <c r="H869" s="377"/>
    </row>
    <row r="870" spans="1:8">
      <c r="A870" s="377"/>
      <c r="B870" s="377"/>
      <c r="C870" s="377"/>
      <c r="D870" s="377"/>
      <c r="E870" s="377"/>
      <c r="F870" s="377"/>
      <c r="G870" s="377"/>
      <c r="H870" s="377"/>
    </row>
    <row r="871" spans="1:8">
      <c r="A871" s="377"/>
      <c r="B871" s="377"/>
      <c r="C871" s="377"/>
      <c r="D871" s="377"/>
      <c r="E871" s="377"/>
      <c r="F871" s="377"/>
      <c r="G871" s="377"/>
      <c r="H871" s="377"/>
    </row>
    <row r="872" spans="1:8">
      <c r="A872" s="377"/>
      <c r="B872" s="377"/>
      <c r="C872" s="377"/>
      <c r="D872" s="377"/>
      <c r="E872" s="377"/>
      <c r="F872" s="377"/>
      <c r="G872" s="377"/>
      <c r="H872" s="377"/>
    </row>
    <row r="873" spans="1:8">
      <c r="A873" s="377"/>
      <c r="B873" s="377"/>
      <c r="C873" s="377"/>
      <c r="D873" s="377"/>
      <c r="E873" s="377"/>
      <c r="F873" s="377"/>
      <c r="G873" s="377"/>
      <c r="H873" s="377"/>
    </row>
    <row r="874" spans="1:8">
      <c r="A874" s="377"/>
      <c r="B874" s="377"/>
      <c r="C874" s="377"/>
      <c r="D874" s="377"/>
      <c r="E874" s="377"/>
      <c r="F874" s="377"/>
      <c r="G874" s="377"/>
      <c r="H874" s="377"/>
    </row>
    <row r="875" spans="1:8">
      <c r="A875" s="377"/>
      <c r="B875" s="377"/>
      <c r="C875" s="377"/>
      <c r="D875" s="377"/>
      <c r="E875" s="377"/>
      <c r="F875" s="377"/>
      <c r="G875" s="377"/>
      <c r="H875" s="377"/>
    </row>
    <row r="876" spans="1:8">
      <c r="A876" s="377"/>
      <c r="B876" s="377"/>
      <c r="C876" s="377"/>
      <c r="D876" s="377"/>
      <c r="E876" s="377"/>
      <c r="F876" s="377"/>
      <c r="G876" s="377"/>
      <c r="H876" s="377"/>
    </row>
    <row r="877" spans="1:8">
      <c r="A877" s="377"/>
      <c r="B877" s="377"/>
      <c r="C877" s="377"/>
      <c r="D877" s="377"/>
      <c r="E877" s="377"/>
      <c r="F877" s="377"/>
      <c r="G877" s="377"/>
      <c r="H877" s="377"/>
    </row>
    <row r="878" spans="1:8">
      <c r="A878" s="377"/>
      <c r="B878" s="377"/>
      <c r="C878" s="377"/>
      <c r="D878" s="377"/>
      <c r="E878" s="377"/>
      <c r="F878" s="377"/>
      <c r="G878" s="377"/>
      <c r="H878" s="377"/>
    </row>
    <row r="879" spans="1:8">
      <c r="A879" s="377"/>
      <c r="B879" s="377"/>
      <c r="C879" s="377"/>
      <c r="D879" s="377"/>
      <c r="E879" s="377"/>
      <c r="F879" s="377"/>
      <c r="G879" s="377"/>
      <c r="H879" s="377"/>
    </row>
    <row r="880" spans="1:8">
      <c r="A880" s="377"/>
      <c r="B880" s="377"/>
      <c r="C880" s="377"/>
      <c r="D880" s="377"/>
      <c r="E880" s="377"/>
      <c r="F880" s="377"/>
      <c r="G880" s="377"/>
      <c r="H880" s="377"/>
    </row>
    <row r="881" spans="1:8">
      <c r="A881" s="377"/>
      <c r="B881" s="377"/>
      <c r="C881" s="377"/>
      <c r="D881" s="377"/>
      <c r="E881" s="377"/>
      <c r="F881" s="377"/>
      <c r="G881" s="377"/>
      <c r="H881" s="377"/>
    </row>
    <row r="882" spans="1:8">
      <c r="A882" s="377"/>
      <c r="B882" s="377"/>
      <c r="C882" s="377"/>
      <c r="D882" s="377"/>
      <c r="E882" s="377"/>
      <c r="F882" s="377"/>
      <c r="G882" s="377"/>
      <c r="H882" s="377"/>
    </row>
    <row r="883" spans="1:8">
      <c r="A883" s="377"/>
      <c r="B883" s="377"/>
      <c r="C883" s="377"/>
      <c r="D883" s="377"/>
      <c r="E883" s="377"/>
      <c r="F883" s="377"/>
      <c r="G883" s="377"/>
      <c r="H883" s="377"/>
    </row>
    <row r="884" spans="1:8">
      <c r="A884" s="377"/>
      <c r="B884" s="377"/>
      <c r="C884" s="377"/>
      <c r="D884" s="377"/>
      <c r="E884" s="377"/>
      <c r="F884" s="377"/>
      <c r="G884" s="377"/>
      <c r="H884" s="377"/>
    </row>
    <row r="885" spans="1:8">
      <c r="A885" s="377"/>
      <c r="B885" s="377"/>
      <c r="C885" s="377"/>
      <c r="D885" s="377"/>
      <c r="E885" s="377"/>
      <c r="F885" s="377"/>
      <c r="G885" s="377"/>
      <c r="H885" s="377"/>
    </row>
    <row r="886" spans="1:8">
      <c r="A886" s="377"/>
      <c r="B886" s="377"/>
      <c r="C886" s="377"/>
      <c r="D886" s="377"/>
      <c r="E886" s="377"/>
      <c r="F886" s="377"/>
      <c r="G886" s="377"/>
      <c r="H886" s="377"/>
    </row>
    <row r="887" spans="1:8">
      <c r="A887" s="377"/>
      <c r="B887" s="377"/>
      <c r="C887" s="377"/>
      <c r="D887" s="377"/>
      <c r="E887" s="377"/>
      <c r="F887" s="377"/>
      <c r="G887" s="377"/>
      <c r="H887" s="377"/>
    </row>
    <row r="888" spans="1:8">
      <c r="A888" s="377"/>
      <c r="B888" s="377"/>
      <c r="C888" s="377"/>
      <c r="D888" s="377"/>
      <c r="E888" s="377"/>
      <c r="F888" s="377"/>
      <c r="G888" s="377"/>
      <c r="H888" s="377"/>
    </row>
    <row r="889" spans="1:8">
      <c r="A889" s="377"/>
      <c r="B889" s="377"/>
      <c r="C889" s="377"/>
      <c r="D889" s="377"/>
      <c r="E889" s="377"/>
      <c r="F889" s="377"/>
      <c r="G889" s="377"/>
      <c r="H889" s="377"/>
    </row>
    <row r="890" spans="1:8">
      <c r="A890" s="377"/>
      <c r="B890" s="377"/>
      <c r="C890" s="377"/>
      <c r="D890" s="377"/>
      <c r="E890" s="377"/>
      <c r="F890" s="377"/>
      <c r="G890" s="377"/>
      <c r="H890" s="377"/>
    </row>
    <row r="891" spans="1:8">
      <c r="A891" s="377"/>
      <c r="B891" s="377"/>
      <c r="C891" s="377"/>
      <c r="D891" s="377"/>
      <c r="E891" s="377"/>
      <c r="F891" s="377"/>
      <c r="G891" s="377"/>
      <c r="H891" s="377"/>
    </row>
    <row r="892" spans="1:8">
      <c r="A892" s="377"/>
      <c r="B892" s="377"/>
      <c r="C892" s="377"/>
      <c r="D892" s="377"/>
      <c r="E892" s="377"/>
      <c r="F892" s="377"/>
      <c r="G892" s="377"/>
      <c r="H892" s="377"/>
    </row>
    <row r="893" spans="1:8">
      <c r="A893" s="377"/>
      <c r="B893" s="377"/>
      <c r="C893" s="377"/>
      <c r="D893" s="377"/>
      <c r="E893" s="377"/>
      <c r="F893" s="377"/>
      <c r="G893" s="377"/>
      <c r="H893" s="377"/>
    </row>
    <row r="894" spans="1:8">
      <c r="A894" s="377"/>
      <c r="B894" s="377"/>
      <c r="C894" s="377"/>
      <c r="D894" s="377"/>
      <c r="E894" s="377"/>
      <c r="F894" s="377"/>
      <c r="G894" s="377"/>
      <c r="H894" s="377"/>
    </row>
    <row r="895" spans="1:8">
      <c r="A895" s="377"/>
      <c r="B895" s="377"/>
      <c r="C895" s="377"/>
      <c r="D895" s="377"/>
      <c r="E895" s="377"/>
      <c r="F895" s="377"/>
      <c r="G895" s="377"/>
      <c r="H895" s="377"/>
    </row>
    <row r="896" spans="1:8">
      <c r="A896" s="377"/>
      <c r="B896" s="377"/>
      <c r="C896" s="377"/>
      <c r="D896" s="377"/>
      <c r="E896" s="377"/>
      <c r="F896" s="377"/>
      <c r="G896" s="377"/>
      <c r="H896" s="377"/>
    </row>
    <row r="897" spans="1:8">
      <c r="A897" s="377"/>
      <c r="B897" s="377"/>
      <c r="C897" s="377"/>
      <c r="D897" s="377"/>
      <c r="E897" s="377"/>
      <c r="F897" s="377"/>
      <c r="G897" s="377"/>
      <c r="H897" s="377"/>
    </row>
    <row r="898" spans="1:8">
      <c r="A898" s="377"/>
      <c r="B898" s="377"/>
      <c r="C898" s="377"/>
      <c r="D898" s="377"/>
      <c r="E898" s="377"/>
      <c r="F898" s="377"/>
      <c r="G898" s="377"/>
      <c r="H898" s="377"/>
    </row>
    <row r="899" spans="1:8">
      <c r="A899" s="377"/>
      <c r="B899" s="377"/>
      <c r="C899" s="377"/>
      <c r="D899" s="377"/>
      <c r="E899" s="377"/>
      <c r="F899" s="377"/>
      <c r="G899" s="377"/>
      <c r="H899" s="377"/>
    </row>
    <row r="900" spans="1:8">
      <c r="A900" s="377"/>
      <c r="B900" s="377"/>
      <c r="C900" s="377"/>
      <c r="D900" s="377"/>
      <c r="E900" s="377"/>
      <c r="F900" s="377"/>
      <c r="G900" s="377"/>
      <c r="H900" s="377"/>
    </row>
    <row r="901" spans="1:8">
      <c r="A901" s="377"/>
      <c r="B901" s="377"/>
      <c r="C901" s="377"/>
      <c r="D901" s="377"/>
      <c r="E901" s="377"/>
      <c r="F901" s="377"/>
      <c r="G901" s="377"/>
      <c r="H901" s="377"/>
    </row>
    <row r="902" spans="1:8">
      <c r="A902" s="377"/>
      <c r="B902" s="377"/>
      <c r="C902" s="377"/>
      <c r="D902" s="377"/>
      <c r="E902" s="377"/>
      <c r="F902" s="377"/>
      <c r="G902" s="377"/>
      <c r="H902" s="377"/>
    </row>
    <row r="903" spans="1:8">
      <c r="A903" s="377"/>
      <c r="B903" s="377"/>
      <c r="C903" s="377"/>
      <c r="D903" s="377"/>
      <c r="E903" s="377"/>
      <c r="F903" s="377"/>
      <c r="G903" s="377"/>
      <c r="H903" s="377"/>
    </row>
    <row r="904" spans="1:8">
      <c r="A904" s="377"/>
      <c r="B904" s="377"/>
      <c r="C904" s="377"/>
      <c r="D904" s="377"/>
      <c r="E904" s="377"/>
      <c r="F904" s="377"/>
      <c r="G904" s="377"/>
      <c r="H904" s="377"/>
    </row>
    <row r="905" spans="1:8">
      <c r="A905" s="377"/>
      <c r="B905" s="377"/>
      <c r="C905" s="377"/>
      <c r="D905" s="377"/>
      <c r="E905" s="377"/>
      <c r="F905" s="377"/>
      <c r="G905" s="377"/>
      <c r="H905" s="377"/>
    </row>
    <row r="906" spans="1:8">
      <c r="A906" s="377"/>
      <c r="B906" s="377"/>
      <c r="C906" s="377"/>
      <c r="D906" s="377"/>
      <c r="E906" s="377"/>
      <c r="F906" s="377"/>
      <c r="G906" s="377"/>
      <c r="H906" s="377"/>
    </row>
    <row r="907" spans="1:8">
      <c r="A907" s="377"/>
      <c r="B907" s="377"/>
      <c r="C907" s="377"/>
      <c r="D907" s="377"/>
      <c r="E907" s="377"/>
      <c r="F907" s="377"/>
      <c r="G907" s="377"/>
      <c r="H907" s="377"/>
    </row>
    <row r="908" spans="1:8">
      <c r="A908" s="377"/>
      <c r="B908" s="377"/>
      <c r="C908" s="377"/>
      <c r="D908" s="377"/>
      <c r="E908" s="377"/>
      <c r="F908" s="377"/>
      <c r="G908" s="377"/>
      <c r="H908" s="377"/>
    </row>
    <row r="909" spans="1:8">
      <c r="A909" s="377"/>
      <c r="B909" s="377"/>
      <c r="C909" s="377"/>
      <c r="D909" s="377"/>
      <c r="E909" s="377"/>
      <c r="F909" s="377"/>
      <c r="G909" s="377"/>
      <c r="H909" s="377"/>
    </row>
    <row r="910" spans="1:8">
      <c r="A910" s="377"/>
      <c r="B910" s="377"/>
      <c r="C910" s="377"/>
      <c r="D910" s="377"/>
      <c r="E910" s="377"/>
      <c r="F910" s="377"/>
      <c r="G910" s="377"/>
      <c r="H910" s="377"/>
    </row>
    <row r="911" spans="1:8">
      <c r="A911" s="377"/>
      <c r="B911" s="377"/>
      <c r="C911" s="377"/>
      <c r="D911" s="377"/>
      <c r="E911" s="377"/>
      <c r="F911" s="377"/>
      <c r="G911" s="377"/>
      <c r="H911" s="377"/>
    </row>
    <row r="912" spans="1:8">
      <c r="A912" s="377"/>
      <c r="B912" s="377"/>
      <c r="C912" s="377"/>
      <c r="D912" s="377"/>
      <c r="E912" s="377"/>
      <c r="F912" s="377"/>
      <c r="G912" s="377"/>
      <c r="H912" s="377"/>
    </row>
    <row r="913" spans="1:8">
      <c r="A913" s="377"/>
      <c r="B913" s="377"/>
      <c r="C913" s="377"/>
      <c r="D913" s="377"/>
      <c r="E913" s="377"/>
      <c r="F913" s="377"/>
      <c r="G913" s="377"/>
      <c r="H913" s="377"/>
    </row>
    <row r="914" spans="1:8">
      <c r="A914" s="377"/>
      <c r="B914" s="377"/>
      <c r="C914" s="377"/>
      <c r="D914" s="377"/>
      <c r="E914" s="377"/>
      <c r="F914" s="377"/>
      <c r="G914" s="377"/>
      <c r="H914" s="377"/>
    </row>
    <row r="915" spans="1:8">
      <c r="A915" s="377"/>
      <c r="B915" s="377"/>
      <c r="C915" s="377"/>
      <c r="D915" s="377"/>
      <c r="E915" s="377"/>
      <c r="F915" s="377"/>
      <c r="G915" s="377"/>
      <c r="H915" s="377"/>
    </row>
    <row r="916" spans="1:8">
      <c r="A916" s="377"/>
      <c r="B916" s="377"/>
      <c r="C916" s="377"/>
      <c r="D916" s="377"/>
      <c r="E916" s="377"/>
      <c r="F916" s="377"/>
      <c r="G916" s="377"/>
      <c r="H916" s="377"/>
    </row>
    <row r="917" spans="1:8">
      <c r="A917" s="377"/>
      <c r="B917" s="377"/>
      <c r="C917" s="377"/>
      <c r="D917" s="377"/>
      <c r="E917" s="377"/>
      <c r="F917" s="377"/>
      <c r="G917" s="377"/>
      <c r="H917" s="377"/>
    </row>
    <row r="918" spans="1:8">
      <c r="A918" s="377"/>
      <c r="B918" s="377"/>
      <c r="C918" s="377"/>
      <c r="D918" s="377"/>
      <c r="E918" s="377"/>
      <c r="F918" s="377"/>
      <c r="G918" s="377"/>
      <c r="H918" s="377"/>
    </row>
    <row r="919" spans="1:8">
      <c r="A919" s="377"/>
      <c r="B919" s="377"/>
      <c r="C919" s="377"/>
      <c r="D919" s="377"/>
      <c r="E919" s="377"/>
      <c r="F919" s="377"/>
      <c r="G919" s="377"/>
      <c r="H919" s="377"/>
    </row>
    <row r="920" spans="1:8">
      <c r="A920" s="377"/>
      <c r="B920" s="377"/>
      <c r="C920" s="377"/>
      <c r="D920" s="377"/>
      <c r="E920" s="377"/>
      <c r="F920" s="377"/>
      <c r="G920" s="377"/>
      <c r="H920" s="377"/>
    </row>
    <row r="921" spans="1:8">
      <c r="A921" s="377"/>
      <c r="B921" s="377"/>
      <c r="C921" s="377"/>
      <c r="D921" s="377"/>
      <c r="E921" s="377"/>
      <c r="F921" s="377"/>
      <c r="G921" s="377"/>
      <c r="H921" s="377"/>
    </row>
    <row r="922" spans="1:8">
      <c r="A922" s="377"/>
      <c r="B922" s="377"/>
      <c r="C922" s="377"/>
      <c r="D922" s="377"/>
      <c r="E922" s="377"/>
      <c r="F922" s="377"/>
      <c r="G922" s="377"/>
      <c r="H922" s="377"/>
    </row>
    <row r="923" spans="1:8">
      <c r="A923" s="377"/>
      <c r="B923" s="377"/>
      <c r="C923" s="377"/>
      <c r="D923" s="377"/>
      <c r="E923" s="377"/>
      <c r="F923" s="377"/>
      <c r="G923" s="377"/>
      <c r="H923" s="377"/>
    </row>
    <row r="924" spans="1:8">
      <c r="A924" s="377"/>
      <c r="B924" s="377"/>
      <c r="C924" s="377"/>
      <c r="D924" s="377"/>
      <c r="E924" s="377"/>
      <c r="F924" s="377"/>
      <c r="G924" s="377"/>
      <c r="H924" s="377"/>
    </row>
    <row r="925" spans="1:8">
      <c r="A925" s="377"/>
      <c r="B925" s="377"/>
      <c r="C925" s="377"/>
      <c r="D925" s="377"/>
      <c r="E925" s="377"/>
      <c r="F925" s="377"/>
      <c r="G925" s="377"/>
      <c r="H925" s="377"/>
    </row>
    <row r="926" spans="1:8">
      <c r="A926" s="377"/>
      <c r="B926" s="377"/>
      <c r="C926" s="377"/>
      <c r="D926" s="377"/>
      <c r="E926" s="377"/>
      <c r="F926" s="377"/>
      <c r="G926" s="377"/>
      <c r="H926" s="377"/>
    </row>
    <row r="927" spans="1:8">
      <c r="A927" s="377"/>
      <c r="B927" s="377"/>
      <c r="C927" s="377"/>
      <c r="D927" s="377"/>
      <c r="E927" s="377"/>
      <c r="F927" s="377"/>
      <c r="G927" s="377"/>
      <c r="H927" s="377"/>
    </row>
    <row r="928" spans="1:8">
      <c r="A928" s="377"/>
      <c r="B928" s="377"/>
      <c r="C928" s="377"/>
      <c r="D928" s="377"/>
      <c r="E928" s="377"/>
      <c r="F928" s="377"/>
      <c r="G928" s="377"/>
      <c r="H928" s="377"/>
    </row>
    <row r="929" spans="1:8">
      <c r="A929" s="377"/>
      <c r="B929" s="377"/>
      <c r="C929" s="377"/>
      <c r="D929" s="377"/>
      <c r="E929" s="377"/>
      <c r="F929" s="377"/>
      <c r="G929" s="377"/>
      <c r="H929" s="377"/>
    </row>
    <row r="930" spans="1:8">
      <c r="A930" s="377"/>
      <c r="B930" s="377"/>
      <c r="C930" s="377"/>
      <c r="D930" s="377"/>
      <c r="E930" s="377"/>
      <c r="F930" s="377"/>
      <c r="G930" s="377"/>
      <c r="H930" s="377"/>
    </row>
    <row r="931" spans="1:8">
      <c r="A931" s="377"/>
      <c r="B931" s="377"/>
      <c r="C931" s="377"/>
      <c r="D931" s="377"/>
      <c r="E931" s="377"/>
      <c r="F931" s="377"/>
      <c r="G931" s="377"/>
      <c r="H931" s="377"/>
    </row>
    <row r="932" spans="1:8">
      <c r="A932" s="377"/>
      <c r="B932" s="377"/>
      <c r="C932" s="377"/>
      <c r="D932" s="377"/>
      <c r="E932" s="377"/>
      <c r="F932" s="377"/>
      <c r="G932" s="377"/>
      <c r="H932" s="377"/>
    </row>
    <row r="933" spans="1:8">
      <c r="A933" s="377"/>
      <c r="B933" s="377"/>
      <c r="C933" s="377"/>
      <c r="D933" s="377"/>
      <c r="E933" s="377"/>
      <c r="F933" s="377"/>
      <c r="G933" s="377"/>
      <c r="H933" s="377"/>
    </row>
    <row r="934" spans="1:8">
      <c r="A934" s="377"/>
      <c r="B934" s="377"/>
      <c r="C934" s="377"/>
      <c r="D934" s="377"/>
      <c r="E934" s="377"/>
      <c r="F934" s="377"/>
      <c r="G934" s="377"/>
      <c r="H934" s="377"/>
    </row>
    <row r="935" spans="1:8">
      <c r="A935" s="377"/>
      <c r="B935" s="377"/>
      <c r="C935" s="377"/>
      <c r="D935" s="377"/>
      <c r="E935" s="377"/>
      <c r="F935" s="377"/>
      <c r="G935" s="377"/>
      <c r="H935" s="377"/>
    </row>
    <row r="936" spans="1:8">
      <c r="A936" s="377"/>
      <c r="B936" s="377"/>
      <c r="C936" s="377"/>
      <c r="D936" s="377"/>
      <c r="E936" s="377"/>
      <c r="F936" s="377"/>
      <c r="G936" s="377"/>
      <c r="H936" s="377"/>
    </row>
    <row r="937" spans="1:8">
      <c r="A937" s="377"/>
      <c r="B937" s="377"/>
      <c r="C937" s="377"/>
      <c r="D937" s="377"/>
      <c r="E937" s="377"/>
      <c r="F937" s="377"/>
      <c r="G937" s="377"/>
      <c r="H937" s="377"/>
    </row>
    <row r="938" spans="1:8">
      <c r="A938" s="377"/>
      <c r="B938" s="377"/>
      <c r="C938" s="377"/>
      <c r="D938" s="377"/>
      <c r="E938" s="377"/>
      <c r="F938" s="377"/>
      <c r="G938" s="377"/>
      <c r="H938" s="377"/>
    </row>
    <row r="939" spans="1:8">
      <c r="A939" s="377"/>
      <c r="B939" s="377"/>
      <c r="C939" s="377"/>
      <c r="D939" s="377"/>
      <c r="E939" s="377"/>
      <c r="F939" s="377"/>
      <c r="G939" s="377"/>
      <c r="H939" s="377"/>
    </row>
    <row r="940" spans="1:8">
      <c r="A940" s="377"/>
      <c r="B940" s="377"/>
      <c r="C940" s="377"/>
      <c r="D940" s="377"/>
      <c r="E940" s="377"/>
      <c r="F940" s="377"/>
      <c r="G940" s="377"/>
      <c r="H940" s="377"/>
    </row>
    <row r="941" spans="1:8">
      <c r="A941" s="377"/>
      <c r="B941" s="377"/>
      <c r="C941" s="377"/>
      <c r="D941" s="377"/>
      <c r="E941" s="377"/>
      <c r="F941" s="377"/>
      <c r="G941" s="377"/>
      <c r="H941" s="377"/>
    </row>
    <row r="942" spans="1:8">
      <c r="A942" s="377"/>
      <c r="B942" s="377"/>
      <c r="C942" s="377"/>
      <c r="D942" s="377"/>
      <c r="E942" s="377"/>
      <c r="F942" s="377"/>
      <c r="G942" s="377"/>
      <c r="H942" s="377"/>
    </row>
    <row r="943" spans="1:8">
      <c r="A943" s="377"/>
      <c r="B943" s="377"/>
      <c r="C943" s="377"/>
      <c r="D943" s="377"/>
      <c r="E943" s="377"/>
      <c r="F943" s="377"/>
      <c r="G943" s="377"/>
      <c r="H943" s="377"/>
    </row>
    <row r="944" spans="1:8">
      <c r="A944" s="377"/>
      <c r="B944" s="377"/>
      <c r="C944" s="377"/>
      <c r="D944" s="377"/>
      <c r="E944" s="377"/>
      <c r="F944" s="377"/>
      <c r="G944" s="377"/>
      <c r="H944" s="377"/>
    </row>
    <row r="945" spans="1:8">
      <c r="A945" s="377"/>
      <c r="B945" s="377"/>
      <c r="C945" s="377"/>
      <c r="D945" s="377"/>
      <c r="E945" s="377"/>
      <c r="F945" s="377"/>
      <c r="G945" s="377"/>
      <c r="H945" s="377"/>
    </row>
    <row r="946" spans="1:8">
      <c r="A946" s="377"/>
      <c r="B946" s="377"/>
      <c r="C946" s="377"/>
      <c r="D946" s="377"/>
      <c r="E946" s="377"/>
      <c r="F946" s="377"/>
      <c r="G946" s="377"/>
      <c r="H946" s="377"/>
    </row>
    <row r="947" spans="1:8">
      <c r="A947" s="377"/>
      <c r="B947" s="377"/>
      <c r="C947" s="377"/>
      <c r="D947" s="377"/>
      <c r="E947" s="377"/>
      <c r="F947" s="377"/>
      <c r="G947" s="377"/>
      <c r="H947" s="377"/>
    </row>
    <row r="948" spans="1:8">
      <c r="A948" s="377"/>
      <c r="B948" s="377"/>
      <c r="C948" s="377"/>
      <c r="D948" s="377"/>
      <c r="E948" s="377"/>
      <c r="F948" s="377"/>
      <c r="G948" s="377"/>
      <c r="H948" s="377"/>
    </row>
    <row r="949" spans="1:8">
      <c r="A949" s="377"/>
      <c r="B949" s="377"/>
      <c r="C949" s="377"/>
      <c r="D949" s="377"/>
      <c r="E949" s="377"/>
      <c r="F949" s="377"/>
      <c r="G949" s="377"/>
      <c r="H949" s="377"/>
    </row>
    <row r="950" spans="1:8">
      <c r="A950" s="377"/>
      <c r="B950" s="377"/>
      <c r="C950" s="377"/>
      <c r="D950" s="377"/>
      <c r="E950" s="377"/>
      <c r="F950" s="377"/>
      <c r="G950" s="377"/>
      <c r="H950" s="377"/>
    </row>
    <row r="951" spans="1:8">
      <c r="A951" s="377"/>
      <c r="B951" s="377"/>
      <c r="C951" s="377"/>
      <c r="D951" s="377"/>
      <c r="E951" s="377"/>
      <c r="F951" s="377"/>
      <c r="G951" s="377"/>
      <c r="H951" s="377"/>
    </row>
    <row r="952" spans="1:8">
      <c r="A952" s="377"/>
      <c r="B952" s="377"/>
      <c r="C952" s="377"/>
      <c r="D952" s="377"/>
      <c r="E952" s="377"/>
      <c r="F952" s="377"/>
      <c r="G952" s="377"/>
      <c r="H952" s="377"/>
    </row>
    <row r="953" spans="1:8">
      <c r="A953" s="377"/>
      <c r="B953" s="377"/>
      <c r="C953" s="377"/>
      <c r="D953" s="377"/>
      <c r="E953" s="377"/>
      <c r="F953" s="377"/>
      <c r="G953" s="377"/>
      <c r="H953" s="377"/>
    </row>
    <row r="954" spans="1:8">
      <c r="A954" s="377"/>
      <c r="B954" s="377"/>
      <c r="C954" s="377"/>
      <c r="D954" s="377"/>
      <c r="E954" s="377"/>
      <c r="F954" s="377"/>
      <c r="G954" s="377"/>
      <c r="H954" s="377"/>
    </row>
    <row r="955" spans="1:8">
      <c r="A955" s="377"/>
      <c r="B955" s="377"/>
      <c r="C955" s="377"/>
      <c r="D955" s="377"/>
      <c r="E955" s="377"/>
      <c r="F955" s="377"/>
      <c r="G955" s="377"/>
      <c r="H955" s="377"/>
    </row>
    <row r="956" spans="1:8">
      <c r="A956" s="377"/>
      <c r="B956" s="377"/>
      <c r="C956" s="377"/>
      <c r="D956" s="377"/>
      <c r="E956" s="377"/>
      <c r="F956" s="377"/>
      <c r="G956" s="377"/>
      <c r="H956" s="377"/>
    </row>
    <row r="957" spans="1:8">
      <c r="A957" s="377"/>
      <c r="B957" s="377"/>
      <c r="C957" s="377"/>
      <c r="D957" s="377"/>
      <c r="E957" s="377"/>
      <c r="F957" s="377"/>
      <c r="G957" s="377"/>
      <c r="H957" s="377"/>
    </row>
    <row r="958" spans="1:8">
      <c r="A958" s="377"/>
      <c r="B958" s="377"/>
      <c r="C958" s="377"/>
      <c r="D958" s="377"/>
      <c r="E958" s="377"/>
      <c r="F958" s="377"/>
      <c r="G958" s="377"/>
      <c r="H958" s="377"/>
    </row>
    <row r="959" spans="1:8">
      <c r="A959" s="377"/>
      <c r="B959" s="377"/>
      <c r="C959" s="377"/>
      <c r="D959" s="377"/>
      <c r="E959" s="377"/>
      <c r="F959" s="377"/>
      <c r="G959" s="377"/>
      <c r="H959" s="377"/>
    </row>
    <row r="960" spans="1:8">
      <c r="A960" s="377"/>
      <c r="B960" s="377"/>
      <c r="C960" s="377"/>
      <c r="D960" s="377"/>
      <c r="E960" s="377"/>
      <c r="F960" s="377"/>
      <c r="G960" s="377"/>
      <c r="H960" s="377"/>
    </row>
    <row r="961" spans="1:8">
      <c r="A961" s="377"/>
      <c r="B961" s="377"/>
      <c r="C961" s="377"/>
      <c r="D961" s="377"/>
      <c r="E961" s="377"/>
      <c r="F961" s="377"/>
      <c r="G961" s="377"/>
      <c r="H961" s="377"/>
    </row>
    <row r="962" spans="1:8">
      <c r="A962" s="377"/>
      <c r="B962" s="377"/>
      <c r="C962" s="377"/>
      <c r="D962" s="377"/>
      <c r="E962" s="377"/>
      <c r="F962" s="377"/>
      <c r="G962" s="377"/>
      <c r="H962" s="377"/>
    </row>
    <row r="963" spans="1:8">
      <c r="A963" s="377"/>
      <c r="B963" s="377"/>
      <c r="C963" s="377"/>
      <c r="D963" s="377"/>
      <c r="E963" s="377"/>
      <c r="F963" s="377"/>
      <c r="G963" s="377"/>
      <c r="H963" s="377"/>
    </row>
    <row r="964" spans="1:8">
      <c r="A964" s="377"/>
      <c r="B964" s="377"/>
      <c r="C964" s="377"/>
      <c r="D964" s="377"/>
      <c r="E964" s="377"/>
      <c r="F964" s="377"/>
      <c r="G964" s="377"/>
      <c r="H964" s="377"/>
    </row>
    <row r="965" spans="1:8">
      <c r="A965" s="377"/>
      <c r="B965" s="377"/>
      <c r="C965" s="377"/>
      <c r="D965" s="377"/>
      <c r="E965" s="377"/>
      <c r="F965" s="377"/>
      <c r="G965" s="377"/>
      <c r="H965" s="377"/>
    </row>
    <row r="966" spans="1:8">
      <c r="A966" s="377"/>
      <c r="B966" s="377"/>
      <c r="C966" s="377"/>
      <c r="D966" s="377"/>
      <c r="E966" s="377"/>
      <c r="F966" s="377"/>
      <c r="G966" s="377"/>
      <c r="H966" s="377"/>
    </row>
    <row r="967" spans="1:8">
      <c r="A967" s="377"/>
      <c r="B967" s="377"/>
      <c r="C967" s="377"/>
      <c r="D967" s="377"/>
      <c r="E967" s="377"/>
      <c r="F967" s="377"/>
      <c r="G967" s="377"/>
      <c r="H967" s="377"/>
    </row>
    <row r="968" spans="1:8">
      <c r="A968" s="377"/>
      <c r="B968" s="377"/>
      <c r="C968" s="377"/>
      <c r="D968" s="377"/>
      <c r="E968" s="377"/>
      <c r="F968" s="377"/>
      <c r="G968" s="377"/>
      <c r="H968" s="377"/>
    </row>
    <row r="969" spans="1:8">
      <c r="A969" s="377"/>
      <c r="B969" s="377"/>
      <c r="C969" s="377"/>
      <c r="D969" s="377"/>
      <c r="E969" s="377"/>
      <c r="F969" s="377"/>
      <c r="G969" s="377"/>
      <c r="H969" s="377"/>
    </row>
    <row r="970" spans="1:8">
      <c r="A970" s="377"/>
      <c r="B970" s="377"/>
      <c r="C970" s="377"/>
      <c r="D970" s="377"/>
      <c r="E970" s="377"/>
      <c r="F970" s="377"/>
      <c r="G970" s="377"/>
      <c r="H970" s="377"/>
    </row>
    <row r="971" spans="1:8">
      <c r="A971" s="377"/>
      <c r="B971" s="377"/>
      <c r="C971" s="377"/>
      <c r="D971" s="377"/>
      <c r="E971" s="377"/>
      <c r="F971" s="377"/>
      <c r="G971" s="377"/>
      <c r="H971" s="377"/>
    </row>
    <row r="972" spans="1:8">
      <c r="A972" s="377"/>
      <c r="B972" s="377"/>
      <c r="C972" s="377"/>
      <c r="D972" s="377"/>
      <c r="E972" s="377"/>
      <c r="F972" s="377"/>
      <c r="G972" s="377"/>
      <c r="H972" s="377"/>
    </row>
    <row r="973" spans="1:8">
      <c r="A973" s="377"/>
      <c r="B973" s="377"/>
      <c r="C973" s="377"/>
      <c r="D973" s="377"/>
      <c r="E973" s="377"/>
      <c r="F973" s="377"/>
      <c r="G973" s="377"/>
      <c r="H973" s="377"/>
    </row>
    <row r="974" spans="1:8">
      <c r="A974" s="377"/>
      <c r="B974" s="377"/>
      <c r="C974" s="377"/>
      <c r="D974" s="377"/>
      <c r="E974" s="377"/>
      <c r="F974" s="377"/>
      <c r="G974" s="377"/>
      <c r="H974" s="377"/>
    </row>
    <row r="975" spans="1:8">
      <c r="A975" s="377"/>
      <c r="B975" s="377"/>
      <c r="C975" s="377"/>
      <c r="D975" s="377"/>
      <c r="E975" s="377"/>
      <c r="F975" s="377"/>
      <c r="G975" s="377"/>
      <c r="H975" s="377"/>
    </row>
    <row r="976" spans="1:8">
      <c r="A976" s="377"/>
      <c r="B976" s="377"/>
      <c r="C976" s="377"/>
      <c r="D976" s="377"/>
      <c r="E976" s="377"/>
      <c r="F976" s="377"/>
      <c r="G976" s="377"/>
      <c r="H976" s="377"/>
    </row>
    <row r="977" spans="1:8">
      <c r="A977" s="377"/>
      <c r="B977" s="377"/>
      <c r="C977" s="377"/>
      <c r="D977" s="377"/>
      <c r="E977" s="377"/>
      <c r="F977" s="377"/>
      <c r="G977" s="377"/>
      <c r="H977" s="377"/>
    </row>
    <row r="978" spans="1:8">
      <c r="A978" s="377"/>
      <c r="B978" s="377"/>
      <c r="C978" s="377"/>
      <c r="D978" s="377"/>
      <c r="E978" s="377"/>
      <c r="F978" s="377"/>
      <c r="G978" s="377"/>
      <c r="H978" s="377"/>
    </row>
    <row r="979" spans="1:8">
      <c r="A979" s="377"/>
      <c r="B979" s="377"/>
      <c r="C979" s="377"/>
      <c r="D979" s="377"/>
      <c r="E979" s="377"/>
      <c r="F979" s="377"/>
      <c r="G979" s="377"/>
      <c r="H979" s="377"/>
    </row>
    <row r="980" spans="1:8">
      <c r="A980" s="377"/>
      <c r="B980" s="377"/>
      <c r="C980" s="377"/>
      <c r="D980" s="377"/>
      <c r="E980" s="377"/>
      <c r="F980" s="377"/>
      <c r="G980" s="377"/>
      <c r="H980" s="377"/>
    </row>
    <row r="981" spans="1:8">
      <c r="A981" s="377"/>
      <c r="B981" s="377"/>
      <c r="C981" s="377"/>
      <c r="D981" s="377"/>
      <c r="E981" s="377"/>
      <c r="F981" s="377"/>
      <c r="G981" s="377"/>
      <c r="H981" s="377"/>
    </row>
    <row r="982" spans="1:8">
      <c r="A982" s="377"/>
      <c r="B982" s="377"/>
      <c r="C982" s="377"/>
      <c r="D982" s="377"/>
      <c r="E982" s="377"/>
      <c r="F982" s="377"/>
      <c r="G982" s="377"/>
      <c r="H982" s="377"/>
    </row>
    <row r="983" spans="1:8">
      <c r="A983" s="377"/>
      <c r="B983" s="377"/>
      <c r="C983" s="377"/>
      <c r="D983" s="377"/>
      <c r="E983" s="377"/>
      <c r="F983" s="377"/>
      <c r="G983" s="377"/>
      <c r="H983" s="377"/>
    </row>
    <row r="984" spans="1:8">
      <c r="A984" s="377"/>
      <c r="B984" s="377"/>
      <c r="C984" s="377"/>
      <c r="D984" s="377"/>
      <c r="E984" s="377"/>
      <c r="F984" s="377"/>
      <c r="G984" s="377"/>
      <c r="H984" s="377"/>
    </row>
    <row r="985" spans="1:8">
      <c r="A985" s="377"/>
      <c r="B985" s="377"/>
      <c r="C985" s="377"/>
      <c r="D985" s="377"/>
      <c r="E985" s="377"/>
      <c r="F985" s="377"/>
      <c r="G985" s="377"/>
      <c r="H985" s="377"/>
    </row>
    <row r="986" spans="1:8">
      <c r="A986" s="377"/>
      <c r="B986" s="377"/>
      <c r="C986" s="377"/>
      <c r="D986" s="377"/>
      <c r="E986" s="377"/>
      <c r="F986" s="377"/>
      <c r="G986" s="377"/>
      <c r="H986" s="377"/>
    </row>
    <row r="987" spans="1:8">
      <c r="A987" s="377"/>
      <c r="B987" s="377"/>
      <c r="C987" s="377"/>
      <c r="D987" s="377"/>
      <c r="E987" s="377"/>
      <c r="F987" s="377"/>
      <c r="G987" s="377"/>
      <c r="H987" s="377"/>
    </row>
    <row r="988" spans="1:8">
      <c r="A988" s="377"/>
      <c r="B988" s="377"/>
      <c r="C988" s="377"/>
      <c r="D988" s="377"/>
      <c r="E988" s="377"/>
      <c r="F988" s="377"/>
      <c r="G988" s="377"/>
      <c r="H988" s="377"/>
    </row>
    <row r="989" spans="1:8">
      <c r="A989" s="377"/>
      <c r="B989" s="377"/>
      <c r="C989" s="377"/>
      <c r="D989" s="377"/>
      <c r="E989" s="377"/>
      <c r="F989" s="377"/>
      <c r="G989" s="377"/>
      <c r="H989" s="377"/>
    </row>
    <row r="990" spans="1:8">
      <c r="A990" s="377"/>
      <c r="B990" s="377"/>
      <c r="C990" s="377"/>
      <c r="D990" s="377"/>
      <c r="E990" s="377"/>
      <c r="F990" s="377"/>
      <c r="G990" s="377"/>
      <c r="H990" s="377"/>
    </row>
    <row r="991" spans="1:8">
      <c r="A991" s="377"/>
      <c r="B991" s="377"/>
      <c r="C991" s="377"/>
      <c r="D991" s="377"/>
      <c r="E991" s="377"/>
      <c r="F991" s="377"/>
      <c r="G991" s="377"/>
      <c r="H991" s="377"/>
    </row>
    <row r="992" spans="1:8">
      <c r="A992" s="377"/>
      <c r="B992" s="377"/>
      <c r="C992" s="377"/>
      <c r="D992" s="377"/>
      <c r="E992" s="377"/>
      <c r="F992" s="377"/>
      <c r="G992" s="377"/>
      <c r="H992" s="377"/>
    </row>
    <row r="993" spans="1:8">
      <c r="A993" s="377"/>
      <c r="B993" s="377"/>
      <c r="C993" s="377"/>
      <c r="D993" s="377"/>
      <c r="E993" s="377"/>
      <c r="F993" s="377"/>
      <c r="G993" s="377"/>
      <c r="H993" s="377"/>
    </row>
    <row r="994" spans="1:8">
      <c r="A994" s="377"/>
      <c r="B994" s="377"/>
      <c r="C994" s="377"/>
      <c r="D994" s="377"/>
      <c r="E994" s="377"/>
      <c r="F994" s="377"/>
      <c r="G994" s="377"/>
      <c r="H994" s="377"/>
    </row>
    <row r="995" spans="1:8">
      <c r="A995" s="377"/>
      <c r="B995" s="377"/>
      <c r="C995" s="377"/>
      <c r="D995" s="377"/>
      <c r="E995" s="377"/>
      <c r="F995" s="377"/>
      <c r="G995" s="377"/>
      <c r="H995" s="377"/>
    </row>
    <row r="996" spans="1:8">
      <c r="A996" s="377"/>
      <c r="B996" s="377"/>
      <c r="C996" s="377"/>
      <c r="D996" s="377"/>
      <c r="E996" s="377"/>
      <c r="F996" s="377"/>
      <c r="G996" s="377"/>
      <c r="H996" s="377"/>
    </row>
    <row r="997" spans="1:8">
      <c r="A997" s="377"/>
      <c r="B997" s="377"/>
      <c r="C997" s="377"/>
      <c r="D997" s="377"/>
      <c r="E997" s="377"/>
      <c r="F997" s="377"/>
      <c r="G997" s="377"/>
      <c r="H997" s="377"/>
    </row>
    <row r="998" spans="1:8">
      <c r="A998" s="377"/>
      <c r="B998" s="377"/>
      <c r="C998" s="377"/>
      <c r="D998" s="377"/>
      <c r="E998" s="377"/>
      <c r="F998" s="377"/>
      <c r="G998" s="377"/>
      <c r="H998" s="377"/>
    </row>
    <row r="999" spans="1:8">
      <c r="A999" s="377"/>
      <c r="B999" s="377"/>
      <c r="C999" s="377"/>
      <c r="D999" s="377"/>
      <c r="E999" s="377"/>
      <c r="F999" s="377"/>
      <c r="G999" s="377"/>
      <c r="H999" s="377"/>
    </row>
    <row r="1000" spans="1:8">
      <c r="A1000" s="377"/>
      <c r="B1000" s="377"/>
      <c r="C1000" s="377"/>
      <c r="D1000" s="377"/>
      <c r="E1000" s="377"/>
      <c r="F1000" s="377"/>
      <c r="G1000" s="377"/>
      <c r="H1000" s="377"/>
    </row>
    <row r="1001" spans="1:8">
      <c r="A1001" s="377"/>
      <c r="B1001" s="377"/>
      <c r="C1001" s="377"/>
      <c r="D1001" s="377"/>
      <c r="E1001" s="377"/>
      <c r="F1001" s="377"/>
      <c r="G1001" s="377"/>
      <c r="H1001" s="377"/>
    </row>
    <row r="1002" spans="1:8">
      <c r="A1002" s="377"/>
      <c r="B1002" s="377"/>
      <c r="C1002" s="377"/>
      <c r="D1002" s="377"/>
      <c r="E1002" s="377"/>
      <c r="F1002" s="377"/>
      <c r="G1002" s="377"/>
      <c r="H1002" s="377"/>
    </row>
  </sheetData>
  <sheetProtection selectLockedCells="1"/>
  <mergeCells count="11">
    <mergeCell ref="A48:A54"/>
    <mergeCell ref="A56:G56"/>
    <mergeCell ref="A58:A60"/>
    <mergeCell ref="A62:A63"/>
    <mergeCell ref="A66:E66"/>
    <mergeCell ref="A43:A47"/>
    <mergeCell ref="A6:H6"/>
    <mergeCell ref="A19:H19"/>
    <mergeCell ref="A29:I29"/>
    <mergeCell ref="A32:A38"/>
    <mergeCell ref="A39:A42"/>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69A08-19F5-4041-A9E7-912C3AD5480B}">
  <sheetPr>
    <tabColor theme="9"/>
  </sheetPr>
  <dimension ref="A1:BW468"/>
  <sheetViews>
    <sheetView topLeftCell="A19" zoomScaleNormal="100" workbookViewId="0">
      <selection activeCell="C27" sqref="C27"/>
    </sheetView>
  </sheetViews>
  <sheetFormatPr baseColWidth="10" defaultColWidth="11.44140625" defaultRowHeight="15.6"/>
  <cols>
    <col min="1" max="1" width="30.109375" style="133" bestFit="1" customWidth="1"/>
    <col min="2" max="2" width="12" style="133" customWidth="1"/>
    <col min="3" max="3" width="34.44140625" style="133" bestFit="1" customWidth="1"/>
    <col min="4" max="4" width="13" style="133" customWidth="1"/>
    <col min="5" max="5" width="14.88671875" style="133" bestFit="1" customWidth="1"/>
    <col min="6" max="16384" width="11.44140625" style="133"/>
  </cols>
  <sheetData>
    <row r="1" spans="1:75">
      <c r="A1" s="131"/>
      <c r="B1" s="131"/>
      <c r="C1" s="131"/>
      <c r="D1" s="131"/>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row>
    <row r="2" spans="1:75" ht="26.4">
      <c r="A2" s="665" t="s">
        <v>456</v>
      </c>
      <c r="B2" s="665"/>
      <c r="C2" s="665"/>
      <c r="D2" s="665"/>
      <c r="E2" s="665"/>
      <c r="F2" s="665"/>
      <c r="G2" s="665"/>
      <c r="H2" s="665"/>
      <c r="I2" s="665"/>
      <c r="J2" s="665"/>
      <c r="K2" s="665"/>
      <c r="L2" s="665"/>
      <c r="M2" s="665"/>
      <c r="N2" s="665"/>
      <c r="O2" s="665"/>
      <c r="P2" s="665"/>
      <c r="Q2" s="665"/>
      <c r="R2" s="665"/>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row>
    <row r="3" spans="1:7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row>
    <row r="4" spans="1:75" ht="15.75" customHeight="1">
      <c r="A4" s="647" t="s">
        <v>457</v>
      </c>
      <c r="B4" s="647"/>
      <c r="C4" s="647"/>
      <c r="D4" s="647"/>
      <c r="E4" s="647"/>
      <c r="F4" s="647"/>
      <c r="G4" s="647"/>
      <c r="H4" s="647"/>
      <c r="I4" s="647"/>
      <c r="J4" s="647"/>
      <c r="K4" s="647"/>
      <c r="L4" s="647"/>
      <c r="M4" s="647"/>
      <c r="N4" s="647"/>
      <c r="O4" s="647"/>
      <c r="P4" s="647"/>
      <c r="Q4" s="647"/>
      <c r="R4" s="647"/>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row>
    <row r="5" spans="1:75" ht="16.2" thickBot="1">
      <c r="A5" s="134"/>
      <c r="B5" s="134"/>
      <c r="C5" s="134"/>
      <c r="D5" s="134"/>
      <c r="E5" s="134"/>
      <c r="F5" s="134"/>
      <c r="G5" s="134"/>
      <c r="H5" s="134"/>
      <c r="I5" s="134"/>
      <c r="J5" s="134"/>
      <c r="K5" s="134"/>
      <c r="L5" s="134"/>
      <c r="M5" s="134"/>
      <c r="N5" s="134"/>
      <c r="O5" s="134"/>
      <c r="P5" s="134"/>
      <c r="Q5" s="134"/>
      <c r="R5" s="134"/>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row>
    <row r="6" spans="1:75" ht="24.75" customHeight="1" thickBot="1">
      <c r="A6" s="135" t="s">
        <v>672</v>
      </c>
      <c r="B6" s="136">
        <f>$D$51</f>
        <v>0</v>
      </c>
      <c r="C6" s="137"/>
      <c r="D6" s="137"/>
      <c r="E6" s="138"/>
      <c r="F6" s="138"/>
      <c r="G6" s="138"/>
      <c r="H6" s="138"/>
      <c r="I6" s="138"/>
      <c r="J6" s="138"/>
      <c r="K6" s="138"/>
      <c r="L6" s="138"/>
      <c r="M6" s="138"/>
      <c r="N6" s="138"/>
      <c r="O6" s="138"/>
      <c r="P6" s="138"/>
      <c r="Q6" s="138"/>
      <c r="R6" s="138"/>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row>
    <row r="7" spans="1:75" ht="26.25" customHeight="1" thickBot="1">
      <c r="A7" s="139" t="s">
        <v>673</v>
      </c>
      <c r="B7" s="140">
        <f>$D$58</f>
        <v>0</v>
      </c>
      <c r="C7" s="137"/>
      <c r="D7" s="137"/>
      <c r="E7" s="138"/>
      <c r="F7" s="138"/>
      <c r="G7" s="138"/>
      <c r="H7" s="138"/>
      <c r="I7" s="138"/>
      <c r="J7" s="138"/>
      <c r="K7" s="138"/>
      <c r="L7" s="138"/>
      <c r="M7" s="138"/>
      <c r="N7" s="138"/>
      <c r="O7" s="138"/>
      <c r="P7" s="138"/>
      <c r="Q7" s="138"/>
      <c r="R7" s="138"/>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row>
    <row r="8" spans="1:75" ht="30" customHeight="1" thickBot="1">
      <c r="A8" s="141" t="s">
        <v>674</v>
      </c>
      <c r="B8" s="142">
        <f>$D$70</f>
        <v>0</v>
      </c>
      <c r="C8" s="137"/>
      <c r="D8" s="137"/>
      <c r="E8" s="138"/>
      <c r="F8" s="138"/>
      <c r="G8" s="138"/>
      <c r="H8" s="138"/>
      <c r="I8" s="138"/>
      <c r="J8" s="138"/>
      <c r="K8" s="138"/>
      <c r="L8" s="138"/>
      <c r="M8" s="138"/>
      <c r="N8" s="138"/>
      <c r="O8" s="138"/>
      <c r="P8" s="138"/>
      <c r="Q8" s="138"/>
      <c r="R8" s="138"/>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row>
    <row r="9" spans="1:75" ht="29.25" customHeight="1" thickBot="1">
      <c r="A9" s="143" t="s">
        <v>675</v>
      </c>
      <c r="B9" s="144">
        <f>SUM(B6:B8)</f>
        <v>0</v>
      </c>
      <c r="C9" s="137"/>
      <c r="D9" s="137"/>
      <c r="E9" s="138"/>
      <c r="F9" s="138"/>
      <c r="G9" s="138"/>
      <c r="H9" s="138"/>
      <c r="I9" s="138"/>
      <c r="J9" s="138"/>
      <c r="K9" s="138"/>
      <c r="L9" s="138"/>
      <c r="M9" s="138"/>
      <c r="N9" s="138"/>
      <c r="O9" s="138"/>
      <c r="P9" s="138"/>
      <c r="Q9" s="138"/>
      <c r="R9" s="138"/>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row>
    <row r="10" spans="1:75">
      <c r="A10" s="137"/>
      <c r="B10" s="137"/>
      <c r="C10" s="137"/>
      <c r="D10" s="137"/>
      <c r="E10" s="138"/>
      <c r="F10" s="138"/>
      <c r="G10" s="138"/>
      <c r="H10" s="138"/>
      <c r="I10" s="138"/>
      <c r="J10" s="138"/>
      <c r="K10" s="138"/>
      <c r="L10" s="138"/>
      <c r="M10" s="138"/>
      <c r="N10" s="138"/>
      <c r="O10" s="138"/>
      <c r="P10" s="138"/>
      <c r="Q10" s="138"/>
      <c r="R10" s="138"/>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row>
    <row r="11" spans="1:75">
      <c r="A11" s="137"/>
      <c r="B11" s="137"/>
      <c r="C11" s="137"/>
      <c r="D11" s="137"/>
      <c r="E11" s="138"/>
      <c r="F11" s="138"/>
      <c r="G11" s="138"/>
      <c r="H11" s="138"/>
      <c r="I11" s="138"/>
      <c r="J11" s="138"/>
      <c r="K11" s="138"/>
      <c r="L11" s="138"/>
      <c r="M11" s="138"/>
      <c r="N11" s="138"/>
      <c r="O11" s="138"/>
      <c r="P11" s="138"/>
      <c r="Q11" s="138"/>
      <c r="R11" s="138"/>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row>
    <row r="12" spans="1:75">
      <c r="A12" s="137"/>
      <c r="B12" s="137"/>
      <c r="C12" s="137"/>
      <c r="D12" s="137"/>
      <c r="E12" s="138"/>
      <c r="F12" s="138"/>
      <c r="G12" s="138"/>
      <c r="H12" s="138"/>
      <c r="I12" s="138"/>
      <c r="J12" s="138"/>
      <c r="K12" s="138"/>
      <c r="L12" s="138"/>
      <c r="M12" s="138"/>
      <c r="N12" s="138"/>
      <c r="O12" s="138"/>
      <c r="P12" s="138"/>
      <c r="Q12" s="138"/>
      <c r="R12" s="138"/>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row>
    <row r="13" spans="1:75">
      <c r="A13" s="137"/>
      <c r="B13" s="137"/>
      <c r="C13" s="137"/>
      <c r="D13" s="137"/>
      <c r="E13" s="138"/>
      <c r="F13" s="138"/>
      <c r="G13" s="138"/>
      <c r="H13" s="138"/>
      <c r="I13" s="138"/>
      <c r="J13" s="138"/>
      <c r="K13" s="138"/>
      <c r="L13" s="138"/>
      <c r="M13" s="138"/>
      <c r="N13" s="138"/>
      <c r="O13" s="138"/>
      <c r="P13" s="138"/>
      <c r="Q13" s="138"/>
      <c r="R13" s="138"/>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row>
    <row r="14" spans="1:75">
      <c r="A14" s="137"/>
      <c r="B14" s="137"/>
      <c r="C14" s="137"/>
      <c r="D14" s="137"/>
      <c r="E14" s="138"/>
      <c r="F14" s="138"/>
      <c r="G14" s="138"/>
      <c r="H14" s="138"/>
      <c r="I14" s="138"/>
      <c r="J14" s="138"/>
      <c r="K14" s="138"/>
      <c r="L14" s="138"/>
      <c r="M14" s="138"/>
      <c r="N14" s="138"/>
      <c r="O14" s="138"/>
      <c r="P14" s="138"/>
      <c r="Q14" s="138"/>
      <c r="R14" s="138"/>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row>
    <row r="15" spans="1:75">
      <c r="A15" s="137"/>
      <c r="B15" s="137"/>
      <c r="C15" s="137"/>
      <c r="D15" s="137"/>
      <c r="E15" s="138"/>
      <c r="F15" s="138"/>
      <c r="G15" s="138"/>
      <c r="H15" s="138"/>
      <c r="I15" s="138"/>
      <c r="J15" s="138"/>
      <c r="K15" s="138"/>
      <c r="L15" s="138"/>
      <c r="M15" s="138"/>
      <c r="N15" s="138"/>
      <c r="O15" s="138"/>
      <c r="P15" s="138"/>
      <c r="Q15" s="138"/>
      <c r="R15" s="138"/>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row>
    <row r="16" spans="1:75">
      <c r="A16" s="137"/>
      <c r="B16" s="137"/>
      <c r="C16" s="137"/>
      <c r="D16" s="137"/>
      <c r="E16" s="138"/>
      <c r="F16" s="138"/>
      <c r="G16" s="138"/>
      <c r="H16" s="138"/>
      <c r="I16" s="138"/>
      <c r="J16" s="138"/>
      <c r="K16" s="138"/>
      <c r="L16" s="138"/>
      <c r="M16" s="138"/>
      <c r="N16" s="138"/>
      <c r="O16" s="138"/>
      <c r="P16" s="138"/>
      <c r="Q16" s="138"/>
      <c r="R16" s="138"/>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row>
    <row r="17" spans="1:75">
      <c r="A17" s="137"/>
      <c r="B17" s="137"/>
      <c r="C17" s="137"/>
      <c r="D17" s="137"/>
      <c r="E17" s="138"/>
      <c r="F17" s="138"/>
      <c r="G17" s="138"/>
      <c r="H17" s="138"/>
      <c r="I17" s="138"/>
      <c r="J17" s="138"/>
      <c r="K17" s="138"/>
      <c r="L17" s="138"/>
      <c r="M17" s="138"/>
      <c r="N17" s="138"/>
      <c r="O17" s="138"/>
      <c r="P17" s="138"/>
      <c r="Q17" s="138"/>
      <c r="R17" s="138"/>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row>
    <row r="18" spans="1:75">
      <c r="A18" s="137"/>
      <c r="B18" s="137"/>
      <c r="C18" s="137"/>
      <c r="D18" s="137"/>
      <c r="E18" s="138"/>
      <c r="F18" s="138"/>
      <c r="G18" s="138"/>
      <c r="H18" s="138"/>
      <c r="I18" s="138"/>
      <c r="J18" s="138"/>
      <c r="K18" s="138"/>
      <c r="L18" s="138"/>
      <c r="M18" s="138"/>
      <c r="N18" s="138"/>
      <c r="O18" s="138"/>
      <c r="P18" s="138"/>
      <c r="Q18" s="138"/>
      <c r="R18" s="138"/>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row>
    <row r="19" spans="1:75">
      <c r="A19" s="137"/>
      <c r="B19" s="137"/>
      <c r="C19" s="137"/>
      <c r="D19" s="137"/>
      <c r="E19" s="138"/>
      <c r="F19" s="138"/>
      <c r="G19" s="138"/>
      <c r="H19" s="138"/>
      <c r="I19" s="138"/>
      <c r="J19" s="138"/>
      <c r="K19" s="138"/>
      <c r="L19" s="138"/>
      <c r="M19" s="138"/>
      <c r="N19" s="138"/>
      <c r="O19" s="138"/>
      <c r="P19" s="138"/>
      <c r="Q19" s="138"/>
      <c r="R19" s="138"/>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row>
    <row r="20" spans="1:75">
      <c r="A20" s="137"/>
      <c r="B20" s="137"/>
      <c r="C20" s="137"/>
      <c r="D20" s="137"/>
      <c r="E20" s="138"/>
      <c r="F20" s="138"/>
      <c r="G20" s="138"/>
      <c r="H20" s="138"/>
      <c r="I20" s="138"/>
      <c r="J20" s="138"/>
      <c r="K20" s="138"/>
      <c r="L20" s="138"/>
      <c r="M20" s="138"/>
      <c r="N20" s="138"/>
      <c r="O20" s="138"/>
      <c r="P20" s="138"/>
      <c r="Q20" s="138"/>
      <c r="R20" s="138"/>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row>
    <row r="21" spans="1:75">
      <c r="A21" s="137"/>
      <c r="B21" s="137"/>
      <c r="C21" s="137"/>
      <c r="D21" s="137"/>
      <c r="E21" s="138"/>
      <c r="F21" s="138"/>
      <c r="G21" s="138"/>
      <c r="H21" s="138"/>
      <c r="I21" s="138"/>
      <c r="J21" s="138"/>
      <c r="K21" s="138"/>
      <c r="L21" s="138"/>
      <c r="M21" s="138"/>
      <c r="N21" s="138"/>
      <c r="O21" s="138"/>
      <c r="P21" s="138"/>
      <c r="Q21" s="138"/>
      <c r="R21" s="138"/>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row>
    <row r="22" spans="1:75">
      <c r="A22" s="647" t="s">
        <v>458</v>
      </c>
      <c r="B22" s="647"/>
      <c r="C22" s="647"/>
      <c r="D22" s="647"/>
      <c r="E22" s="647"/>
      <c r="F22" s="647"/>
      <c r="G22" s="647"/>
      <c r="H22" s="647"/>
      <c r="I22" s="647"/>
      <c r="J22" s="647"/>
      <c r="K22" s="647"/>
      <c r="L22" s="647"/>
      <c r="M22" s="647"/>
      <c r="N22" s="647"/>
      <c r="O22" s="647"/>
      <c r="P22" s="647"/>
      <c r="Q22" s="647"/>
      <c r="R22" s="647"/>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row>
    <row r="23" spans="1:75" ht="16.2" thickBot="1">
      <c r="A23" s="145"/>
      <c r="B23" s="145"/>
      <c r="C23" s="145"/>
      <c r="D23" s="137"/>
      <c r="E23" s="138"/>
      <c r="F23" s="138"/>
      <c r="G23" s="138"/>
      <c r="H23" s="138"/>
      <c r="I23" s="138"/>
      <c r="J23" s="138"/>
      <c r="K23" s="138"/>
      <c r="L23" s="138"/>
      <c r="M23" s="138"/>
      <c r="N23" s="138"/>
      <c r="O23" s="138"/>
      <c r="P23" s="138"/>
      <c r="Q23" s="138"/>
      <c r="R23" s="138"/>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row>
    <row r="24" spans="1:75" ht="16.8" thickBot="1">
      <c r="A24" s="678" t="s">
        <v>676</v>
      </c>
      <c r="B24" s="679"/>
      <c r="C24" s="680"/>
      <c r="D24" s="137"/>
      <c r="E24" s="138"/>
      <c r="F24" s="138"/>
      <c r="G24" s="138"/>
      <c r="H24" s="138"/>
      <c r="I24" s="138"/>
      <c r="J24" s="138"/>
      <c r="K24" s="138"/>
      <c r="L24" s="138"/>
      <c r="M24" s="138"/>
      <c r="N24" s="138"/>
      <c r="O24" s="138"/>
      <c r="P24" s="138"/>
      <c r="Q24" s="138"/>
      <c r="R24" s="138"/>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row>
    <row r="25" spans="1:75" ht="16.2">
      <c r="A25" s="674" t="s">
        <v>677</v>
      </c>
      <c r="B25" s="675"/>
      <c r="C25" s="146">
        <f>'A1-Fuentes móviles'!$V$17+'A1-Fuentes fijas'!$V$20+'A1-IPPU'!$Y$18+'A1- Otros procesos'!$Z$20+'A1-Gestión de residuos y aguas '!Y27</f>
        <v>0</v>
      </c>
      <c r="D25" s="137"/>
      <c r="E25" s="138"/>
      <c r="F25" s="138"/>
      <c r="G25" s="138"/>
      <c r="H25" s="138"/>
      <c r="I25" s="138"/>
      <c r="J25" s="138"/>
      <c r="K25" s="138"/>
      <c r="L25" s="138"/>
      <c r="M25" s="138"/>
      <c r="N25" s="138"/>
      <c r="O25" s="138"/>
      <c r="P25" s="138"/>
      <c r="Q25" s="138"/>
      <c r="R25" s="138"/>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row>
    <row r="26" spans="1:75" ht="16.2">
      <c r="A26" s="674" t="s">
        <v>678</v>
      </c>
      <c r="B26" s="675"/>
      <c r="C26" s="146">
        <f>'A2-Consumo de electricidad'!$T$9</f>
        <v>0</v>
      </c>
      <c r="D26" s="137"/>
      <c r="E26" s="138"/>
      <c r="F26" s="138"/>
      <c r="G26" s="138"/>
      <c r="H26" s="138"/>
      <c r="I26" s="138"/>
      <c r="J26" s="138"/>
      <c r="K26" s="138"/>
      <c r="L26" s="138"/>
      <c r="M26" s="138"/>
      <c r="N26" s="138"/>
      <c r="O26" s="138"/>
      <c r="P26" s="138"/>
      <c r="Q26" s="138"/>
      <c r="R26" s="138"/>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row>
    <row r="27" spans="1:75" ht="16.8" thickBot="1">
      <c r="A27" s="676" t="s">
        <v>679</v>
      </c>
      <c r="B27" s="677"/>
      <c r="C27" s="147">
        <f>'A3-Transporte de empleados'!$R$13+'A3-Viajes de negocio'!$S$15+'A3-Transporte de carga'!$T$34+'A3-Bienes y servicios comprados'!$Y$12+'A3-R. generados en operaciones'!$AB$41+'A3-Otras fuentes'!$Y$12</f>
        <v>0</v>
      </c>
      <c r="D27" s="137"/>
      <c r="E27" s="138"/>
      <c r="F27" s="138"/>
      <c r="G27" s="138"/>
      <c r="H27" s="138"/>
      <c r="I27" s="138"/>
      <c r="J27" s="138"/>
      <c r="K27" s="138"/>
      <c r="L27" s="138"/>
      <c r="M27" s="138"/>
      <c r="N27" s="138"/>
      <c r="O27" s="138"/>
      <c r="P27" s="138"/>
      <c r="Q27" s="138"/>
      <c r="R27" s="138"/>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row>
    <row r="28" spans="1:75" ht="21.75" customHeight="1" thickBot="1">
      <c r="A28" s="681" t="s">
        <v>680</v>
      </c>
      <c r="B28" s="682"/>
      <c r="C28" s="148">
        <f>SUM(C25:C27)</f>
        <v>0</v>
      </c>
      <c r="D28" s="137"/>
      <c r="E28" s="138"/>
      <c r="F28" s="138"/>
      <c r="G28" s="138"/>
      <c r="H28" s="138"/>
      <c r="I28" s="138"/>
      <c r="J28" s="138"/>
      <c r="K28" s="138"/>
      <c r="L28" s="138"/>
      <c r="M28" s="138"/>
      <c r="N28" s="138"/>
      <c r="O28" s="138"/>
      <c r="P28" s="138"/>
      <c r="Q28" s="138"/>
      <c r="R28" s="138"/>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row>
    <row r="29" spans="1:75" ht="16.8" thickBot="1">
      <c r="A29" s="678" t="s">
        <v>681</v>
      </c>
      <c r="B29" s="679"/>
      <c r="C29" s="680"/>
      <c r="D29" s="137"/>
      <c r="E29" s="138"/>
      <c r="F29" s="138"/>
      <c r="G29" s="138"/>
      <c r="H29" s="138"/>
      <c r="I29" s="138"/>
      <c r="J29" s="138"/>
      <c r="K29" s="138"/>
      <c r="L29" s="138"/>
      <c r="M29" s="138"/>
      <c r="N29" s="138"/>
      <c r="O29" s="138"/>
      <c r="P29" s="138"/>
      <c r="Q29" s="138"/>
      <c r="R29" s="138"/>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row>
    <row r="30" spans="1:75" ht="16.2">
      <c r="A30" s="674" t="s">
        <v>682</v>
      </c>
      <c r="B30" s="675"/>
      <c r="C30" s="146">
        <f>'A1-Fuentes móviles'!$Z$17+'A1-Fuentes fijas'!$Z$20+'A1- Otros procesos'!$AD$20+'A1-Gestión de residuos y aguas '!$AC$27</f>
        <v>0</v>
      </c>
      <c r="D30" s="137"/>
      <c r="E30" s="138"/>
      <c r="F30" s="138"/>
      <c r="G30" s="138"/>
      <c r="H30" s="138"/>
      <c r="I30" s="138"/>
      <c r="J30" s="138"/>
      <c r="K30" s="138"/>
      <c r="L30" s="138"/>
      <c r="M30" s="138"/>
      <c r="N30" s="138"/>
      <c r="O30" s="138"/>
      <c r="P30" s="138"/>
      <c r="Q30" s="138"/>
      <c r="R30" s="138"/>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row>
    <row r="31" spans="1:75" ht="16.2">
      <c r="A31" s="674" t="s">
        <v>678</v>
      </c>
      <c r="B31" s="675"/>
      <c r="C31" s="146">
        <v>0</v>
      </c>
      <c r="D31" s="137"/>
      <c r="E31" s="138"/>
      <c r="F31" s="138"/>
      <c r="G31" s="138"/>
      <c r="H31" s="138"/>
      <c r="I31" s="138"/>
      <c r="J31" s="138"/>
      <c r="K31" s="138"/>
      <c r="L31" s="138"/>
      <c r="M31" s="138"/>
      <c r="N31" s="138"/>
      <c r="O31" s="138"/>
      <c r="P31" s="138"/>
      <c r="Q31" s="138"/>
      <c r="R31" s="138"/>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row>
    <row r="32" spans="1:75" ht="16.8" thickBot="1">
      <c r="A32" s="676" t="s">
        <v>679</v>
      </c>
      <c r="B32" s="677"/>
      <c r="C32" s="147">
        <f>'A3-Transporte de empleados'!$T$13+'A3-Viajes de negocio'!$W$15+'A3-Transporte de carga'!$X$34+'A3-Otras fuentes'!$AC$12</f>
        <v>0</v>
      </c>
      <c r="D32" s="137"/>
      <c r="E32" s="138"/>
      <c r="F32" s="138"/>
      <c r="G32" s="138"/>
      <c r="H32" s="138"/>
      <c r="I32" s="138"/>
      <c r="J32" s="138"/>
      <c r="K32" s="138"/>
      <c r="L32" s="138"/>
      <c r="M32" s="138"/>
      <c r="N32" s="138"/>
      <c r="O32" s="138"/>
      <c r="P32" s="138"/>
      <c r="Q32" s="138"/>
      <c r="R32" s="138"/>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row>
    <row r="33" spans="1:75" ht="19.5" customHeight="1" thickBot="1">
      <c r="A33" s="688" t="s">
        <v>30</v>
      </c>
      <c r="B33" s="689"/>
      <c r="C33" s="149">
        <f>SUM(C30:C32)</f>
        <v>0</v>
      </c>
      <c r="D33" s="137"/>
      <c r="E33" s="138"/>
      <c r="F33" s="138"/>
      <c r="G33" s="138"/>
      <c r="H33" s="138"/>
      <c r="I33" s="138"/>
      <c r="J33" s="138"/>
      <c r="K33" s="138"/>
      <c r="L33" s="138"/>
      <c r="M33" s="138"/>
      <c r="N33" s="138"/>
      <c r="O33" s="138"/>
      <c r="P33" s="138"/>
      <c r="Q33" s="138"/>
      <c r="R33" s="138"/>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row>
    <row r="34" spans="1:75" ht="16.8" thickBot="1">
      <c r="A34" s="685" t="s">
        <v>683</v>
      </c>
      <c r="B34" s="686"/>
      <c r="C34" s="687"/>
      <c r="D34" s="137"/>
      <c r="E34" s="138"/>
      <c r="F34" s="138"/>
      <c r="G34" s="138"/>
      <c r="H34" s="138"/>
      <c r="I34" s="138"/>
      <c r="J34" s="138"/>
      <c r="K34" s="138"/>
      <c r="L34" s="138"/>
      <c r="M34" s="138"/>
      <c r="N34" s="138"/>
      <c r="O34" s="138"/>
      <c r="P34" s="138"/>
      <c r="Q34" s="138"/>
      <c r="R34" s="138"/>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row>
    <row r="35" spans="1:75" ht="16.2">
      <c r="A35" s="674" t="s">
        <v>684</v>
      </c>
      <c r="B35" s="675"/>
      <c r="C35" s="146">
        <f>'A1-Fuentes móviles'!$AD$17+'A1-Fuentes fijas'!$AD$20+'A1- Otros procesos'!$AH$20+'A1-Gestión de residuos y aguas '!$AG$27</f>
        <v>0</v>
      </c>
      <c r="D35" s="137"/>
      <c r="E35" s="138"/>
      <c r="F35" s="138"/>
      <c r="G35" s="138"/>
      <c r="H35" s="138"/>
      <c r="I35" s="138"/>
      <c r="J35" s="138"/>
      <c r="K35" s="138"/>
      <c r="L35" s="138"/>
      <c r="M35" s="138"/>
      <c r="N35" s="138"/>
      <c r="O35" s="138"/>
      <c r="P35" s="138"/>
      <c r="Q35" s="138"/>
      <c r="R35" s="138"/>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row>
    <row r="36" spans="1:75" ht="16.2">
      <c r="A36" s="674" t="s">
        <v>685</v>
      </c>
      <c r="B36" s="675"/>
      <c r="C36" s="146">
        <v>0</v>
      </c>
      <c r="D36" s="137"/>
      <c r="E36" s="138"/>
      <c r="F36" s="138"/>
      <c r="G36" s="138"/>
      <c r="H36" s="138"/>
      <c r="I36" s="138"/>
      <c r="J36" s="138"/>
      <c r="K36" s="138"/>
      <c r="L36" s="138"/>
      <c r="M36" s="138"/>
      <c r="N36" s="138"/>
      <c r="O36" s="138"/>
      <c r="P36" s="138"/>
      <c r="Q36" s="138"/>
      <c r="R36" s="138"/>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row>
    <row r="37" spans="1:75" ht="16.8" thickBot="1">
      <c r="A37" s="674" t="s">
        <v>679</v>
      </c>
      <c r="B37" s="675"/>
      <c r="C37" s="150">
        <f>'A3-Transporte de empleados'!$V$13+'A3-Viajes de negocio'!$AA$15+'A3-Transporte de carga'!$AB$34+'A3-R. generados en operaciones'!$AJ$41+'A3-Otras fuentes'!$AG$12</f>
        <v>0</v>
      </c>
      <c r="D37" s="137"/>
      <c r="E37" s="138"/>
      <c r="F37" s="138"/>
      <c r="G37" s="138"/>
      <c r="H37" s="138"/>
      <c r="I37" s="138"/>
      <c r="J37" s="138"/>
      <c r="K37" s="138"/>
      <c r="L37" s="138"/>
      <c r="M37" s="138"/>
      <c r="N37" s="138"/>
      <c r="O37" s="138"/>
      <c r="P37" s="138"/>
      <c r="Q37" s="138"/>
      <c r="R37" s="138"/>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row>
    <row r="38" spans="1:75" ht="21" customHeight="1" thickBot="1">
      <c r="A38" s="683" t="s">
        <v>30</v>
      </c>
      <c r="B38" s="684"/>
      <c r="C38" s="151">
        <f>SUM(C35:C37)</f>
        <v>0</v>
      </c>
      <c r="D38" s="137"/>
      <c r="E38" s="138"/>
      <c r="F38" s="138"/>
      <c r="G38" s="138"/>
      <c r="H38" s="138"/>
      <c r="I38" s="138"/>
      <c r="J38" s="138"/>
      <c r="K38" s="138"/>
      <c r="L38" s="138"/>
      <c r="M38" s="138"/>
      <c r="N38" s="138"/>
      <c r="O38" s="138"/>
      <c r="P38" s="138"/>
      <c r="Q38" s="138"/>
      <c r="R38" s="138"/>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row>
    <row r="39" spans="1:75">
      <c r="A39" s="137"/>
      <c r="B39" s="137"/>
      <c r="C39" s="137"/>
      <c r="D39" s="137"/>
      <c r="E39" s="138"/>
      <c r="F39" s="138"/>
      <c r="G39" s="138"/>
      <c r="H39" s="138"/>
      <c r="I39" s="138"/>
      <c r="J39" s="138"/>
      <c r="K39" s="138"/>
      <c r="L39" s="138"/>
      <c r="M39" s="138"/>
      <c r="N39" s="138"/>
      <c r="O39" s="138"/>
      <c r="P39" s="138"/>
      <c r="Q39" s="138"/>
      <c r="R39" s="138"/>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row>
    <row r="40" spans="1:75" ht="16.2">
      <c r="A40" s="647" t="s">
        <v>668</v>
      </c>
      <c r="B40" s="647"/>
      <c r="C40" s="647"/>
      <c r="D40" s="647"/>
      <c r="E40" s="647"/>
      <c r="F40" s="647"/>
      <c r="G40" s="647"/>
      <c r="H40" s="647"/>
      <c r="I40" s="647"/>
      <c r="J40" s="647"/>
      <c r="K40" s="647"/>
      <c r="L40" s="647"/>
      <c r="M40" s="647"/>
      <c r="N40" s="647"/>
      <c r="O40" s="647"/>
      <c r="P40" s="647"/>
      <c r="Q40" s="647"/>
      <c r="R40" s="647"/>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32"/>
    </row>
    <row r="41" spans="1:75" ht="48" customHeight="1" thickBot="1">
      <c r="A41" s="137"/>
      <c r="B41" s="137"/>
      <c r="C41" s="137"/>
      <c r="D41" s="137"/>
      <c r="E41" s="138"/>
      <c r="F41" s="138"/>
      <c r="G41" s="138"/>
      <c r="H41" s="138"/>
      <c r="I41" s="138"/>
      <c r="J41" s="138"/>
      <c r="K41" s="138"/>
      <c r="L41" s="138"/>
      <c r="M41" s="138"/>
      <c r="N41" s="138"/>
      <c r="O41" s="138"/>
      <c r="P41" s="138"/>
      <c r="Q41" s="138"/>
      <c r="R41" s="138"/>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row>
    <row r="42" spans="1:75" ht="16.2" thickBot="1">
      <c r="A42" s="656" t="s">
        <v>480</v>
      </c>
      <c r="B42" s="657"/>
      <c r="C42" s="654" t="s">
        <v>479</v>
      </c>
      <c r="D42" s="655"/>
      <c r="E42" s="152" t="s">
        <v>481</v>
      </c>
      <c r="F42" s="153"/>
      <c r="G42" s="138"/>
      <c r="H42" s="138"/>
      <c r="I42" s="138"/>
      <c r="J42" s="138"/>
      <c r="K42" s="138"/>
      <c r="L42" s="138"/>
      <c r="M42" s="138"/>
      <c r="N42" s="138"/>
      <c r="O42" s="138"/>
      <c r="P42" s="138"/>
      <c r="Q42" s="138"/>
      <c r="R42" s="138"/>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row>
    <row r="43" spans="1:75">
      <c r="A43" s="666" t="s">
        <v>669</v>
      </c>
      <c r="B43" s="667"/>
      <c r="C43" s="154" t="s">
        <v>9</v>
      </c>
      <c r="D43" s="155">
        <f>'A1-Fuentes móviles'!AE17</f>
        <v>0</v>
      </c>
      <c r="E43" s="156"/>
      <c r="F43" s="153"/>
      <c r="G43" s="138"/>
      <c r="H43" s="138"/>
      <c r="I43" s="138"/>
      <c r="J43" s="138"/>
      <c r="K43" s="138"/>
      <c r="L43" s="138"/>
      <c r="M43" s="138"/>
      <c r="N43" s="138"/>
      <c r="O43" s="138"/>
      <c r="P43" s="138"/>
      <c r="Q43" s="138"/>
      <c r="R43" s="138"/>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row>
    <row r="44" spans="1:75">
      <c r="A44" s="666"/>
      <c r="B44" s="667"/>
      <c r="C44" s="154" t="s">
        <v>43</v>
      </c>
      <c r="D44" s="155">
        <f>'A1-Fuentes fijas'!AE20</f>
        <v>0</v>
      </c>
      <c r="E44" s="157"/>
      <c r="F44" s="153"/>
      <c r="G44" s="138"/>
      <c r="H44" s="138"/>
      <c r="I44" s="138"/>
      <c r="J44" s="138"/>
      <c r="K44" s="138"/>
      <c r="L44" s="138"/>
      <c r="M44" s="138"/>
      <c r="N44" s="138"/>
      <c r="O44" s="138"/>
      <c r="P44" s="138"/>
      <c r="Q44" s="138"/>
      <c r="R44" s="138"/>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2"/>
      <c r="BT44" s="132"/>
      <c r="BU44" s="132"/>
      <c r="BV44" s="132"/>
      <c r="BW44" s="132"/>
    </row>
    <row r="45" spans="1:75">
      <c r="A45" s="666"/>
      <c r="B45" s="667"/>
      <c r="C45" s="154" t="s">
        <v>48</v>
      </c>
      <c r="D45" s="155">
        <f>'A1-IPPU'!Z13</f>
        <v>0</v>
      </c>
      <c r="E45" s="158"/>
      <c r="F45" s="153"/>
      <c r="G45" s="138"/>
      <c r="H45" s="138"/>
      <c r="I45" s="138"/>
      <c r="J45" s="138"/>
      <c r="K45" s="138"/>
      <c r="L45" s="138"/>
      <c r="M45" s="138"/>
      <c r="N45" s="138"/>
      <c r="O45" s="138"/>
      <c r="P45" s="138"/>
      <c r="Q45" s="138"/>
      <c r="R45" s="138"/>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2"/>
      <c r="BR45" s="132"/>
      <c r="BS45" s="132"/>
      <c r="BT45" s="132"/>
      <c r="BU45" s="132"/>
      <c r="BV45" s="132"/>
      <c r="BW45" s="132"/>
    </row>
    <row r="46" spans="1:75">
      <c r="A46" s="666"/>
      <c r="B46" s="667"/>
      <c r="C46" s="154" t="s">
        <v>51</v>
      </c>
      <c r="D46" s="155">
        <f>'A1-IPPU'!Z17</f>
        <v>0</v>
      </c>
      <c r="E46" s="157"/>
      <c r="F46" s="153"/>
      <c r="G46" s="138"/>
      <c r="H46" s="138"/>
      <c r="I46" s="138"/>
      <c r="J46" s="138"/>
      <c r="K46" s="138"/>
      <c r="L46" s="138"/>
      <c r="M46" s="138"/>
      <c r="N46" s="138"/>
      <c r="O46" s="138"/>
      <c r="P46" s="138"/>
      <c r="Q46" s="138"/>
      <c r="R46" s="138"/>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2"/>
      <c r="BR46" s="132"/>
      <c r="BS46" s="132"/>
      <c r="BT46" s="132"/>
      <c r="BU46" s="132"/>
      <c r="BV46" s="132"/>
      <c r="BW46" s="132"/>
    </row>
    <row r="47" spans="1:75">
      <c r="A47" s="666"/>
      <c r="B47" s="667"/>
      <c r="C47" s="154" t="s">
        <v>432</v>
      </c>
      <c r="D47" s="155">
        <f>'A1- Otros procesos'!AI20</f>
        <v>0</v>
      </c>
      <c r="E47" s="158"/>
      <c r="F47" s="153"/>
      <c r="G47" s="138"/>
      <c r="H47" s="138"/>
      <c r="I47" s="138"/>
      <c r="J47" s="138"/>
      <c r="K47" s="138"/>
      <c r="L47" s="138"/>
      <c r="M47" s="138"/>
      <c r="N47" s="138"/>
      <c r="O47" s="138"/>
      <c r="P47" s="138"/>
      <c r="Q47" s="138"/>
      <c r="R47" s="138"/>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row>
    <row r="48" spans="1:75">
      <c r="A48" s="666"/>
      <c r="B48" s="667"/>
      <c r="C48" s="154" t="s">
        <v>433</v>
      </c>
      <c r="D48" s="146">
        <f>'A1-Refrigerantes'!Y19</f>
        <v>0</v>
      </c>
      <c r="E48" s="157"/>
      <c r="F48" s="153"/>
      <c r="G48" s="138"/>
      <c r="H48" s="138"/>
      <c r="I48" s="138"/>
      <c r="J48" s="138"/>
      <c r="K48" s="138"/>
      <c r="L48" s="138"/>
      <c r="M48" s="138"/>
      <c r="N48" s="138"/>
      <c r="O48" s="138"/>
      <c r="P48" s="138"/>
      <c r="Q48" s="138"/>
      <c r="R48" s="138"/>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c r="BR48" s="132"/>
      <c r="BS48" s="132"/>
      <c r="BT48" s="132"/>
      <c r="BU48" s="132"/>
      <c r="BV48" s="132"/>
      <c r="BW48" s="132"/>
    </row>
    <row r="49" spans="1:75">
      <c r="A49" s="666"/>
      <c r="B49" s="667"/>
      <c r="C49" s="154" t="s">
        <v>434</v>
      </c>
      <c r="D49" s="146">
        <f>'A1-Gestión de residuos y aguas '!AH27</f>
        <v>0</v>
      </c>
      <c r="E49" s="157"/>
      <c r="F49" s="153"/>
      <c r="G49" s="138"/>
      <c r="H49" s="138"/>
      <c r="I49" s="138"/>
      <c r="J49" s="138"/>
      <c r="K49" s="138"/>
      <c r="L49" s="138"/>
      <c r="M49" s="138"/>
      <c r="N49" s="138"/>
      <c r="O49" s="138"/>
      <c r="P49" s="138"/>
      <c r="Q49" s="138"/>
      <c r="R49" s="138"/>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2"/>
      <c r="BS49" s="132"/>
      <c r="BT49" s="132"/>
      <c r="BU49" s="132"/>
      <c r="BV49" s="132"/>
      <c r="BW49" s="132"/>
    </row>
    <row r="50" spans="1:75" ht="16.2" thickBot="1">
      <c r="A50" s="666"/>
      <c r="B50" s="667"/>
      <c r="C50" s="154" t="s">
        <v>435</v>
      </c>
      <c r="D50" s="159">
        <f>'A1-Equipos eléctricos'!Z11</f>
        <v>0</v>
      </c>
      <c r="E50" s="160"/>
      <c r="F50" s="153"/>
      <c r="G50" s="138"/>
      <c r="H50" s="138"/>
      <c r="I50" s="138"/>
      <c r="J50" s="138"/>
      <c r="K50" s="138"/>
      <c r="L50" s="138"/>
      <c r="M50" s="138"/>
      <c r="N50" s="138"/>
      <c r="O50" s="138"/>
      <c r="P50" s="138"/>
      <c r="Q50" s="138"/>
      <c r="R50" s="138"/>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2"/>
      <c r="BR50" s="132"/>
      <c r="BS50" s="132"/>
      <c r="BT50" s="132"/>
      <c r="BU50" s="132"/>
      <c r="BV50" s="132"/>
      <c r="BW50" s="132"/>
    </row>
    <row r="51" spans="1:75" ht="30" customHeight="1" thickBot="1">
      <c r="A51" s="668"/>
      <c r="B51" s="669"/>
      <c r="C51" s="161" t="s">
        <v>291</v>
      </c>
      <c r="D51" s="162">
        <f>SUM(D43:D50)</f>
        <v>0</v>
      </c>
      <c r="E51" s="163"/>
      <c r="F51" s="138"/>
      <c r="G51" s="138"/>
      <c r="H51" s="138"/>
      <c r="I51" s="138"/>
      <c r="J51" s="138"/>
      <c r="K51" s="138"/>
      <c r="L51" s="138"/>
      <c r="M51" s="138"/>
      <c r="N51" s="138"/>
      <c r="O51" s="138"/>
      <c r="P51" s="138"/>
      <c r="Q51" s="138"/>
      <c r="R51" s="138"/>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c r="BW51" s="132"/>
    </row>
    <row r="52" spans="1:75">
      <c r="A52" s="164"/>
      <c r="B52" s="164"/>
      <c r="C52" s="165"/>
      <c r="D52" s="166"/>
      <c r="E52" s="138"/>
      <c r="F52" s="138"/>
      <c r="G52" s="138"/>
      <c r="H52" s="138"/>
      <c r="I52" s="138"/>
      <c r="J52" s="138"/>
      <c r="K52" s="138"/>
      <c r="L52" s="138"/>
      <c r="M52" s="138"/>
      <c r="N52" s="138"/>
      <c r="O52" s="138"/>
      <c r="P52" s="138"/>
      <c r="Q52" s="138"/>
      <c r="R52" s="138"/>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c r="BW52" s="132"/>
    </row>
    <row r="53" spans="1:75" ht="31.5" customHeight="1">
      <c r="A53" s="164"/>
      <c r="B53" s="164"/>
      <c r="C53" s="165"/>
      <c r="D53" s="166"/>
      <c r="E53" s="138"/>
      <c r="F53" s="138"/>
      <c r="G53" s="138"/>
      <c r="H53" s="138"/>
      <c r="I53" s="138"/>
      <c r="J53" s="138"/>
      <c r="K53" s="138"/>
      <c r="L53" s="138"/>
      <c r="M53" s="138"/>
      <c r="N53" s="138"/>
      <c r="O53" s="138"/>
      <c r="P53" s="138"/>
      <c r="Q53" s="138"/>
      <c r="R53" s="138"/>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2"/>
      <c r="BV53" s="132"/>
      <c r="BW53" s="132"/>
    </row>
    <row r="54" spans="1:75" ht="16.2">
      <c r="A54" s="647" t="s">
        <v>686</v>
      </c>
      <c r="B54" s="647"/>
      <c r="C54" s="647"/>
      <c r="D54" s="647"/>
      <c r="E54" s="647"/>
      <c r="F54" s="647"/>
      <c r="G54" s="647"/>
      <c r="H54" s="647"/>
      <c r="I54" s="647"/>
      <c r="J54" s="647"/>
      <c r="K54" s="647"/>
      <c r="L54" s="647"/>
      <c r="M54" s="647"/>
      <c r="N54" s="647"/>
      <c r="O54" s="647"/>
      <c r="P54" s="647"/>
      <c r="Q54" s="647"/>
      <c r="R54" s="647"/>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32"/>
      <c r="BW54" s="132"/>
    </row>
    <row r="55" spans="1:75" ht="16.2" thickBot="1">
      <c r="A55" s="137"/>
      <c r="B55" s="137"/>
      <c r="C55" s="137"/>
      <c r="D55" s="137"/>
      <c r="E55" s="138"/>
      <c r="F55" s="138"/>
      <c r="G55" s="138"/>
      <c r="H55" s="138"/>
      <c r="I55" s="138"/>
      <c r="J55" s="138"/>
      <c r="K55" s="138"/>
      <c r="L55" s="138"/>
      <c r="M55" s="138"/>
      <c r="N55" s="138"/>
      <c r="O55" s="138"/>
      <c r="P55" s="138"/>
      <c r="Q55" s="138"/>
      <c r="R55" s="138"/>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row>
    <row r="56" spans="1:75" ht="16.2" thickBot="1">
      <c r="A56" s="656" t="s">
        <v>480</v>
      </c>
      <c r="B56" s="657"/>
      <c r="C56" s="656" t="s">
        <v>479</v>
      </c>
      <c r="D56" s="658"/>
      <c r="E56" s="167" t="s">
        <v>481</v>
      </c>
      <c r="F56" s="138"/>
      <c r="G56" s="138"/>
      <c r="H56" s="138"/>
      <c r="I56" s="138"/>
      <c r="J56" s="138"/>
      <c r="K56" s="138"/>
      <c r="L56" s="138"/>
      <c r="M56" s="138"/>
      <c r="N56" s="138"/>
      <c r="O56" s="138"/>
      <c r="P56" s="138"/>
      <c r="Q56" s="138"/>
      <c r="R56" s="138"/>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row>
    <row r="57" spans="1:75" ht="16.2" thickBot="1">
      <c r="A57" s="670" t="s">
        <v>670</v>
      </c>
      <c r="B57" s="671"/>
      <c r="C57" s="168" t="s">
        <v>361</v>
      </c>
      <c r="D57" s="169">
        <f>'A2-Consumo de electricidad'!U9</f>
        <v>0</v>
      </c>
      <c r="E57" s="170"/>
      <c r="F57" s="138"/>
      <c r="G57" s="138"/>
      <c r="H57" s="138"/>
      <c r="I57" s="138"/>
      <c r="J57" s="138"/>
      <c r="K57" s="138"/>
      <c r="L57" s="138"/>
      <c r="M57" s="138"/>
      <c r="N57" s="138"/>
      <c r="O57" s="138"/>
      <c r="P57" s="138"/>
      <c r="Q57" s="138"/>
      <c r="R57" s="138"/>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row>
    <row r="58" spans="1:75" ht="32.25" customHeight="1" thickBot="1">
      <c r="A58" s="672"/>
      <c r="B58" s="673"/>
      <c r="C58" s="171" t="s">
        <v>436</v>
      </c>
      <c r="D58" s="172">
        <f>D57</f>
        <v>0</v>
      </c>
      <c r="E58" s="173"/>
      <c r="F58" s="138"/>
      <c r="G58" s="138"/>
      <c r="H58" s="138"/>
      <c r="I58" s="138"/>
      <c r="J58" s="138"/>
      <c r="K58" s="138"/>
      <c r="L58" s="138"/>
      <c r="M58" s="138"/>
      <c r="N58" s="138"/>
      <c r="O58" s="138"/>
      <c r="P58" s="138"/>
      <c r="Q58" s="138"/>
      <c r="R58" s="138"/>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row>
    <row r="59" spans="1:75">
      <c r="A59" s="138"/>
      <c r="B59" s="138"/>
      <c r="C59" s="138"/>
      <c r="D59" s="138"/>
      <c r="E59" s="138"/>
      <c r="F59" s="138"/>
      <c r="G59" s="138"/>
      <c r="H59" s="138"/>
      <c r="I59" s="138"/>
      <c r="J59" s="138"/>
      <c r="K59" s="138"/>
      <c r="L59" s="138"/>
      <c r="M59" s="138"/>
      <c r="N59" s="138"/>
      <c r="O59" s="138"/>
      <c r="P59" s="138"/>
      <c r="Q59" s="138"/>
      <c r="R59" s="138"/>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row>
    <row r="60" spans="1:75">
      <c r="A60" s="138"/>
      <c r="B60" s="138"/>
      <c r="C60" s="138"/>
      <c r="D60" s="138"/>
      <c r="E60" s="138"/>
      <c r="F60" s="138"/>
      <c r="G60" s="138"/>
      <c r="H60" s="138"/>
      <c r="I60" s="138"/>
      <c r="J60" s="138"/>
      <c r="K60" s="138"/>
      <c r="L60" s="138"/>
      <c r="M60" s="138"/>
      <c r="N60" s="138"/>
      <c r="O60" s="138"/>
      <c r="P60" s="138"/>
      <c r="Q60" s="138"/>
      <c r="R60" s="138"/>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c r="BW60" s="132"/>
    </row>
    <row r="61" spans="1:75" ht="16.2">
      <c r="A61" s="647" t="s">
        <v>687</v>
      </c>
      <c r="B61" s="647"/>
      <c r="C61" s="647"/>
      <c r="D61" s="647"/>
      <c r="E61" s="647"/>
      <c r="F61" s="647"/>
      <c r="G61" s="647"/>
      <c r="H61" s="647"/>
      <c r="I61" s="647"/>
      <c r="J61" s="647"/>
      <c r="K61" s="647"/>
      <c r="L61" s="647"/>
      <c r="M61" s="647"/>
      <c r="N61" s="647"/>
      <c r="O61" s="647"/>
      <c r="P61" s="647"/>
      <c r="Q61" s="647"/>
      <c r="R61" s="647"/>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c r="BW61" s="132"/>
    </row>
    <row r="62" spans="1:75" ht="16.2" thickBot="1">
      <c r="A62" s="138"/>
      <c r="B62" s="138"/>
      <c r="C62" s="137"/>
      <c r="D62" s="137"/>
      <c r="E62" s="138"/>
      <c r="F62" s="138"/>
      <c r="G62" s="138"/>
      <c r="H62" s="138"/>
      <c r="I62" s="138"/>
      <c r="J62" s="138"/>
      <c r="K62" s="138"/>
      <c r="L62" s="138"/>
      <c r="M62" s="138"/>
      <c r="N62" s="138"/>
      <c r="O62" s="138"/>
      <c r="P62" s="138"/>
      <c r="Q62" s="138"/>
      <c r="R62" s="138"/>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row>
    <row r="63" spans="1:75" ht="16.2" thickBot="1">
      <c r="A63" s="656" t="s">
        <v>480</v>
      </c>
      <c r="B63" s="657"/>
      <c r="C63" s="656" t="s">
        <v>479</v>
      </c>
      <c r="D63" s="658"/>
      <c r="E63" s="167" t="s">
        <v>481</v>
      </c>
      <c r="F63" s="138"/>
      <c r="G63" s="138"/>
      <c r="H63" s="138"/>
      <c r="I63" s="138"/>
      <c r="J63" s="138"/>
      <c r="K63" s="138"/>
      <c r="L63" s="138"/>
      <c r="M63" s="138"/>
      <c r="N63" s="138"/>
      <c r="O63" s="138"/>
      <c r="P63" s="138"/>
      <c r="Q63" s="138"/>
      <c r="R63" s="138"/>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row>
    <row r="64" spans="1:75">
      <c r="A64" s="659" t="s">
        <v>671</v>
      </c>
      <c r="B64" s="660"/>
      <c r="C64" s="174" t="s">
        <v>171</v>
      </c>
      <c r="D64" s="175">
        <f>'A3-Transporte de empleados'!W13</f>
        <v>0</v>
      </c>
      <c r="E64" s="157"/>
      <c r="F64" s="138"/>
      <c r="G64" s="138"/>
      <c r="H64" s="138"/>
      <c r="I64" s="138"/>
      <c r="J64" s="138"/>
      <c r="K64" s="138"/>
      <c r="L64" s="138"/>
      <c r="M64" s="138"/>
      <c r="N64" s="138"/>
      <c r="O64" s="138"/>
      <c r="P64" s="138"/>
      <c r="Q64" s="138"/>
      <c r="R64" s="138"/>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2"/>
      <c r="BN64" s="132"/>
      <c r="BO64" s="132"/>
      <c r="BP64" s="132"/>
      <c r="BQ64" s="132"/>
      <c r="BR64" s="132"/>
      <c r="BS64" s="132"/>
      <c r="BT64" s="132"/>
      <c r="BU64" s="132"/>
      <c r="BV64" s="132"/>
      <c r="BW64" s="132"/>
    </row>
    <row r="65" spans="1:75">
      <c r="A65" s="661"/>
      <c r="B65" s="662"/>
      <c r="C65" s="176" t="s">
        <v>175</v>
      </c>
      <c r="D65" s="177">
        <f>'A3-Viajes de negocio'!AB15</f>
        <v>0</v>
      </c>
      <c r="E65" s="158"/>
      <c r="F65" s="138"/>
      <c r="G65" s="138"/>
      <c r="H65" s="138"/>
      <c r="I65" s="138"/>
      <c r="J65" s="138"/>
      <c r="K65" s="138"/>
      <c r="L65" s="138"/>
      <c r="M65" s="138"/>
      <c r="N65" s="138"/>
      <c r="O65" s="138"/>
      <c r="P65" s="138"/>
      <c r="Q65" s="138"/>
      <c r="R65" s="138"/>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row>
    <row r="66" spans="1:75">
      <c r="A66" s="661"/>
      <c r="B66" s="662"/>
      <c r="C66" s="176" t="s">
        <v>395</v>
      </c>
      <c r="D66" s="177">
        <f>'A3-Transporte de carga'!AC34</f>
        <v>0</v>
      </c>
      <c r="E66" s="157"/>
      <c r="F66" s="138"/>
      <c r="G66" s="138"/>
      <c r="H66" s="138"/>
      <c r="I66" s="138"/>
      <c r="J66" s="138"/>
      <c r="K66" s="138"/>
      <c r="L66" s="138"/>
      <c r="M66" s="138"/>
      <c r="N66" s="138"/>
      <c r="O66" s="138"/>
      <c r="P66" s="138"/>
      <c r="Q66" s="138"/>
      <c r="R66" s="138"/>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row>
    <row r="67" spans="1:75">
      <c r="A67" s="661"/>
      <c r="B67" s="662"/>
      <c r="C67" s="176" t="s">
        <v>226</v>
      </c>
      <c r="D67" s="177">
        <f>'A3-Bienes y servicios comprados'!AE12</f>
        <v>0</v>
      </c>
      <c r="E67" s="157"/>
      <c r="F67" s="138"/>
      <c r="G67" s="138"/>
      <c r="H67" s="138"/>
      <c r="I67" s="138"/>
      <c r="J67" s="138"/>
      <c r="K67" s="138"/>
      <c r="L67" s="138"/>
      <c r="M67" s="138"/>
      <c r="N67" s="138"/>
      <c r="O67" s="138"/>
      <c r="P67" s="138"/>
      <c r="Q67" s="138"/>
      <c r="R67" s="138"/>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row>
    <row r="68" spans="1:75">
      <c r="A68" s="661"/>
      <c r="B68" s="662"/>
      <c r="C68" s="176" t="s">
        <v>180</v>
      </c>
      <c r="D68" s="177">
        <f>'A3-R. generados en operaciones'!AK41</f>
        <v>0</v>
      </c>
      <c r="E68" s="157"/>
      <c r="F68" s="138"/>
      <c r="G68" s="138"/>
      <c r="H68" s="138"/>
      <c r="I68" s="138"/>
      <c r="J68" s="138"/>
      <c r="K68" s="138"/>
      <c r="L68" s="138"/>
      <c r="M68" s="138"/>
      <c r="N68" s="138"/>
      <c r="O68" s="138"/>
      <c r="P68" s="138"/>
      <c r="Q68" s="138"/>
      <c r="R68" s="138"/>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c r="BW68" s="132"/>
    </row>
    <row r="69" spans="1:75" ht="16.2" thickBot="1">
      <c r="A69" s="661"/>
      <c r="B69" s="662"/>
      <c r="C69" s="176" t="s">
        <v>431</v>
      </c>
      <c r="D69" s="177">
        <f>'A3-Otras fuentes'!AH12</f>
        <v>0</v>
      </c>
      <c r="E69" s="157"/>
      <c r="F69" s="138"/>
      <c r="G69" s="138"/>
      <c r="H69" s="138"/>
      <c r="I69" s="138"/>
      <c r="J69" s="138"/>
      <c r="K69" s="138"/>
      <c r="L69" s="138"/>
      <c r="M69" s="138"/>
      <c r="N69" s="138"/>
      <c r="O69" s="138"/>
      <c r="P69" s="138"/>
      <c r="Q69" s="138"/>
      <c r="R69" s="138"/>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row>
    <row r="70" spans="1:75" ht="33" customHeight="1" thickBot="1">
      <c r="A70" s="663"/>
      <c r="B70" s="664"/>
      <c r="C70" s="178" t="s">
        <v>437</v>
      </c>
      <c r="D70" s="179">
        <f>SUM(D64:D69)</f>
        <v>0</v>
      </c>
      <c r="E70" s="180"/>
      <c r="F70" s="138"/>
      <c r="G70" s="138"/>
      <c r="H70" s="138"/>
      <c r="I70" s="138"/>
      <c r="J70" s="138"/>
      <c r="K70" s="138"/>
      <c r="L70" s="138"/>
      <c r="M70" s="138"/>
      <c r="N70" s="138"/>
      <c r="O70" s="138"/>
      <c r="P70" s="138"/>
      <c r="Q70" s="138"/>
      <c r="R70" s="138"/>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c r="BN70" s="132"/>
      <c r="BO70" s="132"/>
      <c r="BP70" s="132"/>
      <c r="BQ70" s="132"/>
      <c r="BR70" s="132"/>
      <c r="BS70" s="132"/>
      <c r="BT70" s="132"/>
      <c r="BU70" s="132"/>
      <c r="BV70" s="132"/>
      <c r="BW70" s="132"/>
    </row>
    <row r="71" spans="1:75">
      <c r="A71" s="137"/>
      <c r="B71" s="137"/>
      <c r="C71" s="137"/>
      <c r="D71" s="137"/>
      <c r="E71" s="138"/>
      <c r="F71" s="138"/>
      <c r="G71" s="138"/>
      <c r="H71" s="138"/>
      <c r="I71" s="138"/>
      <c r="J71" s="138"/>
      <c r="K71" s="138"/>
      <c r="L71" s="138"/>
      <c r="M71" s="138"/>
      <c r="N71" s="138"/>
      <c r="O71" s="138"/>
      <c r="P71" s="138"/>
      <c r="Q71" s="138"/>
      <c r="R71" s="138"/>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c r="BN71" s="132"/>
      <c r="BO71" s="132"/>
      <c r="BP71" s="132"/>
      <c r="BQ71" s="132"/>
      <c r="BR71" s="132"/>
      <c r="BS71" s="132"/>
      <c r="BT71" s="132"/>
      <c r="BU71" s="132"/>
      <c r="BV71" s="132"/>
      <c r="BW71" s="132"/>
    </row>
    <row r="72" spans="1:75">
      <c r="A72" s="130"/>
      <c r="B72" s="130"/>
      <c r="C72" s="130"/>
      <c r="D72" s="130"/>
      <c r="E72" s="130"/>
      <c r="F72" s="130"/>
      <c r="G72" s="130"/>
      <c r="H72" s="130"/>
      <c r="I72" s="130"/>
      <c r="J72" s="130"/>
      <c r="K72" s="130"/>
      <c r="L72" s="130"/>
      <c r="M72" s="130"/>
      <c r="N72" s="130"/>
      <c r="O72" s="130"/>
      <c r="P72" s="130"/>
      <c r="Q72" s="130"/>
      <c r="R72" s="130"/>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2"/>
      <c r="BR72" s="132"/>
      <c r="BS72" s="132"/>
      <c r="BT72" s="132"/>
      <c r="BU72" s="132"/>
      <c r="BV72" s="132"/>
      <c r="BW72" s="132"/>
    </row>
    <row r="73" spans="1:75">
      <c r="A73" s="137"/>
      <c r="B73" s="137"/>
      <c r="C73" s="137"/>
      <c r="D73" s="137"/>
      <c r="E73" s="138"/>
      <c r="F73" s="138"/>
      <c r="G73" s="138"/>
      <c r="H73" s="138"/>
      <c r="I73" s="138"/>
      <c r="J73" s="138"/>
      <c r="K73" s="138"/>
      <c r="L73" s="138"/>
      <c r="M73" s="138"/>
      <c r="N73" s="138"/>
      <c r="O73" s="138"/>
      <c r="P73" s="138"/>
      <c r="Q73" s="138"/>
      <c r="R73" s="138"/>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row>
    <row r="74" spans="1:75" ht="16.2">
      <c r="A74" s="647" t="s">
        <v>688</v>
      </c>
      <c r="B74" s="647"/>
      <c r="C74" s="647"/>
      <c r="D74" s="647"/>
      <c r="E74" s="647"/>
      <c r="F74" s="647"/>
      <c r="G74" s="647"/>
      <c r="H74" s="647"/>
      <c r="I74" s="647"/>
      <c r="J74" s="647"/>
      <c r="K74" s="647"/>
      <c r="L74" s="647"/>
      <c r="M74" s="647"/>
      <c r="N74" s="647"/>
      <c r="O74" s="647"/>
      <c r="P74" s="647"/>
      <c r="Q74" s="647"/>
      <c r="R74" s="647"/>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row>
    <row r="75" spans="1:75" ht="16.2" thickBot="1">
      <c r="A75" s="137"/>
      <c r="B75" s="137"/>
      <c r="C75" s="137"/>
      <c r="D75" s="137"/>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row>
    <row r="76" spans="1:75" ht="15.75" customHeight="1" thickBot="1">
      <c r="A76" s="648" t="s">
        <v>438</v>
      </c>
      <c r="B76" s="649"/>
      <c r="C76" s="181" t="s">
        <v>439</v>
      </c>
      <c r="D76" s="182">
        <f>SUM(D77:D84)</f>
        <v>0</v>
      </c>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row>
    <row r="77" spans="1:75" ht="16.2" thickBot="1">
      <c r="A77" s="650"/>
      <c r="B77" s="651"/>
      <c r="C77" s="183" t="s">
        <v>322</v>
      </c>
      <c r="D77" s="184">
        <f>SUMIF('A1-Fuentes móviles'!$C$8:$C$16,"Gasoil / Diésel oil",'A1-Fuentes móviles'!$AE$8:$AE$16)+SUMIF('A1-Fuentes fijas'!$C$8:$C$19,"Gasoil / Diésel oil",'A1-Fuentes fijas'!$AE$8:$AE$19)</f>
        <v>0</v>
      </c>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row>
    <row r="78" spans="1:75" ht="16.2" thickBot="1">
      <c r="A78" s="650"/>
      <c r="B78" s="651"/>
      <c r="C78" s="185" t="s">
        <v>440</v>
      </c>
      <c r="D78" s="184">
        <f>SUMIF('A1-Fuentes móviles'!$C$8:$C$16,"Fueloil",'A1-Fuentes móviles'!$AE$8:$AE$16)+SUMIF('A1-Fuentes fijas'!$C$8:$C$19,"Fueloil",'A1-Fuentes fijas'!$AE$8:$AE$19)</f>
        <v>0</v>
      </c>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row>
    <row r="79" spans="1:75" ht="16.2" thickBot="1">
      <c r="A79" s="650"/>
      <c r="B79" s="651"/>
      <c r="C79" s="185" t="s">
        <v>326</v>
      </c>
      <c r="D79" s="184">
        <f>SUMIF('A1-Fuentes móviles'!$C$8:$C$16,"Nafta",'A1-Fuentes móviles'!$AE$8:$AE$16)+SUMIF('A1-Fuentes fijas'!$C$8:$C$19,"Nafta",'A1-Fuentes fijas'!$AE$8:$AE$19)</f>
        <v>0</v>
      </c>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row>
    <row r="80" spans="1:75" ht="16.2" thickBot="1">
      <c r="A80" s="650"/>
      <c r="B80" s="651"/>
      <c r="C80" s="185" t="s">
        <v>318</v>
      </c>
      <c r="D80" s="184">
        <f>SUMIF('A1-Fuentes móviles'!$C$8:$C$16,"Queroseno",'A1-Fuentes móviles'!$AE$8:$AE$16)+SUMIF('A1-Fuentes fijas'!$C$8:$C$19,"Queroseno",'A1-Fuentes fijas'!$AE$8:$AE$19)</f>
        <v>0</v>
      </c>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row>
    <row r="81" spans="1:35" ht="16.2" thickBot="1">
      <c r="A81" s="650"/>
      <c r="B81" s="651"/>
      <c r="C81" s="185" t="s">
        <v>441</v>
      </c>
      <c r="D81" s="184">
        <f>SUMIF('A1-Fuentes móviles'!$C$8:$C$16,"Gasolina para Aviación",'A1-Fuentes móviles'!$AE$8:$AE$16)+SUMIF('A1-Fuentes fijas'!$C$8:$C$19,"Gasolina para Aviación",'A1-Fuentes fijas'!$AE$8:$AE$19)</f>
        <v>0</v>
      </c>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row>
    <row r="82" spans="1:35" ht="16.2" thickBot="1">
      <c r="A82" s="650"/>
      <c r="B82" s="651"/>
      <c r="C82" s="185" t="s">
        <v>442</v>
      </c>
      <c r="D82" s="184">
        <f>SUMIF('A1-Fuentes móviles'!$C$8:$C$16,"Turbocombustible - Jet A1",'A1-Fuentes móviles'!$AE$8:$AE$16)+SUMIF('A1-Fuentes fijas'!$C$8:$C$19,"Turbocombustible - Jet A1",'A1-Fuentes fijas'!$AE$8:$AE$19)</f>
        <v>0</v>
      </c>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row>
    <row r="83" spans="1:35">
      <c r="A83" s="650"/>
      <c r="B83" s="651"/>
      <c r="C83" s="186" t="s">
        <v>327</v>
      </c>
      <c r="D83" s="184">
        <f>SUMIF('A1-Fuentes móviles'!$C$8:$C$16,"GLP / Supergas",'A1-Fuentes móviles'!$AE$8:$AE$16)+SUMIF('A1-Fuentes fijas'!$C$8:$C$19,"GLP / Supergas",'A1-Fuentes fijas'!$AE$8:$AE$19)</f>
        <v>0</v>
      </c>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row>
    <row r="84" spans="1:35" ht="16.2" thickBot="1">
      <c r="A84" s="650"/>
      <c r="B84" s="651"/>
      <c r="C84" s="186" t="s">
        <v>310</v>
      </c>
      <c r="D84" s="184">
        <f>SUMIF('A1-Fuentes móviles'!$C$8:$C$16,"Licor negro",'A1-Fuentes móviles'!$AE$8:$AE$16)+SUMIF('A1-Fuentes fijas'!$C$8:$C$19,"Licor negro",'A1-Fuentes fijas'!$AE$8:$AE$19)</f>
        <v>0</v>
      </c>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row>
    <row r="85" spans="1:35" ht="16.2" thickBot="1">
      <c r="A85" s="650"/>
      <c r="B85" s="651"/>
      <c r="C85" s="187" t="s">
        <v>443</v>
      </c>
      <c r="D85" s="182">
        <f>SUM(D86:D87)</f>
        <v>0</v>
      </c>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row>
    <row r="86" spans="1:35">
      <c r="A86" s="650"/>
      <c r="B86" s="651"/>
      <c r="C86" s="186" t="s">
        <v>444</v>
      </c>
      <c r="D86" s="184">
        <f>SUMIF('A1-Fuentes móviles'!$C$8:$C$16,"Gas natural",'A1-Fuentes móviles'!$AE$8:$AE$16)+SUMIF('A1-Fuentes fijas'!$C$8:$C$19,"Gas natural",'A1-Fuentes fijas'!$AE$8:$AE$19)</f>
        <v>0</v>
      </c>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row>
    <row r="87" spans="1:35" ht="16.2" thickBot="1">
      <c r="A87" s="650"/>
      <c r="B87" s="651"/>
      <c r="C87" s="186" t="s">
        <v>313</v>
      </c>
      <c r="D87" s="184">
        <f>SUMIF('A1-Fuentes móviles'!$C$8:$C$16,"Gas de refinería",'A1-Fuentes móviles'!$AE$8:$AE$16)+SUMIF('A1-Fuentes fijas'!$C$8:$C$19,"Gas de refinería",'A1-Fuentes fijas'!$AE$8:$AE$19)</f>
        <v>0</v>
      </c>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row>
    <row r="88" spans="1:35" ht="16.2" thickBot="1">
      <c r="A88" s="650"/>
      <c r="B88" s="651"/>
      <c r="C88" s="187" t="s">
        <v>445</v>
      </c>
      <c r="D88" s="188">
        <f>SUM(D89:D92)</f>
        <v>0</v>
      </c>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row>
    <row r="89" spans="1:35">
      <c r="A89" s="650"/>
      <c r="B89" s="651"/>
      <c r="C89" s="186" t="s">
        <v>108</v>
      </c>
      <c r="D89" s="184">
        <f>SUMIF('A1-Fuentes móviles'!$C$8:$C$16,"Coque de petróleo",'A1-Fuentes móviles'!$AE$8:$AE$16)+SUMIF('A1-Fuentes fijas'!$C$8:$C$19,"Coque de petróleo",'A1-Fuentes fijas'!$AE$8:$AE$19)</f>
        <v>0</v>
      </c>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row>
    <row r="90" spans="1:35">
      <c r="A90" s="650"/>
      <c r="B90" s="651"/>
      <c r="C90" s="186" t="s">
        <v>309</v>
      </c>
      <c r="D90" s="184">
        <f>SUMIF('A1-Fuentes móviles'!$C$8:$C$16,"Leña",'A1-Fuentes móviles'!$AE$8:$AE$16)+SUMIF('A1-Fuentes fijas'!$C$8:$C$19,"Leña",'A1-Fuentes fijas'!$AE$8:$AE$19)</f>
        <v>0</v>
      </c>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row>
    <row r="91" spans="1:35">
      <c r="A91" s="650"/>
      <c r="B91" s="651"/>
      <c r="C91" s="186" t="s">
        <v>311</v>
      </c>
      <c r="D91" s="184">
        <f>SUMIF('A1-Fuentes móviles'!$C$8:$C$16,"Otros residuos de biomasa",'A1-Fuentes móviles'!$AE$8:$AE$16)+SUMIF('A1-Fuentes fijas'!$C$8:$C$19,"Otros residuos de biomasa",'A1-Fuentes fijas'!$AE$8:$AE$19)</f>
        <v>0</v>
      </c>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row>
    <row r="92" spans="1:35" ht="16.2" thickBot="1">
      <c r="A92" s="652"/>
      <c r="B92" s="653"/>
      <c r="C92" s="189" t="s">
        <v>315</v>
      </c>
      <c r="D92" s="184">
        <f>SUMIF('A1-Fuentes móviles'!$C$8:$C$16,"Turba (peat)",'A1-Fuentes móviles'!$AE$8:$AE$16)+SUMIF('A1-Fuentes fijas'!$C$8:$C$19,"Turba (peat)",'A1-Fuentes fijas'!$AE$8:$AE$19)</f>
        <v>0</v>
      </c>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row>
    <row r="93" spans="1:35">
      <c r="A93" s="132"/>
      <c r="B93" s="132"/>
      <c r="C93" s="132"/>
      <c r="D93" s="190"/>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row>
    <row r="94" spans="1:35">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row>
    <row r="95" spans="1:35">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row>
    <row r="96" spans="1:35">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row>
    <row r="97" spans="1:35">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row>
    <row r="98" spans="1:35">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row>
    <row r="99" spans="1:35">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row>
    <row r="100" spans="1:35">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row>
    <row r="101" spans="1:35">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row>
    <row r="102" spans="1:35">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row>
    <row r="103" spans="1:35">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row>
    <row r="104" spans="1:35">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row>
    <row r="105" spans="1:35">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row>
    <row r="106" spans="1:35">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row>
    <row r="107" spans="1:35">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row>
    <row r="108" spans="1:35">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row>
    <row r="109" spans="1:35">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row>
    <row r="110" spans="1:35">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row>
    <row r="111" spans="1:35">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row>
    <row r="112" spans="1:35">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row>
    <row r="113" spans="1:35">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row>
    <row r="114" spans="1:35">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row>
    <row r="115" spans="1:35">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row>
    <row r="116" spans="1:35">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row>
    <row r="117" spans="1:35">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row>
    <row r="118" spans="1:35">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row>
    <row r="119" spans="1:35">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row>
    <row r="120" spans="1:35">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row>
    <row r="121" spans="1:35">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row>
    <row r="122" spans="1:35">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row>
    <row r="123" spans="1:35">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row>
    <row r="124" spans="1:35">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row>
    <row r="125" spans="1:35">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row>
    <row r="126" spans="1:35">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row>
    <row r="127" spans="1:35">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row>
    <row r="128" spans="1:35">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row>
    <row r="129" spans="1:35">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row>
    <row r="130" spans="1:35">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row>
    <row r="131" spans="1:35">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row>
    <row r="132" spans="1:35">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row>
    <row r="133" spans="1:35">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row>
    <row r="134" spans="1:35">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row>
    <row r="135" spans="1:35">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row>
    <row r="136" spans="1:35">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row>
    <row r="137" spans="1:35">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row>
    <row r="138" spans="1:35">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row>
    <row r="139" spans="1:35">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row>
    <row r="140" spans="1:35">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row>
    <row r="141" spans="1:35">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row>
    <row r="142" spans="1:35">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row>
    <row r="143" spans="1:35">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row>
    <row r="144" spans="1:35">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row>
    <row r="145" spans="1:35">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row>
    <row r="146" spans="1:35">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row>
    <row r="147" spans="1:35">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row>
    <row r="148" spans="1:35">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row>
    <row r="149" spans="1:35">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row>
    <row r="150" spans="1:35">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row>
    <row r="151" spans="1:35">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row>
    <row r="152" spans="1:35">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row>
    <row r="153" spans="1:35">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row>
    <row r="154" spans="1:35">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row>
    <row r="155" spans="1:35">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row>
    <row r="156" spans="1:35">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row>
    <row r="157" spans="1:35">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row>
    <row r="158" spans="1:35">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row>
    <row r="159" spans="1:35">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row>
    <row r="160" spans="1:35">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row>
    <row r="161" spans="1:35">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row>
    <row r="162" spans="1:35">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row>
    <row r="163" spans="1:35">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row>
    <row r="164" spans="1:35">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row>
    <row r="165" spans="1:35">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row>
    <row r="166" spans="1:35">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row>
    <row r="167" spans="1:35">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row>
    <row r="168" spans="1:35">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row>
    <row r="169" spans="1:35">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row>
    <row r="170" spans="1:35">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row>
    <row r="171" spans="1:35">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row>
    <row r="172" spans="1:35">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row>
    <row r="173" spans="1:35">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row>
    <row r="174" spans="1:35">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row>
    <row r="175" spans="1:35">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row>
    <row r="176" spans="1:35">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row>
    <row r="177" spans="1:35">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row>
    <row r="178" spans="1:35">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row>
    <row r="179" spans="1:35">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row>
    <row r="180" spans="1:35">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row>
    <row r="181" spans="1:35">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row>
    <row r="182" spans="1:35">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row>
    <row r="183" spans="1:35">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row>
    <row r="184" spans="1:35">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row>
    <row r="185" spans="1:35">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row>
    <row r="186" spans="1:35">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row>
    <row r="187" spans="1:35">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row>
    <row r="188" spans="1:35">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row>
    <row r="189" spans="1:35">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row>
    <row r="190" spans="1:35">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row>
    <row r="191" spans="1:35">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row>
    <row r="192" spans="1:35">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row>
    <row r="193" spans="1:35">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row>
    <row r="194" spans="1:35">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row>
    <row r="195" spans="1:35">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row>
    <row r="196" spans="1:35">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row>
    <row r="197" spans="1:35">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row>
    <row r="198" spans="1:35">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row>
    <row r="199" spans="1:35">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row>
    <row r="200" spans="1:35">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row>
    <row r="201" spans="1:35">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row>
    <row r="202" spans="1:35">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row>
    <row r="203" spans="1:35">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row>
    <row r="204" spans="1:35">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row>
    <row r="205" spans="1:35">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row>
    <row r="206" spans="1:35">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row>
    <row r="207" spans="1:35">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row>
    <row r="208" spans="1:35">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row>
    <row r="209" spans="1:35">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row>
    <row r="210" spans="1:35">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row>
    <row r="211" spans="1:35">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row>
    <row r="212" spans="1:35">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row>
    <row r="213" spans="1:35">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row>
    <row r="214" spans="1:35">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row>
    <row r="215" spans="1:35">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row>
    <row r="216" spans="1:35">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row>
    <row r="217" spans="1:35">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row>
    <row r="218" spans="1:35">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row>
    <row r="219" spans="1:35">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row>
    <row r="220" spans="1:35">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row>
    <row r="221" spans="1:35">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row>
    <row r="222" spans="1:35">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row>
    <row r="223" spans="1:35">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row>
    <row r="224" spans="1:35">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row>
    <row r="225" spans="1:35">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row>
    <row r="226" spans="1:35">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row>
    <row r="227" spans="1:35">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row>
    <row r="228" spans="1:35">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row>
    <row r="229" spans="1:35">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row>
    <row r="230" spans="1:35">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row>
    <row r="231" spans="1:35">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row>
    <row r="232" spans="1:35">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row>
    <row r="233" spans="1:35">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row>
    <row r="234" spans="1:35">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row>
    <row r="235" spans="1:35">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row>
    <row r="236" spans="1:35">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row>
    <row r="237" spans="1:35">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row>
    <row r="238" spans="1:35">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row>
    <row r="239" spans="1:35">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row>
    <row r="240" spans="1:35">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row>
    <row r="241" spans="1:35">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row>
    <row r="242" spans="1:35">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row>
    <row r="243" spans="1:35">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row>
    <row r="244" spans="1:35">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row>
    <row r="245" spans="1:35">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row>
    <row r="246" spans="1:35">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row>
    <row r="247" spans="1:35">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row>
    <row r="248" spans="1:35">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row>
    <row r="249" spans="1:35">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row>
    <row r="250" spans="1:35">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row>
    <row r="251" spans="1:35">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row>
    <row r="252" spans="1:35">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row>
    <row r="253" spans="1:35">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row>
    <row r="254" spans="1:35">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row>
    <row r="255" spans="1:35">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row>
    <row r="256" spans="1:35">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row>
    <row r="257" spans="1:35">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row>
    <row r="258" spans="1:35">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row>
    <row r="259" spans="1:35">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row>
    <row r="260" spans="1:35">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row>
    <row r="261" spans="1:35">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row>
    <row r="262" spans="1:35">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row>
    <row r="263" spans="1:35">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row>
    <row r="264" spans="1:35">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row>
    <row r="265" spans="1:35">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row>
    <row r="266" spans="1:35">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row>
    <row r="267" spans="1:35">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row>
    <row r="268" spans="1:35">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row>
    <row r="269" spans="1:35">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row>
    <row r="270" spans="1:35">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row>
    <row r="271" spans="1:35">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row>
    <row r="272" spans="1:35">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row>
    <row r="273" spans="1:35">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row>
    <row r="274" spans="1:35">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row>
    <row r="275" spans="1:35">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row>
    <row r="276" spans="1:35">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row>
    <row r="277" spans="1:35">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row>
    <row r="278" spans="1:35">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row>
    <row r="279" spans="1:35">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row>
    <row r="280" spans="1:35">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row>
    <row r="281" spans="1:35">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row>
    <row r="282" spans="1:35">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row>
    <row r="283" spans="1:35">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row>
    <row r="284" spans="1:35">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row>
    <row r="285" spans="1:35">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row>
    <row r="286" spans="1:35">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row>
    <row r="287" spans="1:35">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row>
    <row r="288" spans="1:35">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row>
    <row r="289" spans="1:35">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row>
    <row r="290" spans="1:35">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row>
    <row r="291" spans="1:35">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row>
    <row r="292" spans="1:35">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row>
    <row r="293" spans="1:35">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row>
    <row r="294" spans="1:35">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row>
    <row r="295" spans="1:35">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row>
    <row r="296" spans="1:35">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row>
    <row r="297" spans="1:35">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row>
    <row r="298" spans="1:35">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row>
    <row r="299" spans="1:35">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row>
    <row r="300" spans="1:35">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row>
    <row r="301" spans="1:35">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row>
    <row r="302" spans="1:35">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row>
    <row r="303" spans="1:35">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row>
    <row r="304" spans="1:35">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row>
    <row r="305" spans="1:35">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row>
    <row r="306" spans="1:35">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row>
    <row r="307" spans="1:35">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row>
    <row r="308" spans="1:35">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row>
    <row r="309" spans="1:35">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row>
    <row r="310" spans="1:35">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row>
    <row r="311" spans="1:35">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row>
    <row r="312" spans="1:35">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row>
    <row r="313" spans="1:35">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row>
    <row r="314" spans="1:35">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row>
    <row r="315" spans="1:35">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row>
    <row r="316" spans="1:35">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row>
    <row r="317" spans="1:35">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row>
    <row r="318" spans="1:35">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row>
    <row r="319" spans="1:35">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row>
    <row r="320" spans="1:35">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row>
    <row r="321" spans="1:35">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row>
    <row r="322" spans="1:35">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row>
    <row r="323" spans="1:35">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row>
    <row r="324" spans="1:35">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row>
    <row r="325" spans="1:35">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row>
    <row r="326" spans="1:35">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row>
    <row r="327" spans="1:35">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row>
    <row r="328" spans="1:35">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row>
    <row r="329" spans="1:35">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row>
    <row r="330" spans="1:35">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row>
    <row r="331" spans="1:35">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row>
    <row r="332" spans="1:35">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row>
    <row r="333" spans="1:35">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row>
    <row r="334" spans="1:35">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row>
    <row r="335" spans="1:35">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row>
    <row r="336" spans="1:35">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row>
    <row r="337" spans="1:35">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row>
    <row r="338" spans="1:35">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row>
    <row r="339" spans="1:35">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row>
    <row r="340" spans="1:35">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row>
    <row r="341" spans="1:35">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row>
    <row r="342" spans="1:35">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row>
    <row r="343" spans="1:35">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row>
    <row r="344" spans="1:35">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row>
    <row r="345" spans="1:35">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row>
    <row r="346" spans="1:35">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row>
    <row r="347" spans="1:35">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row>
    <row r="348" spans="1:35">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row>
    <row r="349" spans="1:35">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row>
    <row r="350" spans="1:35">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row>
    <row r="351" spans="1:35">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row>
    <row r="352" spans="1:35">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row>
    <row r="353" spans="1:35">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row>
    <row r="354" spans="1:35">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row>
    <row r="355" spans="1:35">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row>
    <row r="356" spans="1:35">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row>
    <row r="357" spans="1:35">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row>
    <row r="358" spans="1:35">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row>
    <row r="359" spans="1:35">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row>
    <row r="360" spans="1:35">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row>
    <row r="361" spans="1:35">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row>
    <row r="362" spans="1:35">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row>
    <row r="363" spans="1:35">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row>
    <row r="364" spans="1:35">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row>
    <row r="365" spans="1:35">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row>
    <row r="366" spans="1:35">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row>
    <row r="367" spans="1:35">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row>
    <row r="368" spans="1:35">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row>
    <row r="369" spans="1:35">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row>
    <row r="370" spans="1:35">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row>
    <row r="371" spans="1:35">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row>
    <row r="372" spans="1:35">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row>
    <row r="373" spans="1:35">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row>
    <row r="374" spans="1:35">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row>
    <row r="375" spans="1:35">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row>
    <row r="376" spans="1:35">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row>
    <row r="377" spans="1:35">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row>
    <row r="378" spans="1:35">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row>
    <row r="379" spans="1:35">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row>
    <row r="380" spans="1:35">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row>
    <row r="381" spans="1:35">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row>
    <row r="382" spans="1:35">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row>
    <row r="383" spans="1:35">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row>
    <row r="384" spans="1:35">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row>
    <row r="385" spans="1:35">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row>
    <row r="386" spans="1:35">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row>
    <row r="387" spans="1:35">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row>
    <row r="388" spans="1:35">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row>
    <row r="389" spans="1:35">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row>
    <row r="390" spans="1:35">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row>
    <row r="391" spans="1:35">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row>
    <row r="392" spans="1:35">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row>
    <row r="393" spans="1:35">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row>
    <row r="394" spans="1:35">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row>
    <row r="395" spans="1:35">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row>
    <row r="396" spans="1:35">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row>
    <row r="397" spans="1:35">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row>
    <row r="398" spans="1:35">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row>
    <row r="399" spans="1:35">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row>
    <row r="400" spans="1:35">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row>
    <row r="401" spans="1:35">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row>
    <row r="402" spans="1:35">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row>
    <row r="403" spans="1:35">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row>
    <row r="404" spans="1:35">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row>
    <row r="405" spans="1:35">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row>
    <row r="406" spans="1:35">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row>
    <row r="407" spans="1:35">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row>
    <row r="408" spans="1:35">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row>
    <row r="409" spans="1:35">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row>
    <row r="410" spans="1:35">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row>
    <row r="411" spans="1:35">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row>
    <row r="412" spans="1:35">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row>
    <row r="413" spans="1:35">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row>
    <row r="414" spans="1:35">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row>
    <row r="415" spans="1:35">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row>
    <row r="416" spans="1:35">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row>
    <row r="417" spans="1:35">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row>
    <row r="418" spans="1:35">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row>
    <row r="419" spans="1:35">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row>
    <row r="420" spans="1:35">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row>
    <row r="421" spans="1:35">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row>
    <row r="422" spans="1:35">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row>
    <row r="423" spans="1:35">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row>
    <row r="424" spans="1:35">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row>
    <row r="425" spans="1:35">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row>
    <row r="426" spans="1:35">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row>
    <row r="427" spans="1:35">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row>
    <row r="428" spans="1:35">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row>
    <row r="429" spans="1:35">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row>
    <row r="430" spans="1:35">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row>
    <row r="431" spans="1:35">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row>
    <row r="432" spans="1:35">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row>
    <row r="433" spans="1:35">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row>
    <row r="434" spans="1:35">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row>
    <row r="435" spans="1:35">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row>
    <row r="436" spans="1:35">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row>
    <row r="437" spans="1:35">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row>
    <row r="438" spans="1:35">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row>
    <row r="439" spans="1:35">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row>
    <row r="440" spans="1:35">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row>
    <row r="441" spans="1:35">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row>
    <row r="442" spans="1:35">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row>
    <row r="443" spans="1:35">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row>
    <row r="444" spans="1:35">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row>
    <row r="445" spans="1:35">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row>
    <row r="446" spans="1:35">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row>
    <row r="447" spans="1:35">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row>
    <row r="448" spans="1:35">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row>
    <row r="449" spans="1:35">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row>
    <row r="450" spans="1:35">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row>
    <row r="451" spans="1:35">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row>
    <row r="452" spans="1:35">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row>
    <row r="453" spans="1:35">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row>
    <row r="454" spans="1:35">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row>
    <row r="455" spans="1:35">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row>
    <row r="456" spans="1:35">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row>
    <row r="457" spans="1:35">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row>
    <row r="458" spans="1:35">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row>
    <row r="459" spans="1:35">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row>
    <row r="460" spans="1:35">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row>
    <row r="461" spans="1:35">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row>
    <row r="462" spans="1:35">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row>
    <row r="463" spans="1:35">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row>
    <row r="464" spans="1:35">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row>
    <row r="465" spans="1:35">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row>
    <row r="466" spans="1:35">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row>
    <row r="467" spans="1:35">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row>
    <row r="468" spans="1:35">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row>
  </sheetData>
  <mergeCells count="32">
    <mergeCell ref="A34:C34"/>
    <mergeCell ref="A35:B35"/>
    <mergeCell ref="A36:B36"/>
    <mergeCell ref="A33:B33"/>
    <mergeCell ref="A4:R4"/>
    <mergeCell ref="A2:R2"/>
    <mergeCell ref="A40:R40"/>
    <mergeCell ref="A43:B51"/>
    <mergeCell ref="A57:B58"/>
    <mergeCell ref="A22:R22"/>
    <mergeCell ref="A25:B25"/>
    <mergeCell ref="A26:B26"/>
    <mergeCell ref="A27:B27"/>
    <mergeCell ref="A24:C24"/>
    <mergeCell ref="A29:C29"/>
    <mergeCell ref="A30:B30"/>
    <mergeCell ref="A28:B28"/>
    <mergeCell ref="A37:B37"/>
    <mergeCell ref="A31:B31"/>
    <mergeCell ref="A32:B32"/>
    <mergeCell ref="A38:B38"/>
    <mergeCell ref="A74:R74"/>
    <mergeCell ref="A76:B92"/>
    <mergeCell ref="A54:R54"/>
    <mergeCell ref="C42:D42"/>
    <mergeCell ref="A42:B42"/>
    <mergeCell ref="A56:B56"/>
    <mergeCell ref="C56:D56"/>
    <mergeCell ref="A63:B63"/>
    <mergeCell ref="C63:D63"/>
    <mergeCell ref="A61:R61"/>
    <mergeCell ref="A64:B70"/>
  </mergeCells>
  <conditionalFormatting sqref="C25:C27">
    <cfRule type="dataBar" priority="30">
      <dataBar>
        <cfvo type="min"/>
        <cfvo type="max"/>
        <color rgb="FF638EC6"/>
      </dataBar>
      <extLst>
        <ext xmlns:x14="http://schemas.microsoft.com/office/spreadsheetml/2009/9/main" uri="{B025F937-C7B1-47D3-B67F-A62EFF666E3E}">
          <x14:id>{24EBD6A5-CE87-4954-8AFE-06D50DE11216}</x14:id>
        </ext>
      </extLst>
    </cfRule>
  </conditionalFormatting>
  <conditionalFormatting sqref="C30:C32">
    <cfRule type="dataBar" priority="29">
      <dataBar>
        <cfvo type="min"/>
        <cfvo type="max"/>
        <color rgb="FF638EC6"/>
      </dataBar>
      <extLst>
        <ext xmlns:x14="http://schemas.microsoft.com/office/spreadsheetml/2009/9/main" uri="{B025F937-C7B1-47D3-B67F-A62EFF666E3E}">
          <x14:id>{A4ED01F2-E4D9-4C5F-8E07-88177D00A145}</x14:id>
        </ext>
      </extLst>
    </cfRule>
  </conditionalFormatting>
  <conditionalFormatting sqref="C35:C37">
    <cfRule type="dataBar" priority="28">
      <dataBar>
        <cfvo type="min"/>
        <cfvo type="max"/>
        <color rgb="FF638EC6"/>
      </dataBar>
      <extLst>
        <ext xmlns:x14="http://schemas.microsoft.com/office/spreadsheetml/2009/9/main" uri="{B025F937-C7B1-47D3-B67F-A62EFF666E3E}">
          <x14:id>{E0FCEAB1-FDAA-4CCC-80B6-D440F3C6DABC}</x14:id>
        </ext>
      </extLst>
    </cfRule>
  </conditionalFormatting>
  <conditionalFormatting sqref="D43:D50">
    <cfRule type="dataBar" priority="27">
      <dataBar>
        <cfvo type="min"/>
        <cfvo type="max"/>
        <color rgb="FF638EC6"/>
      </dataBar>
      <extLst>
        <ext xmlns:x14="http://schemas.microsoft.com/office/spreadsheetml/2009/9/main" uri="{B025F937-C7B1-47D3-B67F-A62EFF666E3E}">
          <x14:id>{C25508AF-5786-40FC-9CA7-5DC7996C4069}</x14:id>
        </ext>
      </extLst>
    </cfRule>
  </conditionalFormatting>
  <conditionalFormatting sqref="D57">
    <cfRule type="dataBar" priority="24">
      <dataBar>
        <cfvo type="min"/>
        <cfvo type="max"/>
        <color rgb="FFFF555A"/>
      </dataBar>
      <extLst>
        <ext xmlns:x14="http://schemas.microsoft.com/office/spreadsheetml/2009/9/main" uri="{B025F937-C7B1-47D3-B67F-A62EFF666E3E}">
          <x14:id>{9FD8E711-9DAD-477F-AD20-3652D306CAE1}</x14:id>
        </ext>
      </extLst>
    </cfRule>
  </conditionalFormatting>
  <conditionalFormatting sqref="D64:D69">
    <cfRule type="dataBar" priority="26">
      <dataBar>
        <cfvo type="min"/>
        <cfvo type="max"/>
        <color rgb="FFFFB628"/>
      </dataBar>
      <extLst>
        <ext xmlns:x14="http://schemas.microsoft.com/office/spreadsheetml/2009/9/main" uri="{B025F937-C7B1-47D3-B67F-A62EFF666E3E}">
          <x14:id>{E6CF3E46-5B5E-48B4-BA2F-186C81371E6D}</x14:id>
        </ext>
      </extLst>
    </cfRule>
  </conditionalFormatting>
  <conditionalFormatting sqref="D77:D84">
    <cfRule type="dataBar" priority="23">
      <dataBar>
        <cfvo type="min"/>
        <cfvo type="max"/>
        <color rgb="FF008AEF"/>
      </dataBar>
      <extLst>
        <ext xmlns:x14="http://schemas.microsoft.com/office/spreadsheetml/2009/9/main" uri="{B025F937-C7B1-47D3-B67F-A62EFF666E3E}">
          <x14:id>{3EF15909-D6D2-4998-9C6F-89BA78EF3938}</x14:id>
        </ext>
      </extLst>
    </cfRule>
  </conditionalFormatting>
  <conditionalFormatting sqref="D86:D87">
    <cfRule type="dataBar" priority="20">
      <dataBar>
        <cfvo type="min"/>
        <cfvo type="max"/>
        <color rgb="FF008AEF"/>
      </dataBar>
      <extLst>
        <ext xmlns:x14="http://schemas.microsoft.com/office/spreadsheetml/2009/9/main" uri="{B025F937-C7B1-47D3-B67F-A62EFF666E3E}">
          <x14:id>{95773376-20A4-4DCA-8374-5396A5F7BB77}</x14:id>
        </ext>
      </extLst>
    </cfRule>
  </conditionalFormatting>
  <conditionalFormatting sqref="D89:D92">
    <cfRule type="dataBar" priority="32">
      <dataBar>
        <cfvo type="min"/>
        <cfvo type="max"/>
        <color rgb="FF008AEF"/>
      </dataBar>
      <extLst>
        <ext xmlns:x14="http://schemas.microsoft.com/office/spreadsheetml/2009/9/main" uri="{B025F937-C7B1-47D3-B67F-A62EFF666E3E}">
          <x14:id>{9D30D6D0-D878-4D42-9BA9-8372ABB4A66A}</x14:id>
        </ext>
      </extLst>
    </cfRule>
  </conditionalFormatting>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dataBar" id="{24EBD6A5-CE87-4954-8AFE-06D50DE11216}">
            <x14:dataBar minLength="0" maxLength="100" border="1" negativeBarBorderColorSameAsPositive="0">
              <x14:cfvo type="autoMin"/>
              <x14:cfvo type="autoMax"/>
              <x14:borderColor rgb="FF638EC6"/>
              <x14:negativeFillColor rgb="FFFF0000"/>
              <x14:negativeBorderColor rgb="FFFF0000"/>
              <x14:axisColor rgb="FF000000"/>
            </x14:dataBar>
          </x14:cfRule>
          <xm:sqref>C25:C27</xm:sqref>
        </x14:conditionalFormatting>
        <x14:conditionalFormatting xmlns:xm="http://schemas.microsoft.com/office/excel/2006/main">
          <x14:cfRule type="dataBar" id="{A4ED01F2-E4D9-4C5F-8E07-88177D00A145}">
            <x14:dataBar minLength="0" maxLength="100" border="1" negativeBarBorderColorSameAsPositive="0">
              <x14:cfvo type="autoMin"/>
              <x14:cfvo type="autoMax"/>
              <x14:borderColor rgb="FF638EC6"/>
              <x14:negativeFillColor rgb="FFFF0000"/>
              <x14:negativeBorderColor rgb="FFFF0000"/>
              <x14:axisColor rgb="FF000000"/>
            </x14:dataBar>
          </x14:cfRule>
          <xm:sqref>C30:C32</xm:sqref>
        </x14:conditionalFormatting>
        <x14:conditionalFormatting xmlns:xm="http://schemas.microsoft.com/office/excel/2006/main">
          <x14:cfRule type="dataBar" id="{E0FCEAB1-FDAA-4CCC-80B6-D440F3C6DABC}">
            <x14:dataBar minLength="0" maxLength="100" border="1" negativeBarBorderColorSameAsPositive="0">
              <x14:cfvo type="autoMin"/>
              <x14:cfvo type="autoMax"/>
              <x14:borderColor rgb="FF638EC6"/>
              <x14:negativeFillColor rgb="FFFF0000"/>
              <x14:negativeBorderColor rgb="FFFF0000"/>
              <x14:axisColor rgb="FF000000"/>
            </x14:dataBar>
          </x14:cfRule>
          <xm:sqref>C35:C37</xm:sqref>
        </x14:conditionalFormatting>
        <x14:conditionalFormatting xmlns:xm="http://schemas.microsoft.com/office/excel/2006/main">
          <x14:cfRule type="dataBar" id="{C25508AF-5786-40FC-9CA7-5DC7996C4069}">
            <x14:dataBar minLength="0" maxLength="100" border="1" negativeBarBorderColorSameAsPositive="0">
              <x14:cfvo type="autoMin"/>
              <x14:cfvo type="autoMax"/>
              <x14:borderColor rgb="FF638EC6"/>
              <x14:negativeFillColor rgb="FFFF0000"/>
              <x14:negativeBorderColor rgb="FFFF0000"/>
              <x14:axisColor rgb="FF000000"/>
            </x14:dataBar>
          </x14:cfRule>
          <xm:sqref>D43:D50</xm:sqref>
        </x14:conditionalFormatting>
        <x14:conditionalFormatting xmlns:xm="http://schemas.microsoft.com/office/excel/2006/main">
          <x14:cfRule type="dataBar" id="{9FD8E711-9DAD-477F-AD20-3652D306CAE1}">
            <x14:dataBar minLength="0" maxLength="100" border="1" negativeBarBorderColorSameAsPositive="0">
              <x14:cfvo type="autoMin"/>
              <x14:cfvo type="autoMax"/>
              <x14:borderColor rgb="FFFF555A"/>
              <x14:negativeFillColor rgb="FFFF0000"/>
              <x14:negativeBorderColor rgb="FFFF0000"/>
              <x14:axisColor rgb="FF000000"/>
            </x14:dataBar>
          </x14:cfRule>
          <xm:sqref>D57</xm:sqref>
        </x14:conditionalFormatting>
        <x14:conditionalFormatting xmlns:xm="http://schemas.microsoft.com/office/excel/2006/main">
          <x14:cfRule type="dataBar" id="{E6CF3E46-5B5E-48B4-BA2F-186C81371E6D}">
            <x14:dataBar minLength="0" maxLength="100" border="1" negativeBarBorderColorSameAsPositive="0">
              <x14:cfvo type="autoMin"/>
              <x14:cfvo type="autoMax"/>
              <x14:borderColor rgb="FFFFB628"/>
              <x14:negativeFillColor rgb="FFFF0000"/>
              <x14:negativeBorderColor rgb="FFFF0000"/>
              <x14:axisColor rgb="FF000000"/>
            </x14:dataBar>
          </x14:cfRule>
          <xm:sqref>D64:D69</xm:sqref>
        </x14:conditionalFormatting>
        <x14:conditionalFormatting xmlns:xm="http://schemas.microsoft.com/office/excel/2006/main">
          <x14:cfRule type="dataBar" id="{3EF15909-D6D2-4998-9C6F-89BA78EF3938}">
            <x14:dataBar minLength="0" maxLength="100" border="1" negativeBarBorderColorSameAsPositive="0">
              <x14:cfvo type="autoMin"/>
              <x14:cfvo type="autoMax"/>
              <x14:borderColor rgb="FF008AEF"/>
              <x14:negativeFillColor rgb="FFFF0000"/>
              <x14:negativeBorderColor rgb="FFFF0000"/>
              <x14:axisColor rgb="FF000000"/>
            </x14:dataBar>
          </x14:cfRule>
          <xm:sqref>D77:D84</xm:sqref>
        </x14:conditionalFormatting>
        <x14:conditionalFormatting xmlns:xm="http://schemas.microsoft.com/office/excel/2006/main">
          <x14:cfRule type="dataBar" id="{95773376-20A4-4DCA-8374-5396A5F7BB77}">
            <x14:dataBar minLength="0" maxLength="100" border="1" negativeBarBorderColorSameAsPositive="0">
              <x14:cfvo type="autoMin"/>
              <x14:cfvo type="autoMax"/>
              <x14:borderColor rgb="FF008AEF"/>
              <x14:negativeFillColor rgb="FFFF0000"/>
              <x14:negativeBorderColor rgb="FFFF0000"/>
              <x14:axisColor rgb="FF000000"/>
            </x14:dataBar>
          </x14:cfRule>
          <xm:sqref>D86:D87</xm:sqref>
        </x14:conditionalFormatting>
        <x14:conditionalFormatting xmlns:xm="http://schemas.microsoft.com/office/excel/2006/main">
          <x14:cfRule type="dataBar" id="{9D30D6D0-D878-4D42-9BA9-8372ABB4A66A}">
            <x14:dataBar minLength="0" maxLength="100" border="1" negativeBarBorderColorSameAsPositive="0">
              <x14:cfvo type="autoMin"/>
              <x14:cfvo type="autoMax"/>
              <x14:borderColor rgb="FF008AEF"/>
              <x14:negativeFillColor rgb="FFFF0000"/>
              <x14:negativeBorderColor rgb="FFFF0000"/>
              <x14:axisColor rgb="FF000000"/>
            </x14:dataBar>
          </x14:cfRule>
          <xm:sqref>D89:D92</xm:sqref>
        </x14:conditionalFormatting>
        <x14:conditionalFormatting xmlns:xm="http://schemas.microsoft.com/office/excel/2006/main">
          <x14:cfRule type="containsText" priority="13" operator="containsText" id="{3CDB6B3A-0ECD-4DE7-A088-363EE5C96928}">
            <xm:f>NOT(ISERROR(SEARCH(Indicaciones!$H$38,E43)))</xm:f>
            <xm:f>Indicaciones!$H$38</xm:f>
            <x14:dxf>
              <fill>
                <patternFill>
                  <bgColor rgb="FFFF0000"/>
                </patternFill>
              </fill>
            </x14:dxf>
          </x14:cfRule>
          <x14:cfRule type="containsText" priority="14" operator="containsText" id="{FAAD31AE-96F6-428D-98BD-AE71D8269057}">
            <xm:f>NOT(ISERROR(SEARCH(Indicaciones!$H$39,E43)))</xm:f>
            <xm:f>Indicaciones!$H$39</xm:f>
            <x14:dxf>
              <fill>
                <patternFill>
                  <bgColor rgb="FFFFC000"/>
                </patternFill>
              </fill>
            </x14:dxf>
          </x14:cfRule>
          <x14:cfRule type="containsText" priority="15" operator="containsText" id="{7ED3791F-E938-4E74-A53A-F904BA48F945}">
            <xm:f>NOT(ISERROR(SEARCH(Indicaciones!$H$40,E43)))</xm:f>
            <xm:f>Indicaciones!$H$40</xm:f>
            <x14:dxf>
              <fill>
                <patternFill>
                  <bgColor rgb="FFFFFF00"/>
                </patternFill>
              </fill>
            </x14:dxf>
          </x14:cfRule>
          <x14:cfRule type="containsText" priority="16" operator="containsText" id="{73CC6F36-040A-4971-B900-2A92BB3A6C91}">
            <xm:f>NOT(ISERROR(SEARCH(Indicaciones!$H$41,E43)))</xm:f>
            <xm:f>Indicaciones!$H$41</xm:f>
            <x14:dxf>
              <fill>
                <patternFill>
                  <bgColor rgb="FF00B050"/>
                </patternFill>
              </fill>
            </x14:dxf>
          </x14:cfRule>
          <xm:sqref>E43:E50</xm:sqref>
        </x14:conditionalFormatting>
        <x14:conditionalFormatting xmlns:xm="http://schemas.microsoft.com/office/excel/2006/main">
          <x14:cfRule type="containsText" priority="9" operator="containsText" id="{E4EBDB9A-341A-4DDA-9CC3-165054281CF4}">
            <xm:f>NOT(ISERROR(SEARCH(Indicaciones!$H$38,E57)))</xm:f>
            <xm:f>Indicaciones!$H$38</xm:f>
            <x14:dxf>
              <fill>
                <patternFill>
                  <bgColor rgb="FFFF0000"/>
                </patternFill>
              </fill>
            </x14:dxf>
          </x14:cfRule>
          <x14:cfRule type="containsText" priority="10" operator="containsText" id="{5021C270-1536-4336-917C-7D7B68C87185}">
            <xm:f>NOT(ISERROR(SEARCH(Indicaciones!$H$39,E57)))</xm:f>
            <xm:f>Indicaciones!$H$39</xm:f>
            <x14:dxf>
              <fill>
                <patternFill>
                  <bgColor rgb="FFFFC000"/>
                </patternFill>
              </fill>
            </x14:dxf>
          </x14:cfRule>
          <x14:cfRule type="containsText" priority="11" operator="containsText" id="{97CF6899-702A-4FCB-9191-DBC9520B19CD}">
            <xm:f>NOT(ISERROR(SEARCH(Indicaciones!$H$40,E57)))</xm:f>
            <xm:f>Indicaciones!$H$40</xm:f>
            <x14:dxf>
              <fill>
                <patternFill>
                  <bgColor rgb="FFFFFF00"/>
                </patternFill>
              </fill>
            </x14:dxf>
          </x14:cfRule>
          <x14:cfRule type="containsText" priority="12" operator="containsText" id="{58F77DA7-EECC-44D9-BEA5-F22F96335E25}">
            <xm:f>NOT(ISERROR(SEARCH(Indicaciones!$H$41,E57)))</xm:f>
            <xm:f>Indicaciones!$H$41</xm:f>
            <x14:dxf>
              <fill>
                <patternFill>
                  <bgColor rgb="FF00B050"/>
                </patternFill>
              </fill>
            </x14:dxf>
          </x14:cfRule>
          <xm:sqref>E57</xm:sqref>
        </x14:conditionalFormatting>
        <x14:conditionalFormatting xmlns:xm="http://schemas.microsoft.com/office/excel/2006/main">
          <x14:cfRule type="containsText" priority="1" operator="containsText" id="{33324C07-EFDD-4815-84FE-4604B67ED836}">
            <xm:f>NOT(ISERROR(SEARCH(Indicaciones!$H$38,E64)))</xm:f>
            <xm:f>Indicaciones!$H$38</xm:f>
            <x14:dxf>
              <fill>
                <patternFill>
                  <bgColor rgb="FFFF0000"/>
                </patternFill>
              </fill>
            </x14:dxf>
          </x14:cfRule>
          <x14:cfRule type="containsText" priority="2" operator="containsText" id="{BD905C8E-CAF9-4939-AFE1-9F4930DB1AF3}">
            <xm:f>NOT(ISERROR(SEARCH(Indicaciones!$H$39,E64)))</xm:f>
            <xm:f>Indicaciones!$H$39</xm:f>
            <x14:dxf>
              <fill>
                <patternFill>
                  <bgColor rgb="FFFFC000"/>
                </patternFill>
              </fill>
            </x14:dxf>
          </x14:cfRule>
          <x14:cfRule type="containsText" priority="3" operator="containsText" id="{AC533453-FDEE-442E-8036-5E85D7A5F743}">
            <xm:f>NOT(ISERROR(SEARCH(Indicaciones!$H$40,E64)))</xm:f>
            <xm:f>Indicaciones!$H$40</xm:f>
            <x14:dxf>
              <fill>
                <patternFill>
                  <bgColor rgb="FFFFFF00"/>
                </patternFill>
              </fill>
            </x14:dxf>
          </x14:cfRule>
          <x14:cfRule type="containsText" priority="4" operator="containsText" id="{53EF3792-2A08-4D39-9FDF-3A4EC178F11C}">
            <xm:f>NOT(ISERROR(SEARCH(Indicaciones!$H$41,E64)))</xm:f>
            <xm:f>Indicaciones!$H$41</xm:f>
            <x14:dxf>
              <fill>
                <patternFill>
                  <bgColor rgb="FF00B050"/>
                </patternFill>
              </fill>
            </x14:dxf>
          </x14:cfRule>
          <xm:sqref>E64:E69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846BA3-1FF1-4F70-82B4-CBB96A513DA7}">
          <x14:formula1>
            <xm:f>Indicaciones!$H$38:$H$41</xm:f>
          </x14:formula1>
          <xm:sqref>E57 E43:E50 E64:E69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93ED-E1B3-42D0-8DAB-F7605CE61311}">
  <sheetPr>
    <tabColor theme="8" tint="-0.499984740745262"/>
  </sheetPr>
  <dimension ref="B1:AI18"/>
  <sheetViews>
    <sheetView showGridLines="0" zoomScale="80" zoomScaleNormal="80" workbookViewId="0">
      <pane xSplit="2" ySplit="1" topLeftCell="V2" activePane="bottomRight" state="frozen"/>
      <selection pane="topRight" activeCell="C1" sqref="C1"/>
      <selection pane="bottomLeft" activeCell="A2" sqref="A2"/>
      <selection pane="bottomRight" activeCell="AD8" sqref="AD8"/>
    </sheetView>
  </sheetViews>
  <sheetFormatPr baseColWidth="10" defaultColWidth="14.44140625" defaultRowHeight="15.6"/>
  <cols>
    <col min="1" max="1" width="9.88671875" style="192" customWidth="1"/>
    <col min="2" max="2" width="35" style="192" customWidth="1"/>
    <col min="3" max="3" width="28.33203125" style="192" customWidth="1"/>
    <col min="4" max="4" width="8" style="192" customWidth="1"/>
    <col min="5" max="5" width="26.44140625" style="192" customWidth="1"/>
    <col min="6" max="6" width="17.6640625" style="192" customWidth="1"/>
    <col min="7" max="9" width="9.5546875" style="192" customWidth="1"/>
    <col min="10" max="10" width="10.109375" style="192" customWidth="1"/>
    <col min="11" max="11" width="9.5546875" style="192" customWidth="1"/>
    <col min="12" max="12" width="9.33203125" style="192" customWidth="1"/>
    <col min="13" max="13" width="9.88671875" style="192" customWidth="1"/>
    <col min="14" max="14" width="10.6640625" style="192" customWidth="1"/>
    <col min="15" max="15" width="9.33203125" style="192" customWidth="1"/>
    <col min="16" max="16" width="10.44140625" style="192" customWidth="1"/>
    <col min="17" max="17" width="10.109375" style="192" customWidth="1"/>
    <col min="18" max="18" width="14" style="192" customWidth="1"/>
    <col min="19" max="19" width="12.44140625" style="192" customWidth="1"/>
    <col min="20" max="20" width="16.33203125" style="192" customWidth="1"/>
    <col min="21" max="21" width="11.6640625" style="192" customWidth="1"/>
    <col min="22" max="22" width="11.88671875" style="192" customWidth="1"/>
    <col min="23" max="23" width="15.109375" style="192" customWidth="1"/>
    <col min="24" max="24" width="17.44140625" style="192" customWidth="1"/>
    <col min="25" max="25" width="20.33203125" style="192" customWidth="1"/>
    <col min="26" max="26" width="13.33203125" style="192" customWidth="1"/>
    <col min="27" max="27" width="21.33203125" style="192" customWidth="1"/>
    <col min="28" max="28" width="17.88671875" style="192" customWidth="1"/>
    <col min="29" max="30" width="13.33203125" style="192" customWidth="1"/>
    <col min="31" max="31" width="17" style="192" customWidth="1"/>
    <col min="32" max="35" width="13.33203125" style="192" customWidth="1"/>
    <col min="36" max="16384" width="14.44140625" style="192"/>
  </cols>
  <sheetData>
    <row r="1" spans="2:35"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191"/>
      <c r="AG1" s="191"/>
      <c r="AH1" s="191"/>
      <c r="AI1" s="191"/>
    </row>
    <row r="2" spans="2:35" ht="37.5" customHeight="1">
      <c r="B2" s="193" t="s">
        <v>8</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1"/>
      <c r="AG2" s="191"/>
      <c r="AH2" s="191"/>
      <c r="AI2" s="191"/>
    </row>
    <row r="3" spans="2:35" ht="30" customHeight="1">
      <c r="B3" s="195"/>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1"/>
      <c r="AG3" s="191"/>
      <c r="AH3" s="191"/>
      <c r="AI3" s="191"/>
    </row>
    <row r="4" spans="2:35" ht="39" customHeight="1">
      <c r="B4" s="697" t="s">
        <v>9</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row>
    <row r="5" spans="2:35" ht="12.75" customHeight="1" thickBot="1">
      <c r="B5" s="197"/>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row>
    <row r="6" spans="2:35" ht="16.5" customHeight="1">
      <c r="B6" s="698" t="s">
        <v>10</v>
      </c>
      <c r="C6" s="698" t="s">
        <v>11</v>
      </c>
      <c r="D6" s="698" t="s">
        <v>44</v>
      </c>
      <c r="E6" s="693" t="s">
        <v>661</v>
      </c>
      <c r="F6" s="698" t="s">
        <v>13</v>
      </c>
      <c r="G6" s="699"/>
      <c r="H6" s="699"/>
      <c r="I6" s="699"/>
      <c r="J6" s="699"/>
      <c r="K6" s="699"/>
      <c r="L6" s="699"/>
      <c r="M6" s="699"/>
      <c r="N6" s="699"/>
      <c r="O6" s="699"/>
      <c r="P6" s="699"/>
      <c r="Q6" s="699"/>
      <c r="R6" s="699"/>
      <c r="S6" s="700" t="s">
        <v>692</v>
      </c>
      <c r="T6" s="701"/>
      <c r="U6" s="701"/>
      <c r="V6" s="702"/>
      <c r="W6" s="700" t="s">
        <v>693</v>
      </c>
      <c r="X6" s="701"/>
      <c r="Y6" s="701"/>
      <c r="Z6" s="702"/>
      <c r="AA6" s="700" t="s">
        <v>694</v>
      </c>
      <c r="AB6" s="701"/>
      <c r="AC6" s="701"/>
      <c r="AD6" s="702"/>
      <c r="AE6" s="706" t="s">
        <v>17</v>
      </c>
      <c r="AF6" s="199"/>
      <c r="AG6" s="199"/>
      <c r="AH6" s="199"/>
      <c r="AI6" s="199"/>
    </row>
    <row r="7" spans="2:35" ht="67.5" customHeight="1">
      <c r="B7" s="699"/>
      <c r="C7" s="699"/>
      <c r="D7" s="699"/>
      <c r="E7" s="694"/>
      <c r="F7" s="200" t="s">
        <v>18</v>
      </c>
      <c r="G7" s="200" t="s">
        <v>19</v>
      </c>
      <c r="H7" s="200" t="s">
        <v>20</v>
      </c>
      <c r="I7" s="200" t="s">
        <v>21</v>
      </c>
      <c r="J7" s="200" t="s">
        <v>22</v>
      </c>
      <c r="K7" s="200" t="s">
        <v>23</v>
      </c>
      <c r="L7" s="200" t="s">
        <v>24</v>
      </c>
      <c r="M7" s="200" t="s">
        <v>25</v>
      </c>
      <c r="N7" s="200" t="s">
        <v>26</v>
      </c>
      <c r="O7" s="200" t="s">
        <v>27</v>
      </c>
      <c r="P7" s="200" t="s">
        <v>28</v>
      </c>
      <c r="Q7" s="200" t="s">
        <v>29</v>
      </c>
      <c r="R7" s="201" t="s">
        <v>30</v>
      </c>
      <c r="S7" s="703" t="s">
        <v>695</v>
      </c>
      <c r="T7" s="699"/>
      <c r="U7" s="200" t="s">
        <v>756</v>
      </c>
      <c r="V7" s="442" t="s">
        <v>697</v>
      </c>
      <c r="W7" s="704" t="s">
        <v>698</v>
      </c>
      <c r="X7" s="705"/>
      <c r="Y7" s="200" t="s">
        <v>699</v>
      </c>
      <c r="Z7" s="442" t="s">
        <v>700</v>
      </c>
      <c r="AA7" s="703" t="s">
        <v>701</v>
      </c>
      <c r="AB7" s="699"/>
      <c r="AC7" s="200" t="s">
        <v>702</v>
      </c>
      <c r="AD7" s="442" t="s">
        <v>703</v>
      </c>
      <c r="AE7" s="707"/>
      <c r="AF7" s="202"/>
      <c r="AG7" s="202"/>
      <c r="AH7" s="202"/>
      <c r="AI7" s="202"/>
    </row>
    <row r="8" spans="2:35">
      <c r="B8" s="690" t="s">
        <v>550</v>
      </c>
      <c r="C8" s="203" t="s">
        <v>358</v>
      </c>
      <c r="D8" s="204" t="str">
        <f>VLOOKUP($C8,'A1 y A2-Valores por defecto'!$A$47:$T$48,7,FALSE())</f>
        <v>lt</v>
      </c>
      <c r="E8" s="205"/>
      <c r="F8" s="206"/>
      <c r="G8" s="206"/>
      <c r="H8" s="206"/>
      <c r="I8" s="206"/>
      <c r="J8" s="206"/>
      <c r="K8" s="206"/>
      <c r="L8" s="206"/>
      <c r="M8" s="206"/>
      <c r="N8" s="206"/>
      <c r="O8" s="206"/>
      <c r="P8" s="206"/>
      <c r="Q8" s="206"/>
      <c r="R8" s="207">
        <f t="shared" ref="R8:R16" si="0">SUM(F8:Q8)</f>
        <v>0</v>
      </c>
      <c r="S8" s="443">
        <f>VLOOKUP($C8,'A1 y A2-Valores por defecto'!$A$47:$T$48,8,FALSE())</f>
        <v>2.4921436969000008</v>
      </c>
      <c r="T8" s="204" t="str">
        <f>VLOOKUP($C8,'A1 y A2-Valores por defecto'!$A$47:$T$48,9,FALSE())</f>
        <v>kgCO2 eq/lt</v>
      </c>
      <c r="U8" s="207">
        <f t="shared" ref="U8:U16" si="1">$R8*$S8</f>
        <v>0</v>
      </c>
      <c r="V8" s="444">
        <f t="shared" ref="V8:V16" si="2">$U8/1000</f>
        <v>0</v>
      </c>
      <c r="W8" s="448">
        <f>VLOOKUP($C8,'A1 y A2-Valores por defecto'!$A$47:$T$48,13,FALSE())</f>
        <v>1.7427578300000004E-5</v>
      </c>
      <c r="X8" s="441" t="s">
        <v>96</v>
      </c>
      <c r="Y8" s="410">
        <f>($R8*$W8)/1000</f>
        <v>0</v>
      </c>
      <c r="Z8" s="452">
        <f>$Y8*'A1 y A2-Valores por defecto'!$E$80</f>
        <v>0</v>
      </c>
      <c r="AA8" s="526">
        <f>VLOOKUP($C8,'A1 y A2-Valores por defecto'!$A$47:$T$48,18,FALSE())</f>
        <v>6.9710313200000015E-5</v>
      </c>
      <c r="AB8" s="208" t="s">
        <v>98</v>
      </c>
      <c r="AC8" s="410">
        <f>(R8*$AA8)/1000</f>
        <v>0</v>
      </c>
      <c r="AD8" s="450">
        <f>$AC8*'A1 y A2-Valores por defecto'!$E$81</f>
        <v>0</v>
      </c>
      <c r="AE8" s="527">
        <f>V8+Z8+AD8</f>
        <v>0</v>
      </c>
    </row>
    <row r="9" spans="2:35">
      <c r="B9" s="691"/>
      <c r="C9" s="203" t="s">
        <v>324</v>
      </c>
      <c r="D9" s="204" t="str">
        <f>VLOOKUP($C9,'A1 y A2-Valores por defecto'!$A$47:$T$48,7,FALSE())</f>
        <v>lt</v>
      </c>
      <c r="E9" s="205"/>
      <c r="F9" s="206"/>
      <c r="G9" s="206"/>
      <c r="H9" s="206"/>
      <c r="I9" s="206"/>
      <c r="J9" s="206"/>
      <c r="K9" s="206"/>
      <c r="L9" s="206"/>
      <c r="M9" s="206"/>
      <c r="N9" s="206"/>
      <c r="O9" s="206"/>
      <c r="P9" s="206"/>
      <c r="Q9" s="206"/>
      <c r="R9" s="207">
        <f t="shared" si="0"/>
        <v>0</v>
      </c>
      <c r="S9" s="443">
        <f>VLOOKUP($C9,'A1 y A2-Valores por defecto'!$A$47:$T$48,8,FALSE())</f>
        <v>2.2031121140000005</v>
      </c>
      <c r="T9" s="204" t="str">
        <f>VLOOKUP($C9,'A1 y A2-Valores por defecto'!$A$47:$T$48,9,FALSE())</f>
        <v>kgCO2 eq/lt</v>
      </c>
      <c r="U9" s="207">
        <f t="shared" si="1"/>
        <v>0</v>
      </c>
      <c r="V9" s="444">
        <f t="shared" si="2"/>
        <v>0</v>
      </c>
      <c r="W9" s="448">
        <f>VLOOKUP($C9,'A1 y A2-Valores por defecto'!$A$47:$T$48,13,FALSE())</f>
        <v>1.5736515100000004E-5</v>
      </c>
      <c r="X9" s="441" t="s">
        <v>96</v>
      </c>
      <c r="Y9" s="410">
        <f t="shared" ref="Y9:Y16" si="3">($R9*$W9)/1000</f>
        <v>0</v>
      </c>
      <c r="Z9" s="452">
        <f>$Y9*'A1 y A2-Valores por defecto'!$E$80</f>
        <v>0</v>
      </c>
      <c r="AA9" s="526">
        <f>VLOOKUP($C9,'A1 y A2-Valores por defecto'!$A$47:$T$48,18,FALSE())</f>
        <v>6.2946060400000014E-5</v>
      </c>
      <c r="AB9" s="208" t="s">
        <v>98</v>
      </c>
      <c r="AC9" s="410">
        <f t="shared" ref="AC9:AC16" si="4">(R9*$AA9)/1000</f>
        <v>0</v>
      </c>
      <c r="AD9" s="450">
        <f>$AC9*'A1 y A2-Valores por defecto'!$E$81</f>
        <v>0</v>
      </c>
      <c r="AE9" s="527">
        <f t="shared" ref="AE9:AE16" si="5">V9+Z9+AD9</f>
        <v>0</v>
      </c>
    </row>
    <row r="10" spans="2:35">
      <c r="B10" s="692"/>
      <c r="C10" s="203" t="s">
        <v>358</v>
      </c>
      <c r="D10" s="204" t="str">
        <f>VLOOKUP($C10,'A1 y A2-Valores por defecto'!$A$47:$T$48,7,FALSE())</f>
        <v>lt</v>
      </c>
      <c r="E10" s="205"/>
      <c r="F10" s="206"/>
      <c r="G10" s="206"/>
      <c r="H10" s="206"/>
      <c r="I10" s="206"/>
      <c r="J10" s="206"/>
      <c r="K10" s="206"/>
      <c r="L10" s="206"/>
      <c r="M10" s="206"/>
      <c r="N10" s="206"/>
      <c r="O10" s="206"/>
      <c r="P10" s="206"/>
      <c r="Q10" s="206"/>
      <c r="R10" s="207">
        <f t="shared" si="0"/>
        <v>0</v>
      </c>
      <c r="S10" s="443">
        <f>VLOOKUP($C10,'A1 y A2-Valores por defecto'!$A$47:$T$48,8,FALSE())</f>
        <v>2.4921436969000008</v>
      </c>
      <c r="T10" s="204" t="str">
        <f>VLOOKUP($C10,'A1 y A2-Valores por defecto'!$A$47:$T$48,9,FALSE())</f>
        <v>kgCO2 eq/lt</v>
      </c>
      <c r="U10" s="207">
        <f t="shared" si="1"/>
        <v>0</v>
      </c>
      <c r="V10" s="444">
        <f t="shared" si="2"/>
        <v>0</v>
      </c>
      <c r="W10" s="448">
        <f>VLOOKUP($C10,'A1 y A2-Valores por defecto'!$A$47:$T$48,13,FALSE())</f>
        <v>1.7427578300000004E-5</v>
      </c>
      <c r="X10" s="441" t="s">
        <v>96</v>
      </c>
      <c r="Y10" s="410">
        <f t="shared" si="3"/>
        <v>0</v>
      </c>
      <c r="Z10" s="452">
        <f>$Y10*'A1 y A2-Valores por defecto'!$E$80</f>
        <v>0</v>
      </c>
      <c r="AA10" s="526">
        <f>VLOOKUP($C10,'A1 y A2-Valores por defecto'!$A$47:$T$48,18,FALSE())</f>
        <v>6.9710313200000015E-5</v>
      </c>
      <c r="AB10" s="208" t="s">
        <v>98</v>
      </c>
      <c r="AC10" s="410">
        <f t="shared" si="4"/>
        <v>0</v>
      </c>
      <c r="AD10" s="450">
        <f>$AC10*'A1 y A2-Valores por defecto'!$E$81</f>
        <v>0</v>
      </c>
      <c r="AE10" s="527">
        <f t="shared" si="5"/>
        <v>0</v>
      </c>
    </row>
    <row r="11" spans="2:35" ht="14.25" customHeight="1">
      <c r="B11" s="690" t="s">
        <v>551</v>
      </c>
      <c r="C11" s="203" t="s">
        <v>326</v>
      </c>
      <c r="D11" s="204" t="str">
        <f>VLOOKUP($C11,'A1 y A2-Valores por defecto'!$A$50:$T$53,7,FALSE)</f>
        <v>lt</v>
      </c>
      <c r="E11" s="205"/>
      <c r="F11" s="206"/>
      <c r="G11" s="206"/>
      <c r="H11" s="206"/>
      <c r="I11" s="206"/>
      <c r="J11" s="206"/>
      <c r="K11" s="206"/>
      <c r="L11" s="206"/>
      <c r="M11" s="206"/>
      <c r="N11" s="206"/>
      <c r="O11" s="206"/>
      <c r="P11" s="206"/>
      <c r="Q11" s="206"/>
      <c r="R11" s="207">
        <f t="shared" si="0"/>
        <v>0</v>
      </c>
      <c r="S11" s="443">
        <f>IFERROR(VLOOKUP('Datos de la organización'!$H$8,'A1 y A2-Valores por defecto'!$F$61:$H$76,IF(C11="Gasoil / Diésel oil",2,3),FALSE),IF(C11="Gasoil / Diésel oil",'A1 y A2-Valores por defecto'!$G$61,'A1 y A2-Valores por defecto'!$H$61))</f>
        <v>2.0494862387999997</v>
      </c>
      <c r="T11" s="204" t="str">
        <f>VLOOKUP($C11,'A1 y A2-Valores por defecto'!$A$50:$T$53,9,FALSE)</f>
        <v>kgCO2 eq/lt</v>
      </c>
      <c r="U11" s="207">
        <f t="shared" si="1"/>
        <v>0</v>
      </c>
      <c r="V11" s="444">
        <f t="shared" si="2"/>
        <v>0</v>
      </c>
      <c r="W11" s="448">
        <f>IFERROR(VLOOKUP('Datos de la organización'!$H$8,'A1 y A2-Valores por defecto'!$J$61:$L$76,IF(C11="Gasoil / Diésel oil",2,3),FALSE),IF(C11="Gasoil / Diésel oil",'A1 y A2-Valores por defecto'!$K$61,'A1 y A2-Valores por defecto'!$L$61))</f>
        <v>1.8631693080000002E-4</v>
      </c>
      <c r="X11" s="441" t="s">
        <v>96</v>
      </c>
      <c r="Y11" s="410">
        <f t="shared" si="3"/>
        <v>0</v>
      </c>
      <c r="Z11" s="452">
        <f>$Y11*'A1 y A2-Valores por defecto'!$E$80</f>
        <v>0</v>
      </c>
      <c r="AA11" s="526">
        <f>IFERROR(VLOOKUP('Datos de la organización'!$H$8,'A1 y A2-Valores por defecto'!$N$61:$P$76,IF(C11="Gasoil / Diésel oil",2,3),FALSE),IF(C11="Gasoil / Diésel oil",'A1 y A2-Valores por defecto'!$O$61,'A1 y A2-Valores por defecto'!$P$61))</f>
        <v>1.6265763800000002E-4</v>
      </c>
      <c r="AB11" s="208" t="s">
        <v>98</v>
      </c>
      <c r="AC11" s="410">
        <f t="shared" si="4"/>
        <v>0</v>
      </c>
      <c r="AD11" s="450">
        <f>$AC11*'A1 y A2-Valores por defecto'!$E$81</f>
        <v>0</v>
      </c>
      <c r="AE11" s="527">
        <f t="shared" si="5"/>
        <v>0</v>
      </c>
    </row>
    <row r="12" spans="2:35">
      <c r="B12" s="691"/>
      <c r="C12" s="203" t="s">
        <v>322</v>
      </c>
      <c r="D12" s="204" t="str">
        <f>VLOOKUP($C12,'A1 y A2-Valores por defecto'!$A$50:$T$53,7,FALSE)</f>
        <v>lt</v>
      </c>
      <c r="E12" s="205"/>
      <c r="F12" s="206"/>
      <c r="G12" s="206"/>
      <c r="H12" s="206"/>
      <c r="I12" s="206"/>
      <c r="J12" s="206"/>
      <c r="K12" s="206"/>
      <c r="L12" s="206"/>
      <c r="M12" s="206"/>
      <c r="N12" s="206"/>
      <c r="O12" s="206"/>
      <c r="P12" s="206"/>
      <c r="Q12" s="206"/>
      <c r="R12" s="207">
        <f t="shared" si="0"/>
        <v>0</v>
      </c>
      <c r="S12" s="443">
        <f>IFERROR(VLOOKUP('Datos de la organización'!$H$8,'A1 y A2-Valores por defecto'!$F$61:$H$76,IF(C12="Gasoil / Diésel oil",2,3),FALSE),IF(C12="Gasoil / Diésel oil",'A1 y A2-Valores por defecto'!$G$61,'A1 y A2-Valores por defecto'!$H$61))</f>
        <v>2.6676000000000002</v>
      </c>
      <c r="T12" s="204" t="str">
        <f>VLOOKUP($C12,'A1 y A2-Valores por defecto'!$A$50:$T$53,9,FALSE)</f>
        <v>kgCO2 eq/lt</v>
      </c>
      <c r="U12" s="207">
        <f t="shared" si="1"/>
        <v>0</v>
      </c>
      <c r="V12" s="444">
        <f t="shared" si="2"/>
        <v>0</v>
      </c>
      <c r="W12" s="448">
        <f>IFERROR(VLOOKUP('Datos de la organización'!$H$8,'A1 y A2-Valores por defecto'!$J$61:$L$76,IF(C12="Gasoil / Diésel oil",2,3),FALSE),IF(C12="Gasoil / Diésel oil",'A1 y A2-Valores por defecto'!$K$61,'A1 y A2-Valores por defecto'!$L$61))</f>
        <v>1.404E-4</v>
      </c>
      <c r="X12" s="441" t="s">
        <v>96</v>
      </c>
      <c r="Y12" s="410">
        <f t="shared" si="3"/>
        <v>0</v>
      </c>
      <c r="Z12" s="452">
        <f>$Y12*'A1 y A2-Valores por defecto'!$E$80</f>
        <v>0</v>
      </c>
      <c r="AA12" s="526">
        <f>IFERROR(VLOOKUP('Datos de la organización'!$H$8,'A1 y A2-Valores por defecto'!$N$61:$P$76,IF(C12="Gasoil / Diésel oil",2,3),FALSE),IF(C12="Gasoil / Diésel oil",'A1 y A2-Valores por defecto'!$O$61,'A1 y A2-Valores por defecto'!$P$61))</f>
        <v>1.404E-4</v>
      </c>
      <c r="AB12" s="208" t="s">
        <v>98</v>
      </c>
      <c r="AC12" s="410">
        <f t="shared" si="4"/>
        <v>0</v>
      </c>
      <c r="AD12" s="450">
        <f>$AC12*'A1 y A2-Valores por defecto'!$E$81</f>
        <v>0</v>
      </c>
      <c r="AE12" s="527">
        <f t="shared" si="5"/>
        <v>0</v>
      </c>
    </row>
    <row r="13" spans="2:35">
      <c r="B13" s="692"/>
      <c r="C13" s="203" t="s">
        <v>326</v>
      </c>
      <c r="D13" s="204" t="str">
        <f>VLOOKUP($C13,'A1 y A2-Valores por defecto'!$A$50:$T$53,7,FALSE)</f>
        <v>lt</v>
      </c>
      <c r="E13" s="205"/>
      <c r="F13" s="206"/>
      <c r="G13" s="206"/>
      <c r="H13" s="206"/>
      <c r="I13" s="206"/>
      <c r="J13" s="206"/>
      <c r="K13" s="206"/>
      <c r="L13" s="206"/>
      <c r="M13" s="206"/>
      <c r="N13" s="206"/>
      <c r="O13" s="206"/>
      <c r="P13" s="206"/>
      <c r="Q13" s="206"/>
      <c r="R13" s="207">
        <f t="shared" si="0"/>
        <v>0</v>
      </c>
      <c r="S13" s="443">
        <f>IFERROR(VLOOKUP('Datos de la organización'!$H$8,'A1 y A2-Valores por defecto'!$F$61:$H$76,IF(C13="Gasoil / Diésel oil",2,3),FALSE),IF(C13="Gasoil / Diésel oil",'A1 y A2-Valores por defecto'!$G$61,'A1 y A2-Valores por defecto'!$H$61))</f>
        <v>2.0494862387999997</v>
      </c>
      <c r="T13" s="204" t="str">
        <f>VLOOKUP($C13,'A1 y A2-Valores por defecto'!$A$50:$T$53,9,FALSE)</f>
        <v>kgCO2 eq/lt</v>
      </c>
      <c r="U13" s="207">
        <f t="shared" si="1"/>
        <v>0</v>
      </c>
      <c r="V13" s="444">
        <f t="shared" si="2"/>
        <v>0</v>
      </c>
      <c r="W13" s="448">
        <f>IFERROR(VLOOKUP('Datos de la organización'!$H$8,'A1 y A2-Valores por defecto'!$J$61:$L$76,IF(C13="Gasoil / Diésel oil",2,3),FALSE),IF(C13="Gasoil / Diésel oil",'A1 y A2-Valores por defecto'!$K$61,'A1 y A2-Valores por defecto'!$L$61))</f>
        <v>1.8631693080000002E-4</v>
      </c>
      <c r="X13" s="441" t="s">
        <v>96</v>
      </c>
      <c r="Y13" s="410">
        <f t="shared" si="3"/>
        <v>0</v>
      </c>
      <c r="Z13" s="452">
        <f>$Y13*'A1 y A2-Valores por defecto'!$E$80</f>
        <v>0</v>
      </c>
      <c r="AA13" s="526">
        <f>IFERROR(VLOOKUP('Datos de la organización'!$H$8,'A1 y A2-Valores por defecto'!$N$61:$P$76,IF(C13="Gasoil / Diésel oil",2,3),FALSE),IF(C13="Gasoil / Diésel oil",'A1 y A2-Valores por defecto'!$O$61,'A1 y A2-Valores por defecto'!$P$61))</f>
        <v>1.6265763800000002E-4</v>
      </c>
      <c r="AB13" s="208" t="s">
        <v>98</v>
      </c>
      <c r="AC13" s="410">
        <f t="shared" si="4"/>
        <v>0</v>
      </c>
      <c r="AD13" s="450">
        <f>$AC13*'A1 y A2-Valores por defecto'!$E$81</f>
        <v>0</v>
      </c>
      <c r="AE13" s="527">
        <f t="shared" si="5"/>
        <v>0</v>
      </c>
    </row>
    <row r="14" spans="2:35">
      <c r="B14" s="690" t="s">
        <v>552</v>
      </c>
      <c r="C14" s="203" t="s">
        <v>322</v>
      </c>
      <c r="D14" s="204" t="str">
        <f>VLOOKUP($C14,'A1 y A2-Valores por defecto'!$A$55:$T$56,7,FALSE)</f>
        <v>lt</v>
      </c>
      <c r="E14" s="205"/>
      <c r="F14" s="206"/>
      <c r="G14" s="206"/>
      <c r="H14" s="206"/>
      <c r="I14" s="206"/>
      <c r="J14" s="206"/>
      <c r="K14" s="206"/>
      <c r="L14" s="206"/>
      <c r="M14" s="206"/>
      <c r="N14" s="206"/>
      <c r="O14" s="206"/>
      <c r="P14" s="206"/>
      <c r="Q14" s="206"/>
      <c r="R14" s="207">
        <f t="shared" si="0"/>
        <v>0</v>
      </c>
      <c r="S14" s="443">
        <f>VLOOKUP($C14,'A1 y A2-Valores por defecto'!$A$55:$T$56,8,FALSE)</f>
        <v>2.6491430089800008</v>
      </c>
      <c r="T14" s="204" t="str">
        <f>VLOOKUP($C14,'A1 y A2-Valores por defecto'!$A$55:$T$56,9,FALSE)</f>
        <v>kgCO2 eq/lt</v>
      </c>
      <c r="U14" s="207">
        <f t="shared" si="1"/>
        <v>0</v>
      </c>
      <c r="V14" s="444">
        <f t="shared" si="2"/>
        <v>0</v>
      </c>
      <c r="W14" s="448">
        <f>VLOOKUP($C14,'A1 y A2-Valores por defecto'!$A$55:$T$56,13,FALSE)</f>
        <v>2.5025642460000004E-4</v>
      </c>
      <c r="X14" s="441" t="s">
        <v>96</v>
      </c>
      <c r="Y14" s="410">
        <f t="shared" si="3"/>
        <v>0</v>
      </c>
      <c r="Z14" s="452">
        <f>$Y14*'A1 y A2-Valores por defecto'!$E$80</f>
        <v>0</v>
      </c>
      <c r="AA14" s="526">
        <f>VLOOKUP($C14,'A1 y A2-Valores por defecto'!$A$55:$T$56,18,FALSE)</f>
        <v>7.1501835600000019E-5</v>
      </c>
      <c r="AB14" s="208" t="s">
        <v>98</v>
      </c>
      <c r="AC14" s="410">
        <f t="shared" si="4"/>
        <v>0</v>
      </c>
      <c r="AD14" s="450">
        <f>$AC14*'A1 y A2-Valores por defecto'!$E$81</f>
        <v>0</v>
      </c>
      <c r="AE14" s="527">
        <f t="shared" si="5"/>
        <v>0</v>
      </c>
    </row>
    <row r="15" spans="2:35">
      <c r="B15" s="691"/>
      <c r="C15" s="203" t="s">
        <v>307</v>
      </c>
      <c r="D15" s="204" t="str">
        <f>VLOOKUP($C15,'A1 y A2-Valores por defecto'!$A$55:$T$56,7,FALSE)</f>
        <v>lt</v>
      </c>
      <c r="E15" s="205"/>
      <c r="F15" s="206"/>
      <c r="G15" s="206"/>
      <c r="H15" s="206"/>
      <c r="I15" s="206"/>
      <c r="J15" s="206"/>
      <c r="K15" s="206"/>
      <c r="L15" s="206"/>
      <c r="M15" s="206"/>
      <c r="N15" s="206"/>
      <c r="O15" s="206"/>
      <c r="P15" s="206"/>
      <c r="Q15" s="206"/>
      <c r="R15" s="207">
        <f t="shared" si="0"/>
        <v>0</v>
      </c>
      <c r="S15" s="443">
        <f>VLOOKUP($C15,'A1 y A2-Valores por defecto'!$A$55:$T$56,8,FALSE)</f>
        <v>3.0081628422000004</v>
      </c>
      <c r="T15" s="204" t="str">
        <f>VLOOKUP($C15,'A1 y A2-Valores por defecto'!$A$55:$T$56,9,FALSE)</f>
        <v>kgCO2 eq/lt</v>
      </c>
      <c r="U15" s="207">
        <f t="shared" si="1"/>
        <v>0</v>
      </c>
      <c r="V15" s="444">
        <f t="shared" si="2"/>
        <v>0</v>
      </c>
      <c r="W15" s="448">
        <f>VLOOKUP($C15,'A1 y A2-Valores por defecto'!$A$55:$T$56,13,FALSE)</f>
        <v>2.7205607100000005E-4</v>
      </c>
      <c r="X15" s="441" t="s">
        <v>96</v>
      </c>
      <c r="Y15" s="410">
        <f t="shared" si="3"/>
        <v>0</v>
      </c>
      <c r="Z15" s="452">
        <f>$Y15*'A1 y A2-Valores por defecto'!$E$80</f>
        <v>0</v>
      </c>
      <c r="AA15" s="526">
        <f>VLOOKUP($C15,'A1 y A2-Valores por defecto'!$A$55:$T$56,18,FALSE)</f>
        <v>7.7730306000000013E-5</v>
      </c>
      <c r="AB15" s="208" t="s">
        <v>98</v>
      </c>
      <c r="AC15" s="410">
        <f t="shared" si="4"/>
        <v>0</v>
      </c>
      <c r="AD15" s="450">
        <f>$AC15*'A1 y A2-Valores por defecto'!$E$81</f>
        <v>0</v>
      </c>
      <c r="AE15" s="527">
        <f t="shared" si="5"/>
        <v>0</v>
      </c>
    </row>
    <row r="16" spans="2:35">
      <c r="B16" s="692"/>
      <c r="C16" s="203" t="s">
        <v>307</v>
      </c>
      <c r="D16" s="204" t="str">
        <f>VLOOKUP($C16,'A1 y A2-Valores por defecto'!$A$55:$T$56,7,FALSE)</f>
        <v>lt</v>
      </c>
      <c r="E16" s="205"/>
      <c r="F16" s="206"/>
      <c r="G16" s="206"/>
      <c r="H16" s="206"/>
      <c r="I16" s="206"/>
      <c r="J16" s="206"/>
      <c r="K16" s="206"/>
      <c r="L16" s="206"/>
      <c r="M16" s="206"/>
      <c r="N16" s="206"/>
      <c r="O16" s="206"/>
      <c r="P16" s="206"/>
      <c r="Q16" s="206"/>
      <c r="R16" s="207">
        <f t="shared" si="0"/>
        <v>0</v>
      </c>
      <c r="S16" s="443">
        <f>VLOOKUP($C16,'A1 y A2-Valores por defecto'!$A$55:$T$56,8,FALSE)</f>
        <v>3.0081628422000004</v>
      </c>
      <c r="T16" s="204" t="str">
        <f>VLOOKUP($C16,'A1 y A2-Valores por defecto'!$A$55:$T$56,9,FALSE)</f>
        <v>kgCO2 eq/lt</v>
      </c>
      <c r="U16" s="207">
        <f t="shared" si="1"/>
        <v>0</v>
      </c>
      <c r="V16" s="444">
        <f t="shared" si="2"/>
        <v>0</v>
      </c>
      <c r="W16" s="448">
        <f>VLOOKUP($C16,'A1 y A2-Valores por defecto'!$A$55:$T$56,13,FALSE)</f>
        <v>2.7205607100000005E-4</v>
      </c>
      <c r="X16" s="441" t="s">
        <v>96</v>
      </c>
      <c r="Y16" s="410">
        <f t="shared" si="3"/>
        <v>0</v>
      </c>
      <c r="Z16" s="452">
        <f>$Y16*'A1 y A2-Valores por defecto'!$E$80</f>
        <v>0</v>
      </c>
      <c r="AA16" s="526">
        <f>VLOOKUP($C16,'A1 y A2-Valores por defecto'!$A$55:$T$56,18,FALSE)</f>
        <v>7.7730306000000013E-5</v>
      </c>
      <c r="AB16" s="208" t="s">
        <v>98</v>
      </c>
      <c r="AC16" s="410">
        <f t="shared" si="4"/>
        <v>0</v>
      </c>
      <c r="AD16" s="450">
        <f>$AC16*'A1 y A2-Valores por defecto'!$E$81</f>
        <v>0</v>
      </c>
      <c r="AE16" s="527">
        <f t="shared" si="5"/>
        <v>0</v>
      </c>
    </row>
    <row r="17" spans="2:31" ht="16.2" thickBot="1">
      <c r="B17" s="209" t="s">
        <v>42</v>
      </c>
      <c r="C17" s="210"/>
      <c r="D17" s="210"/>
      <c r="E17" s="210"/>
      <c r="F17" s="210"/>
      <c r="G17" s="210"/>
      <c r="H17" s="210"/>
      <c r="I17" s="210"/>
      <c r="J17" s="210"/>
      <c r="K17" s="210"/>
      <c r="L17" s="210"/>
      <c r="M17" s="210"/>
      <c r="N17" s="210"/>
      <c r="O17" s="210"/>
      <c r="P17" s="210"/>
      <c r="Q17" s="210"/>
      <c r="R17" s="211"/>
      <c r="S17" s="445"/>
      <c r="T17" s="446"/>
      <c r="U17" s="446"/>
      <c r="V17" s="447">
        <f>SUM(V8:V16)</f>
        <v>0</v>
      </c>
      <c r="W17" s="445"/>
      <c r="X17" s="449"/>
      <c r="Y17" s="446"/>
      <c r="Z17" s="453">
        <f>SUM(Z8:Z16)</f>
        <v>0</v>
      </c>
      <c r="AA17" s="445"/>
      <c r="AB17" s="446"/>
      <c r="AC17" s="446"/>
      <c r="AD17" s="451">
        <f>SUM(AD8:AD16)</f>
        <v>0</v>
      </c>
      <c r="AE17" s="528">
        <f>SUM(AE8:AE16)</f>
        <v>0</v>
      </c>
    </row>
    <row r="18" spans="2:31" ht="30" customHeight="1"/>
  </sheetData>
  <sheetProtection insertRows="0"/>
  <mergeCells count="17">
    <mergeCell ref="AA6:AD6"/>
    <mergeCell ref="B8:B10"/>
    <mergeCell ref="B11:B13"/>
    <mergeCell ref="B14:B16"/>
    <mergeCell ref="E6:E7"/>
    <mergeCell ref="B1:AE1"/>
    <mergeCell ref="B4:AE4"/>
    <mergeCell ref="B6:B7"/>
    <mergeCell ref="C6:C7"/>
    <mergeCell ref="D6:D7"/>
    <mergeCell ref="F6:R6"/>
    <mergeCell ref="S6:V6"/>
    <mergeCell ref="W6:Z6"/>
    <mergeCell ref="S7:T7"/>
    <mergeCell ref="W7:X7"/>
    <mergeCell ref="AA7:AB7"/>
    <mergeCell ref="AE6:AE7"/>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ErrorMessage="1" xr:uid="{AD92E7A8-7FB8-4E02-96F1-AAECB2EC3C91}">
          <x14:formula1>
            <xm:f>'A1 y A2-Valores por defecto'!$A$47:$A$48</xm:f>
          </x14:formula1>
          <xm:sqref>C8:C10</xm:sqref>
        </x14:dataValidation>
        <x14:dataValidation type="list" allowBlank="1" showErrorMessage="1" xr:uid="{D5F9520B-322A-42BF-A1F6-21228C06F813}">
          <x14:formula1>
            <xm:f>'A1 y A2-Valores por defecto'!$A$55:$A$56</xm:f>
          </x14:formula1>
          <xm:sqref>C14:C16</xm:sqref>
        </x14:dataValidation>
        <x14:dataValidation type="list" allowBlank="1" showErrorMessage="1" xr:uid="{0EA12373-A7B9-47C3-BA80-F70835F75979}">
          <x14:formula1>
            <xm:f>'A1 y A2-Valores por defecto'!$A$50:$A$51</xm:f>
          </x14:formula1>
          <xm:sqref>C11:C13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sheetPr>
  <dimension ref="B1:AI21"/>
  <sheetViews>
    <sheetView showGridLines="0" zoomScale="80" zoomScaleNormal="80" workbookViewId="0">
      <pane xSplit="2" ySplit="1" topLeftCell="C2" activePane="bottomRight" state="frozen"/>
      <selection pane="topRight" activeCell="C1" sqref="C1"/>
      <selection pane="bottomLeft" activeCell="A2" sqref="A2"/>
      <selection pane="bottomRight" activeCell="Q8" sqref="Q8:Q19"/>
    </sheetView>
  </sheetViews>
  <sheetFormatPr baseColWidth="10" defaultColWidth="14.44140625" defaultRowHeight="15.6"/>
  <cols>
    <col min="1" max="1" width="9.88671875" style="192" customWidth="1"/>
    <col min="2" max="2" width="35" style="192" customWidth="1"/>
    <col min="3" max="3" width="28.33203125" style="192" customWidth="1"/>
    <col min="4" max="4" width="25.109375" style="192" customWidth="1"/>
    <col min="5" max="5" width="28.5546875" style="192" customWidth="1"/>
    <col min="6" max="6" width="10.109375" style="192" customWidth="1"/>
    <col min="7" max="9" width="9.5546875" style="192" customWidth="1"/>
    <col min="10" max="10" width="10.109375" style="192" customWidth="1"/>
    <col min="11" max="11" width="9.5546875" style="192" customWidth="1"/>
    <col min="12" max="12" width="9.33203125" style="192" customWidth="1"/>
    <col min="13" max="13" width="9.88671875" style="192" customWidth="1"/>
    <col min="14" max="14" width="10.6640625" style="192" customWidth="1"/>
    <col min="15" max="15" width="9.33203125" style="192" customWidth="1"/>
    <col min="16" max="16" width="10.44140625" style="192" customWidth="1"/>
    <col min="17" max="17" width="10.109375" style="192" customWidth="1"/>
    <col min="18" max="18" width="14" style="192" customWidth="1"/>
    <col min="19" max="19" width="12.44140625" style="192" customWidth="1"/>
    <col min="20" max="20" width="13" style="192" customWidth="1"/>
    <col min="21" max="21" width="13.5546875" style="192" customWidth="1"/>
    <col min="22" max="22" width="11.88671875" style="192" customWidth="1"/>
    <col min="23" max="23" width="12.5546875" style="192" customWidth="1"/>
    <col min="24" max="24" width="17.44140625" style="192" customWidth="1"/>
    <col min="25" max="25" width="13.33203125" style="192" customWidth="1"/>
    <col min="26" max="26" width="22.44140625" style="192" customWidth="1"/>
    <col min="27" max="27" width="13.33203125" style="192" customWidth="1"/>
    <col min="28" max="28" width="13.5546875" style="192" customWidth="1"/>
    <col min="29" max="30" width="13.33203125" style="192" customWidth="1"/>
    <col min="31" max="31" width="17" style="192" customWidth="1"/>
    <col min="32" max="35" width="13.33203125" style="192" customWidth="1"/>
    <col min="36" max="16384" width="14.44140625" style="192"/>
  </cols>
  <sheetData>
    <row r="1" spans="2:35"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191"/>
      <c r="AG1" s="191"/>
      <c r="AH1" s="191"/>
      <c r="AI1" s="191"/>
    </row>
    <row r="2" spans="2:35" ht="37.5" customHeight="1">
      <c r="B2" s="193" t="s">
        <v>8</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1"/>
      <c r="AG2" s="191"/>
      <c r="AH2" s="191"/>
      <c r="AI2" s="191"/>
    </row>
    <row r="3" spans="2:35" ht="30" customHeight="1">
      <c r="B3" s="195"/>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1"/>
      <c r="AG3" s="191"/>
      <c r="AH3" s="191"/>
      <c r="AI3" s="191"/>
    </row>
    <row r="4" spans="2:35" ht="39" customHeight="1">
      <c r="B4" s="697" t="s">
        <v>43</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row>
    <row r="5" spans="2:35" ht="12.75" customHeight="1">
      <c r="B5" s="214"/>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row>
    <row r="6" spans="2:35" ht="15" customHeight="1">
      <c r="B6" s="698" t="s">
        <v>10</v>
      </c>
      <c r="C6" s="698" t="s">
        <v>11</v>
      </c>
      <c r="D6" s="698" t="s">
        <v>12</v>
      </c>
      <c r="E6" s="693" t="s">
        <v>661</v>
      </c>
      <c r="F6" s="698" t="s">
        <v>13</v>
      </c>
      <c r="G6" s="699"/>
      <c r="H6" s="699"/>
      <c r="I6" s="699"/>
      <c r="J6" s="699"/>
      <c r="K6" s="699"/>
      <c r="L6" s="699"/>
      <c r="M6" s="699"/>
      <c r="N6" s="699"/>
      <c r="O6" s="699"/>
      <c r="P6" s="699"/>
      <c r="Q6" s="699"/>
      <c r="R6" s="699"/>
      <c r="S6" s="698" t="s">
        <v>692</v>
      </c>
      <c r="T6" s="699"/>
      <c r="U6" s="699"/>
      <c r="V6" s="699"/>
      <c r="W6" s="698" t="s">
        <v>693</v>
      </c>
      <c r="X6" s="699"/>
      <c r="Y6" s="699"/>
      <c r="Z6" s="699"/>
      <c r="AA6" s="698" t="s">
        <v>694</v>
      </c>
      <c r="AB6" s="699"/>
      <c r="AC6" s="699"/>
      <c r="AD6" s="699"/>
      <c r="AE6" s="698" t="s">
        <v>17</v>
      </c>
      <c r="AF6" s="199"/>
      <c r="AG6" s="199"/>
      <c r="AH6" s="199"/>
      <c r="AI6" s="199"/>
    </row>
    <row r="7" spans="2:35" ht="67.5" customHeight="1">
      <c r="B7" s="699"/>
      <c r="C7" s="699"/>
      <c r="D7" s="699"/>
      <c r="E7" s="694"/>
      <c r="F7" s="200" t="s">
        <v>18</v>
      </c>
      <c r="G7" s="200" t="s">
        <v>19</v>
      </c>
      <c r="H7" s="200" t="s">
        <v>20</v>
      </c>
      <c r="I7" s="200" t="s">
        <v>21</v>
      </c>
      <c r="J7" s="200" t="s">
        <v>22</v>
      </c>
      <c r="K7" s="200" t="s">
        <v>23</v>
      </c>
      <c r="L7" s="200" t="s">
        <v>24</v>
      </c>
      <c r="M7" s="200" t="s">
        <v>25</v>
      </c>
      <c r="N7" s="200" t="s">
        <v>26</v>
      </c>
      <c r="O7" s="200" t="s">
        <v>27</v>
      </c>
      <c r="P7" s="200" t="s">
        <v>28</v>
      </c>
      <c r="Q7" s="200" t="s">
        <v>29</v>
      </c>
      <c r="R7" s="201" t="s">
        <v>30</v>
      </c>
      <c r="S7" s="699" t="s">
        <v>695</v>
      </c>
      <c r="T7" s="699"/>
      <c r="U7" s="200" t="s">
        <v>756</v>
      </c>
      <c r="V7" s="200" t="s">
        <v>697</v>
      </c>
      <c r="W7" s="699" t="s">
        <v>698</v>
      </c>
      <c r="X7" s="699"/>
      <c r="Y7" s="200" t="s">
        <v>699</v>
      </c>
      <c r="Z7" s="200" t="s">
        <v>700</v>
      </c>
      <c r="AA7" s="708" t="s">
        <v>701</v>
      </c>
      <c r="AB7" s="705"/>
      <c r="AC7" s="200" t="s">
        <v>702</v>
      </c>
      <c r="AD7" s="200" t="s">
        <v>703</v>
      </c>
      <c r="AE7" s="699"/>
      <c r="AF7" s="199"/>
      <c r="AG7" s="199"/>
      <c r="AH7" s="199"/>
      <c r="AI7" s="199"/>
    </row>
    <row r="8" spans="2:35">
      <c r="B8" s="709" t="s">
        <v>553</v>
      </c>
      <c r="C8" s="203" t="s">
        <v>322</v>
      </c>
      <c r="D8" s="204" t="str">
        <f>VLOOKUP($C8,'A1 y A2-Valores por defecto'!$A$9:$T$14,8,FALSE())</f>
        <v>lt</v>
      </c>
      <c r="E8" s="205"/>
      <c r="F8" s="216"/>
      <c r="G8" s="216"/>
      <c r="H8" s="216"/>
      <c r="I8" s="216"/>
      <c r="J8" s="216"/>
      <c r="K8" s="216"/>
      <c r="L8" s="216"/>
      <c r="M8" s="216"/>
      <c r="N8" s="216"/>
      <c r="O8" s="216"/>
      <c r="P8" s="216"/>
      <c r="Q8" s="216"/>
      <c r="R8" s="207">
        <f t="shared" ref="R8:R19" si="0">SUM(F8:Q8)</f>
        <v>0</v>
      </c>
      <c r="S8" s="204">
        <f>VLOOKUP($C8,'A1 y A2-Valores por defecto'!$A$9:$T$14,9,FALSE())</f>
        <v>2.23959285297774</v>
      </c>
      <c r="T8" s="204" t="str">
        <f>VLOOKUP($C8,'A1 y A2-Valores por defecto'!$A$9:$T$14,10,FALSE())</f>
        <v>kgCO2 eq/lt</v>
      </c>
      <c r="U8" s="207">
        <f>+R8*S8</f>
        <v>0</v>
      </c>
      <c r="V8" s="207">
        <f>$U8/1000</f>
        <v>0</v>
      </c>
      <c r="W8" s="204">
        <f>VLOOKUP($C8,'A1 y A2-Valores por defecto'!$A$9:$T$14,14,FALSE())</f>
        <v>9.0671775424199988E-5</v>
      </c>
      <c r="X8" s="204" t="str">
        <f>VLOOKUP($C8,'A1 y A2-Valores por defecto'!$A$9:$T$14,15,FALSE())</f>
        <v>kgCH4/lt</v>
      </c>
      <c r="Y8" s="207">
        <f>($R8*$W8)/1000</f>
        <v>0</v>
      </c>
      <c r="Z8" s="207">
        <f>$Y8*'A1 y A2-Valores por defecto'!$E$80</f>
        <v>0</v>
      </c>
      <c r="AA8" s="204">
        <f>VLOOKUP($C8,'A1 y A2-Valores por defecto'!$A$9:$T$14,19,FALSE())</f>
        <v>1.813435508484E-5</v>
      </c>
      <c r="AB8" s="204" t="str">
        <f>VLOOKUP($C8,'A1 y A2-Valores por defecto'!$A$9:$T$14,20,FALSE())</f>
        <v>kg N2O/lt</v>
      </c>
      <c r="AC8" s="207">
        <f>($R8*$AA8)/1000</f>
        <v>0</v>
      </c>
      <c r="AD8" s="207">
        <f>$AC8*'A1 y A2-Valores por defecto'!$E$81</f>
        <v>0</v>
      </c>
      <c r="AE8" s="217">
        <f>V8+Z8+AD8</f>
        <v>0</v>
      </c>
      <c r="AF8" s="218"/>
      <c r="AG8" s="218"/>
      <c r="AH8" s="218"/>
      <c r="AI8" s="218"/>
    </row>
    <row r="9" spans="2:35" ht="14.25" customHeight="1">
      <c r="B9" s="710"/>
      <c r="C9" s="203" t="s">
        <v>311</v>
      </c>
      <c r="D9" s="204" t="str">
        <f>VLOOKUP($C9,'A1 y A2-Valores por defecto'!$A$9:$T$14,8,FALSE())</f>
        <v>ton</v>
      </c>
      <c r="E9" s="205"/>
      <c r="F9" s="216"/>
      <c r="G9" s="216"/>
      <c r="H9" s="216"/>
      <c r="I9" s="216"/>
      <c r="J9" s="216"/>
      <c r="K9" s="216"/>
      <c r="L9" s="216"/>
      <c r="M9" s="216"/>
      <c r="N9" s="216"/>
      <c r="O9" s="216"/>
      <c r="P9" s="216"/>
      <c r="Q9" s="216"/>
      <c r="R9" s="207">
        <f t="shared" si="0"/>
        <v>0</v>
      </c>
      <c r="S9" s="204">
        <f>VLOOKUP($C9,'A1 y A2-Valores por defecto'!$A$9:$T$14,9,FALSE())</f>
        <v>0</v>
      </c>
      <c r="T9" s="204" t="str">
        <f>VLOOKUP($C9,'A1 y A2-Valores por defecto'!$A$9:$T$14,10,FALSE())</f>
        <v>kgCO2 eq/ton</v>
      </c>
      <c r="U9" s="207">
        <f t="shared" ref="U9:U19" si="1">+R9*S9</f>
        <v>0</v>
      </c>
      <c r="V9" s="207">
        <f>$U9/1000</f>
        <v>0</v>
      </c>
      <c r="W9" s="204">
        <f>VLOOKUP($C9,'A1 y A2-Valores por defecto'!$A$9:$T$14,14,FALSE())</f>
        <v>0.12955215240000001</v>
      </c>
      <c r="X9" s="204" t="str">
        <f>VLOOKUP($C9,'A1 y A2-Valores por defecto'!$A$9:$T$14,15,FALSE())</f>
        <v>kgCH4/ton</v>
      </c>
      <c r="Y9" s="207">
        <f t="shared" ref="Y9:Y19" si="2">($R9*$W9)/1000</f>
        <v>0</v>
      </c>
      <c r="Z9" s="207">
        <f>$Y9*'A1 y A2-Valores por defecto'!$E$80</f>
        <v>0</v>
      </c>
      <c r="AA9" s="204">
        <f>VLOOKUP($C9,'A1 y A2-Valores por defecto'!$A$9:$T$14,19,FALSE())</f>
        <v>8.2442278799999991E-2</v>
      </c>
      <c r="AB9" s="204" t="str">
        <f>VLOOKUP($C9,'A1 y A2-Valores por defecto'!$A$9:$T$14,20,FALSE())</f>
        <v>kg N2O/ton</v>
      </c>
      <c r="AC9" s="207">
        <f t="shared" ref="AC9:AC19" si="3">($R9*$AA9)/1000</f>
        <v>0</v>
      </c>
      <c r="AD9" s="207">
        <f>$AC9*'A1 y A2-Valores por defecto'!$E$81</f>
        <v>0</v>
      </c>
      <c r="AE9" s="217">
        <f t="shared" ref="AE9:AE19" si="4">V9+Z9+AD9</f>
        <v>0</v>
      </c>
      <c r="AF9" s="218"/>
      <c r="AG9" s="218"/>
      <c r="AH9" s="218"/>
      <c r="AI9" s="218"/>
    </row>
    <row r="10" spans="2:35">
      <c r="B10" s="711"/>
      <c r="C10" s="203" t="s">
        <v>310</v>
      </c>
      <c r="D10" s="204" t="str">
        <f>VLOOKUP($C10,'A1 y A2-Valores por defecto'!$A$9:$T$14,8,FALSE())</f>
        <v>lt</v>
      </c>
      <c r="E10" s="205"/>
      <c r="F10" s="216"/>
      <c r="G10" s="216"/>
      <c r="H10" s="216"/>
      <c r="I10" s="216"/>
      <c r="J10" s="216"/>
      <c r="K10" s="216"/>
      <c r="L10" s="216"/>
      <c r="M10" s="216"/>
      <c r="N10" s="216"/>
      <c r="O10" s="216"/>
      <c r="P10" s="216"/>
      <c r="Q10" s="216"/>
      <c r="R10" s="207">
        <f t="shared" si="0"/>
        <v>0</v>
      </c>
      <c r="S10" s="204">
        <f>VLOOKUP($C10,'A1 y A2-Valores por defecto'!$A$9:$T$14,9,FALSE())</f>
        <v>0</v>
      </c>
      <c r="T10" s="204" t="str">
        <f>VLOOKUP($C10,'A1 y A2-Valores por defecto'!$A$9:$T$14,10,FALSE())</f>
        <v>kgCO2 eq/lt</v>
      </c>
      <c r="U10" s="207">
        <f t="shared" si="1"/>
        <v>0</v>
      </c>
      <c r="V10" s="207">
        <f t="shared" ref="V10:V19" si="5">$U10/1000</f>
        <v>0</v>
      </c>
      <c r="W10" s="204">
        <f>VLOOKUP($C10,'A1 y A2-Valores por defecto'!$A$9:$T$14,14,FALSE())</f>
        <v>4.2879698352000001E-5</v>
      </c>
      <c r="X10" s="204" t="str">
        <f>VLOOKUP($C10,'A1 y A2-Valores por defecto'!$A$9:$T$14,15,FALSE())</f>
        <v>kgCH4/lt</v>
      </c>
      <c r="Y10" s="207">
        <f t="shared" si="2"/>
        <v>0</v>
      </c>
      <c r="Z10" s="207">
        <f>$Y10*'A1 y A2-Valores por defecto'!$E$80</f>
        <v>0</v>
      </c>
      <c r="AA10" s="204">
        <f>VLOOKUP($C10,'A1 y A2-Valores por defecto'!$A$9:$T$14,19,FALSE())</f>
        <v>2.8586465568000002E-5</v>
      </c>
      <c r="AB10" s="204" t="str">
        <f>VLOOKUP($C10,'A1 y A2-Valores por defecto'!$A$9:$T$14,20,FALSE())</f>
        <v>kg N2O/lt</v>
      </c>
      <c r="AC10" s="207">
        <f t="shared" si="3"/>
        <v>0</v>
      </c>
      <c r="AD10" s="207">
        <f>$AC10*'A1 y A2-Valores por defecto'!$E$81</f>
        <v>0</v>
      </c>
      <c r="AE10" s="217">
        <f t="shared" si="4"/>
        <v>0</v>
      </c>
      <c r="AF10" s="218"/>
      <c r="AG10" s="218"/>
      <c r="AH10" s="218"/>
      <c r="AI10" s="218"/>
    </row>
    <row r="11" spans="2:35">
      <c r="B11" s="690" t="s">
        <v>554</v>
      </c>
      <c r="C11" s="203" t="s">
        <v>313</v>
      </c>
      <c r="D11" s="204" t="str">
        <f>VLOOKUP($C11,'A1 y A2-Valores por defecto'!$A$16:$T$22,8,FALSE())</f>
        <v>kg</v>
      </c>
      <c r="E11" s="205"/>
      <c r="F11" s="216"/>
      <c r="G11" s="216"/>
      <c r="H11" s="216"/>
      <c r="I11" s="216"/>
      <c r="J11" s="216"/>
      <c r="K11" s="216"/>
      <c r="L11" s="216"/>
      <c r="M11" s="216"/>
      <c r="N11" s="216"/>
      <c r="O11" s="216"/>
      <c r="P11" s="216"/>
      <c r="Q11" s="216"/>
      <c r="R11" s="207">
        <f t="shared" si="0"/>
        <v>0</v>
      </c>
      <c r="S11" s="204">
        <f>VLOOKUP($C11,'A1 y A2-Valores por defecto'!$A$16:$T$22,9,FALSE())</f>
        <v>2.8512</v>
      </c>
      <c r="T11" s="204" t="str">
        <f>VLOOKUP($C11,'A1 y A2-Valores por defecto'!$A$16:$T$22,10,FALSE())</f>
        <v>kgCO2 eq/kg</v>
      </c>
      <c r="U11" s="207">
        <f t="shared" si="1"/>
        <v>0</v>
      </c>
      <c r="V11" s="207">
        <f t="shared" si="5"/>
        <v>0</v>
      </c>
      <c r="W11" s="204">
        <f>VLOOKUP($C11,'A1 y A2-Valores por defecto'!$A$16:$T$22,14,FALSE())</f>
        <v>4.9499999999999997E-5</v>
      </c>
      <c r="X11" s="204" t="str">
        <f>VLOOKUP($C11,'A1 y A2-Valores por defecto'!$A$16:$T$22,15,FALSE())</f>
        <v>kgCH4/kg</v>
      </c>
      <c r="Y11" s="207">
        <f t="shared" si="2"/>
        <v>0</v>
      </c>
      <c r="Z11" s="207">
        <f>$Y11*'A1 y A2-Valores por defecto'!$E$80</f>
        <v>0</v>
      </c>
      <c r="AA11" s="204">
        <f>VLOOKUP($C11,'A1 y A2-Valores por defecto'!$A$16:$T$22,19,FALSE())</f>
        <v>0</v>
      </c>
      <c r="AB11" s="204" t="str">
        <f>VLOOKUP($C11,'A1 y A2-Valores por defecto'!$A$16:$T$22,20,FALSE())</f>
        <v>kg N2O/kg</v>
      </c>
      <c r="AC11" s="207">
        <f t="shared" si="3"/>
        <v>0</v>
      </c>
      <c r="AD11" s="207">
        <f>$AC11*'A1 y A2-Valores por defecto'!$E$81</f>
        <v>0</v>
      </c>
      <c r="AE11" s="217">
        <f t="shared" si="4"/>
        <v>0</v>
      </c>
      <c r="AF11" s="218"/>
      <c r="AG11" s="218"/>
      <c r="AH11" s="218"/>
      <c r="AI11" s="218"/>
    </row>
    <row r="12" spans="2:35">
      <c r="B12" s="691"/>
      <c r="C12" s="203" t="s">
        <v>327</v>
      </c>
      <c r="D12" s="204" t="str">
        <f>VLOOKUP($C12,'A1 y A2-Valores por defecto'!$A$16:$T$22,8,FALSE())</f>
        <v>kg</v>
      </c>
      <c r="E12" s="205"/>
      <c r="F12" s="216"/>
      <c r="G12" s="216"/>
      <c r="H12" s="216"/>
      <c r="I12" s="216"/>
      <c r="J12" s="216"/>
      <c r="K12" s="216"/>
      <c r="L12" s="216"/>
      <c r="M12" s="216"/>
      <c r="N12" s="216"/>
      <c r="O12" s="216"/>
      <c r="P12" s="216"/>
      <c r="Q12" s="216"/>
      <c r="R12" s="207">
        <f t="shared" si="0"/>
        <v>0</v>
      </c>
      <c r="S12" s="204">
        <f>VLOOKUP($C12,'A1 y A2-Valores por defecto'!$A$16:$T$22,9,FALSE())</f>
        <v>2.8936410872399998</v>
      </c>
      <c r="T12" s="204" t="str">
        <f>VLOOKUP($C12,'A1 y A2-Valores por defecto'!$A$16:$T$22,10,FALSE())</f>
        <v>kgCO2 eq/kg</v>
      </c>
      <c r="U12" s="207">
        <f t="shared" si="1"/>
        <v>0</v>
      </c>
      <c r="V12" s="207">
        <f t="shared" si="5"/>
        <v>0</v>
      </c>
      <c r="W12" s="204">
        <f>VLOOKUP($C12,'A1 y A2-Valores por defecto'!$A$16:$T$22,14,FALSE())</f>
        <v>2.5098094564919998E-5</v>
      </c>
      <c r="X12" s="204" t="str">
        <f>VLOOKUP($C12,'A1 y A2-Valores por defecto'!$A$16:$T$22,15,FALSE())</f>
        <v>kgCH4/kg</v>
      </c>
      <c r="Y12" s="207">
        <f t="shared" si="2"/>
        <v>0</v>
      </c>
      <c r="Z12" s="207">
        <f>$Y12*'A1 y A2-Valores por defecto'!$E$80</f>
        <v>0</v>
      </c>
      <c r="AA12" s="204">
        <f>VLOOKUP($C12,'A1 y A2-Valores por defecto'!$A$16:$T$22,19,FALSE())</f>
        <v>2.509809456492E-6</v>
      </c>
      <c r="AB12" s="204" t="str">
        <f>VLOOKUP($C12,'A1 y A2-Valores por defecto'!$A$16:$T$22,20,FALSE())</f>
        <v>kg N2O/kg</v>
      </c>
      <c r="AC12" s="207">
        <f t="shared" si="3"/>
        <v>0</v>
      </c>
      <c r="AD12" s="207">
        <f>$AC12*'A1 y A2-Valores por defecto'!$E$81</f>
        <v>0</v>
      </c>
      <c r="AE12" s="217">
        <f t="shared" si="4"/>
        <v>0</v>
      </c>
      <c r="AF12" s="218"/>
      <c r="AG12" s="218"/>
      <c r="AH12" s="218"/>
      <c r="AI12" s="218"/>
    </row>
    <row r="13" spans="2:35">
      <c r="B13" s="692"/>
      <c r="C13" s="203" t="s">
        <v>326</v>
      </c>
      <c r="D13" s="204" t="str">
        <f>VLOOKUP($C13,'A1 y A2-Valores por defecto'!$A$16:$T$22,8,FALSE())</f>
        <v>lt</v>
      </c>
      <c r="E13" s="205"/>
      <c r="F13" s="216"/>
      <c r="G13" s="216"/>
      <c r="H13" s="216"/>
      <c r="I13" s="216"/>
      <c r="J13" s="216"/>
      <c r="K13" s="216"/>
      <c r="L13" s="216"/>
      <c r="M13" s="216"/>
      <c r="N13" s="216"/>
      <c r="O13" s="216"/>
      <c r="P13" s="216"/>
      <c r="Q13" s="216"/>
      <c r="R13" s="207">
        <f t="shared" si="0"/>
        <v>0</v>
      </c>
      <c r="S13" s="204">
        <f>VLOOKUP($C13,'A1 y A2-Valores por defecto'!$A$16:$T$22,9,FALSE())</f>
        <v>1.6970624102123999</v>
      </c>
      <c r="T13" s="204" t="str">
        <f>VLOOKUP($C13,'A1 y A2-Valores por defecto'!$A$16:$T$22,10,FALSE())</f>
        <v>kgCO2 eq/lt</v>
      </c>
      <c r="U13" s="207">
        <f t="shared" si="1"/>
        <v>0</v>
      </c>
      <c r="V13" s="207">
        <f t="shared" si="5"/>
        <v>0</v>
      </c>
      <c r="W13" s="204">
        <f>VLOOKUP($C13,'A1 y A2-Valores por defecto'!$A$16:$T$22,14,FALSE())</f>
        <v>7.3465905203999989E-5</v>
      </c>
      <c r="X13" s="204" t="str">
        <f>VLOOKUP($C13,'A1 y A2-Valores por defecto'!$A$16:$T$22,15,FALSE())</f>
        <v>kgCH4/lt</v>
      </c>
      <c r="Y13" s="207">
        <f t="shared" si="2"/>
        <v>0</v>
      </c>
      <c r="Z13" s="207">
        <f>$Y13*'A1 y A2-Valores por defecto'!$E$80</f>
        <v>0</v>
      </c>
      <c r="AA13" s="204">
        <f>VLOOKUP($C13,'A1 y A2-Valores por defecto'!$A$16:$T$22,19,FALSE())</f>
        <v>1.4693181040799996E-5</v>
      </c>
      <c r="AB13" s="204" t="str">
        <f>VLOOKUP($C13,'A1 y A2-Valores por defecto'!$A$16:$T$22,20,FALSE())</f>
        <v>kg N2O/lt</v>
      </c>
      <c r="AC13" s="207">
        <f t="shared" si="3"/>
        <v>0</v>
      </c>
      <c r="AD13" s="207">
        <f>$AC13*'A1 y A2-Valores por defecto'!$E$81</f>
        <v>0</v>
      </c>
      <c r="AE13" s="217">
        <f t="shared" si="4"/>
        <v>0</v>
      </c>
      <c r="AF13" s="218"/>
      <c r="AG13" s="218"/>
      <c r="AH13" s="218"/>
      <c r="AI13" s="218"/>
    </row>
    <row r="14" spans="2:35">
      <c r="B14" s="690" t="s">
        <v>559</v>
      </c>
      <c r="C14" s="203" t="s">
        <v>309</v>
      </c>
      <c r="D14" s="204" t="str">
        <f>VLOOKUP($C14,'A1 y A2-Valores por defecto'!$A$24:$T$32,8,FALSE())</f>
        <v>ton</v>
      </c>
      <c r="E14" s="205"/>
      <c r="F14" s="216"/>
      <c r="G14" s="216"/>
      <c r="H14" s="216"/>
      <c r="I14" s="216"/>
      <c r="J14" s="216"/>
      <c r="K14" s="216"/>
      <c r="L14" s="216"/>
      <c r="M14" s="216"/>
      <c r="N14" s="216"/>
      <c r="O14" s="216"/>
      <c r="P14" s="216"/>
      <c r="Q14" s="216"/>
      <c r="R14" s="207">
        <f t="shared" si="0"/>
        <v>0</v>
      </c>
      <c r="S14" s="204">
        <f>VLOOKUP($C14,'A1 y A2-Valores por defecto'!$A$24:$T$32,9,FALSE())</f>
        <v>0</v>
      </c>
      <c r="T14" s="204" t="str">
        <f>VLOOKUP($C14,'A1 y A2-Valores por defecto'!$A$24:$T$32,10,FALSE())</f>
        <v>kgCO2 eq/ton</v>
      </c>
      <c r="U14" s="207">
        <f t="shared" si="1"/>
        <v>0</v>
      </c>
      <c r="V14" s="207">
        <f t="shared" si="5"/>
        <v>0</v>
      </c>
      <c r="W14" s="204">
        <f>VLOOKUP($C14,'A1 y A2-Valores por defecto'!$A$24:$T$32,14,FALSE())</f>
        <v>0.12434795999999998</v>
      </c>
      <c r="X14" s="204" t="str">
        <f>VLOOKUP($C14,'A1 y A2-Valores por defecto'!$A$24:$T$32,15,FALSE())</f>
        <v>kgCH4/ton</v>
      </c>
      <c r="Y14" s="207">
        <f t="shared" si="2"/>
        <v>0</v>
      </c>
      <c r="Z14" s="207">
        <f>$Y14*'A1 y A2-Valores por defecto'!$E$80</f>
        <v>0</v>
      </c>
      <c r="AA14" s="204">
        <f>VLOOKUP($C14,'A1 y A2-Valores por defecto'!$A$24:$T$32,19,FALSE())</f>
        <v>7.9130519999999996E-2</v>
      </c>
      <c r="AB14" s="204" t="str">
        <f>VLOOKUP($C14,'A1 y A2-Valores por defecto'!$A$24:$T$32,20,FALSE())</f>
        <v>kg N2O/ton</v>
      </c>
      <c r="AC14" s="207">
        <f t="shared" si="3"/>
        <v>0</v>
      </c>
      <c r="AD14" s="207">
        <f>$AC14*'A1 y A2-Valores por defecto'!$E$81</f>
        <v>0</v>
      </c>
      <c r="AE14" s="217">
        <f t="shared" si="4"/>
        <v>0</v>
      </c>
      <c r="AF14" s="218"/>
      <c r="AG14" s="218"/>
      <c r="AH14" s="218"/>
      <c r="AI14" s="218"/>
    </row>
    <row r="15" spans="2:35">
      <c r="B15" s="691"/>
      <c r="C15" s="203" t="s">
        <v>108</v>
      </c>
      <c r="D15" s="204" t="str">
        <f>VLOOKUP($C15,'A1 y A2-Valores por defecto'!$A$24:$T$32,8,FALSE())</f>
        <v>ton</v>
      </c>
      <c r="E15" s="205"/>
      <c r="F15" s="216"/>
      <c r="G15" s="216"/>
      <c r="H15" s="216"/>
      <c r="I15" s="216"/>
      <c r="J15" s="216"/>
      <c r="K15" s="216"/>
      <c r="L15" s="216"/>
      <c r="M15" s="216"/>
      <c r="N15" s="216"/>
      <c r="O15" s="216"/>
      <c r="P15" s="216"/>
      <c r="Q15" s="216"/>
      <c r="R15" s="207">
        <f t="shared" si="0"/>
        <v>0</v>
      </c>
      <c r="S15" s="204">
        <f>VLOOKUP($C15,'A1 y A2-Valores por defecto'!$A$24:$T$32,9,FALSE())</f>
        <v>3831.4872179999998</v>
      </c>
      <c r="T15" s="204" t="str">
        <f>VLOOKUP($C15,'A1 y A2-Valores por defecto'!$A$24:$T$32,10,FALSE())</f>
        <v>kgCO2 eq/ton</v>
      </c>
      <c r="U15" s="207">
        <f t="shared" si="1"/>
        <v>0</v>
      </c>
      <c r="V15" s="207">
        <f t="shared" si="5"/>
        <v>0</v>
      </c>
      <c r="W15" s="204">
        <f>VLOOKUP($C15,'A1 y A2-Valores por defecto'!$A$24:$T$32,14,FALSE())</f>
        <v>3.9297304800000002E-2</v>
      </c>
      <c r="X15" s="204" t="str">
        <f>VLOOKUP($C15,'A1 y A2-Valores por defecto'!$A$24:$T$32,15,FALSE())</f>
        <v>kgCH4/ton</v>
      </c>
      <c r="Y15" s="207">
        <f t="shared" si="2"/>
        <v>0</v>
      </c>
      <c r="Z15" s="207">
        <f>$Y15*'A1 y A2-Valores por defecto'!$E$80</f>
        <v>0</v>
      </c>
      <c r="AA15" s="204">
        <f>VLOOKUP($C15,'A1 y A2-Valores por defecto'!$A$24:$T$32,19,FALSE())</f>
        <v>2.3578382879999998E-2</v>
      </c>
      <c r="AB15" s="204" t="str">
        <f>VLOOKUP($C15,'A1 y A2-Valores por defecto'!$A$24:$T$32,20,FALSE())</f>
        <v>kg N2O/ton</v>
      </c>
      <c r="AC15" s="207">
        <f t="shared" si="3"/>
        <v>0</v>
      </c>
      <c r="AD15" s="207">
        <f>$AC15*'A1 y A2-Valores por defecto'!$E$81</f>
        <v>0</v>
      </c>
      <c r="AE15" s="217">
        <f t="shared" si="4"/>
        <v>0</v>
      </c>
      <c r="AF15" s="218"/>
      <c r="AG15" s="218"/>
      <c r="AH15" s="218"/>
      <c r="AI15" s="218"/>
    </row>
    <row r="16" spans="2:35">
      <c r="B16" s="692"/>
      <c r="C16" s="203" t="s">
        <v>315</v>
      </c>
      <c r="D16" s="204" t="str">
        <f>VLOOKUP($C16,'A1 y A2-Valores por defecto'!$A$24:$T$32,8,FALSE())</f>
        <v>ton</v>
      </c>
      <c r="E16" s="205"/>
      <c r="F16" s="216"/>
      <c r="G16" s="216"/>
      <c r="H16" s="216"/>
      <c r="I16" s="216"/>
      <c r="J16" s="216"/>
      <c r="K16" s="216"/>
      <c r="L16" s="216"/>
      <c r="M16" s="216"/>
      <c r="N16" s="216"/>
      <c r="O16" s="216"/>
      <c r="P16" s="216"/>
      <c r="Q16" s="216"/>
      <c r="R16" s="207">
        <f t="shared" si="0"/>
        <v>0</v>
      </c>
      <c r="S16" s="204">
        <f>VLOOKUP($C16,'A1 y A2-Valores por defecto'!$A$24:$T$32,9,FALSE())</f>
        <v>0</v>
      </c>
      <c r="T16" s="204" t="str">
        <f>VLOOKUP($C16,'A1 y A2-Valores por defecto'!$A$24:$T$32,10,FALSE())</f>
        <v>kgCO2 eq/ton</v>
      </c>
      <c r="U16" s="207">
        <f t="shared" si="1"/>
        <v>0</v>
      </c>
      <c r="V16" s="207">
        <f t="shared" si="5"/>
        <v>0</v>
      </c>
      <c r="W16" s="204">
        <f>VLOOKUP($C16,'A1 y A2-Valores por defecto'!$A$24:$T$32,14,FALSE())</f>
        <v>0.02</v>
      </c>
      <c r="X16" s="204" t="str">
        <f>VLOOKUP($C16,'A1 y A2-Valores por defecto'!$A$24:$T$32,15,FALSE())</f>
        <v>kgCH4/ton</v>
      </c>
      <c r="Y16" s="207">
        <f t="shared" si="2"/>
        <v>0</v>
      </c>
      <c r="Z16" s="207">
        <f>$Y16*'A1 y A2-Valores por defecto'!$E$80</f>
        <v>0</v>
      </c>
      <c r="AA16" s="204">
        <f>VLOOKUP($C16,'A1 y A2-Valores por defecto'!$A$24:$T$32,19,FALSE())</f>
        <v>0.04</v>
      </c>
      <c r="AB16" s="204" t="str">
        <f>VLOOKUP($C16,'A1 y A2-Valores por defecto'!$A$24:$T$32,20,FALSE())</f>
        <v>kg N2O/ton</v>
      </c>
      <c r="AC16" s="207">
        <f t="shared" si="3"/>
        <v>0</v>
      </c>
      <c r="AD16" s="207">
        <f>$AC16*'A1 y A2-Valores por defecto'!$E$81</f>
        <v>0</v>
      </c>
      <c r="AE16" s="217">
        <f t="shared" si="4"/>
        <v>0</v>
      </c>
      <c r="AF16" s="218"/>
      <c r="AG16" s="218"/>
      <c r="AH16" s="218"/>
      <c r="AI16" s="218"/>
    </row>
    <row r="17" spans="2:35">
      <c r="B17" s="690" t="s">
        <v>357</v>
      </c>
      <c r="C17" s="203" t="s">
        <v>326</v>
      </c>
      <c r="D17" s="204" t="str">
        <f>VLOOKUP($C17,'A1 y A2-Valores por defecto'!$A$34:$T$42,8,FALSE())</f>
        <v>lt</v>
      </c>
      <c r="E17" s="205"/>
      <c r="F17" s="216"/>
      <c r="G17" s="216"/>
      <c r="H17" s="216"/>
      <c r="I17" s="216"/>
      <c r="J17" s="216"/>
      <c r="K17" s="216"/>
      <c r="L17" s="216"/>
      <c r="M17" s="216"/>
      <c r="N17" s="216"/>
      <c r="O17" s="216"/>
      <c r="P17" s="216"/>
      <c r="Q17" s="216"/>
      <c r="R17" s="207">
        <f t="shared" si="0"/>
        <v>0</v>
      </c>
      <c r="S17" s="204">
        <f>VLOOKUP($C17,'A1 y A2-Valores por defecto'!$A$34:$T$42,9,FALSE())</f>
        <v>1.6970624102123999</v>
      </c>
      <c r="T17" s="204" t="str">
        <f>VLOOKUP($C17,'A1 y A2-Valores por defecto'!$A$34:$T$42,10,FALSE())</f>
        <v>kgCO2 eq/lt</v>
      </c>
      <c r="U17" s="207">
        <f t="shared" si="1"/>
        <v>0</v>
      </c>
      <c r="V17" s="207">
        <f t="shared" si="5"/>
        <v>0</v>
      </c>
      <c r="W17" s="204">
        <f>VLOOKUP($C17,'A1 y A2-Valores por defecto'!$A$34:$T$42,14,FALSE())</f>
        <v>2.4488635068E-4</v>
      </c>
      <c r="X17" s="204" t="str">
        <f>VLOOKUP($C17,'A1 y A2-Valores por defecto'!$A$34:$T$42,15,FALSE())</f>
        <v>kgCH4/lt</v>
      </c>
      <c r="Y17" s="207">
        <f t="shared" si="2"/>
        <v>0</v>
      </c>
      <c r="Z17" s="207">
        <f>$Y17*'A1 y A2-Valores por defecto'!$E$80</f>
        <v>0</v>
      </c>
      <c r="AA17" s="204">
        <f>VLOOKUP($C17,'A1 y A2-Valores por defecto'!$A$34:$T$42,19,FALSE())</f>
        <v>1.4693181040799996E-5</v>
      </c>
      <c r="AB17" s="204" t="str">
        <f>VLOOKUP($C17,'A1 y A2-Valores por defecto'!$A$34:$T$42,20,FALSE())</f>
        <v>kg N2O/lt</v>
      </c>
      <c r="AC17" s="207">
        <f t="shared" si="3"/>
        <v>0</v>
      </c>
      <c r="AD17" s="207">
        <f>$AC17*'A1 y A2-Valores por defecto'!$E$81</f>
        <v>0</v>
      </c>
      <c r="AE17" s="217">
        <f t="shared" si="4"/>
        <v>0</v>
      </c>
      <c r="AF17" s="218"/>
      <c r="AG17" s="218"/>
      <c r="AH17" s="218"/>
      <c r="AI17" s="218"/>
    </row>
    <row r="18" spans="2:35">
      <c r="B18" s="691"/>
      <c r="C18" s="203" t="s">
        <v>318</v>
      </c>
      <c r="D18" s="204" t="str">
        <f>VLOOKUP($C18,'A1 y A2-Valores por defecto'!$A$34:$T$42,8,FALSE())</f>
        <v>lt</v>
      </c>
      <c r="E18" s="205"/>
      <c r="F18" s="216"/>
      <c r="G18" s="216"/>
      <c r="H18" s="216"/>
      <c r="I18" s="216"/>
      <c r="J18" s="216"/>
      <c r="K18" s="216"/>
      <c r="L18" s="216"/>
      <c r="M18" s="216"/>
      <c r="N18" s="216"/>
      <c r="O18" s="216"/>
      <c r="P18" s="216"/>
      <c r="Q18" s="216"/>
      <c r="R18" s="207">
        <f t="shared" si="0"/>
        <v>0</v>
      </c>
      <c r="S18" s="204">
        <f>VLOOKUP($C18,'A1 y A2-Valores por defecto'!$A$34:$T$42,9,FALSE())</f>
        <v>2.0498888641724999</v>
      </c>
      <c r="T18" s="204" t="str">
        <f>VLOOKUP($C18,'A1 y A2-Valores por defecto'!$A$34:$T$42,10,FALSE())</f>
        <v>kgCO2 eq/lt</v>
      </c>
      <c r="U18" s="207">
        <f t="shared" si="1"/>
        <v>0</v>
      </c>
      <c r="V18" s="207">
        <f t="shared" si="5"/>
        <v>0</v>
      </c>
      <c r="W18" s="204">
        <f>VLOOKUP($C18,'A1 y A2-Valores por defecto'!$A$34:$T$42,14,FALSE())</f>
        <v>2.8510276274999996E-4</v>
      </c>
      <c r="X18" s="204" t="str">
        <f>VLOOKUP($C18,'A1 y A2-Valores por defecto'!$A$34:$T$42,15,FALSE())</f>
        <v>kgCH4/lt</v>
      </c>
      <c r="Y18" s="207">
        <f t="shared" si="2"/>
        <v>0</v>
      </c>
      <c r="Z18" s="207">
        <f>$Y18*'A1 y A2-Valores por defecto'!$E$80</f>
        <v>0</v>
      </c>
      <c r="AA18" s="204">
        <f>VLOOKUP($C18,'A1 y A2-Valores por defecto'!$A$34:$T$42,19,FALSE())</f>
        <v>1.7106165764999995E-5</v>
      </c>
      <c r="AB18" s="204" t="str">
        <f>VLOOKUP($C18,'A1 y A2-Valores por defecto'!$A$34:$T$42,20,FALSE())</f>
        <v>kg N2O/lt</v>
      </c>
      <c r="AC18" s="207">
        <f t="shared" si="3"/>
        <v>0</v>
      </c>
      <c r="AD18" s="207">
        <f>$AC18*'A1 y A2-Valores por defecto'!$E$81</f>
        <v>0</v>
      </c>
      <c r="AE18" s="217">
        <f t="shared" si="4"/>
        <v>0</v>
      </c>
      <c r="AF18" s="218"/>
      <c r="AG18" s="218"/>
      <c r="AH18" s="218"/>
      <c r="AI18" s="218"/>
    </row>
    <row r="19" spans="2:35">
      <c r="B19" s="692"/>
      <c r="C19" s="203" t="s">
        <v>308</v>
      </c>
      <c r="D19" s="204" t="str">
        <f>VLOOKUP($C19,'A1 y A2-Valores por defecto'!$A$34:$T$42,8,FALSE())</f>
        <v>kg</v>
      </c>
      <c r="E19" s="205"/>
      <c r="F19" s="216"/>
      <c r="G19" s="216"/>
      <c r="H19" s="216"/>
      <c r="I19" s="216"/>
      <c r="J19" s="216"/>
      <c r="K19" s="216"/>
      <c r="L19" s="216"/>
      <c r="M19" s="216"/>
      <c r="N19" s="216"/>
      <c r="O19" s="216"/>
      <c r="P19" s="216"/>
      <c r="Q19" s="216"/>
      <c r="R19" s="207">
        <f t="shared" si="0"/>
        <v>0</v>
      </c>
      <c r="S19" s="204">
        <f>VLOOKUP($C19,'A1 y A2-Valores por defecto'!$A$34:$T$42,9,FALSE())</f>
        <v>1.9494996839999998</v>
      </c>
      <c r="T19" s="204" t="str">
        <f>VLOOKUP($C19,'A1 y A2-Valores por defecto'!$A$34:$T$42,10,FALSE())</f>
        <v>kgCO2 eq/kg</v>
      </c>
      <c r="U19" s="207">
        <f t="shared" si="1"/>
        <v>0</v>
      </c>
      <c r="V19" s="207">
        <f t="shared" si="5"/>
        <v>0</v>
      </c>
      <c r="W19" s="204">
        <f>VLOOKUP($C19,'A1 y A2-Valores por defecto'!$A$34:$T$42,14,FALSE())</f>
        <v>1.0772636399999999E-4</v>
      </c>
      <c r="X19" s="204" t="str">
        <f>VLOOKUP($C19,'A1 y A2-Valores por defecto'!$A$34:$T$42,15,FALSE())</f>
        <v>kgCH4/kg</v>
      </c>
      <c r="Y19" s="207">
        <f t="shared" si="2"/>
        <v>0</v>
      </c>
      <c r="Z19" s="207">
        <f>$Y19*'A1 y A2-Valores por defecto'!$E$80</f>
        <v>0</v>
      </c>
      <c r="AA19" s="204">
        <f>VLOOKUP($C19,'A1 y A2-Valores por defecto'!$A$34:$T$42,19,FALSE())</f>
        <v>2.1545272799999997E-6</v>
      </c>
      <c r="AB19" s="204" t="str">
        <f>VLOOKUP($C19,'A1 y A2-Valores por defecto'!$A$34:$T$42,20,FALSE())</f>
        <v>kg N2O/kg</v>
      </c>
      <c r="AC19" s="207">
        <f t="shared" si="3"/>
        <v>0</v>
      </c>
      <c r="AD19" s="207">
        <f>$AC19*'A1 y A2-Valores por defecto'!$E$81</f>
        <v>0</v>
      </c>
      <c r="AE19" s="217">
        <f t="shared" si="4"/>
        <v>0</v>
      </c>
      <c r="AF19" s="218"/>
      <c r="AG19" s="218"/>
      <c r="AH19" s="218"/>
      <c r="AI19" s="218"/>
    </row>
    <row r="20" spans="2:35">
      <c r="B20" s="209" t="s">
        <v>45</v>
      </c>
      <c r="C20" s="210"/>
      <c r="D20" s="211"/>
      <c r="E20" s="211"/>
      <c r="F20" s="219"/>
      <c r="G20" s="219"/>
      <c r="H20" s="219"/>
      <c r="I20" s="219"/>
      <c r="J20" s="219"/>
      <c r="K20" s="219"/>
      <c r="L20" s="219"/>
      <c r="M20" s="219"/>
      <c r="N20" s="219"/>
      <c r="O20" s="219"/>
      <c r="P20" s="219"/>
      <c r="Q20" s="219"/>
      <c r="R20" s="212"/>
      <c r="S20" s="212"/>
      <c r="T20" s="211"/>
      <c r="U20" s="211"/>
      <c r="V20" s="212">
        <f>SUM(V8:V19)</f>
        <v>0</v>
      </c>
      <c r="W20" s="211"/>
      <c r="X20" s="211"/>
      <c r="Y20" s="211"/>
      <c r="Z20" s="421">
        <f>SUM(Z8:Z19)</f>
        <v>0</v>
      </c>
      <c r="AA20" s="211"/>
      <c r="AB20" s="211"/>
      <c r="AC20" s="211"/>
      <c r="AD20" s="212">
        <f>SUM(AD8:AD19)</f>
        <v>0</v>
      </c>
      <c r="AE20" s="213">
        <f>SUM(AE8:AE19)</f>
        <v>0</v>
      </c>
    </row>
    <row r="21" spans="2:35" ht="30" customHeight="1"/>
  </sheetData>
  <sheetProtection insertRows="0"/>
  <mergeCells count="18">
    <mergeCell ref="B8:B10"/>
    <mergeCell ref="B11:B13"/>
    <mergeCell ref="B14:B16"/>
    <mergeCell ref="B17:B19"/>
    <mergeCell ref="F6:R6"/>
    <mergeCell ref="E6:E7"/>
    <mergeCell ref="S7:T7"/>
    <mergeCell ref="W7:X7"/>
    <mergeCell ref="B1:AE1"/>
    <mergeCell ref="B4:AE4"/>
    <mergeCell ref="B6:B7"/>
    <mergeCell ref="C6:C7"/>
    <mergeCell ref="D6:D7"/>
    <mergeCell ref="AE6:AE7"/>
    <mergeCell ref="AA7:AB7"/>
    <mergeCell ref="S6:V6"/>
    <mergeCell ref="W6:Z6"/>
    <mergeCell ref="AA6:AD6"/>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ErrorMessage="1" xr:uid="{1113C62C-62B3-4F1E-9C48-1DE40C024976}">
          <x14:formula1>
            <xm:f>'A1 y A2-Valores por defecto'!$A$9:$A$14</xm:f>
          </x14:formula1>
          <xm:sqref>C8:C10</xm:sqref>
        </x14:dataValidation>
        <x14:dataValidation type="list" allowBlank="1" showErrorMessage="1" xr:uid="{4F21E790-70B7-4E14-AFEE-E26CFC4DF5AA}">
          <x14:formula1>
            <xm:f>'A1 y A2-Valores por defecto'!$A$16:$A$22</xm:f>
          </x14:formula1>
          <xm:sqref>C11:C13</xm:sqref>
        </x14:dataValidation>
        <x14:dataValidation type="list" allowBlank="1" showErrorMessage="1" xr:uid="{87D259CC-42E1-4D49-8778-AAA86DE40839}">
          <x14:formula1>
            <xm:f>'A1 y A2-Valores por defecto'!$A$25:$A$32</xm:f>
          </x14:formula1>
          <xm:sqref>C14:C16</xm:sqref>
        </x14:dataValidation>
        <x14:dataValidation type="list" allowBlank="1" showErrorMessage="1" xr:uid="{2504A4A5-886E-45E9-8C7D-C803558CCE22}">
          <x14:formula1>
            <xm:f>'A1 y A2-Valores por defecto'!$A$36:$A$42</xm:f>
          </x14:formula1>
          <xm:sqref>C17:C19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B02E-CAD1-4E7C-9DC4-FED5080F27B0}">
  <sheetPr>
    <tabColor theme="8" tint="-0.499984740745262"/>
  </sheetPr>
  <dimension ref="B1:AD19"/>
  <sheetViews>
    <sheetView showGridLines="0" zoomScale="80" zoomScaleNormal="80" workbookViewId="0">
      <pane xSplit="2" ySplit="1" topLeftCell="C2" activePane="bottomRight" state="frozen"/>
      <selection pane="topRight" activeCell="C1" sqref="C1"/>
      <selection pane="bottomLeft" activeCell="A2" sqref="A2"/>
      <selection pane="bottomRight" activeCell="J34" sqref="J34"/>
    </sheetView>
  </sheetViews>
  <sheetFormatPr baseColWidth="10" defaultColWidth="14.44140625" defaultRowHeight="15.6"/>
  <cols>
    <col min="1" max="1" width="9.88671875" style="192" customWidth="1"/>
    <col min="2" max="2" width="39.5546875" style="192" customWidth="1"/>
    <col min="3" max="3" width="27" style="192" customWidth="1"/>
    <col min="4" max="4" width="9.109375" style="192" customWidth="1"/>
    <col min="5" max="5" width="25.44140625" style="192" customWidth="1"/>
    <col min="6" max="6" width="10.109375" style="192" customWidth="1"/>
    <col min="7" max="9" width="9.5546875" style="192" customWidth="1"/>
    <col min="10" max="10" width="10.109375" style="192" customWidth="1"/>
    <col min="11" max="11" width="9.5546875" style="192" customWidth="1"/>
    <col min="12" max="12" width="9.33203125" style="192" customWidth="1"/>
    <col min="13" max="13" width="9.88671875" style="192" customWidth="1"/>
    <col min="14" max="14" width="10.6640625" style="192" customWidth="1"/>
    <col min="15" max="15" width="9.33203125" style="192" customWidth="1"/>
    <col min="16" max="16" width="10.33203125" style="192" customWidth="1"/>
    <col min="17" max="17" width="10.109375" style="192" customWidth="1"/>
    <col min="18" max="18" width="14" style="192" customWidth="1"/>
    <col min="19" max="19" width="12.44140625" style="192" customWidth="1"/>
    <col min="20" max="21" width="10.6640625" style="192" hidden="1" customWidth="1"/>
    <col min="22" max="22" width="12.44140625" style="192" customWidth="1"/>
    <col min="23" max="23" width="16.33203125" style="192" customWidth="1"/>
    <col min="24" max="24" width="11.6640625" style="192" customWidth="1"/>
    <col min="25" max="25" width="11.88671875" style="192" customWidth="1"/>
    <col min="26" max="26" width="17" style="192" customWidth="1"/>
    <col min="27" max="30" width="13.33203125" style="192" customWidth="1"/>
    <col min="31" max="16384" width="14.44140625" style="192"/>
  </cols>
  <sheetData>
    <row r="1" spans="2:30"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696"/>
      <c r="AA1" s="191"/>
      <c r="AB1" s="191"/>
      <c r="AC1" s="191"/>
      <c r="AD1" s="191"/>
    </row>
    <row r="2" spans="2:30" ht="37.5" customHeight="1">
      <c r="B2" s="220" t="s">
        <v>8</v>
      </c>
      <c r="C2" s="221"/>
      <c r="D2" s="221"/>
      <c r="E2" s="221"/>
      <c r="F2" s="221"/>
      <c r="G2" s="221"/>
      <c r="H2" s="221"/>
      <c r="I2" s="221"/>
      <c r="J2" s="221"/>
      <c r="K2" s="221"/>
      <c r="L2" s="221"/>
      <c r="M2" s="221"/>
      <c r="N2" s="221"/>
      <c r="O2" s="221"/>
      <c r="P2" s="221"/>
      <c r="Q2" s="221"/>
      <c r="R2" s="221"/>
      <c r="S2" s="221"/>
      <c r="T2" s="221"/>
      <c r="U2" s="221"/>
      <c r="V2" s="221"/>
      <c r="W2" s="221"/>
      <c r="X2" s="221"/>
      <c r="Y2" s="221"/>
      <c r="Z2" s="221"/>
      <c r="AA2" s="191"/>
      <c r="AB2" s="191"/>
      <c r="AC2" s="191"/>
      <c r="AD2" s="191"/>
    </row>
    <row r="3" spans="2:30" ht="30" customHeight="1">
      <c r="B3" s="222"/>
      <c r="C3" s="223"/>
      <c r="D3" s="223"/>
      <c r="E3" s="223"/>
      <c r="F3" s="223"/>
      <c r="G3" s="223"/>
      <c r="H3" s="223"/>
      <c r="I3" s="223"/>
      <c r="J3" s="223"/>
      <c r="K3" s="223"/>
      <c r="L3" s="223"/>
      <c r="M3" s="223"/>
      <c r="N3" s="223"/>
      <c r="O3" s="223"/>
      <c r="P3" s="223"/>
      <c r="Q3" s="223"/>
      <c r="R3" s="223"/>
      <c r="S3" s="223"/>
      <c r="T3" s="223"/>
      <c r="U3" s="223"/>
      <c r="V3" s="223"/>
      <c r="W3" s="223"/>
      <c r="X3" s="223"/>
      <c r="Y3" s="223"/>
      <c r="Z3" s="223"/>
      <c r="AA3" s="191"/>
      <c r="AB3" s="191"/>
      <c r="AC3" s="191"/>
      <c r="AD3" s="191"/>
    </row>
    <row r="4" spans="2:30" ht="39" customHeight="1">
      <c r="B4" s="697" t="s">
        <v>46</v>
      </c>
      <c r="C4" s="697"/>
      <c r="D4" s="697"/>
      <c r="E4" s="697"/>
      <c r="F4" s="697"/>
      <c r="G4" s="697"/>
      <c r="H4" s="697"/>
      <c r="I4" s="697"/>
      <c r="J4" s="697"/>
      <c r="K4" s="697"/>
      <c r="L4" s="697"/>
      <c r="M4" s="697"/>
      <c r="N4" s="697"/>
      <c r="O4" s="697"/>
      <c r="P4" s="697"/>
      <c r="Q4" s="697"/>
      <c r="R4" s="697"/>
      <c r="S4" s="697"/>
      <c r="T4" s="697"/>
      <c r="U4" s="697"/>
      <c r="V4" s="697"/>
      <c r="W4" s="697"/>
      <c r="X4" s="697"/>
      <c r="Y4" s="697"/>
      <c r="Z4" s="697"/>
    </row>
    <row r="5" spans="2:30" ht="12.75" customHeight="1">
      <c r="B5" s="197"/>
      <c r="C5" s="198"/>
      <c r="D5" s="198"/>
      <c r="E5" s="198"/>
      <c r="F5" s="198"/>
      <c r="G5" s="198"/>
      <c r="H5" s="198"/>
      <c r="I5" s="198"/>
      <c r="J5" s="198"/>
      <c r="K5" s="198"/>
      <c r="L5" s="198"/>
      <c r="M5" s="198"/>
      <c r="N5" s="198"/>
      <c r="O5" s="198"/>
      <c r="P5" s="198"/>
      <c r="Q5" s="198"/>
      <c r="R5" s="198"/>
      <c r="S5" s="198"/>
      <c r="T5" s="198"/>
      <c r="U5" s="198"/>
      <c r="V5" s="198"/>
      <c r="W5" s="198"/>
      <c r="X5" s="198"/>
      <c r="Y5" s="198"/>
      <c r="Z5" s="198"/>
    </row>
    <row r="6" spans="2:30">
      <c r="B6" s="698" t="s">
        <v>10</v>
      </c>
      <c r="C6" s="698" t="s">
        <v>11</v>
      </c>
      <c r="D6" s="698" t="s">
        <v>12</v>
      </c>
      <c r="E6" s="693" t="s">
        <v>661</v>
      </c>
      <c r="F6" s="698" t="s">
        <v>13</v>
      </c>
      <c r="G6" s="715"/>
      <c r="H6" s="715"/>
      <c r="I6" s="715"/>
      <c r="J6" s="715"/>
      <c r="K6" s="715"/>
      <c r="L6" s="715"/>
      <c r="M6" s="715"/>
      <c r="N6" s="715"/>
      <c r="O6" s="715"/>
      <c r="P6" s="715"/>
      <c r="Q6" s="715"/>
      <c r="R6" s="715"/>
      <c r="S6" s="715"/>
      <c r="T6" s="698" t="s">
        <v>14</v>
      </c>
      <c r="U6" s="715"/>
      <c r="V6" s="698" t="s">
        <v>692</v>
      </c>
      <c r="W6" s="699"/>
      <c r="X6" s="699"/>
      <c r="Y6" s="699"/>
      <c r="Z6" s="698" t="s">
        <v>17</v>
      </c>
      <c r="AA6" s="199"/>
      <c r="AB6" s="199"/>
      <c r="AC6" s="199"/>
      <c r="AD6" s="199"/>
    </row>
    <row r="7" spans="2:30" ht="67.5" customHeight="1">
      <c r="B7" s="715"/>
      <c r="C7" s="715"/>
      <c r="D7" s="715"/>
      <c r="E7" s="694"/>
      <c r="F7" s="200" t="s">
        <v>18</v>
      </c>
      <c r="G7" s="200" t="s">
        <v>19</v>
      </c>
      <c r="H7" s="200" t="s">
        <v>20</v>
      </c>
      <c r="I7" s="200" t="s">
        <v>21</v>
      </c>
      <c r="J7" s="200" t="s">
        <v>22</v>
      </c>
      <c r="K7" s="200" t="s">
        <v>23</v>
      </c>
      <c r="L7" s="200" t="s">
        <v>24</v>
      </c>
      <c r="M7" s="200" t="s">
        <v>25</v>
      </c>
      <c r="N7" s="200" t="s">
        <v>26</v>
      </c>
      <c r="O7" s="200" t="s">
        <v>27</v>
      </c>
      <c r="P7" s="200" t="s">
        <v>28</v>
      </c>
      <c r="Q7" s="200" t="s">
        <v>29</v>
      </c>
      <c r="R7" s="201" t="s">
        <v>30</v>
      </c>
      <c r="S7" s="200" t="s">
        <v>31</v>
      </c>
      <c r="T7" s="200" t="s">
        <v>32</v>
      </c>
      <c r="U7" s="200" t="s">
        <v>47</v>
      </c>
      <c r="V7" s="699" t="s">
        <v>695</v>
      </c>
      <c r="W7" s="699"/>
      <c r="X7" s="200" t="s">
        <v>696</v>
      </c>
      <c r="Y7" s="200" t="s">
        <v>697</v>
      </c>
      <c r="Z7" s="715"/>
      <c r="AA7" s="202"/>
      <c r="AB7" s="202"/>
      <c r="AC7" s="202"/>
      <c r="AD7" s="202"/>
    </row>
    <row r="8" spans="2:30">
      <c r="B8" s="712" t="s">
        <v>48</v>
      </c>
      <c r="C8" s="224" t="s">
        <v>49</v>
      </c>
      <c r="D8" s="225" t="str">
        <f>VLOOKUP($C8,'A1 y A2-Valores por defecto'!$A$102:$H$110,2,FALSE)</f>
        <v>ton</v>
      </c>
      <c r="E8" s="226"/>
      <c r="F8" s="227"/>
      <c r="G8" s="227"/>
      <c r="H8" s="227"/>
      <c r="I8" s="227"/>
      <c r="J8" s="227"/>
      <c r="K8" s="227"/>
      <c r="L8" s="227"/>
      <c r="M8" s="227"/>
      <c r="N8" s="227"/>
      <c r="O8" s="227"/>
      <c r="P8" s="227"/>
      <c r="Q8" s="227"/>
      <c r="R8" s="228">
        <f t="shared" ref="R8:R16" si="0">SUM(F8:Q8)</f>
        <v>0</v>
      </c>
      <c r="S8" s="228">
        <f t="shared" ref="S8:S16" si="1">COUNT(F8:Q8)</f>
        <v>0</v>
      </c>
      <c r="T8" s="228">
        <f t="shared" ref="T8:T16" si="2">IF(S8&gt;1,AVERAGE(F8:Q8),0)</f>
        <v>0</v>
      </c>
      <c r="U8" s="228">
        <f t="shared" ref="U8:U16" si="3">IF(S8&gt;1,STDEV(F8:Q8),0)</f>
        <v>0</v>
      </c>
      <c r="V8" s="229">
        <f>VLOOKUP($C8,'A1 y A2-Valores por defecto'!$A$102:$H$110,5,FALSE)</f>
        <v>530</v>
      </c>
      <c r="W8" s="225" t="str">
        <f>VLOOKUP($C8,'A1 y A2-Valores por defecto'!$A$102:$H$110,6,FALSE)</f>
        <v>kg CO2eq / ton</v>
      </c>
      <c r="X8" s="228">
        <f>$T8*$V8</f>
        <v>0</v>
      </c>
      <c r="Y8" s="228">
        <f t="shared" ref="Y8:Y16" si="4">$X8/1000</f>
        <v>0</v>
      </c>
      <c r="Z8" s="228">
        <f>Y8</f>
        <v>0</v>
      </c>
      <c r="AA8" s="218"/>
      <c r="AB8" s="218"/>
      <c r="AC8" s="218"/>
      <c r="AD8" s="218"/>
    </row>
    <row r="9" spans="2:30">
      <c r="B9" s="713"/>
      <c r="C9" s="224" t="s">
        <v>329</v>
      </c>
      <c r="D9" s="225" t="str">
        <f>VLOOKUP($C9,'A1 y A2-Valores por defecto'!$A$102:$H$110,2,FALSE)</f>
        <v>ton</v>
      </c>
      <c r="E9" s="226"/>
      <c r="F9" s="227"/>
      <c r="G9" s="227"/>
      <c r="H9" s="227"/>
      <c r="I9" s="227"/>
      <c r="J9" s="227"/>
      <c r="K9" s="227"/>
      <c r="L9" s="227"/>
      <c r="M9" s="227"/>
      <c r="N9" s="227"/>
      <c r="O9" s="227"/>
      <c r="P9" s="227"/>
      <c r="Q9" s="227"/>
      <c r="R9" s="228">
        <f t="shared" si="0"/>
        <v>0</v>
      </c>
      <c r="S9" s="228">
        <f t="shared" si="1"/>
        <v>0</v>
      </c>
      <c r="T9" s="228">
        <f t="shared" si="2"/>
        <v>0</v>
      </c>
      <c r="U9" s="228">
        <f t="shared" si="3"/>
        <v>0</v>
      </c>
      <c r="V9" s="229">
        <f>VLOOKUP($C9,'A1 y A2-Valores por defecto'!$A$102:$H$110,5,FALSE)</f>
        <v>439.71</v>
      </c>
      <c r="W9" s="225" t="str">
        <f>VLOOKUP($C9,'A1 y A2-Valores por defecto'!$A$102:$H$110,6,FALSE)</f>
        <v>kg CO2eq / ton</v>
      </c>
      <c r="X9" s="228">
        <f t="shared" ref="X9:X12" si="5">$T9*$V9</f>
        <v>0</v>
      </c>
      <c r="Y9" s="228">
        <f t="shared" si="4"/>
        <v>0</v>
      </c>
      <c r="Z9" s="228">
        <f t="shared" ref="Z9:Z12" si="6">Y9</f>
        <v>0</v>
      </c>
      <c r="AA9" s="218"/>
      <c r="AB9" s="218"/>
      <c r="AC9" s="218"/>
      <c r="AD9" s="218"/>
    </row>
    <row r="10" spans="2:30">
      <c r="B10" s="713"/>
      <c r="C10" s="224" t="s">
        <v>118</v>
      </c>
      <c r="D10" s="225" t="str">
        <f>VLOOKUP($C10,'A1 y A2-Valores por defecto'!$A$102:$H$110,2,FALSE)</f>
        <v>ton</v>
      </c>
      <c r="E10" s="226"/>
      <c r="F10" s="227"/>
      <c r="G10" s="227"/>
      <c r="H10" s="227"/>
      <c r="I10" s="227"/>
      <c r="J10" s="227"/>
      <c r="K10" s="227"/>
      <c r="L10" s="227"/>
      <c r="M10" s="227"/>
      <c r="N10" s="227"/>
      <c r="O10" s="227"/>
      <c r="P10" s="227"/>
      <c r="Q10" s="227"/>
      <c r="R10" s="228">
        <f t="shared" si="0"/>
        <v>0</v>
      </c>
      <c r="S10" s="228">
        <f t="shared" si="1"/>
        <v>0</v>
      </c>
      <c r="T10" s="228">
        <f t="shared" si="2"/>
        <v>0</v>
      </c>
      <c r="U10" s="228">
        <f t="shared" si="3"/>
        <v>0</v>
      </c>
      <c r="V10" s="229">
        <f>VLOOKUP($C10,'A1 y A2-Valores por defecto'!$A$102:$H$110,5,FALSE)</f>
        <v>210</v>
      </c>
      <c r="W10" s="225" t="str">
        <f>VLOOKUP($C10,'A1 y A2-Valores por defecto'!$A$102:$H$110,6,FALSE)</f>
        <v>kg CO2eq / ton</v>
      </c>
      <c r="X10" s="228">
        <f t="shared" si="5"/>
        <v>0</v>
      </c>
      <c r="Y10" s="228">
        <f t="shared" si="4"/>
        <v>0</v>
      </c>
      <c r="Z10" s="228">
        <f t="shared" si="6"/>
        <v>0</v>
      </c>
      <c r="AA10" s="218"/>
      <c r="AB10" s="218"/>
      <c r="AC10" s="218"/>
      <c r="AD10" s="218"/>
    </row>
    <row r="11" spans="2:30">
      <c r="B11" s="713"/>
      <c r="C11" s="224" t="s">
        <v>331</v>
      </c>
      <c r="D11" s="225" t="str">
        <f>VLOOKUP($C11,'A1 y A2-Valores por defecto'!$A$102:$H$110,2,FALSE)</f>
        <v>kg</v>
      </c>
      <c r="E11" s="226"/>
      <c r="F11" s="227"/>
      <c r="G11" s="227"/>
      <c r="H11" s="227"/>
      <c r="I11" s="227"/>
      <c r="J11" s="227"/>
      <c r="K11" s="227"/>
      <c r="L11" s="227"/>
      <c r="M11" s="227"/>
      <c r="N11" s="227"/>
      <c r="O11" s="227"/>
      <c r="P11" s="227"/>
      <c r="Q11" s="227"/>
      <c r="R11" s="228">
        <f t="shared" si="0"/>
        <v>0</v>
      </c>
      <c r="S11" s="228">
        <f t="shared" si="1"/>
        <v>0</v>
      </c>
      <c r="T11" s="228">
        <f t="shared" si="2"/>
        <v>0</v>
      </c>
      <c r="U11" s="228">
        <f t="shared" si="3"/>
        <v>0</v>
      </c>
      <c r="V11" s="229">
        <f>VLOOKUP($C11,'A1 y A2-Valores por defecto'!$A$102:$H$110,5,FALSE)</f>
        <v>1100</v>
      </c>
      <c r="W11" s="225" t="str">
        <f>VLOOKUP($C11,'A1 y A2-Valores por defecto'!$A$102:$H$110,6,FALSE)</f>
        <v>kg CO2eq / ton</v>
      </c>
      <c r="X11" s="228">
        <f t="shared" si="5"/>
        <v>0</v>
      </c>
      <c r="Y11" s="228">
        <f t="shared" si="4"/>
        <v>0</v>
      </c>
      <c r="Z11" s="228">
        <f t="shared" si="6"/>
        <v>0</v>
      </c>
      <c r="AA11" s="218"/>
      <c r="AB11" s="218"/>
      <c r="AC11" s="218"/>
      <c r="AD11" s="218"/>
    </row>
    <row r="12" spans="2:30">
      <c r="B12" s="714"/>
      <c r="C12" s="224" t="s">
        <v>50</v>
      </c>
      <c r="D12" s="225" t="str">
        <f>VLOOKUP($C12,'A1 y A2-Valores por defecto'!$A$102:$H$110,2,FALSE)</f>
        <v>ton</v>
      </c>
      <c r="E12" s="226"/>
      <c r="F12" s="227"/>
      <c r="G12" s="227"/>
      <c r="H12" s="227"/>
      <c r="I12" s="227"/>
      <c r="J12" s="227"/>
      <c r="K12" s="227"/>
      <c r="L12" s="227"/>
      <c r="M12" s="227"/>
      <c r="N12" s="227"/>
      <c r="O12" s="227"/>
      <c r="P12" s="227"/>
      <c r="Q12" s="227"/>
      <c r="R12" s="228">
        <f t="shared" si="0"/>
        <v>0</v>
      </c>
      <c r="S12" s="228">
        <f t="shared" si="1"/>
        <v>0</v>
      </c>
      <c r="T12" s="228">
        <f t="shared" si="2"/>
        <v>0</v>
      </c>
      <c r="U12" s="228">
        <f t="shared" si="3"/>
        <v>0</v>
      </c>
      <c r="V12" s="229">
        <f>VLOOKUP($C12,'A1 y A2-Valores por defecto'!$A$102:$H$110,5,FALSE)</f>
        <v>750</v>
      </c>
      <c r="W12" s="225" t="str">
        <f>VLOOKUP($C12,'A1 y A2-Valores por defecto'!$A$102:$H$110,6,FALSE)</f>
        <v>kg CO2eq / ton</v>
      </c>
      <c r="X12" s="228">
        <f t="shared" si="5"/>
        <v>0</v>
      </c>
      <c r="Y12" s="228">
        <f t="shared" si="4"/>
        <v>0</v>
      </c>
      <c r="Z12" s="228">
        <f t="shared" si="6"/>
        <v>0</v>
      </c>
      <c r="AA12" s="218"/>
      <c r="AB12" s="218"/>
      <c r="AC12" s="218"/>
      <c r="AD12" s="218"/>
    </row>
    <row r="13" spans="2:30">
      <c r="B13" s="209" t="s">
        <v>282</v>
      </c>
      <c r="C13" s="230"/>
      <c r="D13" s="231"/>
      <c r="E13" s="231"/>
      <c r="F13" s="230"/>
      <c r="G13" s="230"/>
      <c r="H13" s="230"/>
      <c r="I13" s="230"/>
      <c r="J13" s="230"/>
      <c r="K13" s="230"/>
      <c r="L13" s="230"/>
      <c r="M13" s="230"/>
      <c r="N13" s="230"/>
      <c r="O13" s="230"/>
      <c r="P13" s="230"/>
      <c r="Q13" s="230"/>
      <c r="R13" s="232"/>
      <c r="S13" s="232"/>
      <c r="T13" s="232"/>
      <c r="U13" s="232"/>
      <c r="V13" s="232"/>
      <c r="W13" s="232"/>
      <c r="X13" s="232"/>
      <c r="Y13" s="232"/>
      <c r="Z13" s="233">
        <f>SUM(Z8:Z12)</f>
        <v>0</v>
      </c>
    </row>
    <row r="14" spans="2:30">
      <c r="B14" s="712" t="s">
        <v>51</v>
      </c>
      <c r="C14" s="224" t="s">
        <v>52</v>
      </c>
      <c r="D14" s="225" t="str">
        <f>VLOOKUP($C14,'A1 y A2-Valores por defecto'!$A$102:$H$110,2,FALSE)</f>
        <v>lt</v>
      </c>
      <c r="E14" s="226"/>
      <c r="F14" s="227"/>
      <c r="G14" s="227"/>
      <c r="H14" s="227"/>
      <c r="I14" s="227"/>
      <c r="J14" s="227"/>
      <c r="K14" s="227"/>
      <c r="L14" s="227"/>
      <c r="M14" s="227"/>
      <c r="N14" s="227"/>
      <c r="O14" s="227"/>
      <c r="P14" s="227"/>
      <c r="Q14" s="227"/>
      <c r="R14" s="228">
        <f t="shared" si="0"/>
        <v>0</v>
      </c>
      <c r="S14" s="228">
        <f t="shared" si="1"/>
        <v>0</v>
      </c>
      <c r="T14" s="228">
        <f t="shared" si="2"/>
        <v>0</v>
      </c>
      <c r="U14" s="228">
        <f t="shared" si="3"/>
        <v>0</v>
      </c>
      <c r="V14" s="229">
        <f>VLOOKUP($C14,'A1 y A2-Valores por defecto'!$A$102:$H$110,5,FALSE)</f>
        <v>0.55805085600000004</v>
      </c>
      <c r="W14" s="225" t="str">
        <f>VLOOKUP($C14,'A1 y A2-Valores por defecto'!$A$102:$H$110,6,FALSE)</f>
        <v>kg CO2eq / ton</v>
      </c>
      <c r="X14" s="228">
        <f>IF(C14="Lubricantes",$T14*0.001,$T14)*$V14</f>
        <v>0</v>
      </c>
      <c r="Y14" s="228">
        <f t="shared" si="4"/>
        <v>0</v>
      </c>
      <c r="Z14" s="228">
        <f>Y14</f>
        <v>0</v>
      </c>
      <c r="AA14" s="218"/>
      <c r="AB14" s="218"/>
      <c r="AC14" s="218"/>
      <c r="AD14" s="218"/>
    </row>
    <row r="15" spans="2:30">
      <c r="B15" s="713"/>
      <c r="C15" s="224" t="s">
        <v>52</v>
      </c>
      <c r="D15" s="225" t="str">
        <f>VLOOKUP($C15,'A1 y A2-Valores por defecto'!$A$102:$H$110,2,FALSE)</f>
        <v>lt</v>
      </c>
      <c r="E15" s="226"/>
      <c r="F15" s="227"/>
      <c r="G15" s="227"/>
      <c r="H15" s="227"/>
      <c r="I15" s="227"/>
      <c r="J15" s="227"/>
      <c r="K15" s="227"/>
      <c r="L15" s="227"/>
      <c r="M15" s="227"/>
      <c r="N15" s="227"/>
      <c r="O15" s="227"/>
      <c r="P15" s="227"/>
      <c r="Q15" s="227"/>
      <c r="R15" s="228">
        <f t="shared" si="0"/>
        <v>0</v>
      </c>
      <c r="S15" s="228">
        <f t="shared" si="1"/>
        <v>0</v>
      </c>
      <c r="T15" s="228">
        <f t="shared" si="2"/>
        <v>0</v>
      </c>
      <c r="U15" s="228">
        <f t="shared" si="3"/>
        <v>0</v>
      </c>
      <c r="V15" s="229">
        <f>VLOOKUP($C15,'A1 y A2-Valores por defecto'!$A$102:$H$110,5,FALSE)</f>
        <v>0.55805085600000004</v>
      </c>
      <c r="W15" s="225" t="str">
        <f>VLOOKUP($C15,'A1 y A2-Valores por defecto'!$A$102:$H$110,6,FALSE)</f>
        <v>kg CO2eq / ton</v>
      </c>
      <c r="X15" s="228">
        <f t="shared" ref="X15:X16" si="7">IF(C15="Lubricantes",$T15*0.001,$T15)*$V15</f>
        <v>0</v>
      </c>
      <c r="Y15" s="228">
        <f t="shared" si="4"/>
        <v>0</v>
      </c>
      <c r="Z15" s="228">
        <f t="shared" ref="Z15:Z16" si="8">Y15</f>
        <v>0</v>
      </c>
      <c r="AA15" s="218"/>
      <c r="AB15" s="218"/>
      <c r="AC15" s="218"/>
      <c r="AD15" s="218"/>
    </row>
    <row r="16" spans="2:30">
      <c r="B16" s="714"/>
      <c r="C16" s="224" t="s">
        <v>53</v>
      </c>
      <c r="D16" s="225" t="str">
        <f>VLOOKUP($C16,'A1 y A2-Valores por defecto'!$A$102:$H$110,2,FALSE)</f>
        <v>kg</v>
      </c>
      <c r="E16" s="226"/>
      <c r="F16" s="227"/>
      <c r="G16" s="227"/>
      <c r="H16" s="227"/>
      <c r="I16" s="227"/>
      <c r="J16" s="227"/>
      <c r="K16" s="227"/>
      <c r="L16" s="227"/>
      <c r="M16" s="227"/>
      <c r="N16" s="227"/>
      <c r="O16" s="227"/>
      <c r="P16" s="227"/>
      <c r="Q16" s="227"/>
      <c r="R16" s="228">
        <f t="shared" si="0"/>
        <v>0</v>
      </c>
      <c r="S16" s="228">
        <f t="shared" si="1"/>
        <v>0</v>
      </c>
      <c r="T16" s="228">
        <f t="shared" si="2"/>
        <v>0</v>
      </c>
      <c r="U16" s="228">
        <f t="shared" si="3"/>
        <v>0</v>
      </c>
      <c r="V16" s="229">
        <f>VLOOKUP($C16,'A1 y A2-Valores por defecto'!$A$102:$H$110,5,FALSE)</f>
        <v>1.4666666666666666E-2</v>
      </c>
      <c r="W16" s="225" t="str">
        <f>VLOOKUP($C16,'A1 y A2-Valores por defecto'!$A$102:$H$110,6,FALSE)</f>
        <v>kg CO2eq / ton</v>
      </c>
      <c r="X16" s="228">
        <f t="shared" si="7"/>
        <v>0</v>
      </c>
      <c r="Y16" s="228">
        <f t="shared" si="4"/>
        <v>0</v>
      </c>
      <c r="Z16" s="228">
        <f t="shared" si="8"/>
        <v>0</v>
      </c>
      <c r="AA16" s="218"/>
      <c r="AB16" s="218"/>
      <c r="AC16" s="218"/>
      <c r="AD16" s="218"/>
    </row>
    <row r="17" spans="2:26">
      <c r="B17" s="209" t="s">
        <v>300</v>
      </c>
      <c r="C17" s="234"/>
      <c r="D17" s="232"/>
      <c r="E17" s="232"/>
      <c r="F17" s="234"/>
      <c r="G17" s="234"/>
      <c r="H17" s="234"/>
      <c r="I17" s="234"/>
      <c r="J17" s="234"/>
      <c r="K17" s="234"/>
      <c r="L17" s="234"/>
      <c r="M17" s="234"/>
      <c r="N17" s="234"/>
      <c r="O17" s="234"/>
      <c r="P17" s="234"/>
      <c r="Q17" s="234"/>
      <c r="R17" s="232"/>
      <c r="S17" s="232"/>
      <c r="T17" s="232"/>
      <c r="U17" s="232"/>
      <c r="V17" s="232"/>
      <c r="W17" s="232"/>
      <c r="X17" s="232"/>
      <c r="Y17" s="232"/>
      <c r="Z17" s="233">
        <f>SUM(Z14:Z16)</f>
        <v>0</v>
      </c>
    </row>
    <row r="18" spans="2:26">
      <c r="B18" s="209" t="s">
        <v>299</v>
      </c>
      <c r="C18" s="234"/>
      <c r="D18" s="232"/>
      <c r="E18" s="232"/>
      <c r="F18" s="234"/>
      <c r="G18" s="234"/>
      <c r="H18" s="234"/>
      <c r="I18" s="234"/>
      <c r="J18" s="234"/>
      <c r="K18" s="234"/>
      <c r="L18" s="234"/>
      <c r="M18" s="234"/>
      <c r="N18" s="234"/>
      <c r="O18" s="234"/>
      <c r="P18" s="234"/>
      <c r="Q18" s="234"/>
      <c r="R18" s="232"/>
      <c r="S18" s="232"/>
      <c r="T18" s="232"/>
      <c r="U18" s="232"/>
      <c r="V18" s="232"/>
      <c r="W18" s="232"/>
      <c r="X18" s="232"/>
      <c r="Y18" s="235">
        <f>SUM(Y8:Y12,Y14:Y16)</f>
        <v>0</v>
      </c>
      <c r="Z18" s="233">
        <f>Z13+Z17</f>
        <v>0</v>
      </c>
    </row>
    <row r="19" spans="2:26" ht="15.75" customHeight="1"/>
  </sheetData>
  <sheetProtection insertRows="0"/>
  <mergeCells count="13">
    <mergeCell ref="B8:B12"/>
    <mergeCell ref="B14:B16"/>
    <mergeCell ref="B1:Z1"/>
    <mergeCell ref="Z6:Z7"/>
    <mergeCell ref="B4:Z4"/>
    <mergeCell ref="B6:B7"/>
    <mergeCell ref="C6:C7"/>
    <mergeCell ref="D6:D7"/>
    <mergeCell ref="F6:S6"/>
    <mergeCell ref="T6:U6"/>
    <mergeCell ref="V6:Y6"/>
    <mergeCell ref="V7:W7"/>
    <mergeCell ref="E6:E7"/>
  </mergeCell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2">
        <x14:dataValidation type="list" allowBlank="1" showErrorMessage="1" xr:uid="{E31B449F-C6C0-4465-866C-0E538825604F}">
          <x14:formula1>
            <xm:f>'A1 y A2-Valores por defecto'!$A$109:$A$110</xm:f>
          </x14:formula1>
          <xm:sqref>C14:C16</xm:sqref>
        </x14:dataValidation>
        <x14:dataValidation type="list" allowBlank="1" showErrorMessage="1" xr:uid="{F432D757-6B2D-4691-8F9B-B58FAA8A8D4A}">
          <x14:formula1>
            <xm:f>'A1 y A2-Valores por defecto'!$A$102:$A$108</xm:f>
          </x14:formula1>
          <xm:sqref>C8:C12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5AF7-A103-41C3-AEDD-78CCAC451745}">
  <sheetPr>
    <tabColor theme="8" tint="-0.499984740745262"/>
  </sheetPr>
  <dimension ref="B1:AM21"/>
  <sheetViews>
    <sheetView showGridLines="0" zoomScale="90" zoomScaleNormal="90" workbookViewId="0">
      <pane xSplit="2" ySplit="1" topLeftCell="AA2" activePane="bottomRight" state="frozen"/>
      <selection pane="topRight" activeCell="C1" sqref="C1"/>
      <selection pane="bottomLeft" activeCell="A2" sqref="A2"/>
      <selection pane="bottomRight" activeCell="AD20" sqref="AD20"/>
    </sheetView>
  </sheetViews>
  <sheetFormatPr baseColWidth="10" defaultColWidth="14.44140625" defaultRowHeight="15.6"/>
  <cols>
    <col min="1" max="1" width="9.88671875" style="192" customWidth="1"/>
    <col min="2" max="2" width="35" style="192" customWidth="1"/>
    <col min="3" max="3" width="28.33203125" style="192" customWidth="1"/>
    <col min="4" max="4" width="12.44140625" style="192" customWidth="1"/>
    <col min="5" max="5" width="8.44140625" style="192" customWidth="1"/>
    <col min="6" max="6" width="28.6640625" style="192" customWidth="1"/>
    <col min="7" max="7" width="10.109375" style="192" customWidth="1"/>
    <col min="8" max="10" width="9.5546875" style="192" customWidth="1"/>
    <col min="11" max="11" width="10.109375" style="192" customWidth="1"/>
    <col min="12" max="12" width="9.5546875" style="192" customWidth="1"/>
    <col min="13" max="13" width="9.33203125" style="192" customWidth="1"/>
    <col min="14" max="14" width="9.88671875" style="192" customWidth="1"/>
    <col min="15" max="15" width="10.6640625" style="192" customWidth="1"/>
    <col min="16" max="16" width="9.33203125" style="192" customWidth="1"/>
    <col min="17" max="17" width="10.44140625" style="192" customWidth="1"/>
    <col min="18" max="18" width="10.109375" style="192" customWidth="1"/>
    <col min="19" max="19" width="14" style="192" customWidth="1"/>
    <col min="20" max="20" width="12.44140625" style="192" customWidth="1"/>
    <col min="21" max="21" width="10.6640625" style="192" hidden="1" customWidth="1"/>
    <col min="22" max="22" width="7.6640625" style="192" hidden="1" customWidth="1"/>
    <col min="23" max="23" width="12.44140625" style="192" customWidth="1"/>
    <col min="24" max="24" width="16.33203125" style="192" customWidth="1"/>
    <col min="25" max="25" width="11.6640625" style="192" customWidth="1"/>
    <col min="26" max="26" width="11.88671875" style="192" customWidth="1"/>
    <col min="27" max="27" width="12.5546875" style="192" customWidth="1"/>
    <col min="28" max="28" width="19" style="192" customWidth="1"/>
    <col min="29" max="31" width="13.33203125" style="192" customWidth="1"/>
    <col min="32" max="32" width="19.109375" style="192" customWidth="1"/>
    <col min="33" max="34" width="13.33203125" style="192" customWidth="1"/>
    <col min="35" max="35" width="17" style="192" customWidth="1"/>
    <col min="36" max="39" width="13.33203125" style="192" customWidth="1"/>
    <col min="40" max="16384" width="14.44140625" style="192"/>
  </cols>
  <sheetData>
    <row r="1" spans="2:39"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191"/>
      <c r="AK1" s="191"/>
      <c r="AL1" s="191"/>
      <c r="AM1" s="191"/>
    </row>
    <row r="2" spans="2:39" ht="37.5" customHeight="1">
      <c r="B2" s="220" t="s">
        <v>8</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191"/>
      <c r="AK2" s="191"/>
      <c r="AL2" s="191"/>
      <c r="AM2" s="191"/>
    </row>
    <row r="3" spans="2:39" ht="30" customHeight="1">
      <c r="B3" s="222"/>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191"/>
      <c r="AK3" s="191"/>
      <c r="AL3" s="191"/>
      <c r="AM3" s="191"/>
    </row>
    <row r="4" spans="2:39" ht="39" customHeight="1">
      <c r="B4" s="697" t="s">
        <v>46</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row>
    <row r="5" spans="2:39" ht="12.75" customHeight="1">
      <c r="B5" s="197"/>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6" spans="2:39">
      <c r="B6" s="698" t="s">
        <v>10</v>
      </c>
      <c r="C6" s="716" t="s">
        <v>11</v>
      </c>
      <c r="D6" s="717"/>
      <c r="E6" s="698" t="s">
        <v>12</v>
      </c>
      <c r="F6" s="693" t="s">
        <v>661</v>
      </c>
      <c r="G6" s="698" t="s">
        <v>13</v>
      </c>
      <c r="H6" s="715"/>
      <c r="I6" s="715"/>
      <c r="J6" s="715"/>
      <c r="K6" s="715"/>
      <c r="L6" s="715"/>
      <c r="M6" s="715"/>
      <c r="N6" s="715"/>
      <c r="O6" s="715"/>
      <c r="P6" s="715"/>
      <c r="Q6" s="715"/>
      <c r="R6" s="715"/>
      <c r="S6" s="715"/>
      <c r="T6" s="715"/>
      <c r="U6" s="698" t="s">
        <v>14</v>
      </c>
      <c r="V6" s="715"/>
      <c r="W6" s="698" t="s">
        <v>692</v>
      </c>
      <c r="X6" s="699"/>
      <c r="Y6" s="699"/>
      <c r="Z6" s="699"/>
      <c r="AA6" s="698" t="s">
        <v>693</v>
      </c>
      <c r="AB6" s="699"/>
      <c r="AC6" s="699"/>
      <c r="AD6" s="699"/>
      <c r="AE6" s="698" t="s">
        <v>694</v>
      </c>
      <c r="AF6" s="699"/>
      <c r="AG6" s="699"/>
      <c r="AH6" s="699"/>
      <c r="AI6" s="698" t="s">
        <v>17</v>
      </c>
      <c r="AJ6" s="199"/>
      <c r="AK6" s="199"/>
      <c r="AL6" s="199"/>
      <c r="AM6" s="199"/>
    </row>
    <row r="7" spans="2:39" ht="67.5" customHeight="1">
      <c r="B7" s="715"/>
      <c r="C7" s="718"/>
      <c r="D7" s="719"/>
      <c r="E7" s="715"/>
      <c r="F7" s="694"/>
      <c r="G7" s="200" t="s">
        <v>18</v>
      </c>
      <c r="H7" s="200" t="s">
        <v>19</v>
      </c>
      <c r="I7" s="200" t="s">
        <v>20</v>
      </c>
      <c r="J7" s="200" t="s">
        <v>21</v>
      </c>
      <c r="K7" s="200" t="s">
        <v>22</v>
      </c>
      <c r="L7" s="200" t="s">
        <v>23</v>
      </c>
      <c r="M7" s="200" t="s">
        <v>24</v>
      </c>
      <c r="N7" s="200" t="s">
        <v>25</v>
      </c>
      <c r="O7" s="200" t="s">
        <v>26</v>
      </c>
      <c r="P7" s="200" t="s">
        <v>27</v>
      </c>
      <c r="Q7" s="200" t="s">
        <v>28</v>
      </c>
      <c r="R7" s="200" t="s">
        <v>29</v>
      </c>
      <c r="S7" s="201" t="s">
        <v>30</v>
      </c>
      <c r="T7" s="200" t="s">
        <v>31</v>
      </c>
      <c r="U7" s="200" t="s">
        <v>32</v>
      </c>
      <c r="V7" s="200" t="s">
        <v>47</v>
      </c>
      <c r="W7" s="699" t="s">
        <v>695</v>
      </c>
      <c r="X7" s="699"/>
      <c r="Y7" s="200" t="s">
        <v>696</v>
      </c>
      <c r="Z7" s="200" t="s">
        <v>697</v>
      </c>
      <c r="AA7" s="699" t="s">
        <v>698</v>
      </c>
      <c r="AB7" s="699"/>
      <c r="AC7" s="200" t="s">
        <v>699</v>
      </c>
      <c r="AD7" s="200" t="s">
        <v>700</v>
      </c>
      <c r="AE7" s="699" t="s">
        <v>701</v>
      </c>
      <c r="AF7" s="699"/>
      <c r="AG7" s="200" t="s">
        <v>702</v>
      </c>
      <c r="AH7" s="200" t="s">
        <v>703</v>
      </c>
      <c r="AI7" s="715"/>
      <c r="AJ7" s="202"/>
      <c r="AK7" s="202"/>
      <c r="AL7" s="202"/>
      <c r="AM7" s="202"/>
    </row>
    <row r="8" spans="2:39">
      <c r="B8" s="712" t="s">
        <v>54</v>
      </c>
      <c r="C8" s="224" t="s">
        <v>55</v>
      </c>
      <c r="D8" s="236">
        <v>0.25</v>
      </c>
      <c r="E8" s="225" t="str">
        <f>VLOOKUP($C8,'A1 y A2-Valores por defecto'!$A$113:$F$127,2,FALSE)</f>
        <v>kg</v>
      </c>
      <c r="F8" s="226"/>
      <c r="G8" s="227"/>
      <c r="H8" s="227"/>
      <c r="I8" s="227"/>
      <c r="J8" s="227"/>
      <c r="K8" s="227"/>
      <c r="L8" s="227"/>
      <c r="M8" s="227"/>
      <c r="N8" s="227"/>
      <c r="O8" s="227"/>
      <c r="P8" s="227"/>
      <c r="Q8" s="227"/>
      <c r="R8" s="227"/>
      <c r="S8" s="228">
        <f t="shared" ref="S8:S19" si="0">SUM(G8:R8)</f>
        <v>0</v>
      </c>
      <c r="T8" s="228">
        <f t="shared" ref="T8:T19" si="1">COUNT(G8:R8)</f>
        <v>0</v>
      </c>
      <c r="U8" s="228">
        <f t="shared" ref="U8:U19" si="2">IF(T8&gt;1,AVERAGE(G8:R8),0)</f>
        <v>0</v>
      </c>
      <c r="V8" s="228">
        <f t="shared" ref="V8:V19" si="3">IF(T8&gt;1,STDEV(G8:R8),0)</f>
        <v>0</v>
      </c>
      <c r="W8" s="228"/>
      <c r="X8" s="225"/>
      <c r="Y8" s="228"/>
      <c r="Z8" s="228"/>
      <c r="AA8" s="228"/>
      <c r="AB8" s="225"/>
      <c r="AC8" s="228"/>
      <c r="AD8" s="228"/>
      <c r="AE8" s="237">
        <f>VLOOKUP($C8,'A1 y A2-Valores por defecto'!$A$113:$F$127,3)</f>
        <v>1.5714285714285715E-2</v>
      </c>
      <c r="AF8" s="238" t="str">
        <f>VLOOKUP($C8,'A1 y A2-Valores por defecto'!$A$113:$F$127,4)</f>
        <v>kg N2O/kg N2</v>
      </c>
      <c r="AG8" s="228">
        <f>(S8*IF(D8&gt;0,D8,VLOOKUP(C8,'A1 y A2-Valores por defecto'!$A$113:$G$127,7,FALSE))*AE8)/1000</f>
        <v>0</v>
      </c>
      <c r="AH8" s="228">
        <f>AG8*'A1 y A2-Valores por defecto'!$E$81</f>
        <v>0</v>
      </c>
      <c r="AI8" s="228">
        <f>Z8+AD8+AH8</f>
        <v>0</v>
      </c>
      <c r="AJ8" s="218"/>
      <c r="AK8" s="218"/>
      <c r="AL8" s="218"/>
      <c r="AM8" s="218"/>
    </row>
    <row r="9" spans="2:39" ht="26.4">
      <c r="B9" s="713"/>
      <c r="C9" s="224" t="s">
        <v>560</v>
      </c>
      <c r="D9" s="239"/>
      <c r="E9" s="225" t="str">
        <f>VLOOKUP($C9,'A1 y A2-Valores por defecto'!$A$113:$F$127,2,FALSE)</f>
        <v>kg</v>
      </c>
      <c r="F9" s="226"/>
      <c r="G9" s="227"/>
      <c r="H9" s="227"/>
      <c r="I9" s="227"/>
      <c r="J9" s="227"/>
      <c r="K9" s="227"/>
      <c r="L9" s="227"/>
      <c r="M9" s="227"/>
      <c r="N9" s="227"/>
      <c r="O9" s="227"/>
      <c r="P9" s="227"/>
      <c r="Q9" s="227"/>
      <c r="R9" s="227"/>
      <c r="S9" s="228">
        <f t="shared" si="0"/>
        <v>0</v>
      </c>
      <c r="T9" s="228">
        <f t="shared" si="1"/>
        <v>0</v>
      </c>
      <c r="U9" s="228">
        <f t="shared" si="2"/>
        <v>0</v>
      </c>
      <c r="V9" s="228">
        <f t="shared" si="3"/>
        <v>0</v>
      </c>
      <c r="W9" s="228"/>
      <c r="X9" s="225"/>
      <c r="Y9" s="228"/>
      <c r="Z9" s="228"/>
      <c r="AA9" s="228"/>
      <c r="AB9" s="225"/>
      <c r="AC9" s="228"/>
      <c r="AD9" s="228"/>
      <c r="AE9" s="237">
        <f>VLOOKUP($C9,'A1 y A2-Valores por defecto'!$A$113:$F$127,3)</f>
        <v>1.5714285714285715E-2</v>
      </c>
      <c r="AF9" s="238" t="str">
        <f>VLOOKUP($C9,'A1 y A2-Valores por defecto'!$A$113:$F$127,4)</f>
        <v>kg N2O/kg N2</v>
      </c>
      <c r="AG9" s="228">
        <f>(S9*IF(D9&gt;0,D9,VLOOKUP(C9,'A1 y A2-Valores por defecto'!$A$113:$G$127,7,FALSE))*AE9)/1000</f>
        <v>0</v>
      </c>
      <c r="AH9" s="228">
        <f>AG9*'A1 y A2-Valores por defecto'!$E$81</f>
        <v>0</v>
      </c>
      <c r="AI9" s="228">
        <f t="shared" ref="AI9:AI19" si="4">Z9+AD9+AH9</f>
        <v>0</v>
      </c>
      <c r="AJ9" s="218"/>
      <c r="AK9" s="218"/>
      <c r="AL9" s="218"/>
      <c r="AM9" s="218"/>
    </row>
    <row r="10" spans="2:39">
      <c r="B10" s="714"/>
      <c r="C10" s="224" t="s">
        <v>585</v>
      </c>
      <c r="D10" s="239"/>
      <c r="E10" s="225" t="str">
        <f>VLOOKUP($C10,'A1 y A2-Valores por defecto'!$A$113:$F$127,2,FALSE)</f>
        <v>kg</v>
      </c>
      <c r="F10" s="226"/>
      <c r="G10" s="227"/>
      <c r="H10" s="227"/>
      <c r="I10" s="227"/>
      <c r="J10" s="227"/>
      <c r="K10" s="227"/>
      <c r="L10" s="227"/>
      <c r="M10" s="227"/>
      <c r="N10" s="227"/>
      <c r="O10" s="227"/>
      <c r="P10" s="227"/>
      <c r="Q10" s="227"/>
      <c r="R10" s="227"/>
      <c r="S10" s="228">
        <f t="shared" si="0"/>
        <v>0</v>
      </c>
      <c r="T10" s="228">
        <f t="shared" si="1"/>
        <v>0</v>
      </c>
      <c r="U10" s="228">
        <f t="shared" si="2"/>
        <v>0</v>
      </c>
      <c r="V10" s="228">
        <f t="shared" si="3"/>
        <v>0</v>
      </c>
      <c r="W10" s="228"/>
      <c r="X10" s="225"/>
      <c r="Y10" s="228"/>
      <c r="Z10" s="228"/>
      <c r="AA10" s="228"/>
      <c r="AB10" s="225"/>
      <c r="AC10" s="228"/>
      <c r="AD10" s="228"/>
      <c r="AE10" s="237">
        <f>VLOOKUP($C10,'A1 y A2-Valores por defecto'!$A$113:$F$127,3)</f>
        <v>1.5714285714285715E-2</v>
      </c>
      <c r="AF10" s="238" t="str">
        <f>VLOOKUP($C10,'A1 y A2-Valores por defecto'!$A$113:$F$127,4)</f>
        <v>kg N2O/kg N2</v>
      </c>
      <c r="AG10" s="228">
        <f>(S10*IF(D10&gt;0,D10,VLOOKUP(C10,'A1 y A2-Valores por defecto'!$A$113:$G$127,7,FALSE))*AE10)/1000</f>
        <v>0</v>
      </c>
      <c r="AH10" s="228">
        <f>AG10*'A1 y A2-Valores por defecto'!$E$81</f>
        <v>0</v>
      </c>
      <c r="AI10" s="228">
        <f t="shared" si="4"/>
        <v>0</v>
      </c>
      <c r="AJ10" s="218"/>
      <c r="AK10" s="218"/>
      <c r="AL10" s="218"/>
      <c r="AM10" s="218"/>
    </row>
    <row r="11" spans="2:39">
      <c r="B11" s="712" t="s">
        <v>555</v>
      </c>
      <c r="C11" s="224" t="s">
        <v>334</v>
      </c>
      <c r="D11" s="225"/>
      <c r="E11" s="225" t="str">
        <f>VLOOKUP($C11,'A1 y A2-Valores por defecto'!$A$130:$F$136,2,FALSE)</f>
        <v>Cabezas</v>
      </c>
      <c r="F11" s="226"/>
      <c r="G11" s="227"/>
      <c r="H11" s="227"/>
      <c r="I11" s="227"/>
      <c r="J11" s="227"/>
      <c r="K11" s="227"/>
      <c r="L11" s="227"/>
      <c r="M11" s="227"/>
      <c r="N11" s="227"/>
      <c r="O11" s="227"/>
      <c r="P11" s="227"/>
      <c r="Q11" s="227"/>
      <c r="R11" s="227"/>
      <c r="S11" s="228">
        <f t="shared" si="0"/>
        <v>0</v>
      </c>
      <c r="T11" s="228">
        <f t="shared" si="1"/>
        <v>0</v>
      </c>
      <c r="U11" s="228">
        <f t="shared" si="2"/>
        <v>0</v>
      </c>
      <c r="V11" s="228">
        <f t="shared" si="3"/>
        <v>0</v>
      </c>
      <c r="W11" s="228"/>
      <c r="X11" s="225"/>
      <c r="Y11" s="228"/>
      <c r="Z11" s="228"/>
      <c r="AA11" s="229">
        <f>VLOOKUP($C11,'A1 y A2-Valores por defecto'!$A$130:$F$136,3,FALSE)</f>
        <v>53.81</v>
      </c>
      <c r="AB11" s="225" t="str">
        <f>VLOOKUP($C11,'A1 y A2-Valores por defecto'!$A$130:$F$136,4,FALSE)</f>
        <v>Kg CH4 / cabeza.año</v>
      </c>
      <c r="AC11" s="228">
        <f t="shared" ref="AC11:AC17" si="5">($S11*$AA11)/1000</f>
        <v>0</v>
      </c>
      <c r="AD11" s="228">
        <f>$AC11*'A1 y A2-Valores por defecto'!$E$80</f>
        <v>0</v>
      </c>
      <c r="AE11" s="229"/>
      <c r="AF11" s="225"/>
      <c r="AG11" s="228"/>
      <c r="AH11" s="228"/>
      <c r="AI11" s="228">
        <f t="shared" si="4"/>
        <v>0</v>
      </c>
      <c r="AJ11" s="218"/>
      <c r="AK11" s="218"/>
      <c r="AL11" s="218"/>
      <c r="AM11" s="218"/>
    </row>
    <row r="12" spans="2:39">
      <c r="B12" s="713"/>
      <c r="C12" s="224" t="s">
        <v>333</v>
      </c>
      <c r="D12" s="225"/>
      <c r="E12" s="225" t="str">
        <f>VLOOKUP($C12,'A1 y A2-Valores por defecto'!$A$130:$F$136,2,FALSE)</f>
        <v>Cabezas</v>
      </c>
      <c r="F12" s="226"/>
      <c r="G12" s="227"/>
      <c r="H12" s="227"/>
      <c r="I12" s="227"/>
      <c r="J12" s="227"/>
      <c r="K12" s="227"/>
      <c r="L12" s="227"/>
      <c r="M12" s="227"/>
      <c r="N12" s="227"/>
      <c r="O12" s="227"/>
      <c r="P12" s="227"/>
      <c r="Q12" s="227"/>
      <c r="R12" s="227"/>
      <c r="S12" s="228">
        <f t="shared" si="0"/>
        <v>0</v>
      </c>
      <c r="T12" s="228">
        <f t="shared" si="1"/>
        <v>0</v>
      </c>
      <c r="U12" s="228">
        <f t="shared" si="2"/>
        <v>0</v>
      </c>
      <c r="V12" s="228">
        <f t="shared" si="3"/>
        <v>0</v>
      </c>
      <c r="W12" s="228"/>
      <c r="X12" s="225"/>
      <c r="Y12" s="228"/>
      <c r="Z12" s="228"/>
      <c r="AA12" s="229">
        <f>VLOOKUP($C12,'A1 y A2-Valores por defecto'!$A$130:$F$136,3,FALSE)</f>
        <v>107.88</v>
      </c>
      <c r="AB12" s="225" t="str">
        <f>VLOOKUP($C12,'A1 y A2-Valores por defecto'!$A$130:$F$136,4,FALSE)</f>
        <v>Kg CH4 / cabeza.año</v>
      </c>
      <c r="AC12" s="228">
        <f t="shared" si="5"/>
        <v>0</v>
      </c>
      <c r="AD12" s="228">
        <f>$AC12*'A1 y A2-Valores por defecto'!$E$80</f>
        <v>0</v>
      </c>
      <c r="AE12" s="229"/>
      <c r="AF12" s="225"/>
      <c r="AG12" s="228"/>
      <c r="AH12" s="228"/>
      <c r="AI12" s="228">
        <f t="shared" si="4"/>
        <v>0</v>
      </c>
      <c r="AJ12" s="218"/>
      <c r="AK12" s="218"/>
      <c r="AL12" s="218"/>
      <c r="AM12" s="218"/>
    </row>
    <row r="13" spans="2:39">
      <c r="B13" s="714"/>
      <c r="C13" s="224" t="s">
        <v>128</v>
      </c>
      <c r="D13" s="225"/>
      <c r="E13" s="225" t="str">
        <f>VLOOKUP($C13,'A1 y A2-Valores por defecto'!$A$130:$F$136,2,FALSE)</f>
        <v>Cabezas</v>
      </c>
      <c r="F13" s="226"/>
      <c r="G13" s="227"/>
      <c r="H13" s="227"/>
      <c r="I13" s="227"/>
      <c r="J13" s="227"/>
      <c r="K13" s="227"/>
      <c r="L13" s="227"/>
      <c r="M13" s="227"/>
      <c r="N13" s="227"/>
      <c r="O13" s="227"/>
      <c r="P13" s="227"/>
      <c r="Q13" s="227"/>
      <c r="R13" s="227"/>
      <c r="S13" s="228">
        <f t="shared" si="0"/>
        <v>0</v>
      </c>
      <c r="T13" s="228">
        <f t="shared" si="1"/>
        <v>0</v>
      </c>
      <c r="U13" s="228">
        <f t="shared" si="2"/>
        <v>0</v>
      </c>
      <c r="V13" s="228">
        <f t="shared" si="3"/>
        <v>0</v>
      </c>
      <c r="W13" s="228"/>
      <c r="X13" s="225"/>
      <c r="Y13" s="228"/>
      <c r="Z13" s="228"/>
      <c r="AA13" s="229">
        <f>VLOOKUP($C13,'A1 y A2-Valores por defecto'!$A$130:$F$136,3,FALSE)</f>
        <v>5</v>
      </c>
      <c r="AB13" s="225" t="str">
        <f>VLOOKUP($C13,'A1 y A2-Valores por defecto'!$A$130:$F$136,4,FALSE)</f>
        <v>Kg CH4 / cabeza.año</v>
      </c>
      <c r="AC13" s="228">
        <f t="shared" si="5"/>
        <v>0</v>
      </c>
      <c r="AD13" s="228">
        <f>$AC13*'A1 y A2-Valores por defecto'!$E$80</f>
        <v>0</v>
      </c>
      <c r="AE13" s="229"/>
      <c r="AF13" s="225"/>
      <c r="AG13" s="228"/>
      <c r="AH13" s="228"/>
      <c r="AI13" s="228">
        <f t="shared" si="4"/>
        <v>0</v>
      </c>
      <c r="AJ13" s="218"/>
      <c r="AK13" s="218"/>
      <c r="AL13" s="218"/>
      <c r="AM13" s="218"/>
    </row>
    <row r="14" spans="2:39">
      <c r="B14" s="712" t="s">
        <v>556</v>
      </c>
      <c r="C14" s="224" t="s">
        <v>138</v>
      </c>
      <c r="D14" s="225"/>
      <c r="E14" s="225" t="str">
        <f>VLOOKUP($C14,'A1 y A2-Valores por defecto'!$A$139:$R$146,2,FALSE)</f>
        <v>Cabezas</v>
      </c>
      <c r="F14" s="226"/>
      <c r="G14" s="227"/>
      <c r="H14" s="227"/>
      <c r="I14" s="227"/>
      <c r="J14" s="227"/>
      <c r="K14" s="227"/>
      <c r="L14" s="227"/>
      <c r="M14" s="227"/>
      <c r="N14" s="227"/>
      <c r="O14" s="227"/>
      <c r="P14" s="227"/>
      <c r="Q14" s="227"/>
      <c r="R14" s="227"/>
      <c r="S14" s="228">
        <f t="shared" si="0"/>
        <v>0</v>
      </c>
      <c r="T14" s="228">
        <f t="shared" si="1"/>
        <v>0</v>
      </c>
      <c r="U14" s="228">
        <f t="shared" si="2"/>
        <v>0</v>
      </c>
      <c r="V14" s="228">
        <f t="shared" si="3"/>
        <v>0</v>
      </c>
      <c r="W14" s="228"/>
      <c r="X14" s="225"/>
      <c r="Y14" s="228"/>
      <c r="Z14" s="228"/>
      <c r="AA14" s="229">
        <f>VLOOKUP($C14,'A1 y A2-Valores por defecto'!$A$139:$R$146,3,FALSE)</f>
        <v>0.02</v>
      </c>
      <c r="AB14" s="225" t="str">
        <f>VLOOKUP($C14,'A1 y A2-Valores por defecto'!$A$139:$R$146,4,FALSE)</f>
        <v>kg CH4 / cabeza.año</v>
      </c>
      <c r="AC14" s="228">
        <f t="shared" si="5"/>
        <v>0</v>
      </c>
      <c r="AD14" s="228">
        <f>$AC14*'A1 y A2-Valores por defecto'!$E$80</f>
        <v>0</v>
      </c>
      <c r="AE14" s="229">
        <f>VLOOKUP($C14,'A1 y A2-Valores por defecto'!$A$139:$R$146,16,FALSE)</f>
        <v>1.272857142857143E-4</v>
      </c>
      <c r="AF14" s="228" t="str">
        <f>VLOOKUP($C14,'A1 y A2-Valores por defecto'!$A$139:$R$146,17,FALSE)</f>
        <v>kg N2O / cabeza.año</v>
      </c>
      <c r="AG14" s="228">
        <f>($S14*$AE14)/1000</f>
        <v>0</v>
      </c>
      <c r="AH14" s="228">
        <f>AG14*'A1 y A2-Valores por defecto'!$E$81</f>
        <v>0</v>
      </c>
      <c r="AI14" s="228">
        <f t="shared" si="4"/>
        <v>0</v>
      </c>
      <c r="AJ14" s="218"/>
      <c r="AK14" s="218"/>
      <c r="AL14" s="218"/>
      <c r="AM14" s="218"/>
    </row>
    <row r="15" spans="2:39">
      <c r="B15" s="713"/>
      <c r="C15" s="224" t="s">
        <v>128</v>
      </c>
      <c r="D15" s="225"/>
      <c r="E15" s="225" t="str">
        <f>VLOOKUP($C15,'A1 y A2-Valores por defecto'!$A$139:$R$146,2,FALSE)</f>
        <v>Cabezas</v>
      </c>
      <c r="F15" s="226"/>
      <c r="G15" s="227"/>
      <c r="H15" s="227"/>
      <c r="I15" s="227"/>
      <c r="J15" s="227"/>
      <c r="K15" s="227"/>
      <c r="L15" s="227"/>
      <c r="M15" s="227"/>
      <c r="N15" s="227"/>
      <c r="O15" s="227"/>
      <c r="P15" s="227"/>
      <c r="Q15" s="227"/>
      <c r="R15" s="227"/>
      <c r="S15" s="228">
        <f t="shared" si="0"/>
        <v>0</v>
      </c>
      <c r="T15" s="228">
        <f t="shared" si="1"/>
        <v>0</v>
      </c>
      <c r="U15" s="228">
        <f t="shared" si="2"/>
        <v>0</v>
      </c>
      <c r="V15" s="228">
        <f t="shared" si="3"/>
        <v>0</v>
      </c>
      <c r="W15" s="228"/>
      <c r="X15" s="225"/>
      <c r="Y15" s="228"/>
      <c r="Z15" s="228"/>
      <c r="AA15" s="229">
        <f>VLOOKUP($C15,'A1 y A2-Valores por defecto'!$A$139:$R$146,3,FALSE)</f>
        <v>0.17</v>
      </c>
      <c r="AB15" s="225" t="str">
        <f>VLOOKUP($C15,'A1 y A2-Valores por defecto'!$A$139:$R$146,4,FALSE)</f>
        <v>kg CH4 / cabeza.año</v>
      </c>
      <c r="AC15" s="228">
        <f t="shared" si="5"/>
        <v>0</v>
      </c>
      <c r="AD15" s="228">
        <f>$AC15*'A1 y A2-Valores por defecto'!$E$80</f>
        <v>0</v>
      </c>
      <c r="AE15" s="229">
        <f>VLOOKUP($C15,'A1 y A2-Valores por defecto'!$A$139:$R$146,16,FALSE)</f>
        <v>2.357142857142857E-2</v>
      </c>
      <c r="AF15" s="228" t="str">
        <f>VLOOKUP($C15,'A1 y A2-Valores por defecto'!$A$139:$R$146,17,FALSE)</f>
        <v>kg N2O / cabeza.año</v>
      </c>
      <c r="AG15" s="228">
        <f>($S15*$AE15)/1000</f>
        <v>0</v>
      </c>
      <c r="AH15" s="228">
        <f>AG15*'A1 y A2-Valores por defecto'!$E$81</f>
        <v>0</v>
      </c>
      <c r="AI15" s="228">
        <f t="shared" si="4"/>
        <v>0</v>
      </c>
      <c r="AJ15" s="218"/>
      <c r="AK15" s="218"/>
      <c r="AL15" s="218"/>
      <c r="AM15" s="218"/>
    </row>
    <row r="16" spans="2:39">
      <c r="B16" s="714"/>
      <c r="C16" s="224" t="s">
        <v>334</v>
      </c>
      <c r="D16" s="225"/>
      <c r="E16" s="225" t="str">
        <f>VLOOKUP($C16,'A1 y A2-Valores por defecto'!$A$139:$R$146,2,FALSE)</f>
        <v>Cabezas</v>
      </c>
      <c r="F16" s="226"/>
      <c r="G16" s="227"/>
      <c r="H16" s="227"/>
      <c r="I16" s="227"/>
      <c r="J16" s="227"/>
      <c r="K16" s="227"/>
      <c r="L16" s="227"/>
      <c r="M16" s="227"/>
      <c r="N16" s="227"/>
      <c r="O16" s="227"/>
      <c r="P16" s="227"/>
      <c r="Q16" s="227"/>
      <c r="R16" s="227"/>
      <c r="S16" s="228">
        <f t="shared" si="0"/>
        <v>0</v>
      </c>
      <c r="T16" s="228">
        <f t="shared" si="1"/>
        <v>0</v>
      </c>
      <c r="U16" s="228">
        <f t="shared" si="2"/>
        <v>0</v>
      </c>
      <c r="V16" s="228">
        <f t="shared" si="3"/>
        <v>0</v>
      </c>
      <c r="W16" s="228"/>
      <c r="X16" s="225"/>
      <c r="Y16" s="228"/>
      <c r="Z16" s="228"/>
      <c r="AA16" s="229">
        <f>VLOOKUP($C16,'A1 y A2-Valores por defecto'!$A$139:$R$146,3,FALSE)</f>
        <v>1.05</v>
      </c>
      <c r="AB16" s="225" t="str">
        <f>VLOOKUP($C16,'A1 y A2-Valores por defecto'!$A$139:$R$146,4,FALSE)</f>
        <v>kg CH4 / cabeza.año</v>
      </c>
      <c r="AC16" s="228">
        <f t="shared" si="5"/>
        <v>0</v>
      </c>
      <c r="AD16" s="228">
        <f>$AC16*'A1 y A2-Valores por defecto'!$E$80</f>
        <v>0</v>
      </c>
      <c r="AE16" s="229">
        <f>VLOOKUP($C16,'A1 y A2-Valores por defecto'!$A$139:$R$146,16,FALSE)</f>
        <v>9.2576000000000006E-2</v>
      </c>
      <c r="AF16" s="228" t="str">
        <f>VLOOKUP($C16,'A1 y A2-Valores por defecto'!$A$139:$R$146,17,FALSE)</f>
        <v>kg N2O / cabeza.año</v>
      </c>
      <c r="AG16" s="228">
        <f>($S16*$AE16)/1000</f>
        <v>0</v>
      </c>
      <c r="AH16" s="228">
        <f>AG16*'A1 y A2-Valores por defecto'!$E$81</f>
        <v>0</v>
      </c>
      <c r="AI16" s="228">
        <f t="shared" si="4"/>
        <v>0</v>
      </c>
      <c r="AJ16" s="218"/>
      <c r="AK16" s="218"/>
      <c r="AL16" s="218"/>
      <c r="AM16" s="218"/>
    </row>
    <row r="17" spans="2:39">
      <c r="B17" s="240" t="s">
        <v>57</v>
      </c>
      <c r="C17" s="224" t="s">
        <v>140</v>
      </c>
      <c r="D17" s="225"/>
      <c r="E17" s="225" t="str">
        <f>VLOOKUP($C17,'A1 y A2-Valores por defecto'!$A$149:$H$149,2,FALSE)</f>
        <v>Ha.día</v>
      </c>
      <c r="F17" s="226"/>
      <c r="G17" s="227"/>
      <c r="H17" s="227"/>
      <c r="I17" s="227"/>
      <c r="J17" s="227"/>
      <c r="K17" s="227"/>
      <c r="L17" s="227"/>
      <c r="M17" s="227"/>
      <c r="N17" s="227"/>
      <c r="O17" s="227"/>
      <c r="P17" s="227"/>
      <c r="Q17" s="227"/>
      <c r="R17" s="227"/>
      <c r="S17" s="228">
        <f t="shared" si="0"/>
        <v>0</v>
      </c>
      <c r="T17" s="228">
        <f t="shared" si="1"/>
        <v>0</v>
      </c>
      <c r="U17" s="228">
        <f t="shared" si="2"/>
        <v>0</v>
      </c>
      <c r="V17" s="228">
        <f t="shared" si="3"/>
        <v>0</v>
      </c>
      <c r="W17" s="228"/>
      <c r="X17" s="225"/>
      <c r="Y17" s="228"/>
      <c r="Z17" s="228"/>
      <c r="AA17" s="229">
        <f>VLOOKUP($C17,'A1 y A2-Valores por defecto'!$A$149:$H$149,8,FALSE)</f>
        <v>0</v>
      </c>
      <c r="AB17" s="225" t="str">
        <f>VLOOKUP($C17,'A1 y A2-Valores por defecto'!$A$149:$H$149,4,FALSE)</f>
        <v>Kg CH4 / Ha.día</v>
      </c>
      <c r="AC17" s="228">
        <f t="shared" si="5"/>
        <v>0</v>
      </c>
      <c r="AD17" s="228">
        <f>$AC17*'A1 y A2-Valores por defecto'!$E$80</f>
        <v>0</v>
      </c>
      <c r="AE17" s="228"/>
      <c r="AF17" s="225"/>
      <c r="AG17" s="228"/>
      <c r="AH17" s="228"/>
      <c r="AI17" s="228">
        <f t="shared" si="4"/>
        <v>0</v>
      </c>
      <c r="AJ17" s="218"/>
      <c r="AK17" s="218"/>
      <c r="AL17" s="218"/>
      <c r="AM17" s="218"/>
    </row>
    <row r="18" spans="2:39">
      <c r="B18" s="240" t="s">
        <v>58</v>
      </c>
      <c r="C18" s="224" t="s">
        <v>342</v>
      </c>
      <c r="D18" s="225"/>
      <c r="E18" s="225" t="str">
        <f>VLOOKUP($C18,'A1 y A2-Valores por defecto'!$A$152:$F$153,2,FALSE)</f>
        <v>ton</v>
      </c>
      <c r="F18" s="226"/>
      <c r="G18" s="227"/>
      <c r="H18" s="227"/>
      <c r="I18" s="227"/>
      <c r="J18" s="227"/>
      <c r="K18" s="227"/>
      <c r="L18" s="227"/>
      <c r="M18" s="227"/>
      <c r="N18" s="227"/>
      <c r="O18" s="227"/>
      <c r="P18" s="227"/>
      <c r="Q18" s="227"/>
      <c r="R18" s="227"/>
      <c r="S18" s="228">
        <f t="shared" si="0"/>
        <v>0</v>
      </c>
      <c r="T18" s="228">
        <f t="shared" si="1"/>
        <v>0</v>
      </c>
      <c r="U18" s="228">
        <f t="shared" si="2"/>
        <v>0</v>
      </c>
      <c r="V18" s="228">
        <f t="shared" si="3"/>
        <v>0</v>
      </c>
      <c r="W18" s="229">
        <f>VLOOKUP($C18,'A1 y A2-Valores por defecto'!$A$152:$F$153,3,FALSE)</f>
        <v>0.12</v>
      </c>
      <c r="X18" s="228" t="str">
        <f>VLOOKUP($C18,'A1 y A2-Valores por defecto'!$A$152:$F$153,4,FALSE)</f>
        <v>ton C / ton caliza</v>
      </c>
      <c r="Y18" s="228">
        <f>$S18*$W18</f>
        <v>0</v>
      </c>
      <c r="Z18" s="228">
        <f>$Y18/1000</f>
        <v>0</v>
      </c>
      <c r="AA18" s="228"/>
      <c r="AB18" s="225"/>
      <c r="AC18" s="228"/>
      <c r="AD18" s="228"/>
      <c r="AE18" s="228"/>
      <c r="AF18" s="225"/>
      <c r="AG18" s="228"/>
      <c r="AH18" s="228"/>
      <c r="AI18" s="228">
        <f t="shared" si="4"/>
        <v>0</v>
      </c>
      <c r="AJ18" s="218"/>
      <c r="AK18" s="218"/>
      <c r="AL18" s="218"/>
      <c r="AM18" s="218"/>
    </row>
    <row r="19" spans="2:39">
      <c r="B19" s="240" t="s">
        <v>60</v>
      </c>
      <c r="C19" s="224" t="s">
        <v>60</v>
      </c>
      <c r="D19" s="225"/>
      <c r="E19" s="225" t="str">
        <f>VLOOKUP($C19,'A1 y A2-Valores por defecto'!$A$156:$F$156,2,FALSE)</f>
        <v>ton</v>
      </c>
      <c r="F19" s="226"/>
      <c r="G19" s="227"/>
      <c r="H19" s="227"/>
      <c r="I19" s="227"/>
      <c r="J19" s="227"/>
      <c r="K19" s="227"/>
      <c r="L19" s="227"/>
      <c r="M19" s="227"/>
      <c r="N19" s="227"/>
      <c r="O19" s="227"/>
      <c r="P19" s="227"/>
      <c r="Q19" s="227"/>
      <c r="R19" s="227"/>
      <c r="S19" s="228">
        <f t="shared" si="0"/>
        <v>0</v>
      </c>
      <c r="T19" s="228">
        <f t="shared" si="1"/>
        <v>0</v>
      </c>
      <c r="U19" s="228">
        <f t="shared" si="2"/>
        <v>0</v>
      </c>
      <c r="V19" s="228">
        <f t="shared" si="3"/>
        <v>0</v>
      </c>
      <c r="W19" s="229">
        <f>VLOOKUP($C19,'A1 y A2-Valores por defecto'!$A$156:$F$156,3,FALSE)</f>
        <v>0.2</v>
      </c>
      <c r="X19" s="225" t="str">
        <f>VLOOKUP($C19,'A1 y A2-Valores por defecto'!$A$156:$F$156,4,FALSE)</f>
        <v>ton C / ton urea</v>
      </c>
      <c r="Y19" s="228">
        <f>$S19*$W19</f>
        <v>0</v>
      </c>
      <c r="Z19" s="228">
        <f>$Y19/1000</f>
        <v>0</v>
      </c>
      <c r="AA19" s="228"/>
      <c r="AB19" s="225"/>
      <c r="AC19" s="228"/>
      <c r="AD19" s="228"/>
      <c r="AE19" s="228"/>
      <c r="AF19" s="225"/>
      <c r="AG19" s="228"/>
      <c r="AH19" s="228"/>
      <c r="AI19" s="228">
        <f t="shared" si="4"/>
        <v>0</v>
      </c>
      <c r="AJ19" s="218"/>
      <c r="AK19" s="218"/>
      <c r="AL19" s="218"/>
      <c r="AM19" s="218"/>
    </row>
    <row r="20" spans="2:39" ht="30">
      <c r="B20" s="209" t="s">
        <v>283</v>
      </c>
      <c r="C20" s="234"/>
      <c r="D20" s="234"/>
      <c r="E20" s="232"/>
      <c r="F20" s="232"/>
      <c r="G20" s="234"/>
      <c r="H20" s="234"/>
      <c r="I20" s="234"/>
      <c r="J20" s="234"/>
      <c r="K20" s="234"/>
      <c r="L20" s="234"/>
      <c r="M20" s="234"/>
      <c r="N20" s="234"/>
      <c r="O20" s="234"/>
      <c r="P20" s="234"/>
      <c r="Q20" s="234"/>
      <c r="R20" s="234"/>
      <c r="S20" s="232"/>
      <c r="T20" s="232"/>
      <c r="U20" s="232"/>
      <c r="V20" s="232"/>
      <c r="W20" s="232"/>
      <c r="X20" s="232"/>
      <c r="Y20" s="232"/>
      <c r="Z20" s="235">
        <f>SUM(Z8:Z19)</f>
        <v>0</v>
      </c>
      <c r="AA20" s="232"/>
      <c r="AB20" s="232"/>
      <c r="AC20" s="232"/>
      <c r="AD20" s="235">
        <f>SUM(AD8:AD19)</f>
        <v>0</v>
      </c>
      <c r="AE20" s="235"/>
      <c r="AF20" s="232"/>
      <c r="AG20" s="232"/>
      <c r="AH20" s="235">
        <f>SUM(AH8:AH19)</f>
        <v>0</v>
      </c>
      <c r="AI20" s="233">
        <f>SUM(AI8:AI19)</f>
        <v>0</v>
      </c>
    </row>
    <row r="21" spans="2:39" ht="30" customHeight="1"/>
  </sheetData>
  <sheetProtection insertRows="0"/>
  <mergeCells count="18">
    <mergeCell ref="B8:B10"/>
    <mergeCell ref="B11:B13"/>
    <mergeCell ref="B14:B16"/>
    <mergeCell ref="AA7:AB7"/>
    <mergeCell ref="AE7:AF7"/>
    <mergeCell ref="C6:D7"/>
    <mergeCell ref="F6:F7"/>
    <mergeCell ref="B1:AI1"/>
    <mergeCell ref="AI6:AI7"/>
    <mergeCell ref="B4:AI4"/>
    <mergeCell ref="B6:B7"/>
    <mergeCell ref="E6:E7"/>
    <mergeCell ref="G6:T6"/>
    <mergeCell ref="U6:V6"/>
    <mergeCell ref="W6:Z6"/>
    <mergeCell ref="AA6:AD6"/>
    <mergeCell ref="AE6:AH6"/>
    <mergeCell ref="W7:X7"/>
  </mergeCell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6">
        <x14:dataValidation type="list" allowBlank="1" showErrorMessage="1" xr:uid="{64280856-38E3-4D78-99CE-C064DB9CDD23}">
          <x14:formula1>
            <xm:f>'A1 y A2-Valores por defecto'!$A$156</xm:f>
          </x14:formula1>
          <xm:sqref>C19</xm:sqref>
        </x14:dataValidation>
        <x14:dataValidation type="list" allowBlank="1" showErrorMessage="1" xr:uid="{74C7B589-091E-409C-B16A-0A38D4982A9E}">
          <x14:formula1>
            <xm:f>'A1 y A2-Valores por defecto'!$A$152:$A$153</xm:f>
          </x14:formula1>
          <xm:sqref>C18</xm:sqref>
        </x14:dataValidation>
        <x14:dataValidation type="list" allowBlank="1" showErrorMessage="1" xr:uid="{3AD04AFB-88F3-41AB-8FB6-B1A59E8F96E2}">
          <x14:formula1>
            <xm:f>'A1 y A2-Valores por defecto'!$A$113:$A$127</xm:f>
          </x14:formula1>
          <xm:sqref>C8:C10</xm:sqref>
        </x14:dataValidation>
        <x14:dataValidation type="list" allowBlank="1" showErrorMessage="1" xr:uid="{5F2F96A3-C5F5-4E62-B0C2-39B0A50E1647}">
          <x14:formula1>
            <xm:f>'A1 y A2-Valores por defecto'!$A$130:$A$136</xm:f>
          </x14:formula1>
          <xm:sqref>C11:C13</xm:sqref>
        </x14:dataValidation>
        <x14:dataValidation type="list" allowBlank="1" showErrorMessage="1" xr:uid="{85DFD3BA-E695-49BA-84B6-942201785384}">
          <x14:formula1>
            <xm:f>'A1 y A2-Valores por defecto'!$A$139:$A$146</xm:f>
          </x14:formula1>
          <xm:sqref>C14:C16</xm:sqref>
        </x14:dataValidation>
        <x14:dataValidation type="list" allowBlank="1" showErrorMessage="1" xr:uid="{34148608-D047-4853-B7DC-AE0B69DD551E}">
          <x14:formula1>
            <xm:f>'A1 y A2-Valores por defecto'!$A$149:$A$149</xm:f>
          </x14:formula1>
          <xm:sqref>C17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D409-9981-40EC-9C25-FC0B67152DB4}">
  <sheetPr>
    <tabColor theme="8" tint="-0.499984740745262"/>
  </sheetPr>
  <dimension ref="B1:AC19"/>
  <sheetViews>
    <sheetView showGridLines="0" zoomScale="84" zoomScaleNormal="84" workbookViewId="0">
      <pane xSplit="2" ySplit="1" topLeftCell="K4" activePane="bottomRight" state="frozen"/>
      <selection pane="topRight" activeCell="C1" sqref="C1"/>
      <selection pane="bottomLeft" activeCell="A2" sqref="A2"/>
      <selection pane="bottomRight" activeCell="K26" sqref="K26"/>
    </sheetView>
  </sheetViews>
  <sheetFormatPr baseColWidth="10" defaultColWidth="14.44140625" defaultRowHeight="15.6"/>
  <cols>
    <col min="1" max="1" width="9.88671875" style="192" customWidth="1"/>
    <col min="2" max="2" width="35" style="192" customWidth="1"/>
    <col min="3" max="3" width="23.44140625" style="192" customWidth="1"/>
    <col min="4" max="4" width="8.6640625" style="192" customWidth="1"/>
    <col min="5" max="5" width="24.5546875" style="192" customWidth="1"/>
    <col min="6" max="6" width="10.109375" style="192" customWidth="1"/>
    <col min="7" max="9" width="9.5546875" style="192" customWidth="1"/>
    <col min="10" max="10" width="10.109375" style="192" customWidth="1"/>
    <col min="11" max="11" width="9.5546875" style="192" customWidth="1"/>
    <col min="12" max="12" width="9.33203125" style="192" customWidth="1"/>
    <col min="13" max="13" width="9.88671875" style="192" customWidth="1"/>
    <col min="14" max="14" width="10.6640625" style="192" customWidth="1"/>
    <col min="15" max="15" width="9.33203125" style="192" customWidth="1"/>
    <col min="16" max="16" width="10.44140625" style="192" customWidth="1"/>
    <col min="17" max="17" width="10.109375" style="192" customWidth="1"/>
    <col min="18" max="18" width="14" style="192" customWidth="1"/>
    <col min="19" max="19" width="12.44140625" style="192" customWidth="1"/>
    <col min="20" max="20" width="10.6640625" style="192" hidden="1" customWidth="1"/>
    <col min="21" max="21" width="16.33203125" style="192" hidden="1" customWidth="1"/>
    <col min="22" max="24" width="13.33203125" style="192" customWidth="1"/>
    <col min="25" max="25" width="17" style="192" customWidth="1"/>
    <col min="26" max="29" width="13.33203125" style="192" customWidth="1"/>
    <col min="30" max="16384" width="14.44140625" style="192"/>
  </cols>
  <sheetData>
    <row r="1" spans="2:29"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191"/>
      <c r="AA1" s="191"/>
      <c r="AB1" s="191"/>
      <c r="AC1" s="191"/>
    </row>
    <row r="2" spans="2:29" ht="37.5" customHeight="1">
      <c r="B2" s="220" t="s">
        <v>8</v>
      </c>
      <c r="C2" s="221"/>
      <c r="D2" s="221"/>
      <c r="E2" s="221"/>
      <c r="F2" s="221"/>
      <c r="G2" s="221"/>
      <c r="H2" s="221"/>
      <c r="I2" s="221"/>
      <c r="J2" s="221"/>
      <c r="K2" s="221"/>
      <c r="L2" s="221"/>
      <c r="M2" s="221"/>
      <c r="N2" s="221"/>
      <c r="O2" s="221"/>
      <c r="P2" s="221"/>
      <c r="Q2" s="221"/>
      <c r="R2" s="221"/>
      <c r="S2" s="221"/>
      <c r="T2" s="221"/>
      <c r="U2" s="221"/>
      <c r="V2" s="221"/>
      <c r="W2" s="221"/>
      <c r="X2" s="221"/>
      <c r="Y2" s="221"/>
      <c r="Z2" s="191"/>
      <c r="AA2" s="191"/>
      <c r="AB2" s="191"/>
      <c r="AC2" s="191"/>
    </row>
    <row r="3" spans="2:29" ht="30" customHeight="1">
      <c r="B3" s="222"/>
      <c r="C3" s="223"/>
      <c r="D3" s="223"/>
      <c r="E3" s="223"/>
      <c r="F3" s="223"/>
      <c r="G3" s="223"/>
      <c r="H3" s="223"/>
      <c r="I3" s="223"/>
      <c r="J3" s="223"/>
      <c r="K3" s="223"/>
      <c r="L3" s="223"/>
      <c r="M3" s="223"/>
      <c r="N3" s="223"/>
      <c r="O3" s="223"/>
      <c r="P3" s="223"/>
      <c r="Q3" s="223"/>
      <c r="R3" s="223"/>
      <c r="S3" s="223"/>
      <c r="T3" s="223"/>
      <c r="U3" s="223"/>
      <c r="V3" s="223"/>
      <c r="W3" s="223"/>
      <c r="X3" s="223"/>
      <c r="Y3" s="223"/>
      <c r="Z3" s="191"/>
      <c r="AA3" s="191"/>
      <c r="AB3" s="191"/>
      <c r="AC3" s="191"/>
    </row>
    <row r="4" spans="2:29" ht="39" customHeight="1">
      <c r="B4" s="697" t="s">
        <v>61</v>
      </c>
      <c r="C4" s="697"/>
      <c r="D4" s="697"/>
      <c r="E4" s="697"/>
      <c r="F4" s="697"/>
      <c r="G4" s="697"/>
      <c r="H4" s="697"/>
      <c r="I4" s="697"/>
      <c r="J4" s="697"/>
      <c r="K4" s="697"/>
      <c r="L4" s="697"/>
      <c r="M4" s="697"/>
      <c r="N4" s="697"/>
      <c r="O4" s="697"/>
      <c r="P4" s="697"/>
      <c r="Q4" s="697"/>
      <c r="R4" s="697"/>
      <c r="S4" s="697"/>
      <c r="T4" s="697"/>
      <c r="U4" s="697"/>
      <c r="V4" s="697"/>
      <c r="W4" s="697"/>
      <c r="X4" s="697"/>
      <c r="Y4" s="697"/>
    </row>
    <row r="5" spans="2:29" ht="12.75" customHeight="1">
      <c r="B5" s="197"/>
      <c r="C5" s="198"/>
      <c r="D5" s="198"/>
      <c r="E5" s="198"/>
      <c r="F5" s="198"/>
      <c r="G5" s="198"/>
      <c r="H5" s="198"/>
      <c r="I5" s="198"/>
      <c r="J5" s="198"/>
      <c r="K5" s="198"/>
      <c r="L5" s="198"/>
      <c r="M5" s="198"/>
      <c r="N5" s="198"/>
      <c r="O5" s="198"/>
      <c r="P5" s="198"/>
      <c r="Q5" s="198"/>
      <c r="R5" s="198"/>
      <c r="S5" s="198"/>
      <c r="T5" s="198"/>
      <c r="U5" s="198"/>
      <c r="V5" s="198"/>
      <c r="W5" s="198"/>
      <c r="X5" s="198"/>
      <c r="Y5" s="198"/>
    </row>
    <row r="6" spans="2:29">
      <c r="B6" s="698" t="s">
        <v>10</v>
      </c>
      <c r="C6" s="698" t="s">
        <v>11</v>
      </c>
      <c r="D6" s="698" t="s">
        <v>44</v>
      </c>
      <c r="E6" s="693" t="s">
        <v>661</v>
      </c>
      <c r="F6" s="698" t="s">
        <v>13</v>
      </c>
      <c r="G6" s="715"/>
      <c r="H6" s="715"/>
      <c r="I6" s="715"/>
      <c r="J6" s="715"/>
      <c r="K6" s="715"/>
      <c r="L6" s="715"/>
      <c r="M6" s="715"/>
      <c r="N6" s="715"/>
      <c r="O6" s="715"/>
      <c r="P6" s="715"/>
      <c r="Q6" s="715"/>
      <c r="R6" s="715"/>
      <c r="S6" s="715"/>
      <c r="T6" s="698" t="s">
        <v>14</v>
      </c>
      <c r="U6" s="715"/>
      <c r="V6" s="698" t="s">
        <v>15</v>
      </c>
      <c r="W6" s="715"/>
      <c r="X6" s="715"/>
      <c r="Y6" s="698" t="s">
        <v>17</v>
      </c>
    </row>
    <row r="7" spans="2:29" ht="67.5" customHeight="1">
      <c r="B7" s="715"/>
      <c r="C7" s="715"/>
      <c r="D7" s="715"/>
      <c r="E7" s="694"/>
      <c r="F7" s="200" t="s">
        <v>18</v>
      </c>
      <c r="G7" s="200" t="s">
        <v>19</v>
      </c>
      <c r="H7" s="200" t="s">
        <v>20</v>
      </c>
      <c r="I7" s="200" t="s">
        <v>21</v>
      </c>
      <c r="J7" s="200" t="s">
        <v>22</v>
      </c>
      <c r="K7" s="200" t="s">
        <v>23</v>
      </c>
      <c r="L7" s="200" t="s">
        <v>24</v>
      </c>
      <c r="M7" s="200" t="s">
        <v>25</v>
      </c>
      <c r="N7" s="200" t="s">
        <v>26</v>
      </c>
      <c r="O7" s="200" t="s">
        <v>27</v>
      </c>
      <c r="P7" s="200" t="s">
        <v>28</v>
      </c>
      <c r="Q7" s="200" t="s">
        <v>29</v>
      </c>
      <c r="R7" s="201" t="s">
        <v>30</v>
      </c>
      <c r="S7" s="200" t="s">
        <v>31</v>
      </c>
      <c r="T7" s="200" t="s">
        <v>32</v>
      </c>
      <c r="U7" s="200" t="s">
        <v>47</v>
      </c>
      <c r="V7" s="699" t="s">
        <v>37</v>
      </c>
      <c r="W7" s="715"/>
      <c r="X7" s="200" t="s">
        <v>38</v>
      </c>
      <c r="Y7" s="715"/>
    </row>
    <row r="8" spans="2:29" ht="15" customHeight="1">
      <c r="B8" s="690" t="s">
        <v>563</v>
      </c>
      <c r="C8" s="224" t="s">
        <v>370</v>
      </c>
      <c r="D8" s="228" t="str">
        <f>VLOOKUP($C8,'A1 y A2-Valores por defecto'!$A$84:$P$99,2,FALSE)</f>
        <v>kg</v>
      </c>
      <c r="E8" s="241"/>
      <c r="F8" s="227"/>
      <c r="G8" s="227"/>
      <c r="H8" s="227"/>
      <c r="I8" s="227"/>
      <c r="J8" s="227"/>
      <c r="K8" s="227"/>
      <c r="L8" s="227"/>
      <c r="M8" s="227"/>
      <c r="N8" s="227"/>
      <c r="O8" s="227"/>
      <c r="P8" s="227"/>
      <c r="Q8" s="227"/>
      <c r="R8" s="228">
        <f t="shared" ref="R8:R18" si="0">SUM(F8:Q8)</f>
        <v>0</v>
      </c>
      <c r="S8" s="228">
        <f t="shared" ref="S8:S19" si="1">COUNT(F8:Q8)</f>
        <v>0</v>
      </c>
      <c r="T8" s="228">
        <f>IF(S8&gt;1,AVERAGE(F8:Q8),0)</f>
        <v>0</v>
      </c>
      <c r="U8" s="228">
        <f>IF(S8&gt;1,STDEV(F8:Q8),0)</f>
        <v>0</v>
      </c>
      <c r="V8" s="228">
        <f>VLOOKUP($C8,'A1 y A2-Valores por defecto'!$A$84:$P$99,15,FALSE)</f>
        <v>14</v>
      </c>
      <c r="W8" s="228" t="str">
        <f>VLOOKUP($C8,'A1 y A2-Valores por defecto'!$A$84:$P$99,16,FALSE)</f>
        <v>kgCO2 eq/kg</v>
      </c>
      <c r="X8" s="228">
        <f>($R8*$V8)/1000</f>
        <v>0</v>
      </c>
      <c r="Y8" s="228">
        <f>X8</f>
        <v>0</v>
      </c>
    </row>
    <row r="9" spans="2:29">
      <c r="B9" s="691"/>
      <c r="C9" s="224" t="s">
        <v>374</v>
      </c>
      <c r="D9" s="228" t="str">
        <f>VLOOKUP($C9,'A1 y A2-Valores por defecto'!$A$84:$P$99,2,FALSE)</f>
        <v>kg</v>
      </c>
      <c r="E9" s="241"/>
      <c r="F9" s="227"/>
      <c r="G9" s="227"/>
      <c r="H9" s="227"/>
      <c r="I9" s="227"/>
      <c r="J9" s="227"/>
      <c r="K9" s="227"/>
      <c r="L9" s="227"/>
      <c r="M9" s="227"/>
      <c r="N9" s="227"/>
      <c r="O9" s="227"/>
      <c r="P9" s="227"/>
      <c r="Q9" s="227"/>
      <c r="R9" s="228">
        <f t="shared" si="0"/>
        <v>0</v>
      </c>
      <c r="S9" s="228">
        <f t="shared" si="1"/>
        <v>0</v>
      </c>
      <c r="T9" s="228">
        <f>IF(S9&gt;1,AVERAGE(F9:Q9),0)</f>
        <v>0</v>
      </c>
      <c r="U9" s="228">
        <f>IF(S9&gt;1,STDEV(F9:Q9),0)</f>
        <v>0</v>
      </c>
      <c r="V9" s="228">
        <f>VLOOKUP($C9,'A1 y A2-Valores por defecto'!$A$84:$P$99,15,FALSE)</f>
        <v>1620</v>
      </c>
      <c r="W9" s="228" t="str">
        <f>VLOOKUP($C9,'A1 y A2-Valores por defecto'!$A$84:$P$99,16,FALSE)</f>
        <v>kgCO2 eq/kg</v>
      </c>
      <c r="X9" s="228">
        <f>($R9*$V9)/1000</f>
        <v>0</v>
      </c>
      <c r="Y9" s="228">
        <f t="shared" ref="Y9:Y18" si="2">X9</f>
        <v>0</v>
      </c>
    </row>
    <row r="10" spans="2:29">
      <c r="B10" s="692"/>
      <c r="C10" s="224" t="s">
        <v>380</v>
      </c>
      <c r="D10" s="228" t="str">
        <f>VLOOKUP($C10,'A1 y A2-Valores por defecto'!$A$84:$P$99,2,FALSE)</f>
        <v>kg</v>
      </c>
      <c r="E10" s="241"/>
      <c r="F10" s="227"/>
      <c r="G10" s="227"/>
      <c r="H10" s="227"/>
      <c r="I10" s="227"/>
      <c r="J10" s="227"/>
      <c r="K10" s="227"/>
      <c r="L10" s="227"/>
      <c r="M10" s="227"/>
      <c r="N10" s="227"/>
      <c r="O10" s="227"/>
      <c r="P10" s="227"/>
      <c r="Q10" s="227"/>
      <c r="R10" s="228">
        <f t="shared" si="0"/>
        <v>0</v>
      </c>
      <c r="S10" s="228">
        <f t="shared" si="1"/>
        <v>0</v>
      </c>
      <c r="T10" s="228">
        <f t="shared" ref="T10:T18" si="3">IF(S10&gt;1,AVERAGE(F10:Q10),0)</f>
        <v>0</v>
      </c>
      <c r="U10" s="228">
        <f>IF(S10&gt;1,STDEV(F10:Q10),0)</f>
        <v>0</v>
      </c>
      <c r="V10" s="228">
        <f>VLOOKUP($C10,'A1 y A2-Valores por defecto'!$A$84:$P$99,15,FALSE)</f>
        <v>1170</v>
      </c>
      <c r="W10" s="228" t="str">
        <f>VLOOKUP($C10,'A1 y A2-Valores por defecto'!$A$84:$P$99,16,FALSE)</f>
        <v>kgCO2 eq/kg</v>
      </c>
      <c r="X10" s="228">
        <f>($R10*$V10)/1000</f>
        <v>0</v>
      </c>
      <c r="Y10" s="228">
        <f t="shared" si="2"/>
        <v>0</v>
      </c>
    </row>
    <row r="11" spans="2:29">
      <c r="B11" s="690" t="s">
        <v>564</v>
      </c>
      <c r="C11" s="242" t="s">
        <v>379</v>
      </c>
      <c r="D11" s="228" t="str">
        <f>VLOOKUP($C11,'A1 y A2-Valores por defecto'!$A$84:$P$99,2,FALSE)</f>
        <v>kg</v>
      </c>
      <c r="E11" s="241"/>
      <c r="F11" s="227"/>
      <c r="G11" s="227"/>
      <c r="H11" s="227"/>
      <c r="I11" s="227"/>
      <c r="J11" s="227"/>
      <c r="K11" s="227"/>
      <c r="L11" s="227"/>
      <c r="M11" s="227"/>
      <c r="N11" s="227"/>
      <c r="O11" s="227"/>
      <c r="P11" s="227"/>
      <c r="Q11" s="227"/>
      <c r="R11" s="228">
        <f t="shared" si="0"/>
        <v>0</v>
      </c>
      <c r="S11" s="228">
        <f t="shared" si="1"/>
        <v>0</v>
      </c>
      <c r="T11" s="228">
        <f t="shared" si="3"/>
        <v>0</v>
      </c>
      <c r="U11" s="228">
        <f t="shared" ref="U11:U18" si="4">IF(S11&gt;1,STDEV(F11:Q11),0)</f>
        <v>0</v>
      </c>
      <c r="V11" s="228">
        <f>VLOOKUP($C11,'A1 y A2-Valores por defecto'!$A$84:$P$99,15,FALSE)</f>
        <v>11698</v>
      </c>
      <c r="W11" s="228" t="str">
        <f>VLOOKUP($C11,'A1 y A2-Valores por defecto'!$A$84:$P$99,16,FALSE)</f>
        <v>kgCO2 eq/kg</v>
      </c>
      <c r="X11" s="228">
        <f t="shared" ref="X11:X18" si="5">($R11*$V11)/1000</f>
        <v>0</v>
      </c>
      <c r="Y11" s="228">
        <f t="shared" si="2"/>
        <v>0</v>
      </c>
    </row>
    <row r="12" spans="2:29">
      <c r="B12" s="692"/>
      <c r="C12" s="242" t="s">
        <v>375</v>
      </c>
      <c r="D12" s="228" t="str">
        <f>VLOOKUP($C12,'A1 y A2-Valores por defecto'!$A$84:$P$99,2,FALSE)</f>
        <v>kg</v>
      </c>
      <c r="E12" s="241"/>
      <c r="F12" s="227"/>
      <c r="G12" s="227"/>
      <c r="H12" s="227"/>
      <c r="I12" s="227"/>
      <c r="J12" s="227"/>
      <c r="K12" s="227"/>
      <c r="L12" s="227"/>
      <c r="M12" s="227"/>
      <c r="N12" s="227"/>
      <c r="O12" s="227"/>
      <c r="P12" s="227"/>
      <c r="Q12" s="227"/>
      <c r="R12" s="228">
        <f t="shared" si="0"/>
        <v>0</v>
      </c>
      <c r="S12" s="228">
        <f t="shared" si="1"/>
        <v>0</v>
      </c>
      <c r="T12" s="228">
        <f t="shared" si="3"/>
        <v>0</v>
      </c>
      <c r="U12" s="228">
        <f t="shared" si="4"/>
        <v>0</v>
      </c>
      <c r="V12" s="228">
        <f>VLOOKUP($C12,'A1 y A2-Valores por defecto'!$A$84:$P$99,15,FALSE)</f>
        <v>1300</v>
      </c>
      <c r="W12" s="228" t="str">
        <f>VLOOKUP($C12,'A1 y A2-Valores por defecto'!$A$84:$P$99,16,FALSE)</f>
        <v>kgCO2 eq/kg</v>
      </c>
      <c r="X12" s="228">
        <f t="shared" si="5"/>
        <v>0</v>
      </c>
      <c r="Y12" s="228">
        <f t="shared" si="2"/>
        <v>0</v>
      </c>
    </row>
    <row r="13" spans="2:29">
      <c r="B13" s="690" t="s">
        <v>565</v>
      </c>
      <c r="C13" s="242" t="s">
        <v>383</v>
      </c>
      <c r="D13" s="228" t="str">
        <f>VLOOKUP($C13,'A1 y A2-Valores por defecto'!$A$84:$P$99,2,FALSE)</f>
        <v>kg</v>
      </c>
      <c r="E13" s="241"/>
      <c r="F13" s="227"/>
      <c r="G13" s="227"/>
      <c r="H13" s="227"/>
      <c r="I13" s="227"/>
      <c r="J13" s="227"/>
      <c r="K13" s="227"/>
      <c r="L13" s="227"/>
      <c r="M13" s="227"/>
      <c r="N13" s="227"/>
      <c r="O13" s="227"/>
      <c r="P13" s="227"/>
      <c r="Q13" s="227"/>
      <c r="R13" s="228">
        <f t="shared" si="0"/>
        <v>0</v>
      </c>
      <c r="S13" s="228">
        <f t="shared" si="1"/>
        <v>0</v>
      </c>
      <c r="T13" s="228">
        <f t="shared" si="3"/>
        <v>0</v>
      </c>
      <c r="U13" s="228">
        <f t="shared" si="4"/>
        <v>0</v>
      </c>
      <c r="V13" s="228">
        <f>VLOOKUP($C13,'A1 y A2-Valores por defecto'!$A$84:$P$99,15,FALSE)</f>
        <v>858</v>
      </c>
      <c r="W13" s="228" t="str">
        <f>VLOOKUP($C13,'A1 y A2-Valores por defecto'!$A$84:$P$99,16,FALSE)</f>
        <v>kgCO2 eq/kg</v>
      </c>
      <c r="X13" s="228">
        <f t="shared" si="5"/>
        <v>0</v>
      </c>
      <c r="Y13" s="228">
        <f t="shared" si="2"/>
        <v>0</v>
      </c>
    </row>
    <row r="14" spans="2:29">
      <c r="B14" s="692"/>
      <c r="C14" s="242" t="s">
        <v>384</v>
      </c>
      <c r="D14" s="228" t="str">
        <f>VLOOKUP($C14,'A1 y A2-Valores por defecto'!$A$84:$P$99,2,FALSE)</f>
        <v>kg</v>
      </c>
      <c r="E14" s="241"/>
      <c r="F14" s="227"/>
      <c r="G14" s="227"/>
      <c r="H14" s="227"/>
      <c r="I14" s="227"/>
      <c r="J14" s="227"/>
      <c r="K14" s="227"/>
      <c r="L14" s="227"/>
      <c r="M14" s="227"/>
      <c r="N14" s="227"/>
      <c r="O14" s="227"/>
      <c r="P14" s="227"/>
      <c r="Q14" s="227"/>
      <c r="R14" s="228">
        <f t="shared" si="0"/>
        <v>0</v>
      </c>
      <c r="S14" s="228">
        <f t="shared" si="1"/>
        <v>0</v>
      </c>
      <c r="T14" s="228">
        <f t="shared" si="3"/>
        <v>0</v>
      </c>
      <c r="U14" s="228">
        <f t="shared" si="4"/>
        <v>0</v>
      </c>
      <c r="V14" s="228">
        <f>VLOOKUP($C14,'A1 y A2-Valores por defecto'!$A$84:$P$99,15,FALSE)</f>
        <v>1013.6</v>
      </c>
      <c r="W14" s="228" t="str">
        <f>VLOOKUP($C14,'A1 y A2-Valores por defecto'!$A$84:$P$99,16,FALSE)</f>
        <v>kgCO2 eq/kg</v>
      </c>
      <c r="X14" s="228">
        <f t="shared" si="5"/>
        <v>0</v>
      </c>
      <c r="Y14" s="228">
        <f t="shared" si="2"/>
        <v>0</v>
      </c>
    </row>
    <row r="15" spans="2:29">
      <c r="B15" s="690" t="s">
        <v>566</v>
      </c>
      <c r="C15" s="242" t="s">
        <v>384</v>
      </c>
      <c r="D15" s="228" t="str">
        <f>VLOOKUP($C15,'A1 y A2-Valores por defecto'!$A$84:$P$99,2,FALSE)</f>
        <v>kg</v>
      </c>
      <c r="E15" s="241"/>
      <c r="F15" s="227"/>
      <c r="G15" s="227"/>
      <c r="H15" s="227"/>
      <c r="I15" s="227"/>
      <c r="J15" s="227"/>
      <c r="K15" s="227"/>
      <c r="L15" s="227"/>
      <c r="M15" s="227"/>
      <c r="N15" s="227"/>
      <c r="O15" s="227"/>
      <c r="P15" s="227"/>
      <c r="Q15" s="227"/>
      <c r="R15" s="228">
        <f t="shared" si="0"/>
        <v>0</v>
      </c>
      <c r="S15" s="228">
        <f t="shared" si="1"/>
        <v>0</v>
      </c>
      <c r="T15" s="228">
        <f t="shared" si="3"/>
        <v>0</v>
      </c>
      <c r="U15" s="228">
        <f t="shared" si="4"/>
        <v>0</v>
      </c>
      <c r="V15" s="228">
        <f>VLOOKUP($C15,'A1 y A2-Valores por defecto'!$A$84:$P$99,15,FALSE)</f>
        <v>1013.6</v>
      </c>
      <c r="W15" s="228" t="str">
        <f>VLOOKUP($C15,'A1 y A2-Valores por defecto'!$A$84:$P$99,16,FALSE)</f>
        <v>kgCO2 eq/kg</v>
      </c>
      <c r="X15" s="228">
        <f>($R15*0.1*$V15)/1000</f>
        <v>0</v>
      </c>
      <c r="Y15" s="228">
        <f t="shared" si="2"/>
        <v>0</v>
      </c>
    </row>
    <row r="16" spans="2:29">
      <c r="B16" s="692"/>
      <c r="C16" s="242" t="s">
        <v>513</v>
      </c>
      <c r="D16" s="228" t="str">
        <f>VLOOKUP($C16,'A1 y A2-Valores por defecto'!$A$84:$P$99,2,FALSE)</f>
        <v>kg</v>
      </c>
      <c r="E16" s="241"/>
      <c r="F16" s="227"/>
      <c r="G16" s="227"/>
      <c r="H16" s="227"/>
      <c r="I16" s="227"/>
      <c r="J16" s="227"/>
      <c r="K16" s="227"/>
      <c r="L16" s="227"/>
      <c r="M16" s="227"/>
      <c r="N16" s="227"/>
      <c r="O16" s="227"/>
      <c r="P16" s="227"/>
      <c r="Q16" s="227"/>
      <c r="R16" s="228">
        <f t="shared" si="0"/>
        <v>0</v>
      </c>
      <c r="S16" s="228">
        <f t="shared" si="1"/>
        <v>0</v>
      </c>
      <c r="T16" s="228">
        <f t="shared" si="3"/>
        <v>0</v>
      </c>
      <c r="U16" s="228">
        <f t="shared" si="4"/>
        <v>0</v>
      </c>
      <c r="V16" s="228">
        <f>VLOOKUP($C16,'A1 y A2-Valores por defecto'!$A$84:$P$99,15,FALSE)</f>
        <v>1</v>
      </c>
      <c r="W16" s="228" t="str">
        <f>VLOOKUP($C16,'A1 y A2-Valores por defecto'!$A$84:$P$99,16,FALSE)</f>
        <v>kgCO2 eq/kg</v>
      </c>
      <c r="X16" s="228">
        <f>($R16*0.1*$V16)/1000</f>
        <v>0</v>
      </c>
      <c r="Y16" s="228">
        <f t="shared" si="2"/>
        <v>0</v>
      </c>
    </row>
    <row r="17" spans="2:25">
      <c r="B17" s="690" t="s">
        <v>567</v>
      </c>
      <c r="C17" s="242" t="s">
        <v>375</v>
      </c>
      <c r="D17" s="228" t="str">
        <f>VLOOKUP($C17,'A1 y A2-Valores por defecto'!$A$84:$P$99,2,FALSE)</f>
        <v>kg</v>
      </c>
      <c r="E17" s="241"/>
      <c r="F17" s="227"/>
      <c r="G17" s="227"/>
      <c r="H17" s="227"/>
      <c r="I17" s="227"/>
      <c r="J17" s="227"/>
      <c r="K17" s="227"/>
      <c r="L17" s="227"/>
      <c r="M17" s="227"/>
      <c r="N17" s="227"/>
      <c r="O17" s="227"/>
      <c r="P17" s="227"/>
      <c r="Q17" s="227"/>
      <c r="R17" s="228">
        <f t="shared" si="0"/>
        <v>0</v>
      </c>
      <c r="S17" s="228">
        <f t="shared" si="1"/>
        <v>0</v>
      </c>
      <c r="T17" s="228">
        <f t="shared" si="3"/>
        <v>0</v>
      </c>
      <c r="U17" s="228">
        <f t="shared" si="4"/>
        <v>0</v>
      </c>
      <c r="V17" s="228">
        <f>VLOOKUP($C17,'A1 y A2-Valores por defecto'!$A$84:$P$99,15,FALSE)</f>
        <v>1300</v>
      </c>
      <c r="W17" s="228" t="str">
        <f>VLOOKUP($C17,'A1 y A2-Valores por defecto'!$A$84:$P$99,16,FALSE)</f>
        <v>kgCO2 eq/kg</v>
      </c>
      <c r="X17" s="228">
        <f>(($R17*0.1)*$V17)/1000</f>
        <v>0</v>
      </c>
      <c r="Y17" s="228">
        <f t="shared" si="2"/>
        <v>0</v>
      </c>
    </row>
    <row r="18" spans="2:25">
      <c r="B18" s="692"/>
      <c r="C18" s="242" t="s">
        <v>375</v>
      </c>
      <c r="D18" s="228" t="str">
        <f>VLOOKUP($C18,'A1 y A2-Valores por defecto'!$A$84:$P$99,2,FALSE)</f>
        <v>kg</v>
      </c>
      <c r="E18" s="241"/>
      <c r="F18" s="227"/>
      <c r="G18" s="227"/>
      <c r="H18" s="227"/>
      <c r="I18" s="227"/>
      <c r="J18" s="227"/>
      <c r="K18" s="227"/>
      <c r="L18" s="227"/>
      <c r="M18" s="227"/>
      <c r="N18" s="227"/>
      <c r="O18" s="227"/>
      <c r="P18" s="227"/>
      <c r="Q18" s="227"/>
      <c r="R18" s="228">
        <f t="shared" si="0"/>
        <v>0</v>
      </c>
      <c r="S18" s="228">
        <f t="shared" si="1"/>
        <v>0</v>
      </c>
      <c r="T18" s="228">
        <f t="shared" si="3"/>
        <v>0</v>
      </c>
      <c r="U18" s="228">
        <f t="shared" si="4"/>
        <v>0</v>
      </c>
      <c r="V18" s="228">
        <f>VLOOKUP($C18,'A1 y A2-Valores por defecto'!$A$84:$P$99,15,FALSE)</f>
        <v>1300</v>
      </c>
      <c r="W18" s="228" t="str">
        <f>VLOOKUP($C18,'A1 y A2-Valores por defecto'!$A$84:$P$99,16,FALSE)</f>
        <v>kgCO2 eq/kg</v>
      </c>
      <c r="X18" s="228">
        <f t="shared" si="5"/>
        <v>0</v>
      </c>
      <c r="Y18" s="228">
        <f t="shared" si="2"/>
        <v>0</v>
      </c>
    </row>
    <row r="19" spans="2:25" ht="27.75" customHeight="1">
      <c r="B19" s="243" t="s">
        <v>63</v>
      </c>
      <c r="C19" s="234"/>
      <c r="D19" s="232"/>
      <c r="E19" s="232"/>
      <c r="F19" s="244"/>
      <c r="G19" s="244"/>
      <c r="H19" s="244"/>
      <c r="I19" s="244"/>
      <c r="J19" s="244"/>
      <c r="K19" s="244"/>
      <c r="L19" s="244"/>
      <c r="M19" s="244"/>
      <c r="N19" s="244"/>
      <c r="O19" s="244"/>
      <c r="P19" s="244"/>
      <c r="Q19" s="244"/>
      <c r="R19" s="235">
        <f>SUM(F19:Q19)</f>
        <v>0</v>
      </c>
      <c r="S19" s="235">
        <f t="shared" si="1"/>
        <v>0</v>
      </c>
      <c r="T19" s="235"/>
      <c r="U19" s="235"/>
      <c r="V19" s="235"/>
      <c r="W19" s="232"/>
      <c r="X19" s="235">
        <f>SUM(X8:X18)</f>
        <v>0</v>
      </c>
      <c r="Y19" s="235">
        <f>SUM(Y8:Y18)</f>
        <v>0</v>
      </c>
    </row>
  </sheetData>
  <sheetProtection insertRows="0"/>
  <mergeCells count="16">
    <mergeCell ref="B8:B10"/>
    <mergeCell ref="B11:B12"/>
    <mergeCell ref="B13:B14"/>
    <mergeCell ref="B15:B16"/>
    <mergeCell ref="B17:B18"/>
    <mergeCell ref="V6:X6"/>
    <mergeCell ref="B1:Y1"/>
    <mergeCell ref="B4:Y4"/>
    <mergeCell ref="B6:B7"/>
    <mergeCell ref="C6:C7"/>
    <mergeCell ref="D6:D7"/>
    <mergeCell ref="F6:S6"/>
    <mergeCell ref="T6:U6"/>
    <mergeCell ref="V7:W7"/>
    <mergeCell ref="Y6:Y7"/>
    <mergeCell ref="E6:E7"/>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ErrorMessage="1" xr:uid="{E5E97CBB-6F9A-4294-94FD-4EE008E213E8}">
          <x14:formula1>
            <xm:f>'A1 y A2-Valores por defecto'!$A$97:$A$99</xm:f>
          </x14:formula1>
          <xm:sqref>C13:C14</xm:sqref>
        </x14:dataValidation>
        <x14:dataValidation type="list" allowBlank="1" showErrorMessage="1" xr:uid="{479D506F-76B0-4DBD-8122-B9B95A9E6536}">
          <x14:formula1>
            <xm:f>'A1 y A2-Valores por defecto'!$A$84:$A$96</xm:f>
          </x14:formula1>
          <xm:sqref>C8:C10</xm:sqref>
        </x14:dataValidation>
        <x14:dataValidation type="list" allowBlank="1" showErrorMessage="1" xr:uid="{BE992933-AAB0-4AAD-AB32-31523F00B607}">
          <x14:formula1>
            <xm:f>'A1 y A2-Valores por defecto'!$A$92:$A$93</xm:f>
          </x14:formula1>
          <xm:sqref>C11:C12</xm:sqref>
        </x14:dataValidation>
        <x14:dataValidation type="list" allowBlank="1" showErrorMessage="1" xr:uid="{A45CC395-F684-402B-8127-3FCC69EEEBEA}">
          <x14:formula1>
            <xm:f>'A1 y A2-Valores por defecto'!$A$99</xm:f>
          </x14:formula1>
          <xm:sqref>C15:C16</xm:sqref>
        </x14:dataValidation>
        <x14:dataValidation type="list" allowBlank="1" showErrorMessage="1" xr:uid="{21A4CD55-07FB-4136-87F7-97FA4E7D0A43}">
          <x14:formula1>
            <xm:f>'A1 y A2-Valores por defecto'!$A$93</xm:f>
          </x14:formula1>
          <xm:sqref>C17:C18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454B-AA35-4BC7-96C7-E6F5089C14EC}">
  <sheetPr>
    <tabColor theme="8" tint="-0.499984740745262"/>
  </sheetPr>
  <dimension ref="B1:AL28"/>
  <sheetViews>
    <sheetView showGridLines="0" zoomScaleNormal="100" workbookViewId="0">
      <pane xSplit="2" ySplit="1" topLeftCell="AB5" activePane="bottomRight" state="frozen"/>
      <selection pane="topRight" activeCell="C1" sqref="C1"/>
      <selection pane="bottomLeft" activeCell="A2" sqref="A2"/>
      <selection pane="bottomRight" activeCell="AC27" sqref="AC27"/>
    </sheetView>
  </sheetViews>
  <sheetFormatPr baseColWidth="10" defaultColWidth="14.44140625" defaultRowHeight="15.6"/>
  <cols>
    <col min="1" max="1" width="9.88671875" style="192" customWidth="1"/>
    <col min="2" max="2" width="35" style="192" customWidth="1"/>
    <col min="3" max="3" width="41.44140625" style="192" customWidth="1"/>
    <col min="4" max="4" width="13.5546875" style="192" customWidth="1"/>
    <col min="5" max="5" width="30" style="192" customWidth="1"/>
    <col min="6" max="6" width="10.109375" style="192" customWidth="1"/>
    <col min="7" max="9" width="9.5546875" style="192" customWidth="1"/>
    <col min="10" max="10" width="10.109375" style="192" customWidth="1"/>
    <col min="11" max="11" width="9.5546875" style="192" customWidth="1"/>
    <col min="12" max="12" width="9.33203125" style="192" customWidth="1"/>
    <col min="13" max="13" width="9.88671875" style="192" customWidth="1"/>
    <col min="14" max="14" width="10.6640625" style="192" customWidth="1"/>
    <col min="15" max="15" width="9.33203125" style="192" customWidth="1"/>
    <col min="16" max="16" width="10.44140625" style="192" customWidth="1"/>
    <col min="17" max="17" width="10.109375" style="192" customWidth="1"/>
    <col min="18" max="18" width="14" style="192" customWidth="1"/>
    <col min="19" max="19" width="12.44140625" style="192" customWidth="1"/>
    <col min="20" max="21" width="10.6640625" style="192" hidden="1" customWidth="1"/>
    <col min="22" max="22" width="12.44140625" style="192" customWidth="1"/>
    <col min="23" max="23" width="16.33203125" style="192" customWidth="1"/>
    <col min="24" max="24" width="11.6640625" style="192" customWidth="1"/>
    <col min="25" max="25" width="11.88671875" style="192" customWidth="1"/>
    <col min="26" max="26" width="12.5546875" style="192" customWidth="1"/>
    <col min="27" max="27" width="17.44140625" style="192" customWidth="1"/>
    <col min="28" max="30" width="13.33203125" style="192" customWidth="1"/>
    <col min="31" max="31" width="17.88671875" style="192" customWidth="1"/>
    <col min="32" max="33" width="13.33203125" style="192" customWidth="1"/>
    <col min="34" max="34" width="17" style="192" customWidth="1"/>
    <col min="35" max="38" width="13.33203125" style="192" customWidth="1"/>
    <col min="39" max="16384" width="14.44140625" style="192"/>
  </cols>
  <sheetData>
    <row r="1" spans="2:38" ht="37.5" customHeight="1">
      <c r="B1" s="695" t="s">
        <v>8</v>
      </c>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191"/>
      <c r="AJ1" s="191"/>
      <c r="AK1" s="191"/>
      <c r="AL1" s="191"/>
    </row>
    <row r="2" spans="2:38" ht="37.5" customHeight="1">
      <c r="B2" s="220" t="s">
        <v>8</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191"/>
      <c r="AJ2" s="191"/>
      <c r="AK2" s="191"/>
      <c r="AL2" s="191"/>
    </row>
    <row r="3" spans="2:38" ht="30" customHeight="1">
      <c r="B3" s="222"/>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191"/>
      <c r="AJ3" s="191"/>
      <c r="AK3" s="191"/>
      <c r="AL3" s="191"/>
    </row>
    <row r="4" spans="2:38" ht="39" customHeight="1">
      <c r="B4" s="697" t="s">
        <v>61</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row>
    <row r="5" spans="2:38" ht="12.75" customHeight="1">
      <c r="B5" s="197"/>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row>
    <row r="6" spans="2:38">
      <c r="B6" s="698" t="s">
        <v>10</v>
      </c>
      <c r="C6" s="698" t="s">
        <v>11</v>
      </c>
      <c r="D6" s="698" t="s">
        <v>44</v>
      </c>
      <c r="E6" s="693" t="s">
        <v>661</v>
      </c>
      <c r="F6" s="698" t="s">
        <v>13</v>
      </c>
      <c r="G6" s="715"/>
      <c r="H6" s="715"/>
      <c r="I6" s="715"/>
      <c r="J6" s="715"/>
      <c r="K6" s="715"/>
      <c r="L6" s="715"/>
      <c r="M6" s="715"/>
      <c r="N6" s="715"/>
      <c r="O6" s="715"/>
      <c r="P6" s="715"/>
      <c r="Q6" s="715"/>
      <c r="R6" s="715"/>
      <c r="S6" s="715"/>
      <c r="T6" s="698" t="s">
        <v>14</v>
      </c>
      <c r="U6" s="715"/>
      <c r="V6" s="698" t="s">
        <v>692</v>
      </c>
      <c r="W6" s="699"/>
      <c r="X6" s="699"/>
      <c r="Y6" s="699"/>
      <c r="Z6" s="698" t="s">
        <v>693</v>
      </c>
      <c r="AA6" s="699"/>
      <c r="AB6" s="699"/>
      <c r="AC6" s="699"/>
      <c r="AD6" s="698" t="s">
        <v>694</v>
      </c>
      <c r="AE6" s="699"/>
      <c r="AF6" s="699"/>
      <c r="AG6" s="699"/>
      <c r="AH6" s="698" t="s">
        <v>17</v>
      </c>
    </row>
    <row r="7" spans="2:38" ht="67.5" customHeight="1">
      <c r="B7" s="715"/>
      <c r="C7" s="715"/>
      <c r="D7" s="715"/>
      <c r="E7" s="694"/>
      <c r="F7" s="200" t="s">
        <v>18</v>
      </c>
      <c r="G7" s="200" t="s">
        <v>19</v>
      </c>
      <c r="H7" s="200" t="s">
        <v>20</v>
      </c>
      <c r="I7" s="200" t="s">
        <v>21</v>
      </c>
      <c r="J7" s="200" t="s">
        <v>22</v>
      </c>
      <c r="K7" s="200" t="s">
        <v>23</v>
      </c>
      <c r="L7" s="200" t="s">
        <v>24</v>
      </c>
      <c r="M7" s="200" t="s">
        <v>25</v>
      </c>
      <c r="N7" s="200" t="s">
        <v>26</v>
      </c>
      <c r="O7" s="200" t="s">
        <v>27</v>
      </c>
      <c r="P7" s="200" t="s">
        <v>28</v>
      </c>
      <c r="Q7" s="200" t="s">
        <v>29</v>
      </c>
      <c r="R7" s="201" t="s">
        <v>30</v>
      </c>
      <c r="S7" s="200" t="s">
        <v>31</v>
      </c>
      <c r="T7" s="200" t="s">
        <v>32</v>
      </c>
      <c r="U7" s="200" t="s">
        <v>47</v>
      </c>
      <c r="V7" s="699" t="s">
        <v>695</v>
      </c>
      <c r="W7" s="699"/>
      <c r="X7" s="200" t="s">
        <v>696</v>
      </c>
      <c r="Y7" s="200" t="s">
        <v>697</v>
      </c>
      <c r="Z7" s="699" t="s">
        <v>698</v>
      </c>
      <c r="AA7" s="699"/>
      <c r="AB7" s="200" t="s">
        <v>699</v>
      </c>
      <c r="AC7" s="200" t="s">
        <v>700</v>
      </c>
      <c r="AD7" s="699" t="s">
        <v>701</v>
      </c>
      <c r="AE7" s="699"/>
      <c r="AF7" s="200" t="s">
        <v>702</v>
      </c>
      <c r="AG7" s="200" t="s">
        <v>703</v>
      </c>
      <c r="AH7" s="715"/>
    </row>
    <row r="8" spans="2:38">
      <c r="B8" s="712" t="s">
        <v>557</v>
      </c>
      <c r="C8" s="224" t="s">
        <v>65</v>
      </c>
      <c r="D8" s="225" t="str">
        <f>VLOOKUP($C8,'A1 y A2-Valores por defecto'!$A$159:$N$164,2,FALSE)</f>
        <v>kg</v>
      </c>
      <c r="E8" s="226"/>
      <c r="F8" s="227"/>
      <c r="G8" s="227"/>
      <c r="H8" s="227"/>
      <c r="I8" s="227"/>
      <c r="J8" s="227"/>
      <c r="K8" s="227"/>
      <c r="L8" s="227"/>
      <c r="M8" s="227"/>
      <c r="N8" s="227"/>
      <c r="O8" s="227"/>
      <c r="P8" s="227"/>
      <c r="Q8" s="227"/>
      <c r="R8" s="228">
        <f t="shared" ref="R8:R26" si="0">SUM(F8:Q8)</f>
        <v>0</v>
      </c>
      <c r="S8" s="228">
        <f t="shared" ref="S8:S26" si="1">COUNT(F8:Q8)</f>
        <v>0</v>
      </c>
      <c r="T8" s="228">
        <f t="shared" ref="T8:T26" si="2">IF(S8&gt;1,AVERAGE(F8:Q8),0)</f>
        <v>0</v>
      </c>
      <c r="U8" s="228">
        <f t="shared" ref="U8:U26" si="3">IF(S8&gt;1,STDEV(F8:Q8),0)</f>
        <v>0</v>
      </c>
      <c r="V8" s="228"/>
      <c r="W8" s="225"/>
      <c r="X8" s="228"/>
      <c r="Y8" s="228"/>
      <c r="Z8" s="229">
        <f>VLOOKUP($C8,'A1 y A2-Valores por defecto'!$A$159:$N$164,3,FALSE)</f>
        <v>2.7E-2</v>
      </c>
      <c r="AA8" s="245" t="str">
        <f>VLOOKUP($C8,'A1 y A2-Valores por defecto'!$A$159:$N$164,4,FALSE)</f>
        <v>kgCH4/kg</v>
      </c>
      <c r="AB8" s="228">
        <f t="shared" ref="AB8:AB16" si="4">Z8*R8/1000</f>
        <v>0</v>
      </c>
      <c r="AC8" s="228">
        <f>AB8*'A1 y A2-Valores por defecto'!$E$80</f>
        <v>0</v>
      </c>
      <c r="AD8" s="228"/>
      <c r="AE8" s="225"/>
      <c r="AF8" s="228"/>
      <c r="AG8" s="228"/>
      <c r="AH8" s="228">
        <f>Y8+AC8+AG8</f>
        <v>0</v>
      </c>
    </row>
    <row r="9" spans="2:38">
      <c r="B9" s="713"/>
      <c r="C9" s="224" t="s">
        <v>149</v>
      </c>
      <c r="D9" s="225" t="str">
        <f>VLOOKUP($C9,'A1 y A2-Valores por defecto'!$A$159:$N$164,2,FALSE)</f>
        <v>kg</v>
      </c>
      <c r="E9" s="226"/>
      <c r="F9" s="227"/>
      <c r="G9" s="227"/>
      <c r="H9" s="227"/>
      <c r="I9" s="227"/>
      <c r="J9" s="227"/>
      <c r="K9" s="227"/>
      <c r="L9" s="227"/>
      <c r="M9" s="227"/>
      <c r="N9" s="227"/>
      <c r="O9" s="227"/>
      <c r="P9" s="227"/>
      <c r="Q9" s="227"/>
      <c r="R9" s="228">
        <f t="shared" si="0"/>
        <v>0</v>
      </c>
      <c r="S9" s="228">
        <f t="shared" si="1"/>
        <v>0</v>
      </c>
      <c r="T9" s="228">
        <f t="shared" si="2"/>
        <v>0</v>
      </c>
      <c r="U9" s="228">
        <f t="shared" si="3"/>
        <v>0</v>
      </c>
      <c r="V9" s="228"/>
      <c r="W9" s="225"/>
      <c r="X9" s="228"/>
      <c r="Y9" s="228"/>
      <c r="Z9" s="229">
        <f>VLOOKUP($C9,'A1 y A2-Valores por defecto'!$A$159:$N$164,3,FALSE)</f>
        <v>2.7E-2</v>
      </c>
      <c r="AA9" s="245" t="str">
        <f>VLOOKUP($C9,'A1 y A2-Valores por defecto'!$A$159:$N$164,4,FALSE)</f>
        <v>kgCH4/kg</v>
      </c>
      <c r="AB9" s="228">
        <f t="shared" si="4"/>
        <v>0</v>
      </c>
      <c r="AC9" s="228">
        <f>AB9*'A1 y A2-Valores por defecto'!$E$80</f>
        <v>0</v>
      </c>
      <c r="AD9" s="228"/>
      <c r="AE9" s="225"/>
      <c r="AF9" s="228"/>
      <c r="AG9" s="228"/>
      <c r="AH9" s="228">
        <f t="shared" ref="AH9:AH26" si="5">Y9+AC9+AG9</f>
        <v>0</v>
      </c>
    </row>
    <row r="10" spans="2:38">
      <c r="B10" s="714"/>
      <c r="C10" s="224" t="s">
        <v>148</v>
      </c>
      <c r="D10" s="225" t="str">
        <f>VLOOKUP($C10,'A1 y A2-Valores por defecto'!$A$159:$N$164,2,FALSE)</f>
        <v>kg</v>
      </c>
      <c r="E10" s="226"/>
      <c r="F10" s="227"/>
      <c r="G10" s="227"/>
      <c r="H10" s="227"/>
      <c r="I10" s="227"/>
      <c r="J10" s="227"/>
      <c r="K10" s="227"/>
      <c r="L10" s="227"/>
      <c r="M10" s="227"/>
      <c r="N10" s="227"/>
      <c r="O10" s="227"/>
      <c r="P10" s="227"/>
      <c r="Q10" s="227"/>
      <c r="R10" s="228">
        <f t="shared" si="0"/>
        <v>0</v>
      </c>
      <c r="S10" s="228">
        <f t="shared" si="1"/>
        <v>0</v>
      </c>
      <c r="T10" s="228">
        <f t="shared" si="2"/>
        <v>0</v>
      </c>
      <c r="U10" s="228">
        <f t="shared" si="3"/>
        <v>0</v>
      </c>
      <c r="V10" s="228"/>
      <c r="W10" s="225"/>
      <c r="X10" s="228"/>
      <c r="Y10" s="228"/>
      <c r="Z10" s="229">
        <f>VLOOKUP($C10,'A1 y A2-Valores por defecto'!$A$159:$N$164,3,FALSE)</f>
        <v>2.7E-2</v>
      </c>
      <c r="AA10" s="245" t="str">
        <f>VLOOKUP($C10,'A1 y A2-Valores por defecto'!$A$159:$N$164,4,FALSE)</f>
        <v>kgCH4/kg</v>
      </c>
      <c r="AB10" s="228">
        <f t="shared" si="4"/>
        <v>0</v>
      </c>
      <c r="AC10" s="228">
        <f>AB10*'A1 y A2-Valores por defecto'!$E$80</f>
        <v>0</v>
      </c>
      <c r="AD10" s="228"/>
      <c r="AE10" s="225"/>
      <c r="AF10" s="228"/>
      <c r="AG10" s="228"/>
      <c r="AH10" s="228">
        <f t="shared" si="5"/>
        <v>0</v>
      </c>
    </row>
    <row r="11" spans="2:38" ht="13.5" customHeight="1">
      <c r="B11" s="720" t="s">
        <v>66</v>
      </c>
      <c r="C11" s="224" t="s">
        <v>346</v>
      </c>
      <c r="D11" s="225" t="str">
        <f>VLOOKUP($C11,'A1 y A2-Valores por defecto'!$A$165:$N$170,2,FALSE)</f>
        <v>kg</v>
      </c>
      <c r="E11" s="226"/>
      <c r="F11" s="227"/>
      <c r="G11" s="227"/>
      <c r="H11" s="227"/>
      <c r="I11" s="227"/>
      <c r="J11" s="227"/>
      <c r="K11" s="227"/>
      <c r="L11" s="227"/>
      <c r="M11" s="227"/>
      <c r="N11" s="227"/>
      <c r="O11" s="227"/>
      <c r="P11" s="227"/>
      <c r="Q11" s="227"/>
      <c r="R11" s="228">
        <f t="shared" si="0"/>
        <v>0</v>
      </c>
      <c r="S11" s="228">
        <f t="shared" si="1"/>
        <v>0</v>
      </c>
      <c r="T11" s="228">
        <f t="shared" si="2"/>
        <v>0</v>
      </c>
      <c r="U11" s="228">
        <f t="shared" si="3"/>
        <v>0</v>
      </c>
      <c r="V11" s="228"/>
      <c r="W11" s="225"/>
      <c r="X11" s="228"/>
      <c r="Y11" s="228"/>
      <c r="Z11" s="229">
        <f>VLOOKUP($C11,'A1 y A2-Valores por defecto'!$A$165:$N$170,3,FALSE)</f>
        <v>2.7E-2</v>
      </c>
      <c r="AA11" s="245" t="str">
        <f>VLOOKUP($C11,'A1 y A2-Valores por defecto'!$A$165:$N$170,4,FALSE)</f>
        <v>kgCH4/kg</v>
      </c>
      <c r="AB11" s="228">
        <f t="shared" si="4"/>
        <v>0</v>
      </c>
      <c r="AC11" s="228">
        <f>AB11*'A1 y A2-Valores por defecto'!$E$80</f>
        <v>0</v>
      </c>
      <c r="AD11" s="228"/>
      <c r="AE11" s="225"/>
      <c r="AF11" s="228"/>
      <c r="AG11" s="228"/>
      <c r="AH11" s="228">
        <f t="shared" si="5"/>
        <v>0</v>
      </c>
    </row>
    <row r="12" spans="2:38" ht="14.25" customHeight="1">
      <c r="B12" s="721"/>
      <c r="C12" s="224" t="s">
        <v>347</v>
      </c>
      <c r="D12" s="225" t="str">
        <f>VLOOKUP($C12,'A1 y A2-Valores por defecto'!$A$165:$N$170,2,FALSE)</f>
        <v>kg</v>
      </c>
      <c r="E12" s="226"/>
      <c r="F12" s="227"/>
      <c r="G12" s="227"/>
      <c r="H12" s="227"/>
      <c r="I12" s="227"/>
      <c r="J12" s="227"/>
      <c r="K12" s="227"/>
      <c r="L12" s="227"/>
      <c r="M12" s="227"/>
      <c r="N12" s="227"/>
      <c r="O12" s="227"/>
      <c r="P12" s="227"/>
      <c r="Q12" s="227"/>
      <c r="R12" s="228">
        <f t="shared" si="0"/>
        <v>0</v>
      </c>
      <c r="S12" s="228">
        <f t="shared" si="1"/>
        <v>0</v>
      </c>
      <c r="T12" s="228">
        <f t="shared" si="2"/>
        <v>0</v>
      </c>
      <c r="U12" s="228">
        <f t="shared" si="3"/>
        <v>0</v>
      </c>
      <c r="V12" s="228"/>
      <c r="W12" s="225"/>
      <c r="X12" s="228"/>
      <c r="Y12" s="228"/>
      <c r="Z12" s="229">
        <f>VLOOKUP($C12,'A1 y A2-Valores por defecto'!$A$165:$N$170,3,FALSE)</f>
        <v>2.7E-2</v>
      </c>
      <c r="AA12" s="245" t="str">
        <f>VLOOKUP($C12,'A1 y A2-Valores por defecto'!$A$165:$N$170,4,FALSE)</f>
        <v>kgCH4/kg</v>
      </c>
      <c r="AB12" s="228">
        <f t="shared" si="4"/>
        <v>0</v>
      </c>
      <c r="AC12" s="228">
        <f>AB12*'A1 y A2-Valores por defecto'!$E$80</f>
        <v>0</v>
      </c>
      <c r="AD12" s="228"/>
      <c r="AE12" s="225"/>
      <c r="AF12" s="228"/>
      <c r="AG12" s="228"/>
      <c r="AH12" s="228">
        <f t="shared" si="5"/>
        <v>0</v>
      </c>
    </row>
    <row r="13" spans="2:38" ht="14.25" customHeight="1">
      <c r="B13" s="721"/>
      <c r="C13" s="224" t="s">
        <v>151</v>
      </c>
      <c r="D13" s="225" t="str">
        <f>VLOOKUP($C13,'A1 y A2-Valores por defecto'!$A$165:$N$170,2,FALSE)</f>
        <v>kg</v>
      </c>
      <c r="E13" s="226"/>
      <c r="F13" s="227"/>
      <c r="G13" s="227"/>
      <c r="H13" s="227"/>
      <c r="I13" s="227"/>
      <c r="J13" s="227"/>
      <c r="K13" s="227"/>
      <c r="L13" s="227"/>
      <c r="M13" s="227"/>
      <c r="N13" s="227"/>
      <c r="O13" s="227"/>
      <c r="P13" s="227"/>
      <c r="Q13" s="227"/>
      <c r="R13" s="228">
        <f t="shared" si="0"/>
        <v>0</v>
      </c>
      <c r="S13" s="228">
        <f t="shared" si="1"/>
        <v>0</v>
      </c>
      <c r="T13" s="228">
        <f t="shared" si="2"/>
        <v>0</v>
      </c>
      <c r="U13" s="228">
        <f t="shared" si="3"/>
        <v>0</v>
      </c>
      <c r="V13" s="228"/>
      <c r="W13" s="225"/>
      <c r="X13" s="228"/>
      <c r="Y13" s="228"/>
      <c r="Z13" s="229">
        <f>VLOOKUP($C13,'A1 y A2-Valores por defecto'!$A$165:$N$170,3,FALSE)</f>
        <v>2.7E-2</v>
      </c>
      <c r="AA13" s="245" t="str">
        <f>VLOOKUP($C13,'A1 y A2-Valores por defecto'!$A$165:$N$170,4,FALSE)</f>
        <v>kgCH4/kg</v>
      </c>
      <c r="AB13" s="228">
        <f t="shared" si="4"/>
        <v>0</v>
      </c>
      <c r="AC13" s="228">
        <f>AB13*'A1 y A2-Valores por defecto'!$E$80</f>
        <v>0</v>
      </c>
      <c r="AD13" s="228"/>
      <c r="AE13" s="225"/>
      <c r="AF13" s="228"/>
      <c r="AG13" s="228"/>
      <c r="AH13" s="228">
        <f t="shared" si="5"/>
        <v>0</v>
      </c>
    </row>
    <row r="14" spans="2:38" ht="14.25" customHeight="1">
      <c r="B14" s="712" t="s">
        <v>558</v>
      </c>
      <c r="C14" s="224" t="s">
        <v>350</v>
      </c>
      <c r="D14" s="225" t="str">
        <f>VLOOKUP($C14,'A1 y A2-Valores por defecto'!$A$171:$N$176,2,FALSE)</f>
        <v>kg</v>
      </c>
      <c r="E14" s="226"/>
      <c r="F14" s="227"/>
      <c r="G14" s="227"/>
      <c r="H14" s="227"/>
      <c r="I14" s="227"/>
      <c r="J14" s="227"/>
      <c r="K14" s="227"/>
      <c r="L14" s="227"/>
      <c r="M14" s="227"/>
      <c r="N14" s="227"/>
      <c r="O14" s="227"/>
      <c r="P14" s="227"/>
      <c r="Q14" s="227"/>
      <c r="R14" s="228">
        <f t="shared" si="0"/>
        <v>0</v>
      </c>
      <c r="S14" s="228">
        <f t="shared" si="1"/>
        <v>0</v>
      </c>
      <c r="T14" s="228">
        <f t="shared" si="2"/>
        <v>0</v>
      </c>
      <c r="U14" s="228">
        <f t="shared" si="3"/>
        <v>0</v>
      </c>
      <c r="V14" s="228"/>
      <c r="W14" s="225"/>
      <c r="X14" s="228"/>
      <c r="Y14" s="228"/>
      <c r="Z14" s="229">
        <f>VLOOKUP($C14,'A1 y A2-Valores por defecto'!$A$171:$N$176,3,FALSE)</f>
        <v>2.7E-2</v>
      </c>
      <c r="AA14" s="245" t="str">
        <f>VLOOKUP($C14,'A1 y A2-Valores por defecto'!$A$171:$N$176,4,FALSE)</f>
        <v>kgCH4/kg</v>
      </c>
      <c r="AB14" s="228">
        <f t="shared" si="4"/>
        <v>0</v>
      </c>
      <c r="AC14" s="228">
        <f>AB14*'A1 y A2-Valores por defecto'!$E$80</f>
        <v>0</v>
      </c>
      <c r="AD14" s="228"/>
      <c r="AE14" s="225"/>
      <c r="AF14" s="228"/>
      <c r="AG14" s="228"/>
      <c r="AH14" s="228">
        <f t="shared" si="5"/>
        <v>0</v>
      </c>
    </row>
    <row r="15" spans="2:38">
      <c r="B15" s="713"/>
      <c r="C15" s="224" t="s">
        <v>352</v>
      </c>
      <c r="D15" s="225" t="str">
        <f>VLOOKUP($C15,'A1 y A2-Valores por defecto'!$A$171:$N$176,2,FALSE)</f>
        <v>kg</v>
      </c>
      <c r="E15" s="226"/>
      <c r="F15" s="227"/>
      <c r="G15" s="227"/>
      <c r="H15" s="227"/>
      <c r="I15" s="227"/>
      <c r="J15" s="227"/>
      <c r="K15" s="227"/>
      <c r="L15" s="227"/>
      <c r="M15" s="227"/>
      <c r="N15" s="227"/>
      <c r="O15" s="227"/>
      <c r="P15" s="227"/>
      <c r="Q15" s="227"/>
      <c r="R15" s="228">
        <f t="shared" si="0"/>
        <v>0</v>
      </c>
      <c r="S15" s="228">
        <f t="shared" si="1"/>
        <v>0</v>
      </c>
      <c r="T15" s="228">
        <f t="shared" si="2"/>
        <v>0</v>
      </c>
      <c r="U15" s="228">
        <f t="shared" si="3"/>
        <v>0</v>
      </c>
      <c r="V15" s="228"/>
      <c r="W15" s="225"/>
      <c r="X15" s="228"/>
      <c r="Y15" s="228"/>
      <c r="Z15" s="229">
        <f>VLOOKUP($C15,'A1 y A2-Valores por defecto'!$A$171:$N$176,3,FALSE)</f>
        <v>2.7E-2</v>
      </c>
      <c r="AA15" s="245" t="str">
        <f>VLOOKUP($C15,'A1 y A2-Valores por defecto'!$A$171:$N$176,4,FALSE)</f>
        <v>kgCH4/kg</v>
      </c>
      <c r="AB15" s="228">
        <f t="shared" si="4"/>
        <v>0</v>
      </c>
      <c r="AC15" s="228">
        <f>AB15*'A1 y A2-Valores por defecto'!$E$80</f>
        <v>0</v>
      </c>
      <c r="AD15" s="228"/>
      <c r="AE15" s="225"/>
      <c r="AF15" s="228"/>
      <c r="AG15" s="228"/>
      <c r="AH15" s="228">
        <f t="shared" si="5"/>
        <v>0</v>
      </c>
    </row>
    <row r="16" spans="2:38">
      <c r="B16" s="714"/>
      <c r="C16" s="224" t="s">
        <v>353</v>
      </c>
      <c r="D16" s="225" t="str">
        <f>VLOOKUP($C16,'A1 y A2-Valores por defecto'!$A$171:$N$176,2,FALSE)</f>
        <v>kg</v>
      </c>
      <c r="E16" s="226"/>
      <c r="F16" s="227"/>
      <c r="G16" s="227"/>
      <c r="H16" s="227"/>
      <c r="I16" s="227"/>
      <c r="J16" s="227"/>
      <c r="K16" s="227"/>
      <c r="L16" s="227"/>
      <c r="M16" s="227"/>
      <c r="N16" s="227"/>
      <c r="O16" s="227"/>
      <c r="P16" s="227"/>
      <c r="Q16" s="227"/>
      <c r="R16" s="228">
        <f t="shared" si="0"/>
        <v>0</v>
      </c>
      <c r="S16" s="228">
        <f t="shared" si="1"/>
        <v>0</v>
      </c>
      <c r="T16" s="228">
        <f t="shared" si="2"/>
        <v>0</v>
      </c>
      <c r="U16" s="228">
        <f t="shared" si="3"/>
        <v>0</v>
      </c>
      <c r="V16" s="228"/>
      <c r="W16" s="225"/>
      <c r="X16" s="228"/>
      <c r="Y16" s="228"/>
      <c r="Z16" s="229">
        <f>VLOOKUP($C16,'A1 y A2-Valores por defecto'!$A$171:$N$176,3,FALSE)</f>
        <v>2.7E-2</v>
      </c>
      <c r="AA16" s="245" t="str">
        <f>VLOOKUP($C16,'A1 y A2-Valores por defecto'!$A$171:$N$176,4,FALSE)</f>
        <v>kgCH4/kg</v>
      </c>
      <c r="AB16" s="228">
        <f t="shared" si="4"/>
        <v>0</v>
      </c>
      <c r="AC16" s="228">
        <f>AB16*'A1 y A2-Valores por defecto'!$E$80</f>
        <v>0</v>
      </c>
      <c r="AD16" s="228"/>
      <c r="AE16" s="225"/>
      <c r="AF16" s="228"/>
      <c r="AG16" s="228"/>
      <c r="AH16" s="228">
        <f t="shared" si="5"/>
        <v>0</v>
      </c>
    </row>
    <row r="17" spans="2:34">
      <c r="B17" s="712" t="s">
        <v>67</v>
      </c>
      <c r="C17" s="224" t="s">
        <v>68</v>
      </c>
      <c r="D17" s="225" t="str">
        <f>VLOOKUP($C17,'A1 y A2-Valores por defecto'!$A$179:$R$183,2,FALSE)</f>
        <v>ton</v>
      </c>
      <c r="E17" s="226"/>
      <c r="F17" s="227"/>
      <c r="G17" s="227"/>
      <c r="H17" s="227"/>
      <c r="I17" s="227"/>
      <c r="J17" s="227"/>
      <c r="K17" s="227"/>
      <c r="L17" s="227"/>
      <c r="M17" s="227"/>
      <c r="N17" s="227"/>
      <c r="O17" s="227"/>
      <c r="P17" s="227"/>
      <c r="Q17" s="227"/>
      <c r="R17" s="228">
        <f t="shared" si="0"/>
        <v>0</v>
      </c>
      <c r="S17" s="228">
        <f t="shared" si="1"/>
        <v>0</v>
      </c>
      <c r="T17" s="228">
        <f t="shared" si="2"/>
        <v>0</v>
      </c>
      <c r="U17" s="228">
        <f t="shared" si="3"/>
        <v>0</v>
      </c>
      <c r="V17" s="229">
        <f>VLOOKUP($C17,'A1 y A2-Valores por defecto'!$A$179:$R$183,3,FALSE)</f>
        <v>0.13610666666666665</v>
      </c>
      <c r="W17" s="225" t="str">
        <f>VLOOKUP($C17,'A1 y A2-Valores por defecto'!$A$179:$R$183,4,FALSE)</f>
        <v xml:space="preserve">Kg CO2/ton </v>
      </c>
      <c r="X17" s="228">
        <f>($R17*$V17)/1000</f>
        <v>0</v>
      </c>
      <c r="Y17" s="228">
        <f>X17*1</f>
        <v>0</v>
      </c>
      <c r="Z17" s="229">
        <f>VLOOKUP($C17,'A1 y A2-Valores por defecto'!$A$179:$R$183,3,FALSE)</f>
        <v>0.13610666666666665</v>
      </c>
      <c r="AA17" s="245" t="str">
        <f>VLOOKUP($C17,'A1 y A2-Valores por defecto'!$A$179:$R$183,4,FALSE)</f>
        <v xml:space="preserve">Kg CO2/ton </v>
      </c>
      <c r="AB17" s="228">
        <f>($R17*$Z17)/1000</f>
        <v>0</v>
      </c>
      <c r="AC17" s="228">
        <f>AB17*'A1 y A2-Valores por defecto'!$E$80</f>
        <v>0</v>
      </c>
      <c r="AD17" s="229">
        <f>VLOOKUP($C17,'A1 y A2-Valores por defecto'!$A$179:$R$183,15,FALSE)</f>
        <v>0.15</v>
      </c>
      <c r="AE17" s="228" t="str">
        <f>VLOOKUP($C17,'A1 y A2-Valores por defecto'!$A$179:$R$183,16,FALSE)</f>
        <v xml:space="preserve">Kg N2O/ton </v>
      </c>
      <c r="AF17" s="228">
        <f t="shared" ref="AF17:AF23" si="6">R17*AD17/1000</f>
        <v>0</v>
      </c>
      <c r="AG17" s="228">
        <f>AF17*'A1 y A2-Valores por defecto'!$E$81</f>
        <v>0</v>
      </c>
      <c r="AH17" s="228">
        <f t="shared" si="5"/>
        <v>0</v>
      </c>
    </row>
    <row r="18" spans="2:34">
      <c r="B18" s="713"/>
      <c r="C18" s="224" t="s">
        <v>157</v>
      </c>
      <c r="D18" s="225" t="str">
        <f>VLOOKUP($C18,'A1 y A2-Valores por defecto'!$A$179:$R$183,2,FALSE)</f>
        <v>ton</v>
      </c>
      <c r="E18" s="226"/>
      <c r="F18" s="227"/>
      <c r="G18" s="227"/>
      <c r="H18" s="227"/>
      <c r="I18" s="227"/>
      <c r="J18" s="227"/>
      <c r="K18" s="227"/>
      <c r="L18" s="227"/>
      <c r="M18" s="227"/>
      <c r="N18" s="227"/>
      <c r="O18" s="227"/>
      <c r="P18" s="227"/>
      <c r="Q18" s="227"/>
      <c r="R18" s="228">
        <f t="shared" si="0"/>
        <v>0</v>
      </c>
      <c r="S18" s="228">
        <f t="shared" si="1"/>
        <v>0</v>
      </c>
      <c r="T18" s="228">
        <f t="shared" si="2"/>
        <v>0</v>
      </c>
      <c r="U18" s="228">
        <f t="shared" si="3"/>
        <v>0</v>
      </c>
      <c r="V18" s="229">
        <f>VLOOKUP($C18,'A1 y A2-Valores por defecto'!$A$179:$R$183,3,FALSE)</f>
        <v>0</v>
      </c>
      <c r="W18" s="225" t="str">
        <f>VLOOKUP($C18,'A1 y A2-Valores por defecto'!$A$179:$R$183,4,FALSE)</f>
        <v xml:space="preserve">Kg CO2/ton </v>
      </c>
      <c r="X18" s="228">
        <f>($R18*$V18)/1000</f>
        <v>0</v>
      </c>
      <c r="Y18" s="228">
        <f t="shared" ref="Y18:Y21" si="7">X18*1</f>
        <v>0</v>
      </c>
      <c r="Z18" s="229">
        <f>VLOOKUP($C18,'A1 y A2-Valores por defecto'!$A$179:$R$183,3,FALSE)</f>
        <v>0</v>
      </c>
      <c r="AA18" s="245" t="str">
        <f>VLOOKUP($C18,'A1 y A2-Valores por defecto'!$A$179:$R$183,4,FALSE)</f>
        <v xml:space="preserve">Kg CO2/ton </v>
      </c>
      <c r="AB18" s="228">
        <f>($R18*$Z18)/1000</f>
        <v>0</v>
      </c>
      <c r="AC18" s="228">
        <f>AB18*'A1 y A2-Valores por defecto'!$E$80</f>
        <v>0</v>
      </c>
      <c r="AD18" s="229">
        <f>VLOOKUP($C18,'A1 y A2-Valores por defecto'!$A$179:$R$183,15,FALSE)</f>
        <v>0.15</v>
      </c>
      <c r="AE18" s="228" t="str">
        <f>VLOOKUP($C18,'A1 y A2-Valores por defecto'!$A$179:$R$183,16,FALSE)</f>
        <v xml:space="preserve">Kg N2O/ton </v>
      </c>
      <c r="AF18" s="228">
        <f t="shared" si="6"/>
        <v>0</v>
      </c>
      <c r="AG18" s="228">
        <f>AF18*'A1 y A2-Valores por defecto'!$E$81</f>
        <v>0</v>
      </c>
      <c r="AH18" s="228">
        <f t="shared" si="5"/>
        <v>0</v>
      </c>
    </row>
    <row r="19" spans="2:34">
      <c r="B19" s="714"/>
      <c r="C19" s="224" t="s">
        <v>69</v>
      </c>
      <c r="D19" s="225" t="str">
        <f>VLOOKUP($C19,'A1 y A2-Valores por defecto'!$A$179:$R$183,2,FALSE)</f>
        <v>ton</v>
      </c>
      <c r="E19" s="226"/>
      <c r="F19" s="227"/>
      <c r="G19" s="227"/>
      <c r="H19" s="227"/>
      <c r="I19" s="227"/>
      <c r="J19" s="227"/>
      <c r="K19" s="227"/>
      <c r="L19" s="227"/>
      <c r="M19" s="227"/>
      <c r="N19" s="227"/>
      <c r="O19" s="227"/>
      <c r="P19" s="227"/>
      <c r="Q19" s="227"/>
      <c r="R19" s="228">
        <f t="shared" si="0"/>
        <v>0</v>
      </c>
      <c r="S19" s="228">
        <f t="shared" si="1"/>
        <v>0</v>
      </c>
      <c r="T19" s="228">
        <f t="shared" si="2"/>
        <v>0</v>
      </c>
      <c r="U19" s="228">
        <f t="shared" si="3"/>
        <v>0</v>
      </c>
      <c r="V19" s="229">
        <f>VLOOKUP($C19,'A1 y A2-Valores por defecto'!$A$179:$R$183,3,FALSE)</f>
        <v>0</v>
      </c>
      <c r="W19" s="225" t="str">
        <f>VLOOKUP($C19,'A1 y A2-Valores por defecto'!$A$179:$R$183,4,FALSE)</f>
        <v xml:space="preserve">Kg CO2/ton </v>
      </c>
      <c r="X19" s="228">
        <f>($R19*$V19)/1000</f>
        <v>0</v>
      </c>
      <c r="Y19" s="228">
        <f t="shared" si="7"/>
        <v>0</v>
      </c>
      <c r="Z19" s="229">
        <f>VLOOKUP($C19,'A1 y A2-Valores por defecto'!$A$179:$R$183,3,FALSE)</f>
        <v>0</v>
      </c>
      <c r="AA19" s="245" t="str">
        <f>VLOOKUP($C19,'A1 y A2-Valores por defecto'!$A$179:$R$183,4,FALSE)</f>
        <v xml:space="preserve">Kg CO2/ton </v>
      </c>
      <c r="AB19" s="228">
        <f>($R19*$Z19)/1000</f>
        <v>0</v>
      </c>
      <c r="AC19" s="228">
        <f>AB19*'A1 y A2-Valores por defecto'!$E$80</f>
        <v>0</v>
      </c>
      <c r="AD19" s="229">
        <f>VLOOKUP($C19,'A1 y A2-Valores por defecto'!$A$179:$R$183,15,FALSE)</f>
        <v>0.15</v>
      </c>
      <c r="AE19" s="228" t="str">
        <f>VLOOKUP($C19,'A1 y A2-Valores por defecto'!$A$179:$R$183,16,FALSE)</f>
        <v xml:space="preserve">Kg N2O/ton </v>
      </c>
      <c r="AF19" s="228">
        <f t="shared" si="6"/>
        <v>0</v>
      </c>
      <c r="AG19" s="228">
        <f>AF19*'A1 y A2-Valores por defecto'!$E$81</f>
        <v>0</v>
      </c>
      <c r="AH19" s="228">
        <f t="shared" si="5"/>
        <v>0</v>
      </c>
    </row>
    <row r="20" spans="2:34">
      <c r="B20" s="712" t="s">
        <v>70</v>
      </c>
      <c r="C20" s="224" t="s">
        <v>159</v>
      </c>
      <c r="D20" s="225" t="str">
        <f>VLOOKUP($C20,'A1 y A2-Valores por defecto'!$A$186:$O$186,2,FALSE)</f>
        <v>ha</v>
      </c>
      <c r="E20" s="226"/>
      <c r="F20" s="227"/>
      <c r="G20" s="227"/>
      <c r="H20" s="227"/>
      <c r="I20" s="227"/>
      <c r="J20" s="227"/>
      <c r="K20" s="227"/>
      <c r="L20" s="227"/>
      <c r="M20" s="227"/>
      <c r="N20" s="227"/>
      <c r="O20" s="227"/>
      <c r="P20" s="227"/>
      <c r="Q20" s="227"/>
      <c r="R20" s="228">
        <f t="shared" si="0"/>
        <v>0</v>
      </c>
      <c r="S20" s="228">
        <f t="shared" si="1"/>
        <v>0</v>
      </c>
      <c r="T20" s="228">
        <f t="shared" si="2"/>
        <v>0</v>
      </c>
      <c r="U20" s="228">
        <f t="shared" si="3"/>
        <v>0</v>
      </c>
      <c r="V20" s="229">
        <f>VLOOKUP($C20,'A1 y A2-Valores por defecto'!$A$185:$P$186,15,FALSE)</f>
        <v>581.37625000000003</v>
      </c>
      <c r="W20" s="225" t="str">
        <f>VLOOKUP($C20,'A1 y A2-Valores por defecto'!$A$185:$P$186,16,FALSE)</f>
        <v>kgCO2 / ton</v>
      </c>
      <c r="X20" s="228">
        <f>($R20*$V20)/1000</f>
        <v>0</v>
      </c>
      <c r="Y20" s="228">
        <f t="shared" si="7"/>
        <v>0</v>
      </c>
      <c r="Z20" s="229">
        <f>VLOOKUP($C20,'A1 y A2-Valores por defecto'!$A$185:$P$186,3,FALSE)</f>
        <v>2.7</v>
      </c>
      <c r="AA20" s="228" t="str">
        <f>VLOOKUP($C20,'A1 y A2-Valores por defecto'!$A$185:$P$186,4,FALSE)</f>
        <v>kgCH4 / ton</v>
      </c>
      <c r="AB20" s="228">
        <f>($R20*$Z20)/1000</f>
        <v>0</v>
      </c>
      <c r="AC20" s="228">
        <f>AB20*'A1 y A2-Valores por defecto'!$E$80</f>
        <v>0</v>
      </c>
      <c r="AD20" s="229">
        <f>VLOOKUP($C20,'A1 y A2-Valores por defecto'!$A$185:$P$186,7,FALSE)</f>
        <v>7.0000000000000007E-2</v>
      </c>
      <c r="AE20" s="228" t="str">
        <f>VLOOKUP($C20,'A1 y A2-Valores por defecto'!$A$185:$P$186,8,FALSE)</f>
        <v>kgN2O / ton</v>
      </c>
      <c r="AF20" s="228">
        <f t="shared" si="6"/>
        <v>0</v>
      </c>
      <c r="AG20" s="228">
        <f>AF20*'A1 y A2-Valores por defecto'!$E$81</f>
        <v>0</v>
      </c>
      <c r="AH20" s="228">
        <f t="shared" si="5"/>
        <v>0</v>
      </c>
    </row>
    <row r="21" spans="2:34">
      <c r="B21" s="714"/>
      <c r="C21" s="224" t="s">
        <v>159</v>
      </c>
      <c r="D21" s="225" t="str">
        <f>VLOOKUP($C21,'A1 y A2-Valores por defecto'!$A$186:$O$186,2,FALSE)</f>
        <v>ha</v>
      </c>
      <c r="E21" s="226"/>
      <c r="F21" s="227"/>
      <c r="G21" s="227"/>
      <c r="H21" s="227"/>
      <c r="I21" s="227"/>
      <c r="J21" s="227"/>
      <c r="K21" s="227"/>
      <c r="L21" s="227"/>
      <c r="M21" s="227"/>
      <c r="N21" s="227"/>
      <c r="O21" s="227"/>
      <c r="P21" s="227"/>
      <c r="Q21" s="227"/>
      <c r="R21" s="228">
        <f t="shared" si="0"/>
        <v>0</v>
      </c>
      <c r="S21" s="228">
        <f t="shared" si="1"/>
        <v>0</v>
      </c>
      <c r="T21" s="228">
        <f t="shared" si="2"/>
        <v>0</v>
      </c>
      <c r="U21" s="228">
        <f t="shared" si="3"/>
        <v>0</v>
      </c>
      <c r="V21" s="229">
        <f>VLOOKUP($C21,'A1 y A2-Valores por defecto'!$A$185:$P$186,15,FALSE)</f>
        <v>581.37625000000003</v>
      </c>
      <c r="W21" s="225" t="str">
        <f>VLOOKUP($C21,'A1 y A2-Valores por defecto'!$A$185:$P$186,16,FALSE)</f>
        <v>kgCO2 / ton</v>
      </c>
      <c r="X21" s="228">
        <f>($R21*$V21)/1000</f>
        <v>0</v>
      </c>
      <c r="Y21" s="228">
        <f t="shared" si="7"/>
        <v>0</v>
      </c>
      <c r="Z21" s="229">
        <f>VLOOKUP($C21,'A1 y A2-Valores por defecto'!$A$185:$P$186,3,FALSE)</f>
        <v>2.7</v>
      </c>
      <c r="AA21" s="228" t="str">
        <f>VLOOKUP($C21,'A1 y A2-Valores por defecto'!$A$185:$P$186,4,FALSE)</f>
        <v>kgCH4 / ton</v>
      </c>
      <c r="AB21" s="228">
        <f>($R21*$Z21)/1000</f>
        <v>0</v>
      </c>
      <c r="AC21" s="228">
        <f>AB21*'A1 y A2-Valores por defecto'!$E$80</f>
        <v>0</v>
      </c>
      <c r="AD21" s="229">
        <f>VLOOKUP($C21,'A1 y A2-Valores por defecto'!$A$185:$P$186,7,FALSE)</f>
        <v>7.0000000000000007E-2</v>
      </c>
      <c r="AE21" s="228" t="str">
        <f>VLOOKUP($C21,'A1 y A2-Valores por defecto'!$A$185:$P$186,8,FALSE)</f>
        <v>kgN2O / ton</v>
      </c>
      <c r="AF21" s="228">
        <f t="shared" si="6"/>
        <v>0</v>
      </c>
      <c r="AG21" s="228">
        <f>AF21*'A1 y A2-Valores por defecto'!$E$81</f>
        <v>0</v>
      </c>
      <c r="AH21" s="228">
        <f t="shared" si="5"/>
        <v>0</v>
      </c>
    </row>
    <row r="22" spans="2:34" ht="24" customHeight="1">
      <c r="B22" s="712" t="s">
        <v>71</v>
      </c>
      <c r="C22" s="224" t="s">
        <v>72</v>
      </c>
      <c r="D22" s="225" t="str">
        <f>VLOOKUP($C22,'A1 y A2-Valores por defecto'!$A$189:$L$192,2,FALSE)</f>
        <v>ton de desecho tratado</v>
      </c>
      <c r="E22" s="226"/>
      <c r="F22" s="227"/>
      <c r="G22" s="227"/>
      <c r="H22" s="227"/>
      <c r="I22" s="227"/>
      <c r="J22" s="227"/>
      <c r="K22" s="227"/>
      <c r="L22" s="227"/>
      <c r="M22" s="227"/>
      <c r="N22" s="227"/>
      <c r="O22" s="227"/>
      <c r="P22" s="227"/>
      <c r="Q22" s="227"/>
      <c r="R22" s="228">
        <f t="shared" si="0"/>
        <v>0</v>
      </c>
      <c r="S22" s="228">
        <f t="shared" si="1"/>
        <v>0</v>
      </c>
      <c r="T22" s="228">
        <f t="shared" si="2"/>
        <v>0</v>
      </c>
      <c r="U22" s="228">
        <f t="shared" si="3"/>
        <v>0</v>
      </c>
      <c r="V22" s="228"/>
      <c r="W22" s="225"/>
      <c r="X22" s="228"/>
      <c r="Y22" s="228"/>
      <c r="Z22" s="229">
        <f>VLOOKUP($C22,'A1 y A2-Valores por defecto'!$A$189:$J$192,3,FALSE)</f>
        <v>10</v>
      </c>
      <c r="AA22" s="225" t="str">
        <f>VLOOKUP($C22,'A1 y A2-Valores por defecto'!$A$189:$J$192,4,FALSE)</f>
        <v>kg CH4 / ton</v>
      </c>
      <c r="AB22" s="228">
        <f>Z22*R22/1000</f>
        <v>0</v>
      </c>
      <c r="AC22" s="228">
        <f>AB22*'A1 y A2-Valores por defecto'!$E$80</f>
        <v>0</v>
      </c>
      <c r="AD22" s="229">
        <f>VLOOKUP($C22,'A1 y A2-Valores por defecto'!$A$189:$J$192,7,FALSE)</f>
        <v>0.6</v>
      </c>
      <c r="AE22" s="225" t="str">
        <f>VLOOKUP($C22,'A1 y A2-Valores por defecto'!$A$189:$J$192,8,FALSE)</f>
        <v>kg N2O / ton</v>
      </c>
      <c r="AF22" s="228">
        <f t="shared" si="6"/>
        <v>0</v>
      </c>
      <c r="AG22" s="228">
        <f>AF22*'A1 y A2-Valores por defecto'!$E$81</f>
        <v>0</v>
      </c>
      <c r="AH22" s="228">
        <f t="shared" si="5"/>
        <v>0</v>
      </c>
    </row>
    <row r="23" spans="2:34" ht="23.25" customHeight="1">
      <c r="B23" s="714"/>
      <c r="C23" s="224" t="s">
        <v>73</v>
      </c>
      <c r="D23" s="225" t="str">
        <f>VLOOKUP($C23,'A1 y A2-Valores por defecto'!$A$189:$L$192,2,FALSE)</f>
        <v>ton de desecho tratado</v>
      </c>
      <c r="E23" s="226"/>
      <c r="F23" s="227"/>
      <c r="G23" s="227"/>
      <c r="H23" s="227"/>
      <c r="I23" s="227"/>
      <c r="J23" s="227"/>
      <c r="K23" s="227"/>
      <c r="L23" s="227"/>
      <c r="M23" s="227"/>
      <c r="N23" s="227"/>
      <c r="O23" s="227"/>
      <c r="P23" s="227"/>
      <c r="Q23" s="227"/>
      <c r="R23" s="228">
        <f t="shared" si="0"/>
        <v>0</v>
      </c>
      <c r="S23" s="228">
        <f t="shared" si="1"/>
        <v>0</v>
      </c>
      <c r="T23" s="228">
        <f t="shared" si="2"/>
        <v>0</v>
      </c>
      <c r="U23" s="228">
        <f t="shared" si="3"/>
        <v>0</v>
      </c>
      <c r="V23" s="228"/>
      <c r="W23" s="225"/>
      <c r="X23" s="228"/>
      <c r="Y23" s="228"/>
      <c r="Z23" s="229">
        <f>VLOOKUP($C23,'A1 y A2-Valores por defecto'!$A$189:$J$192,3,FALSE)</f>
        <v>2</v>
      </c>
      <c r="AA23" s="225" t="str">
        <f>VLOOKUP($C23,'A1 y A2-Valores por defecto'!$A$189:$J$192,4,FALSE)</f>
        <v>kg CH4 / ton</v>
      </c>
      <c r="AB23" s="228">
        <f>Z23*R23/1000</f>
        <v>0</v>
      </c>
      <c r="AC23" s="228">
        <f>AB23*'A1 y A2-Valores por defecto'!$E$80</f>
        <v>0</v>
      </c>
      <c r="AD23" s="229">
        <f>VLOOKUP($C23,'A1 y A2-Valores por defecto'!$A$189:$J$192,7,FALSE)</f>
        <v>0</v>
      </c>
      <c r="AE23" s="225" t="str">
        <f>VLOOKUP($C23,'A1 y A2-Valores por defecto'!$A$189:$J$192,8,FALSE)</f>
        <v>kg N2O / ton</v>
      </c>
      <c r="AF23" s="228">
        <f t="shared" si="6"/>
        <v>0</v>
      </c>
      <c r="AG23" s="228">
        <f>AF23*'A1 y A2-Valores por defecto'!$E$81</f>
        <v>0</v>
      </c>
      <c r="AH23" s="228">
        <f t="shared" si="5"/>
        <v>0</v>
      </c>
    </row>
    <row r="24" spans="2:34">
      <c r="B24" s="712" t="s">
        <v>74</v>
      </c>
      <c r="C24" s="224" t="s">
        <v>75</v>
      </c>
      <c r="D24" s="225" t="str">
        <f>VLOOKUP($C24,'A1 y A2-Valores por defecto'!$A$195:$J$197,2,FALSE)</f>
        <v>kg</v>
      </c>
      <c r="E24" s="226"/>
      <c r="F24" s="227"/>
      <c r="G24" s="227"/>
      <c r="H24" s="227"/>
      <c r="I24" s="227"/>
      <c r="J24" s="227"/>
      <c r="K24" s="227"/>
      <c r="L24" s="227"/>
      <c r="M24" s="227"/>
      <c r="N24" s="227"/>
      <c r="O24" s="227"/>
      <c r="P24" s="227"/>
      <c r="Q24" s="227"/>
      <c r="R24" s="228">
        <f t="shared" si="0"/>
        <v>0</v>
      </c>
      <c r="S24" s="228">
        <f t="shared" si="1"/>
        <v>0</v>
      </c>
      <c r="T24" s="228">
        <f t="shared" si="2"/>
        <v>0</v>
      </c>
      <c r="U24" s="228">
        <f t="shared" si="3"/>
        <v>0</v>
      </c>
      <c r="V24" s="228"/>
      <c r="W24" s="225"/>
      <c r="X24" s="228"/>
      <c r="Y24" s="228"/>
      <c r="Z24" s="229">
        <f>VLOOKUP($C24,'A1 y A2-Valores por defecto'!$A$195:$J$197,3,FALSE)</f>
        <v>0.48</v>
      </c>
      <c r="AA24" s="225" t="str">
        <f>VLOOKUP($C24,'A1 y A2-Valores por defecto'!$A$195:$J$197,4,FALSE)</f>
        <v>kg CH4/kg</v>
      </c>
      <c r="AB24" s="228">
        <f>Z24*R24/1000</f>
        <v>0</v>
      </c>
      <c r="AC24" s="228">
        <f>AB24*'A1 y A2-Valores por defecto'!$E$80</f>
        <v>0</v>
      </c>
      <c r="AD24" s="228"/>
      <c r="AE24" s="225"/>
      <c r="AF24" s="228"/>
      <c r="AG24" s="228"/>
      <c r="AH24" s="228">
        <f t="shared" si="5"/>
        <v>0</v>
      </c>
    </row>
    <row r="25" spans="2:34">
      <c r="B25" s="713"/>
      <c r="C25" s="224" t="s">
        <v>76</v>
      </c>
      <c r="D25" s="225" t="str">
        <f>VLOOKUP($C25,'A1 y A2-Valores por defecto'!$A$195:$J$197,2,FALSE)</f>
        <v>kg</v>
      </c>
      <c r="E25" s="226"/>
      <c r="F25" s="227"/>
      <c r="G25" s="227"/>
      <c r="H25" s="227"/>
      <c r="I25" s="227"/>
      <c r="J25" s="227"/>
      <c r="K25" s="227"/>
      <c r="L25" s="227"/>
      <c r="M25" s="227"/>
      <c r="N25" s="227"/>
      <c r="O25" s="227"/>
      <c r="P25" s="227"/>
      <c r="Q25" s="227"/>
      <c r="R25" s="228">
        <f t="shared" si="0"/>
        <v>0</v>
      </c>
      <c r="S25" s="228">
        <f t="shared" si="1"/>
        <v>0</v>
      </c>
      <c r="T25" s="228">
        <f t="shared" si="2"/>
        <v>0</v>
      </c>
      <c r="U25" s="228">
        <f t="shared" si="3"/>
        <v>0</v>
      </c>
      <c r="V25" s="228"/>
      <c r="W25" s="225"/>
      <c r="X25" s="228"/>
      <c r="Y25" s="228"/>
      <c r="Z25" s="229">
        <f>VLOOKUP($C25,'A1 y A2-Valores por defecto'!$A$195:$J$197,3,FALSE)</f>
        <v>0.06</v>
      </c>
      <c r="AA25" s="225" t="str">
        <f>VLOOKUP($C25,'A1 y A2-Valores por defecto'!$A$195:$J$197,4,FALSE)</f>
        <v>kg CH4/kg</v>
      </c>
      <c r="AB25" s="228">
        <f>Z25*R25/1000</f>
        <v>0</v>
      </c>
      <c r="AC25" s="228">
        <f>AB25*'A1 y A2-Valores por defecto'!$E$80</f>
        <v>0</v>
      </c>
      <c r="AD25" s="228"/>
      <c r="AE25" s="225"/>
      <c r="AF25" s="228"/>
      <c r="AG25" s="228"/>
      <c r="AH25" s="228">
        <f t="shared" si="5"/>
        <v>0</v>
      </c>
    </row>
    <row r="26" spans="2:34">
      <c r="B26" s="714"/>
      <c r="C26" s="224" t="s">
        <v>77</v>
      </c>
      <c r="D26" s="225" t="str">
        <f>VLOOKUP($C26,'A1 y A2-Valores por defecto'!$A$195:$J$197,2,FALSE)</f>
        <v>kg</v>
      </c>
      <c r="E26" s="226"/>
      <c r="F26" s="227"/>
      <c r="G26" s="227"/>
      <c r="H26" s="227"/>
      <c r="I26" s="227"/>
      <c r="J26" s="227"/>
      <c r="K26" s="227"/>
      <c r="L26" s="227"/>
      <c r="M26" s="227"/>
      <c r="N26" s="227"/>
      <c r="O26" s="227"/>
      <c r="P26" s="227"/>
      <c r="Q26" s="227"/>
      <c r="R26" s="228">
        <f t="shared" si="0"/>
        <v>0</v>
      </c>
      <c r="S26" s="228">
        <f t="shared" si="1"/>
        <v>0</v>
      </c>
      <c r="T26" s="228">
        <f t="shared" si="2"/>
        <v>0</v>
      </c>
      <c r="U26" s="228">
        <f t="shared" si="3"/>
        <v>0</v>
      </c>
      <c r="V26" s="228"/>
      <c r="W26" s="225"/>
      <c r="X26" s="228"/>
      <c r="Y26" s="228"/>
      <c r="Z26" s="229">
        <f>VLOOKUP($C26,'A1 y A2-Valores por defecto'!$A$195:$J$197,3,FALSE)</f>
        <v>0.48</v>
      </c>
      <c r="AA26" s="225" t="str">
        <f>VLOOKUP($C26,'A1 y A2-Valores por defecto'!$A$195:$J$197,4,FALSE)</f>
        <v>kg CH4/kg</v>
      </c>
      <c r="AB26" s="228">
        <f>Z26*R26/1000</f>
        <v>0</v>
      </c>
      <c r="AC26" s="228">
        <f>AB26*'A1 y A2-Valores por defecto'!$E$80</f>
        <v>0</v>
      </c>
      <c r="AD26" s="228"/>
      <c r="AE26" s="225"/>
      <c r="AF26" s="228"/>
      <c r="AG26" s="228"/>
      <c r="AH26" s="228">
        <f t="shared" si="5"/>
        <v>0</v>
      </c>
    </row>
    <row r="27" spans="2:34" ht="30">
      <c r="B27" s="209" t="s">
        <v>284</v>
      </c>
      <c r="C27" s="234"/>
      <c r="D27" s="232"/>
      <c r="E27" s="232"/>
      <c r="F27" s="244"/>
      <c r="G27" s="244"/>
      <c r="H27" s="244"/>
      <c r="I27" s="244"/>
      <c r="J27" s="244"/>
      <c r="K27" s="244"/>
      <c r="L27" s="244"/>
      <c r="M27" s="244"/>
      <c r="N27" s="244"/>
      <c r="O27" s="244"/>
      <c r="P27" s="244"/>
      <c r="Q27" s="244"/>
      <c r="R27" s="235"/>
      <c r="S27" s="235"/>
      <c r="T27" s="235"/>
      <c r="U27" s="235"/>
      <c r="V27" s="232"/>
      <c r="W27" s="232"/>
      <c r="X27" s="232"/>
      <c r="Y27" s="235">
        <f>SUM(Y8:Y26)</f>
        <v>0</v>
      </c>
      <c r="Z27" s="232"/>
      <c r="AA27" s="232"/>
      <c r="AB27" s="232"/>
      <c r="AC27" s="235">
        <f>SUM(AC8:AC26)</f>
        <v>0</v>
      </c>
      <c r="AD27" s="232"/>
      <c r="AE27" s="232"/>
      <c r="AF27" s="232"/>
      <c r="AG27" s="235">
        <f>SUM(AG8:AG26)</f>
        <v>0</v>
      </c>
      <c r="AH27" s="235">
        <f>SUM(AH8:AH26)</f>
        <v>0</v>
      </c>
    </row>
    <row r="28" spans="2:34" ht="25.5" customHeight="1">
      <c r="B28" s="191" t="s">
        <v>79</v>
      </c>
    </row>
  </sheetData>
  <sheetProtection insertRows="0"/>
  <mergeCells count="22">
    <mergeCell ref="E6:E7"/>
    <mergeCell ref="B14:B16"/>
    <mergeCell ref="B17:B19"/>
    <mergeCell ref="B20:B21"/>
    <mergeCell ref="B22:B23"/>
    <mergeCell ref="B8:B10"/>
    <mergeCell ref="B24:B26"/>
    <mergeCell ref="B11:B13"/>
    <mergeCell ref="B1:AH1"/>
    <mergeCell ref="B4:AH4"/>
    <mergeCell ref="B6:B7"/>
    <mergeCell ref="C6:C7"/>
    <mergeCell ref="D6:D7"/>
    <mergeCell ref="F6:S6"/>
    <mergeCell ref="T6:U6"/>
    <mergeCell ref="V6:Y6"/>
    <mergeCell ref="Z6:AC6"/>
    <mergeCell ref="AH6:AH7"/>
    <mergeCell ref="V7:W7"/>
    <mergeCell ref="Z7:AA7"/>
    <mergeCell ref="AD6:AG6"/>
    <mergeCell ref="AD7:AE7"/>
  </mergeCell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8">
        <x14:dataValidation type="list" allowBlank="1" showErrorMessage="1" xr:uid="{CAA9C446-D887-45CD-9A22-6E1E33DEEA08}">
          <x14:formula1>
            <xm:f>'A1 y A2-Valores por defecto'!$A$179:$A$183</xm:f>
          </x14:formula1>
          <xm:sqref>C17:C19</xm:sqref>
        </x14:dataValidation>
        <x14:dataValidation type="list" allowBlank="1" showErrorMessage="1" xr:uid="{21936884-5B23-498E-8B8C-9D11796B4B7A}">
          <x14:formula1>
            <xm:f>'A1 y A2-Valores por defecto'!$A$189:$A$192</xm:f>
          </x14:formula1>
          <xm:sqref>C22:C23</xm:sqref>
        </x14:dataValidation>
        <x14:dataValidation type="list" allowBlank="1" showErrorMessage="1" xr:uid="{2A2D4D3D-4AA9-4D0F-8A2F-D66B7D7E50A8}">
          <x14:formula1>
            <xm:f>'A1 y A2-Valores por defecto'!$A$195:$A$197</xm:f>
          </x14:formula1>
          <xm:sqref>C24:C26</xm:sqref>
        </x14:dataValidation>
        <x14:dataValidation type="list" allowBlank="1" showErrorMessage="1" xr:uid="{ED43D541-3D38-4A1A-ACCB-8AF464925FBB}">
          <x14:formula1>
            <xm:f>'A1 y A2-Valores por defecto'!$A$165:$A$169</xm:f>
          </x14:formula1>
          <xm:sqref>C12:C13</xm:sqref>
        </x14:dataValidation>
        <x14:dataValidation type="list" allowBlank="1" showErrorMessage="1" xr:uid="{CF5EDF90-DC6C-49AF-B329-3CA8A56E3FE9}">
          <x14:formula1>
            <xm:f>'A1 y A2-Valores por defecto'!$A$159:$A$164</xm:f>
          </x14:formula1>
          <xm:sqref>C8:C10</xm:sqref>
        </x14:dataValidation>
        <x14:dataValidation type="list" allowBlank="1" showErrorMessage="1" xr:uid="{8FD8DAA7-8A8C-49ED-858C-8A4B8C21AAB6}">
          <x14:formula1>
            <xm:f>'A1 y A2-Valores por defecto'!$A$165:$A$170</xm:f>
          </x14:formula1>
          <xm:sqref>C11</xm:sqref>
        </x14:dataValidation>
        <x14:dataValidation type="list" allowBlank="1" showErrorMessage="1" xr:uid="{D6BD278F-FCC3-4052-8019-590D85DC9AD9}">
          <x14:formula1>
            <xm:f>'A1 y A2-Valores por defecto'!$A$171:$A$176</xm:f>
          </x14:formula1>
          <xm:sqref>C14:C16</xm:sqref>
        </x14:dataValidation>
        <x14:dataValidation type="list" allowBlank="1" showErrorMessage="1" xr:uid="{093F07D9-AD30-45E4-949A-03F9BBBE66FC}">
          <x14:formula1>
            <xm:f>'A1 y A2-Valores por defecto'!$A$186</xm:f>
          </x14:formula1>
          <xm:sqref>C20:C21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Indicaciones</vt:lpstr>
      <vt:lpstr>Datos de la organización</vt:lpstr>
      <vt:lpstr>Resultados</vt:lpstr>
      <vt:lpstr>A1-Fuentes móviles</vt:lpstr>
      <vt:lpstr>A1-Fuentes fijas</vt:lpstr>
      <vt:lpstr>A1-IPPU</vt:lpstr>
      <vt:lpstr>A1- Otros procesos</vt:lpstr>
      <vt:lpstr>A1-Refrigerantes</vt:lpstr>
      <vt:lpstr>A1-Gestión de residuos y aguas </vt:lpstr>
      <vt:lpstr>A1-Equipos eléctricos</vt:lpstr>
      <vt:lpstr>A2-Consumo de electricidad</vt:lpstr>
      <vt:lpstr>A3-Transporte de empleados</vt:lpstr>
      <vt:lpstr>A3-Viajes de negocio</vt:lpstr>
      <vt:lpstr>A3-Transporte de carga</vt:lpstr>
      <vt:lpstr>A3-Bienes y servicios comprados</vt:lpstr>
      <vt:lpstr>A3-R. generados en operaciones</vt:lpstr>
      <vt:lpstr>A3-Otras fuentes</vt:lpstr>
      <vt:lpstr>Medidas de mitigación</vt:lpstr>
      <vt:lpstr>A1 y A2-Valores por defecto</vt:lpstr>
      <vt:lpstr>A3-Valores por defecto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Daniel Quiñones</cp:lastModifiedBy>
  <dcterms:created xsi:type="dcterms:W3CDTF">2022-04-11T00:56:08Z</dcterms:created>
  <dcterms:modified xsi:type="dcterms:W3CDTF">2026-06-24T16:14:45Z</dcterms:modified>
</cp:coreProperties>
</file>