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1.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520"/>
  <workbookPr codeName="ThisWorkbook" defaultThemeVersion="124226"/>
  <mc:AlternateContent xmlns:mc="http://schemas.openxmlformats.org/markup-compatibility/2006">
    <mc:Choice Requires="x15">
      <x15ac:absPath xmlns:x15ac="http://schemas.microsoft.com/office/spreadsheetml/2010/11/ac" url="/Users/juliaprotocurihallal/Downloads/Adaptación en Acción/"/>
    </mc:Choice>
  </mc:AlternateContent>
  <xr:revisionPtr revIDLastSave="0" documentId="8_{92FA7E18-458A-F443-B725-D078AB73EDE2}" xr6:coauthVersionLast="47" xr6:coauthVersionMax="47" xr10:uidLastSave="{00000000-0000-0000-0000-000000000000}"/>
  <bookViews>
    <workbookView xWindow="480" yWindow="500" windowWidth="28060" windowHeight="16300" tabRatio="904"/>
  </bookViews>
  <sheets>
    <sheet name="Intro" sheetId="21" r:id="rId1"/>
    <sheet name="Info Gral" sheetId="8" r:id="rId2"/>
    <sheet name="Calc Escurrimiento" sheetId="1" r:id="rId3"/>
    <sheet name="Ht - Hv - Volumen" sheetId="15" r:id="rId4"/>
    <sheet name="Avenida Proy" sheetId="16" r:id="rId5"/>
    <sheet name="Diseño Aliv-Canal" sheetId="24" r:id="rId6"/>
    <sheet name="Datos Gr q E sn2" sheetId="30" state="hidden" r:id="rId7"/>
    <sheet name="C de Coronam" sheetId="26" r:id="rId8"/>
    <sheet name="Anexo Escurrimiento" sheetId="22" r:id="rId9"/>
    <sheet name="Anexo Bal Hídrico" sheetId="3" r:id="rId10"/>
    <sheet name="Anexo Geom Emb" sheetId="6" r:id="rId11"/>
    <sheet name="CRSU-AD-GH" sheetId="31" r:id="rId12"/>
    <sheet name="Evap Tanque" sheetId="14" r:id="rId13"/>
    <sheet name="Mapa Est. Pluviom" sheetId="9" r:id="rId14"/>
    <sheet name="Precip 1981-2010" sheetId="28" r:id="rId15"/>
  </sheets>
  <definedNames>
    <definedName name="_xlnm._FilterDatabase" localSheetId="1" hidden="1">'Info Gral'!#REF!</definedName>
    <definedName name="a_">'Info Gral'!$K$7</definedName>
    <definedName name="Ac">'Info Gral'!$C$18</definedName>
    <definedName name="AD">'Anexo Escurrimiento'!$M$11</definedName>
    <definedName name="Ar">'Anexo Bal Hídrico'!$G$4</definedName>
    <definedName name="b_">'Info Gral'!$K$8</definedName>
    <definedName name="c_">'Info Gral'!$K$9</definedName>
    <definedName name="CAD">'Anexo Escurrimiento'!$AC$8</definedName>
    <definedName name="CP.o">'Anexo Escurrimiento'!$AC$9</definedName>
    <definedName name="CRSU">'CRSU-AD-GH'!$A$5:$A$104</definedName>
    <definedName name="CRSU_AD_GH">'CRSU-AD-GH'!$A$4:$D$104</definedName>
    <definedName name="d_">'Info Gral'!$K$10</definedName>
    <definedName name="e_">'Anexo Geom Emb'!$G$5</definedName>
    <definedName name="ETPm">'Info Gral'!$C$11</definedName>
    <definedName name="Evaporacion">'Evap Tanque'!$A$6:$A$19</definedName>
    <definedName name="f_">'Anexo Geom Emb'!$G$6</definedName>
    <definedName name="g_">'Anexo Geom Emb'!$G$7</definedName>
    <definedName name="h_">'Anexo Geom Emb'!$G$8</definedName>
    <definedName name="Hast">'Anexo Geom Emb'!$A$9</definedName>
    <definedName name="Hmáx">'Anexo Escurrimiento'!$AC$8</definedName>
    <definedName name="Ht">'Anexo Bal Hídrico'!$E$4</definedName>
    <definedName name="Hv">'Anexo Bal Hídrico'!$F$4</definedName>
    <definedName name="Imax">'Anexo Escurrimiento'!$AC$10</definedName>
    <definedName name="Precipitaciones">'Precip 1981-2010'!$D$5:$AL$5</definedName>
    <definedName name="_xlnm.Print_Area" localSheetId="9">'Anexo Bal Hídrico'!$A$1:$Z$32</definedName>
    <definedName name="_xlnm.Print_Area" localSheetId="8">'Anexo Escurrimiento'!$A$1:$O$48</definedName>
    <definedName name="_xlnm.Print_Area" localSheetId="5">'Diseño Aliv-Canal'!$A:$G</definedName>
    <definedName name="_xlnm.Print_Titles" localSheetId="9">'Anexo Bal Hídrico'!$1:$6</definedName>
    <definedName name="_xlnm.Print_Titles" localSheetId="8">'Anexo Escurrimiento'!$15:$16</definedName>
    <definedName name="_xlnm.Print_Titles" localSheetId="11">'CRSU-AD-GH'!$1:$3</definedName>
    <definedName name="_xlnm.Print_Titles" localSheetId="14">'Precip 1981-2010'!$A:$C,'Precip 1981-2010'!$5:$5</definedName>
    <definedName name="solver_adj" localSheetId="10" hidden="1">'Anexo Geom Emb'!$A$9</definedName>
    <definedName name="solver_adj" localSheetId="6" hidden="1">'Datos Gr q E sn2'!#REF!</definedName>
    <definedName name="solver_cvg" localSheetId="10" hidden="1">0.0001</definedName>
    <definedName name="solver_cvg" localSheetId="6" hidden="1">0.0001</definedName>
    <definedName name="solver_drv" localSheetId="10" hidden="1">1</definedName>
    <definedName name="solver_drv" localSheetId="6" hidden="1">1</definedName>
    <definedName name="solver_est" localSheetId="10" hidden="1">1</definedName>
    <definedName name="solver_est" localSheetId="6" hidden="1">1</definedName>
    <definedName name="solver_itr" localSheetId="10" hidden="1">100</definedName>
    <definedName name="solver_itr" localSheetId="6" hidden="1">100</definedName>
    <definedName name="solver_lin" localSheetId="10" hidden="1">2</definedName>
    <definedName name="solver_lin" localSheetId="6" hidden="1">2</definedName>
    <definedName name="solver_neg" localSheetId="10" hidden="1">2</definedName>
    <definedName name="solver_neg" localSheetId="6" hidden="1">2</definedName>
    <definedName name="solver_num" localSheetId="10" hidden="1">0</definedName>
    <definedName name="solver_num" localSheetId="6" hidden="1">0</definedName>
    <definedName name="solver_nwt" localSheetId="10" hidden="1">1</definedName>
    <definedName name="solver_nwt" localSheetId="6" hidden="1">1</definedName>
    <definedName name="solver_opt" localSheetId="10" hidden="1">'Info Gral'!$J$12</definedName>
    <definedName name="solver_opt" localSheetId="6" hidden="1">'Datos Gr q E sn2'!#REF!</definedName>
    <definedName name="solver_pre" localSheetId="10" hidden="1">0.000001</definedName>
    <definedName name="solver_pre" localSheetId="6" hidden="1">0.000001</definedName>
    <definedName name="solver_scl" localSheetId="10" hidden="1">2</definedName>
    <definedName name="solver_scl" localSheetId="6" hidden="1">2</definedName>
    <definedName name="solver_sho" localSheetId="10" hidden="1">2</definedName>
    <definedName name="solver_sho" localSheetId="6" hidden="1">2</definedName>
    <definedName name="solver_tim" localSheetId="10" hidden="1">100</definedName>
    <definedName name="solver_tim" localSheetId="6" hidden="1">100</definedName>
    <definedName name="solver_tol" localSheetId="10" hidden="1">0.05</definedName>
    <definedName name="solver_tol" localSheetId="6" hidden="1">0.05</definedName>
    <definedName name="solver_typ" localSheetId="10" hidden="1">1</definedName>
    <definedName name="solver_typ" localSheetId="6" hidden="1">3</definedName>
    <definedName name="solver_val" localSheetId="10" hidden="1">0</definedName>
    <definedName name="solver_val" localSheetId="6" hidden="1">18</definedName>
    <definedName name="VolHt">'Anexo Bal Hídrico'!$I$4</definedName>
    <definedName name="VolHv">'Anexo Bal Hídrico'!$J$4</definedName>
    <definedName name="α">'Anexo Escurrimiento'!$AC$11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5" l="1"/>
  <c r="B26" i="15" s="1"/>
  <c r="C26" i="15"/>
  <c r="C27" i="15" s="1"/>
  <c r="C28" i="15" s="1"/>
  <c r="C29" i="15"/>
  <c r="C30" i="15" s="1"/>
  <c r="B29" i="15"/>
  <c r="B30" i="15"/>
  <c r="B35" i="15" s="1"/>
  <c r="B40" i="15" s="1"/>
  <c r="C36" i="15"/>
  <c r="F23" i="15"/>
  <c r="C31" i="15"/>
  <c r="C32" i="15" s="1"/>
  <c r="C33" i="15" s="1"/>
  <c r="C24" i="15" s="1"/>
  <c r="F4" i="3" s="1"/>
  <c r="I31" i="15"/>
  <c r="H31" i="15"/>
  <c r="G31" i="15"/>
  <c r="I30" i="15"/>
  <c r="H30" i="15"/>
  <c r="G30" i="15"/>
  <c r="I29" i="15"/>
  <c r="H29" i="15"/>
  <c r="G29" i="15"/>
  <c r="I28" i="15"/>
  <c r="H28" i="15"/>
  <c r="G28" i="15"/>
  <c r="I27" i="15"/>
  <c r="H27" i="15"/>
  <c r="G27" i="15"/>
  <c r="C37" i="15"/>
  <c r="C38" i="15"/>
  <c r="C39" i="15" s="1"/>
  <c r="C40" i="15"/>
  <c r="E4" i="3"/>
  <c r="B367" i="3"/>
  <c r="T367" i="3"/>
  <c r="A367" i="3"/>
  <c r="S367" i="3" s="1"/>
  <c r="B366" i="3"/>
  <c r="T366" i="3"/>
  <c r="A366" i="3"/>
  <c r="S366" i="3"/>
  <c r="B365" i="3"/>
  <c r="T365" i="3" s="1"/>
  <c r="A365" i="3"/>
  <c r="S365" i="3" s="1"/>
  <c r="B364" i="3"/>
  <c r="T364" i="3"/>
  <c r="A364" i="3"/>
  <c r="S364" i="3"/>
  <c r="B363" i="3"/>
  <c r="T363" i="3"/>
  <c r="A363" i="3"/>
  <c r="S363" i="3" s="1"/>
  <c r="B362" i="3"/>
  <c r="T362" i="3" s="1"/>
  <c r="A362" i="3"/>
  <c r="S362" i="3"/>
  <c r="B361" i="3"/>
  <c r="T361" i="3" s="1"/>
  <c r="A361" i="3"/>
  <c r="S361" i="3" s="1"/>
  <c r="B360" i="3"/>
  <c r="T360" i="3"/>
  <c r="A360" i="3"/>
  <c r="S360" i="3"/>
  <c r="B359" i="3"/>
  <c r="T359" i="3"/>
  <c r="A359" i="3"/>
  <c r="S359" i="3" s="1"/>
  <c r="B358" i="3"/>
  <c r="T358" i="3" s="1"/>
  <c r="A358" i="3"/>
  <c r="S358" i="3"/>
  <c r="B357" i="3"/>
  <c r="T357" i="3"/>
  <c r="A357" i="3"/>
  <c r="S357" i="3" s="1"/>
  <c r="B356" i="3"/>
  <c r="T356" i="3" s="1"/>
  <c r="A356" i="3"/>
  <c r="S356" i="3"/>
  <c r="B355" i="3"/>
  <c r="T355" i="3"/>
  <c r="A355" i="3"/>
  <c r="S355" i="3" s="1"/>
  <c r="B354" i="3"/>
  <c r="T354" i="3"/>
  <c r="A354" i="3"/>
  <c r="S354" i="3"/>
  <c r="B353" i="3"/>
  <c r="T353" i="3" s="1"/>
  <c r="A353" i="3"/>
  <c r="S353" i="3" s="1"/>
  <c r="B352" i="3"/>
  <c r="T352" i="3"/>
  <c r="A352" i="3"/>
  <c r="S352" i="3"/>
  <c r="B351" i="3"/>
  <c r="T351" i="3"/>
  <c r="A351" i="3"/>
  <c r="S351" i="3" s="1"/>
  <c r="B350" i="3"/>
  <c r="T350" i="3"/>
  <c r="A350" i="3"/>
  <c r="S350" i="3"/>
  <c r="B349" i="3"/>
  <c r="T349" i="3" s="1"/>
  <c r="A349" i="3"/>
  <c r="S349" i="3" s="1"/>
  <c r="B348" i="3"/>
  <c r="T348" i="3"/>
  <c r="A348" i="3"/>
  <c r="S348" i="3"/>
  <c r="B347" i="3"/>
  <c r="T347" i="3"/>
  <c r="A347" i="3"/>
  <c r="S347" i="3" s="1"/>
  <c r="B346" i="3"/>
  <c r="T346" i="3" s="1"/>
  <c r="A346" i="3"/>
  <c r="S346" i="3"/>
  <c r="B345" i="3"/>
  <c r="T345" i="3"/>
  <c r="A345" i="3"/>
  <c r="S345" i="3" s="1"/>
  <c r="B344" i="3"/>
  <c r="T344" i="3"/>
  <c r="A344" i="3"/>
  <c r="S344" i="3"/>
  <c r="B343" i="3"/>
  <c r="T343" i="3"/>
  <c r="A343" i="3"/>
  <c r="S343" i="3" s="1"/>
  <c r="B342" i="3"/>
  <c r="T342" i="3" s="1"/>
  <c r="A342" i="3"/>
  <c r="S342" i="3"/>
  <c r="B341" i="3"/>
  <c r="T341" i="3"/>
  <c r="A341" i="3"/>
  <c r="S341" i="3" s="1"/>
  <c r="B340" i="3"/>
  <c r="T340" i="3"/>
  <c r="A340" i="3"/>
  <c r="S340" i="3"/>
  <c r="B339" i="3"/>
  <c r="T339" i="3"/>
  <c r="A339" i="3"/>
  <c r="S339" i="3" s="1"/>
  <c r="B338" i="3"/>
  <c r="T338" i="3"/>
  <c r="A338" i="3"/>
  <c r="S338" i="3"/>
  <c r="B337" i="3"/>
  <c r="T337" i="3" s="1"/>
  <c r="A337" i="3"/>
  <c r="S337" i="3" s="1"/>
  <c r="B336" i="3"/>
  <c r="T336" i="3"/>
  <c r="A336" i="3"/>
  <c r="S336" i="3"/>
  <c r="B335" i="3"/>
  <c r="T335" i="3"/>
  <c r="A335" i="3"/>
  <c r="S335" i="3" s="1"/>
  <c r="B334" i="3"/>
  <c r="T334" i="3"/>
  <c r="A334" i="3"/>
  <c r="S334" i="3"/>
  <c r="B333" i="3"/>
  <c r="T333" i="3" s="1"/>
  <c r="A333" i="3"/>
  <c r="S333" i="3" s="1"/>
  <c r="B332" i="3"/>
  <c r="T332" i="3"/>
  <c r="A332" i="3"/>
  <c r="S332" i="3"/>
  <c r="B331" i="3"/>
  <c r="T331" i="3"/>
  <c r="A331" i="3"/>
  <c r="S331" i="3" s="1"/>
  <c r="B330" i="3"/>
  <c r="T330" i="3" s="1"/>
  <c r="A330" i="3"/>
  <c r="S330" i="3"/>
  <c r="B329" i="3"/>
  <c r="T329" i="3" s="1"/>
  <c r="A329" i="3"/>
  <c r="S329" i="3" s="1"/>
  <c r="B328" i="3"/>
  <c r="T328" i="3"/>
  <c r="A328" i="3"/>
  <c r="S328" i="3"/>
  <c r="B327" i="3"/>
  <c r="T327" i="3"/>
  <c r="A327" i="3"/>
  <c r="S327" i="3" s="1"/>
  <c r="B326" i="3"/>
  <c r="T326" i="3" s="1"/>
  <c r="A326" i="3"/>
  <c r="S326" i="3"/>
  <c r="B325" i="3"/>
  <c r="T325" i="3"/>
  <c r="A325" i="3"/>
  <c r="S325" i="3" s="1"/>
  <c r="B324" i="3"/>
  <c r="T324" i="3" s="1"/>
  <c r="A324" i="3"/>
  <c r="S324" i="3"/>
  <c r="B323" i="3"/>
  <c r="T323" i="3"/>
  <c r="A323" i="3"/>
  <c r="S323" i="3" s="1"/>
  <c r="B322" i="3"/>
  <c r="T322" i="3"/>
  <c r="A322" i="3"/>
  <c r="S322" i="3"/>
  <c r="B321" i="3"/>
  <c r="T321" i="3" s="1"/>
  <c r="A321" i="3"/>
  <c r="S321" i="3" s="1"/>
  <c r="B320" i="3"/>
  <c r="T320" i="3"/>
  <c r="A320" i="3"/>
  <c r="S320" i="3"/>
  <c r="B319" i="3"/>
  <c r="T319" i="3"/>
  <c r="A319" i="3"/>
  <c r="S319" i="3" s="1"/>
  <c r="B318" i="3"/>
  <c r="T318" i="3"/>
  <c r="A318" i="3"/>
  <c r="S318" i="3"/>
  <c r="B317" i="3"/>
  <c r="T317" i="3" s="1"/>
  <c r="A317" i="3"/>
  <c r="S317" i="3" s="1"/>
  <c r="B316" i="3"/>
  <c r="T316" i="3"/>
  <c r="A316" i="3"/>
  <c r="S316" i="3"/>
  <c r="B315" i="3"/>
  <c r="T315" i="3"/>
  <c r="A315" i="3"/>
  <c r="S315" i="3" s="1"/>
  <c r="B314" i="3"/>
  <c r="T314" i="3" s="1"/>
  <c r="A314" i="3"/>
  <c r="S314" i="3"/>
  <c r="B313" i="3"/>
  <c r="T313" i="3"/>
  <c r="A313" i="3"/>
  <c r="S313" i="3" s="1"/>
  <c r="B312" i="3"/>
  <c r="T312" i="3"/>
  <c r="A312" i="3"/>
  <c r="S312" i="3"/>
  <c r="B311" i="3"/>
  <c r="T311" i="3"/>
  <c r="A311" i="3"/>
  <c r="S311" i="3" s="1"/>
  <c r="B310" i="3"/>
  <c r="T310" i="3" s="1"/>
  <c r="A310" i="3"/>
  <c r="S310" i="3"/>
  <c r="B309" i="3"/>
  <c r="T309" i="3"/>
  <c r="A309" i="3"/>
  <c r="S309" i="3" s="1"/>
  <c r="B308" i="3"/>
  <c r="T308" i="3"/>
  <c r="A308" i="3"/>
  <c r="S308" i="3"/>
  <c r="B307" i="3"/>
  <c r="T307" i="3"/>
  <c r="A307" i="3"/>
  <c r="S307" i="3" s="1"/>
  <c r="B306" i="3"/>
  <c r="T306" i="3"/>
  <c r="A306" i="3"/>
  <c r="S306" i="3"/>
  <c r="B305" i="3"/>
  <c r="T305" i="3" s="1"/>
  <c r="A305" i="3"/>
  <c r="S305" i="3" s="1"/>
  <c r="B304" i="3"/>
  <c r="T304" i="3"/>
  <c r="A304" i="3"/>
  <c r="S304" i="3"/>
  <c r="B303" i="3"/>
  <c r="T303" i="3"/>
  <c r="A303" i="3"/>
  <c r="S303" i="3" s="1"/>
  <c r="B302" i="3"/>
  <c r="T302" i="3"/>
  <c r="A302" i="3"/>
  <c r="S302" i="3"/>
  <c r="B301" i="3"/>
  <c r="T301" i="3" s="1"/>
  <c r="A301" i="3"/>
  <c r="S301" i="3" s="1"/>
  <c r="B300" i="3"/>
  <c r="T300" i="3"/>
  <c r="A300" i="3"/>
  <c r="S300" i="3"/>
  <c r="B299" i="3"/>
  <c r="T299" i="3"/>
  <c r="A299" i="3"/>
  <c r="S299" i="3" s="1"/>
  <c r="B298" i="3"/>
  <c r="T298" i="3" s="1"/>
  <c r="A298" i="3"/>
  <c r="S298" i="3"/>
  <c r="B297" i="3"/>
  <c r="T297" i="3" s="1"/>
  <c r="A297" i="3"/>
  <c r="S297" i="3" s="1"/>
  <c r="B296" i="3"/>
  <c r="T296" i="3"/>
  <c r="A296" i="3"/>
  <c r="S296" i="3"/>
  <c r="B295" i="3"/>
  <c r="T295" i="3"/>
  <c r="A295" i="3"/>
  <c r="S295" i="3" s="1"/>
  <c r="B294" i="3"/>
  <c r="T294" i="3" s="1"/>
  <c r="A294" i="3"/>
  <c r="S294" i="3"/>
  <c r="B293" i="3"/>
  <c r="T293" i="3"/>
  <c r="A293" i="3"/>
  <c r="S293" i="3" s="1"/>
  <c r="B292" i="3"/>
  <c r="T292" i="3" s="1"/>
  <c r="A292" i="3"/>
  <c r="S292" i="3"/>
  <c r="B291" i="3"/>
  <c r="T291" i="3"/>
  <c r="A291" i="3"/>
  <c r="S291" i="3" s="1"/>
  <c r="B290" i="3"/>
  <c r="T290" i="3"/>
  <c r="A290" i="3"/>
  <c r="S290" i="3"/>
  <c r="B289" i="3"/>
  <c r="T289" i="3" s="1"/>
  <c r="A289" i="3"/>
  <c r="S289" i="3" s="1"/>
  <c r="B288" i="3"/>
  <c r="T288" i="3"/>
  <c r="A288" i="3"/>
  <c r="S288" i="3"/>
  <c r="B287" i="3"/>
  <c r="T287" i="3"/>
  <c r="A287" i="3"/>
  <c r="S287" i="3" s="1"/>
  <c r="B286" i="3"/>
  <c r="T286" i="3"/>
  <c r="A286" i="3"/>
  <c r="S286" i="3"/>
  <c r="B285" i="3"/>
  <c r="T285" i="3" s="1"/>
  <c r="A285" i="3"/>
  <c r="S285" i="3" s="1"/>
  <c r="B284" i="3"/>
  <c r="T284" i="3"/>
  <c r="A284" i="3"/>
  <c r="S284" i="3"/>
  <c r="B283" i="3"/>
  <c r="T283" i="3" s="1"/>
  <c r="A283" i="3"/>
  <c r="S283" i="3" s="1"/>
  <c r="B282" i="3"/>
  <c r="T282" i="3" s="1"/>
  <c r="A282" i="3"/>
  <c r="S282" i="3"/>
  <c r="B281" i="3"/>
  <c r="T281" i="3"/>
  <c r="A281" i="3"/>
  <c r="S281" i="3" s="1"/>
  <c r="B280" i="3"/>
  <c r="T280" i="3"/>
  <c r="A280" i="3"/>
  <c r="S280" i="3"/>
  <c r="B279" i="3"/>
  <c r="T279" i="3"/>
  <c r="A279" i="3"/>
  <c r="S279" i="3" s="1"/>
  <c r="B278" i="3"/>
  <c r="T278" i="3" s="1"/>
  <c r="A278" i="3"/>
  <c r="S278" i="3"/>
  <c r="B277" i="3"/>
  <c r="T277" i="3"/>
  <c r="A277" i="3"/>
  <c r="S277" i="3" s="1"/>
  <c r="B276" i="3"/>
  <c r="T276" i="3"/>
  <c r="A276" i="3"/>
  <c r="S276" i="3"/>
  <c r="B275" i="3"/>
  <c r="T275" i="3"/>
  <c r="A275" i="3"/>
  <c r="S275" i="3" s="1"/>
  <c r="B274" i="3"/>
  <c r="T274" i="3"/>
  <c r="A274" i="3"/>
  <c r="S274" i="3"/>
  <c r="B273" i="3"/>
  <c r="T273" i="3" s="1"/>
  <c r="A273" i="3"/>
  <c r="S273" i="3" s="1"/>
  <c r="B272" i="3"/>
  <c r="T272" i="3"/>
  <c r="A272" i="3"/>
  <c r="S272" i="3"/>
  <c r="B271" i="3"/>
  <c r="T271" i="3"/>
  <c r="A271" i="3"/>
  <c r="S271" i="3" s="1"/>
  <c r="B270" i="3"/>
  <c r="T270" i="3"/>
  <c r="A270" i="3"/>
  <c r="S270" i="3"/>
  <c r="B269" i="3"/>
  <c r="T269" i="3" s="1"/>
  <c r="A269" i="3"/>
  <c r="S269" i="3" s="1"/>
  <c r="B268" i="3"/>
  <c r="T268" i="3"/>
  <c r="A268" i="3"/>
  <c r="S268" i="3"/>
  <c r="B267" i="3"/>
  <c r="T267" i="3"/>
  <c r="A267" i="3"/>
  <c r="S267" i="3" s="1"/>
  <c r="B266" i="3"/>
  <c r="T266" i="3" s="1"/>
  <c r="A266" i="3"/>
  <c r="S266" i="3"/>
  <c r="B265" i="3"/>
  <c r="T265" i="3" s="1"/>
  <c r="A265" i="3"/>
  <c r="S265" i="3" s="1"/>
  <c r="B264" i="3"/>
  <c r="T264" i="3"/>
  <c r="A264" i="3"/>
  <c r="S264" i="3"/>
  <c r="B263" i="3"/>
  <c r="T263" i="3"/>
  <c r="A263" i="3"/>
  <c r="S263" i="3" s="1"/>
  <c r="B262" i="3"/>
  <c r="T262" i="3" s="1"/>
  <c r="A262" i="3"/>
  <c r="S262" i="3"/>
  <c r="B261" i="3"/>
  <c r="T261" i="3"/>
  <c r="A261" i="3"/>
  <c r="S261" i="3" s="1"/>
  <c r="B260" i="3"/>
  <c r="T260" i="3" s="1"/>
  <c r="A260" i="3"/>
  <c r="S260" i="3"/>
  <c r="B259" i="3"/>
  <c r="T259" i="3"/>
  <c r="A259" i="3"/>
  <c r="S259" i="3" s="1"/>
  <c r="B258" i="3"/>
  <c r="T258" i="3"/>
  <c r="A258" i="3"/>
  <c r="S258" i="3"/>
  <c r="B257" i="3"/>
  <c r="T257" i="3" s="1"/>
  <c r="A257" i="3"/>
  <c r="S257" i="3" s="1"/>
  <c r="B256" i="3"/>
  <c r="T256" i="3"/>
  <c r="A256" i="3"/>
  <c r="S256" i="3"/>
  <c r="B255" i="3"/>
  <c r="T255" i="3"/>
  <c r="A255" i="3"/>
  <c r="S255" i="3" s="1"/>
  <c r="B254" i="3"/>
  <c r="T254" i="3"/>
  <c r="A254" i="3"/>
  <c r="S254" i="3"/>
  <c r="B253" i="3"/>
  <c r="T253" i="3" s="1"/>
  <c r="A253" i="3"/>
  <c r="S253" i="3" s="1"/>
  <c r="B252" i="3"/>
  <c r="T252" i="3"/>
  <c r="A252" i="3"/>
  <c r="S252" i="3"/>
  <c r="B251" i="3"/>
  <c r="T251" i="3"/>
  <c r="A251" i="3"/>
  <c r="S251" i="3" s="1"/>
  <c r="B250" i="3"/>
  <c r="T250" i="3" s="1"/>
  <c r="A250" i="3"/>
  <c r="S250" i="3"/>
  <c r="B249" i="3"/>
  <c r="T249" i="3"/>
  <c r="A249" i="3"/>
  <c r="S249" i="3" s="1"/>
  <c r="B248" i="3"/>
  <c r="T248" i="3"/>
  <c r="A248" i="3"/>
  <c r="S248" i="3"/>
  <c r="B247" i="3"/>
  <c r="T247" i="3"/>
  <c r="A247" i="3"/>
  <c r="S247" i="3" s="1"/>
  <c r="B246" i="3"/>
  <c r="T246" i="3" s="1"/>
  <c r="A246" i="3"/>
  <c r="S246" i="3"/>
  <c r="B245" i="3"/>
  <c r="T245" i="3"/>
  <c r="A245" i="3"/>
  <c r="S245" i="3" s="1"/>
  <c r="B244" i="3"/>
  <c r="T244" i="3"/>
  <c r="A244" i="3"/>
  <c r="S244" i="3"/>
  <c r="B243" i="3"/>
  <c r="T243" i="3"/>
  <c r="A243" i="3"/>
  <c r="S243" i="3" s="1"/>
  <c r="B242" i="3"/>
  <c r="T242" i="3"/>
  <c r="A242" i="3"/>
  <c r="S242" i="3"/>
  <c r="B241" i="3"/>
  <c r="T241" i="3" s="1"/>
  <c r="A241" i="3"/>
  <c r="S241" i="3" s="1"/>
  <c r="B240" i="3"/>
  <c r="T240" i="3"/>
  <c r="A240" i="3"/>
  <c r="S240" i="3"/>
  <c r="B239" i="3"/>
  <c r="T239" i="3"/>
  <c r="A239" i="3"/>
  <c r="S239" i="3" s="1"/>
  <c r="B238" i="3"/>
  <c r="T238" i="3"/>
  <c r="A238" i="3"/>
  <c r="S238" i="3"/>
  <c r="B237" i="3"/>
  <c r="T237" i="3" s="1"/>
  <c r="A237" i="3"/>
  <c r="S237" i="3" s="1"/>
  <c r="B236" i="3"/>
  <c r="T236" i="3"/>
  <c r="A236" i="3"/>
  <c r="S236" i="3"/>
  <c r="B235" i="3"/>
  <c r="T235" i="3"/>
  <c r="A235" i="3"/>
  <c r="S235" i="3" s="1"/>
  <c r="B234" i="3"/>
  <c r="T234" i="3" s="1"/>
  <c r="A234" i="3"/>
  <c r="S234" i="3"/>
  <c r="B233" i="3"/>
  <c r="T233" i="3" s="1"/>
  <c r="A233" i="3"/>
  <c r="S233" i="3" s="1"/>
  <c r="B232" i="3"/>
  <c r="T232" i="3"/>
  <c r="A232" i="3"/>
  <c r="S232" i="3"/>
  <c r="B231" i="3"/>
  <c r="T231" i="3"/>
  <c r="A231" i="3"/>
  <c r="S231" i="3" s="1"/>
  <c r="B230" i="3"/>
  <c r="T230" i="3"/>
  <c r="A230" i="3"/>
  <c r="S230" i="3"/>
  <c r="B229" i="3"/>
  <c r="T229" i="3"/>
  <c r="A229" i="3"/>
  <c r="S229" i="3" s="1"/>
  <c r="B228" i="3"/>
  <c r="T228" i="3"/>
  <c r="A228" i="3"/>
  <c r="S228" i="3"/>
  <c r="B227" i="3"/>
  <c r="T227" i="3"/>
  <c r="A227" i="3"/>
  <c r="S227" i="3" s="1"/>
  <c r="B226" i="3"/>
  <c r="T226" i="3" s="1"/>
  <c r="A226" i="3"/>
  <c r="S226" i="3"/>
  <c r="B225" i="3"/>
  <c r="T225" i="3" s="1"/>
  <c r="A225" i="3"/>
  <c r="S225" i="3" s="1"/>
  <c r="B224" i="3"/>
  <c r="T224" i="3"/>
  <c r="A224" i="3"/>
  <c r="S224" i="3"/>
  <c r="B223" i="3"/>
  <c r="T223" i="3"/>
  <c r="A223" i="3"/>
  <c r="S223" i="3" s="1"/>
  <c r="B222" i="3"/>
  <c r="T222" i="3"/>
  <c r="A222" i="3"/>
  <c r="S222" i="3"/>
  <c r="B221" i="3"/>
  <c r="T221" i="3"/>
  <c r="A221" i="3"/>
  <c r="S221" i="3" s="1"/>
  <c r="B220" i="3"/>
  <c r="T220" i="3"/>
  <c r="A220" i="3"/>
  <c r="S220" i="3"/>
  <c r="B219" i="3"/>
  <c r="T219" i="3" s="1"/>
  <c r="A219" i="3"/>
  <c r="S219" i="3" s="1"/>
  <c r="B218" i="3"/>
  <c r="T218" i="3" s="1"/>
  <c r="A218" i="3"/>
  <c r="S218" i="3"/>
  <c r="B217" i="3"/>
  <c r="T217" i="3"/>
  <c r="A217" i="3"/>
  <c r="S217" i="3" s="1"/>
  <c r="B216" i="3"/>
  <c r="T216" i="3"/>
  <c r="A216" i="3"/>
  <c r="S216" i="3"/>
  <c r="B215" i="3"/>
  <c r="T215" i="3" s="1"/>
  <c r="A215" i="3"/>
  <c r="S215" i="3" s="1"/>
  <c r="B214" i="3"/>
  <c r="T214" i="3" s="1"/>
  <c r="A214" i="3"/>
  <c r="S214" i="3"/>
  <c r="B213" i="3"/>
  <c r="T213" i="3"/>
  <c r="A213" i="3"/>
  <c r="S213" i="3" s="1"/>
  <c r="B212" i="3"/>
  <c r="T212" i="3"/>
  <c r="A212" i="3"/>
  <c r="S212" i="3"/>
  <c r="B211" i="3"/>
  <c r="T211" i="3"/>
  <c r="A211" i="3"/>
  <c r="S211" i="3" s="1"/>
  <c r="B210" i="3"/>
  <c r="T210" i="3"/>
  <c r="A210" i="3"/>
  <c r="S210" i="3"/>
  <c r="B209" i="3"/>
  <c r="T209" i="3" s="1"/>
  <c r="A209" i="3"/>
  <c r="S209" i="3" s="1"/>
  <c r="B208" i="3"/>
  <c r="T208" i="3"/>
  <c r="A208" i="3"/>
  <c r="S208" i="3"/>
  <c r="B207" i="3"/>
  <c r="T207" i="3" s="1"/>
  <c r="A207" i="3"/>
  <c r="S207" i="3" s="1"/>
  <c r="B206" i="3"/>
  <c r="T206" i="3"/>
  <c r="A206" i="3"/>
  <c r="S206" i="3"/>
  <c r="B205" i="3"/>
  <c r="T205" i="3"/>
  <c r="A205" i="3"/>
  <c r="S205" i="3" s="1"/>
  <c r="B204" i="3"/>
  <c r="T204" i="3"/>
  <c r="A204" i="3"/>
  <c r="S204" i="3"/>
  <c r="B203" i="3"/>
  <c r="T203" i="3"/>
  <c r="A203" i="3"/>
  <c r="S203" i="3" s="1"/>
  <c r="B202" i="3"/>
  <c r="T202" i="3" s="1"/>
  <c r="A202" i="3"/>
  <c r="S202" i="3"/>
  <c r="B201" i="3"/>
  <c r="T201" i="3"/>
  <c r="A201" i="3"/>
  <c r="S201" i="3"/>
  <c r="B200" i="3"/>
  <c r="T200" i="3" s="1"/>
  <c r="A200" i="3"/>
  <c r="S200" i="3"/>
  <c r="B199" i="3"/>
  <c r="T199" i="3"/>
  <c r="A199" i="3"/>
  <c r="S199" i="3" s="1"/>
  <c r="B198" i="3"/>
  <c r="T198" i="3" s="1"/>
  <c r="A198" i="3"/>
  <c r="S198" i="3"/>
  <c r="B197" i="3"/>
  <c r="T197" i="3" s="1"/>
  <c r="A197" i="3"/>
  <c r="S197" i="3"/>
  <c r="B196" i="3"/>
  <c r="T196" i="3" s="1"/>
  <c r="A196" i="3"/>
  <c r="S196" i="3"/>
  <c r="B195" i="3"/>
  <c r="T195" i="3"/>
  <c r="A195" i="3"/>
  <c r="S195" i="3"/>
  <c r="B194" i="3"/>
  <c r="T194" i="3" s="1"/>
  <c r="A194" i="3"/>
  <c r="S194" i="3"/>
  <c r="B193" i="3"/>
  <c r="T193" i="3" s="1"/>
  <c r="A193" i="3"/>
  <c r="S193" i="3" s="1"/>
  <c r="B192" i="3"/>
  <c r="T192" i="3" s="1"/>
  <c r="A192" i="3"/>
  <c r="S192" i="3"/>
  <c r="B191" i="3"/>
  <c r="T191" i="3"/>
  <c r="A191" i="3"/>
  <c r="S191" i="3"/>
  <c r="B190" i="3"/>
  <c r="T190" i="3" s="1"/>
  <c r="A190" i="3"/>
  <c r="S190" i="3"/>
  <c r="B189" i="3"/>
  <c r="T189" i="3"/>
  <c r="A189" i="3"/>
  <c r="S189" i="3" s="1"/>
  <c r="B188" i="3"/>
  <c r="T188" i="3" s="1"/>
  <c r="A188" i="3"/>
  <c r="S188" i="3"/>
  <c r="B187" i="3"/>
  <c r="T187" i="3" s="1"/>
  <c r="A187" i="3"/>
  <c r="S187" i="3"/>
  <c r="B186" i="3"/>
  <c r="T186" i="3" s="1"/>
  <c r="A186" i="3"/>
  <c r="S186" i="3"/>
  <c r="B185" i="3"/>
  <c r="T185" i="3"/>
  <c r="A185" i="3"/>
  <c r="S185" i="3"/>
  <c r="B184" i="3"/>
  <c r="T184" i="3" s="1"/>
  <c r="A184" i="3"/>
  <c r="S184" i="3"/>
  <c r="B183" i="3"/>
  <c r="T183" i="3"/>
  <c r="A183" i="3"/>
  <c r="S183" i="3" s="1"/>
  <c r="B182" i="3"/>
  <c r="T182" i="3" s="1"/>
  <c r="A182" i="3"/>
  <c r="S182" i="3"/>
  <c r="B181" i="3"/>
  <c r="T181" i="3" s="1"/>
  <c r="A181" i="3"/>
  <c r="S181" i="3"/>
  <c r="B180" i="3"/>
  <c r="T180" i="3" s="1"/>
  <c r="A180" i="3"/>
  <c r="S180" i="3"/>
  <c r="B179" i="3"/>
  <c r="T179" i="3"/>
  <c r="A179" i="3"/>
  <c r="S179" i="3"/>
  <c r="B178" i="3"/>
  <c r="T178" i="3" s="1"/>
  <c r="A178" i="3"/>
  <c r="S178" i="3"/>
  <c r="B177" i="3"/>
  <c r="T177" i="3" s="1"/>
  <c r="A177" i="3"/>
  <c r="S177" i="3" s="1"/>
  <c r="B176" i="3"/>
  <c r="T176" i="3" s="1"/>
  <c r="A176" i="3"/>
  <c r="S176" i="3"/>
  <c r="B175" i="3"/>
  <c r="T175" i="3"/>
  <c r="A175" i="3"/>
  <c r="S175" i="3"/>
  <c r="B174" i="3"/>
  <c r="T174" i="3" s="1"/>
  <c r="A174" i="3"/>
  <c r="S174" i="3"/>
  <c r="B173" i="3"/>
  <c r="T173" i="3"/>
  <c r="A173" i="3"/>
  <c r="S173" i="3" s="1"/>
  <c r="B172" i="3"/>
  <c r="T172" i="3" s="1"/>
  <c r="A172" i="3"/>
  <c r="S172" i="3"/>
  <c r="B171" i="3"/>
  <c r="T171" i="3" s="1"/>
  <c r="A171" i="3"/>
  <c r="S171" i="3"/>
  <c r="B170" i="3"/>
  <c r="T170" i="3" s="1"/>
  <c r="A170" i="3"/>
  <c r="S170" i="3"/>
  <c r="B169" i="3"/>
  <c r="T169" i="3"/>
  <c r="A169" i="3"/>
  <c r="S169" i="3"/>
  <c r="B168" i="3"/>
  <c r="T168" i="3" s="1"/>
  <c r="A168" i="3"/>
  <c r="S168" i="3"/>
  <c r="B167" i="3"/>
  <c r="T167" i="3"/>
  <c r="A167" i="3"/>
  <c r="S167" i="3" s="1"/>
  <c r="B166" i="3"/>
  <c r="T166" i="3" s="1"/>
  <c r="A166" i="3"/>
  <c r="S166" i="3"/>
  <c r="B165" i="3"/>
  <c r="T165" i="3" s="1"/>
  <c r="A165" i="3"/>
  <c r="S165" i="3"/>
  <c r="B164" i="3"/>
  <c r="T164" i="3" s="1"/>
  <c r="A164" i="3"/>
  <c r="S164" i="3"/>
  <c r="B163" i="3"/>
  <c r="T163" i="3"/>
  <c r="A163" i="3"/>
  <c r="S163" i="3"/>
  <c r="B162" i="3"/>
  <c r="T162" i="3" s="1"/>
  <c r="A162" i="3"/>
  <c r="S162" i="3"/>
  <c r="B161" i="3"/>
  <c r="T161" i="3" s="1"/>
  <c r="A161" i="3"/>
  <c r="S161" i="3" s="1"/>
  <c r="B160" i="3"/>
  <c r="T160" i="3" s="1"/>
  <c r="A160" i="3"/>
  <c r="S160" i="3"/>
  <c r="B159" i="3"/>
  <c r="T159" i="3"/>
  <c r="A159" i="3"/>
  <c r="S159" i="3"/>
  <c r="B158" i="3"/>
  <c r="T158" i="3" s="1"/>
  <c r="A158" i="3"/>
  <c r="S158" i="3"/>
  <c r="B157" i="3"/>
  <c r="T157" i="3"/>
  <c r="A157" i="3"/>
  <c r="S157" i="3" s="1"/>
  <c r="B156" i="3"/>
  <c r="T156" i="3" s="1"/>
  <c r="A156" i="3"/>
  <c r="S156" i="3"/>
  <c r="B155" i="3"/>
  <c r="T155" i="3" s="1"/>
  <c r="A155" i="3"/>
  <c r="S155" i="3"/>
  <c r="B154" i="3"/>
  <c r="T154" i="3" s="1"/>
  <c r="A154" i="3"/>
  <c r="S154" i="3"/>
  <c r="B153" i="3"/>
  <c r="T153" i="3"/>
  <c r="A153" i="3"/>
  <c r="S153" i="3"/>
  <c r="B152" i="3"/>
  <c r="T152" i="3" s="1"/>
  <c r="A152" i="3"/>
  <c r="S152" i="3"/>
  <c r="B151" i="3"/>
  <c r="T151" i="3"/>
  <c r="A151" i="3"/>
  <c r="S151" i="3" s="1"/>
  <c r="B150" i="3"/>
  <c r="T150" i="3" s="1"/>
  <c r="A150" i="3"/>
  <c r="S150" i="3"/>
  <c r="B149" i="3"/>
  <c r="T149" i="3" s="1"/>
  <c r="A149" i="3"/>
  <c r="S149" i="3"/>
  <c r="B148" i="3"/>
  <c r="T148" i="3" s="1"/>
  <c r="A148" i="3"/>
  <c r="S148" i="3"/>
  <c r="B147" i="3"/>
  <c r="T147" i="3"/>
  <c r="A147" i="3"/>
  <c r="S147" i="3"/>
  <c r="B146" i="3"/>
  <c r="T146" i="3" s="1"/>
  <c r="A146" i="3"/>
  <c r="S146" i="3"/>
  <c r="B145" i="3"/>
  <c r="T145" i="3" s="1"/>
  <c r="A145" i="3"/>
  <c r="S145" i="3" s="1"/>
  <c r="B144" i="3"/>
  <c r="T144" i="3" s="1"/>
  <c r="A144" i="3"/>
  <c r="S144" i="3"/>
  <c r="B143" i="3"/>
  <c r="T143" i="3"/>
  <c r="A143" i="3"/>
  <c r="S143" i="3"/>
  <c r="B142" i="3"/>
  <c r="T142" i="3" s="1"/>
  <c r="A142" i="3"/>
  <c r="S142" i="3"/>
  <c r="B141" i="3"/>
  <c r="T141" i="3"/>
  <c r="A141" i="3"/>
  <c r="S141" i="3" s="1"/>
  <c r="B140" i="3"/>
  <c r="T140" i="3" s="1"/>
  <c r="A140" i="3"/>
  <c r="S140" i="3"/>
  <c r="B139" i="3"/>
  <c r="T139" i="3" s="1"/>
  <c r="A139" i="3"/>
  <c r="S139" i="3"/>
  <c r="B138" i="3"/>
  <c r="T138" i="3" s="1"/>
  <c r="A138" i="3"/>
  <c r="S138" i="3"/>
  <c r="B137" i="3"/>
  <c r="T137" i="3"/>
  <c r="A137" i="3"/>
  <c r="S137" i="3"/>
  <c r="B136" i="3"/>
  <c r="T136" i="3" s="1"/>
  <c r="A136" i="3"/>
  <c r="S136" i="3"/>
  <c r="B135" i="3"/>
  <c r="T135" i="3"/>
  <c r="A135" i="3"/>
  <c r="S135" i="3" s="1"/>
  <c r="B134" i="3"/>
  <c r="T134" i="3" s="1"/>
  <c r="A134" i="3"/>
  <c r="S134" i="3"/>
  <c r="B133" i="3"/>
  <c r="T133" i="3" s="1"/>
  <c r="A133" i="3"/>
  <c r="S133" i="3"/>
  <c r="B132" i="3"/>
  <c r="T132" i="3" s="1"/>
  <c r="A132" i="3"/>
  <c r="S132" i="3"/>
  <c r="B131" i="3"/>
  <c r="T131" i="3"/>
  <c r="A131" i="3"/>
  <c r="S131" i="3"/>
  <c r="B130" i="3"/>
  <c r="T130" i="3" s="1"/>
  <c r="A130" i="3"/>
  <c r="S130" i="3"/>
  <c r="B129" i="3"/>
  <c r="T129" i="3" s="1"/>
  <c r="A129" i="3"/>
  <c r="S129" i="3" s="1"/>
  <c r="B128" i="3"/>
  <c r="T128" i="3" s="1"/>
  <c r="A128" i="3"/>
  <c r="S128" i="3"/>
  <c r="B127" i="3"/>
  <c r="T127" i="3"/>
  <c r="A127" i="3"/>
  <c r="S127" i="3"/>
  <c r="B126" i="3"/>
  <c r="T126" i="3" s="1"/>
  <c r="A126" i="3"/>
  <c r="S126" i="3"/>
  <c r="B125" i="3"/>
  <c r="T125" i="3"/>
  <c r="A125" i="3"/>
  <c r="S125" i="3" s="1"/>
  <c r="B124" i="3"/>
  <c r="T124" i="3" s="1"/>
  <c r="A124" i="3"/>
  <c r="S124" i="3"/>
  <c r="B123" i="3"/>
  <c r="T123" i="3" s="1"/>
  <c r="A123" i="3"/>
  <c r="S123" i="3"/>
  <c r="B122" i="3"/>
  <c r="T122" i="3" s="1"/>
  <c r="A122" i="3"/>
  <c r="S122" i="3"/>
  <c r="B121" i="3"/>
  <c r="T121" i="3"/>
  <c r="A121" i="3"/>
  <c r="S121" i="3"/>
  <c r="B120" i="3"/>
  <c r="T120" i="3" s="1"/>
  <c r="A120" i="3"/>
  <c r="S120" i="3"/>
  <c r="B119" i="3"/>
  <c r="T119" i="3"/>
  <c r="A119" i="3"/>
  <c r="S119" i="3" s="1"/>
  <c r="B118" i="3"/>
  <c r="T118" i="3" s="1"/>
  <c r="A118" i="3"/>
  <c r="S118" i="3"/>
  <c r="B117" i="3"/>
  <c r="T117" i="3" s="1"/>
  <c r="A117" i="3"/>
  <c r="S117" i="3"/>
  <c r="B116" i="3"/>
  <c r="T116" i="3" s="1"/>
  <c r="A116" i="3"/>
  <c r="S116" i="3"/>
  <c r="B115" i="3"/>
  <c r="T115" i="3"/>
  <c r="A115" i="3"/>
  <c r="S115" i="3"/>
  <c r="B114" i="3"/>
  <c r="T114" i="3" s="1"/>
  <c r="A114" i="3"/>
  <c r="S114" i="3"/>
  <c r="B113" i="3"/>
  <c r="T113" i="3" s="1"/>
  <c r="A113" i="3"/>
  <c r="S113" i="3" s="1"/>
  <c r="B112" i="3"/>
  <c r="T112" i="3" s="1"/>
  <c r="A112" i="3"/>
  <c r="S112" i="3"/>
  <c r="B111" i="3"/>
  <c r="T111" i="3"/>
  <c r="A111" i="3"/>
  <c r="S111" i="3"/>
  <c r="B110" i="3"/>
  <c r="T110" i="3" s="1"/>
  <c r="A110" i="3"/>
  <c r="S110" i="3"/>
  <c r="B109" i="3"/>
  <c r="T109" i="3"/>
  <c r="A109" i="3"/>
  <c r="S109" i="3" s="1"/>
  <c r="B108" i="3"/>
  <c r="T108" i="3" s="1"/>
  <c r="A108" i="3"/>
  <c r="S108" i="3"/>
  <c r="B107" i="3"/>
  <c r="T107" i="3" s="1"/>
  <c r="A107" i="3"/>
  <c r="S107" i="3"/>
  <c r="B106" i="3"/>
  <c r="T106" i="3" s="1"/>
  <c r="A106" i="3"/>
  <c r="S106" i="3"/>
  <c r="B105" i="3"/>
  <c r="T105" i="3"/>
  <c r="A105" i="3"/>
  <c r="S105" i="3"/>
  <c r="B104" i="3"/>
  <c r="T104" i="3" s="1"/>
  <c r="A104" i="3"/>
  <c r="S104" i="3"/>
  <c r="B103" i="3"/>
  <c r="T103" i="3"/>
  <c r="A103" i="3"/>
  <c r="S103" i="3" s="1"/>
  <c r="B102" i="3"/>
  <c r="T102" i="3" s="1"/>
  <c r="A102" i="3"/>
  <c r="S102" i="3" s="1"/>
  <c r="B101" i="3"/>
  <c r="T101" i="3" s="1"/>
  <c r="A101" i="3"/>
  <c r="S101" i="3"/>
  <c r="B100" i="3"/>
  <c r="T100" i="3" s="1"/>
  <c r="A100" i="3"/>
  <c r="S100" i="3"/>
  <c r="B99" i="3"/>
  <c r="T99" i="3"/>
  <c r="A99" i="3"/>
  <c r="S99" i="3"/>
  <c r="B98" i="3"/>
  <c r="T98" i="3" s="1"/>
  <c r="A98" i="3"/>
  <c r="S98" i="3"/>
  <c r="B97" i="3"/>
  <c r="T97" i="3" s="1"/>
  <c r="A97" i="3"/>
  <c r="S97" i="3" s="1"/>
  <c r="B96" i="3"/>
  <c r="T96" i="3" s="1"/>
  <c r="A96" i="3"/>
  <c r="S96" i="3" s="1"/>
  <c r="B95" i="3"/>
  <c r="T95" i="3"/>
  <c r="A95" i="3"/>
  <c r="S95" i="3"/>
  <c r="B94" i="3"/>
  <c r="T94" i="3" s="1"/>
  <c r="A94" i="3"/>
  <c r="S94" i="3"/>
  <c r="B93" i="3"/>
  <c r="T93" i="3"/>
  <c r="A93" i="3"/>
  <c r="S93" i="3" s="1"/>
  <c r="B92" i="3"/>
  <c r="T92" i="3" s="1"/>
  <c r="A92" i="3"/>
  <c r="S92" i="3"/>
  <c r="B91" i="3"/>
  <c r="T91" i="3" s="1"/>
  <c r="A91" i="3"/>
  <c r="S91" i="3"/>
  <c r="B90" i="3"/>
  <c r="T90" i="3" s="1"/>
  <c r="A90" i="3"/>
  <c r="S90" i="3" s="1"/>
  <c r="B89" i="3"/>
  <c r="T89" i="3"/>
  <c r="A89" i="3"/>
  <c r="S89" i="3"/>
  <c r="B88" i="3"/>
  <c r="T88" i="3" s="1"/>
  <c r="A88" i="3"/>
  <c r="S88" i="3"/>
  <c r="B87" i="3"/>
  <c r="T87" i="3"/>
  <c r="A87" i="3"/>
  <c r="S87" i="3" s="1"/>
  <c r="B86" i="3"/>
  <c r="T86" i="3" s="1"/>
  <c r="A86" i="3"/>
  <c r="S86" i="3" s="1"/>
  <c r="B85" i="3"/>
  <c r="T85" i="3" s="1"/>
  <c r="A85" i="3"/>
  <c r="S85" i="3"/>
  <c r="B84" i="3"/>
  <c r="T84" i="3" s="1"/>
  <c r="A84" i="3"/>
  <c r="S84" i="3"/>
  <c r="B83" i="3"/>
  <c r="T83" i="3"/>
  <c r="A83" i="3"/>
  <c r="S83" i="3"/>
  <c r="B82" i="3"/>
  <c r="T82" i="3" s="1"/>
  <c r="A82" i="3"/>
  <c r="S82" i="3"/>
  <c r="B81" i="3"/>
  <c r="T81" i="3" s="1"/>
  <c r="A81" i="3"/>
  <c r="S81" i="3" s="1"/>
  <c r="B80" i="3"/>
  <c r="T80" i="3" s="1"/>
  <c r="A80" i="3"/>
  <c r="S80" i="3" s="1"/>
  <c r="B79" i="3"/>
  <c r="T79" i="3"/>
  <c r="A79" i="3"/>
  <c r="S79" i="3"/>
  <c r="B78" i="3"/>
  <c r="T78" i="3" s="1"/>
  <c r="A78" i="3"/>
  <c r="S78" i="3"/>
  <c r="B77" i="3"/>
  <c r="T77" i="3"/>
  <c r="A77" i="3"/>
  <c r="S77" i="3" s="1"/>
  <c r="B76" i="3"/>
  <c r="T76" i="3" s="1"/>
  <c r="A76" i="3"/>
  <c r="S76" i="3"/>
  <c r="B75" i="3"/>
  <c r="T75" i="3" s="1"/>
  <c r="A75" i="3"/>
  <c r="S75" i="3"/>
  <c r="B74" i="3"/>
  <c r="T74" i="3"/>
  <c r="A74" i="3"/>
  <c r="S74" i="3"/>
  <c r="B73" i="3"/>
  <c r="T73" i="3" s="1"/>
  <c r="A73" i="3"/>
  <c r="S73" i="3"/>
  <c r="B72" i="3"/>
  <c r="T72" i="3"/>
  <c r="A72" i="3"/>
  <c r="S72" i="3"/>
  <c r="B71" i="3"/>
  <c r="T71" i="3" s="1"/>
  <c r="A71" i="3"/>
  <c r="S71" i="3"/>
  <c r="B70" i="3"/>
  <c r="T70" i="3"/>
  <c r="A70" i="3"/>
  <c r="S70" i="3"/>
  <c r="B69" i="3"/>
  <c r="T69" i="3" s="1"/>
  <c r="A69" i="3"/>
  <c r="S69" i="3"/>
  <c r="B68" i="3"/>
  <c r="T68" i="3"/>
  <c r="A68" i="3"/>
  <c r="S68" i="3"/>
  <c r="B67" i="3"/>
  <c r="T67" i="3" s="1"/>
  <c r="A67" i="3"/>
  <c r="S67" i="3"/>
  <c r="B66" i="3"/>
  <c r="T66" i="3" s="1"/>
  <c r="A66" i="3"/>
  <c r="S66" i="3"/>
  <c r="B65" i="3"/>
  <c r="T65" i="3" s="1"/>
  <c r="A65" i="3"/>
  <c r="S65" i="3"/>
  <c r="B64" i="3"/>
  <c r="T64" i="3"/>
  <c r="A64" i="3"/>
  <c r="S64" i="3"/>
  <c r="B63" i="3"/>
  <c r="T63" i="3" s="1"/>
  <c r="A63" i="3"/>
  <c r="S63" i="3"/>
  <c r="B62" i="3"/>
  <c r="T62" i="3" s="1"/>
  <c r="A62" i="3"/>
  <c r="S62" i="3"/>
  <c r="B61" i="3"/>
  <c r="T61" i="3" s="1"/>
  <c r="A61" i="3"/>
  <c r="S61" i="3"/>
  <c r="B60" i="3"/>
  <c r="T60" i="3" s="1"/>
  <c r="A60" i="3"/>
  <c r="S60" i="3"/>
  <c r="B59" i="3"/>
  <c r="T59" i="3" s="1"/>
  <c r="A59" i="3"/>
  <c r="S59" i="3"/>
  <c r="B58" i="3"/>
  <c r="T58" i="3" s="1"/>
  <c r="A58" i="3"/>
  <c r="S58" i="3"/>
  <c r="B57" i="3"/>
  <c r="T57" i="3" s="1"/>
  <c r="A57" i="3"/>
  <c r="S57" i="3"/>
  <c r="B56" i="3"/>
  <c r="T56" i="3"/>
  <c r="A56" i="3"/>
  <c r="S56" i="3"/>
  <c r="B55" i="3"/>
  <c r="T55" i="3" s="1"/>
  <c r="A55" i="3"/>
  <c r="S55" i="3"/>
  <c r="B54" i="3"/>
  <c r="T54" i="3" s="1"/>
  <c r="A54" i="3"/>
  <c r="S54" i="3" s="1"/>
  <c r="B53" i="3"/>
  <c r="T53" i="3" s="1"/>
  <c r="A53" i="3"/>
  <c r="S53" i="3"/>
  <c r="B52" i="3"/>
  <c r="T52" i="3"/>
  <c r="A52" i="3"/>
  <c r="S52" i="3"/>
  <c r="B51" i="3"/>
  <c r="T51" i="3" s="1"/>
  <c r="A51" i="3"/>
  <c r="S51" i="3"/>
  <c r="B50" i="3"/>
  <c r="T50" i="3" s="1"/>
  <c r="A50" i="3"/>
  <c r="S50" i="3" s="1"/>
  <c r="B49" i="3"/>
  <c r="T49" i="3" s="1"/>
  <c r="A49" i="3"/>
  <c r="S49" i="3"/>
  <c r="B48" i="3"/>
  <c r="T48" i="3"/>
  <c r="A48" i="3"/>
  <c r="S48" i="3" s="1"/>
  <c r="B47" i="3"/>
  <c r="T47" i="3" s="1"/>
  <c r="A47" i="3"/>
  <c r="S47" i="3"/>
  <c r="B46" i="3"/>
  <c r="T46" i="3" s="1"/>
  <c r="A46" i="3"/>
  <c r="S46" i="3" s="1"/>
  <c r="B45" i="3"/>
  <c r="T45" i="3" s="1"/>
  <c r="A45" i="3"/>
  <c r="S45" i="3"/>
  <c r="B44" i="3"/>
  <c r="T44" i="3" s="1"/>
  <c r="A44" i="3"/>
  <c r="S44" i="3" s="1"/>
  <c r="B43" i="3"/>
  <c r="T43" i="3" s="1"/>
  <c r="A43" i="3"/>
  <c r="S43" i="3"/>
  <c r="B42" i="3"/>
  <c r="T42" i="3" s="1"/>
  <c r="A42" i="3"/>
  <c r="S42" i="3" s="1"/>
  <c r="B41" i="3"/>
  <c r="T41" i="3" s="1"/>
  <c r="A41" i="3"/>
  <c r="S41" i="3"/>
  <c r="B40" i="3"/>
  <c r="T40" i="3" s="1"/>
  <c r="A40" i="3"/>
  <c r="S40" i="3" s="1"/>
  <c r="B39" i="3"/>
  <c r="T39" i="3" s="1"/>
  <c r="A39" i="3"/>
  <c r="S39" i="3"/>
  <c r="B38" i="3"/>
  <c r="T38" i="3" s="1"/>
  <c r="A38" i="3"/>
  <c r="S38" i="3" s="1"/>
  <c r="B37" i="3"/>
  <c r="T37" i="3" s="1"/>
  <c r="A37" i="3"/>
  <c r="S37" i="3"/>
  <c r="B36" i="3"/>
  <c r="T36" i="3" s="1"/>
  <c r="A36" i="3"/>
  <c r="S36" i="3" s="1"/>
  <c r="B35" i="3"/>
  <c r="T35" i="3" s="1"/>
  <c r="A35" i="3"/>
  <c r="S35" i="3"/>
  <c r="B34" i="3"/>
  <c r="T34" i="3" s="1"/>
  <c r="A34" i="3"/>
  <c r="S34" i="3" s="1"/>
  <c r="B33" i="3"/>
  <c r="T33" i="3" s="1"/>
  <c r="A33" i="3"/>
  <c r="S33" i="3"/>
  <c r="B32" i="3"/>
  <c r="T32" i="3"/>
  <c r="A32" i="3"/>
  <c r="S32" i="3"/>
  <c r="B31" i="3"/>
  <c r="T31" i="3" s="1"/>
  <c r="A31" i="3"/>
  <c r="S31" i="3"/>
  <c r="B30" i="3"/>
  <c r="T30" i="3" s="1"/>
  <c r="A30" i="3"/>
  <c r="S30" i="3" s="1"/>
  <c r="B29" i="3"/>
  <c r="T29" i="3" s="1"/>
  <c r="A29" i="3"/>
  <c r="S29" i="3"/>
  <c r="B28" i="3"/>
  <c r="T28" i="3" s="1"/>
  <c r="A28" i="3"/>
  <c r="S28" i="3" s="1"/>
  <c r="B27" i="3"/>
  <c r="T27" i="3" s="1"/>
  <c r="A27" i="3"/>
  <c r="S27" i="3"/>
  <c r="B26" i="3"/>
  <c r="T26" i="3" s="1"/>
  <c r="A26" i="3"/>
  <c r="S26" i="3"/>
  <c r="B25" i="3"/>
  <c r="T25" i="3" s="1"/>
  <c r="A25" i="3"/>
  <c r="S25" i="3"/>
  <c r="B24" i="3"/>
  <c r="T24" i="3"/>
  <c r="A24" i="3"/>
  <c r="S24" i="3"/>
  <c r="B23" i="3"/>
  <c r="T23" i="3" s="1"/>
  <c r="A23" i="3"/>
  <c r="S23" i="3"/>
  <c r="B22" i="3"/>
  <c r="T22" i="3" s="1"/>
  <c r="A22" i="3"/>
  <c r="S22" i="3" s="1"/>
  <c r="B21" i="3"/>
  <c r="T21" i="3" s="1"/>
  <c r="A21" i="3"/>
  <c r="S21" i="3"/>
  <c r="B20" i="3"/>
  <c r="T20" i="3" s="1"/>
  <c r="A20" i="3"/>
  <c r="S20" i="3" s="1"/>
  <c r="B19" i="3"/>
  <c r="T19" i="3" s="1"/>
  <c r="A19" i="3"/>
  <c r="S19" i="3"/>
  <c r="B18" i="3"/>
  <c r="T18" i="3" s="1"/>
  <c r="A18" i="3"/>
  <c r="S18" i="3" s="1"/>
  <c r="B17" i="3"/>
  <c r="T17" i="3" s="1"/>
  <c r="A17" i="3"/>
  <c r="S17" i="3"/>
  <c r="B16" i="3"/>
  <c r="T16" i="3"/>
  <c r="A16" i="3"/>
  <c r="S16" i="3"/>
  <c r="B15" i="3"/>
  <c r="T15" i="3" s="1"/>
  <c r="A15" i="3"/>
  <c r="S15" i="3"/>
  <c r="B14" i="3"/>
  <c r="T14" i="3"/>
  <c r="A14" i="3"/>
  <c r="S14" i="3"/>
  <c r="B13" i="3"/>
  <c r="T13" i="3" s="1"/>
  <c r="A13" i="3"/>
  <c r="S13" i="3"/>
  <c r="B12" i="3"/>
  <c r="T12" i="3" s="1"/>
  <c r="A12" i="3"/>
  <c r="S12" i="3" s="1"/>
  <c r="B11" i="3"/>
  <c r="T11" i="3" s="1"/>
  <c r="A11" i="3"/>
  <c r="S11" i="3"/>
  <c r="B10" i="3"/>
  <c r="T10" i="3" s="1"/>
  <c r="A10" i="3"/>
  <c r="S10" i="3" s="1"/>
  <c r="B9" i="3"/>
  <c r="T9" i="3" s="1"/>
  <c r="A9" i="3"/>
  <c r="S9" i="3"/>
  <c r="B8" i="3"/>
  <c r="T8" i="3" s="1"/>
  <c r="A8" i="3"/>
  <c r="S8" i="3" s="1"/>
  <c r="F5" i="24"/>
  <c r="B31" i="15"/>
  <c r="B36" i="15"/>
  <c r="B34" i="15"/>
  <c r="B39" i="15"/>
  <c r="I25" i="15"/>
  <c r="H25" i="15"/>
  <c r="G25" i="15"/>
  <c r="D41" i="16"/>
  <c r="D42" i="16"/>
  <c r="D43" i="16"/>
  <c r="D44" i="16"/>
  <c r="C18" i="8"/>
  <c r="A44" i="16"/>
  <c r="E44" i="16" s="1"/>
  <c r="A43" i="16"/>
  <c r="E43" i="16" s="1"/>
  <c r="A42" i="16"/>
  <c r="E42" i="16" s="1"/>
  <c r="A41" i="16"/>
  <c r="E41" i="16"/>
  <c r="D4" i="28"/>
  <c r="E4" i="28"/>
  <c r="F4" i="28"/>
  <c r="G4" i="28"/>
  <c r="H4" i="28"/>
  <c r="I4" i="28"/>
  <c r="J4" i="28"/>
  <c r="K4" i="28"/>
  <c r="L4" i="28"/>
  <c r="M4" i="28"/>
  <c r="N4" i="28"/>
  <c r="O4" i="28"/>
  <c r="P4" i="28"/>
  <c r="Q4" i="28"/>
  <c r="R4" i="28"/>
  <c r="S4" i="28"/>
  <c r="T4" i="28"/>
  <c r="U4" i="28"/>
  <c r="V4" i="28"/>
  <c r="W4" i="28"/>
  <c r="X4" i="28"/>
  <c r="Y4" i="28"/>
  <c r="Z4" i="28"/>
  <c r="AA4" i="28"/>
  <c r="AB4" i="28"/>
  <c r="AC4" i="28"/>
  <c r="AD4" i="28"/>
  <c r="AE4" i="28"/>
  <c r="AF4" i="28"/>
  <c r="AG4" i="28"/>
  <c r="AH4" i="28"/>
  <c r="AI4" i="28"/>
  <c r="AJ4" i="28"/>
  <c r="AK4" i="28"/>
  <c r="AL4" i="28"/>
  <c r="D7" i="22"/>
  <c r="M7" i="22"/>
  <c r="L7" i="22"/>
  <c r="D8" i="22"/>
  <c r="M8" i="22"/>
  <c r="L8" i="22"/>
  <c r="D9" i="22"/>
  <c r="M9" i="22"/>
  <c r="L9" i="22"/>
  <c r="D10" i="22"/>
  <c r="M10" i="22" s="1"/>
  <c r="L10" i="22"/>
  <c r="C18" i="22"/>
  <c r="C19" i="22"/>
  <c r="C31" i="22" s="1"/>
  <c r="C20" i="22"/>
  <c r="C32" i="22" s="1"/>
  <c r="C21" i="22"/>
  <c r="C22" i="22"/>
  <c r="C34" i="22" s="1"/>
  <c r="C23" i="22"/>
  <c r="C24" i="22"/>
  <c r="C25" i="22"/>
  <c r="C26" i="22"/>
  <c r="C27" i="22"/>
  <c r="C39" i="22" s="1"/>
  <c r="C28" i="22"/>
  <c r="C40" i="22" s="1"/>
  <c r="C52" i="22" s="1"/>
  <c r="C64" i="22" s="1"/>
  <c r="C76" i="22" s="1"/>
  <c r="C88" i="22" s="1"/>
  <c r="C100" i="22" s="1"/>
  <c r="C112" i="22" s="1"/>
  <c r="C124" i="22" s="1"/>
  <c r="C136" i="22" s="1"/>
  <c r="C148" i="22" s="1"/>
  <c r="C160" i="22" s="1"/>
  <c r="C172" i="22" s="1"/>
  <c r="C184" i="22" s="1"/>
  <c r="C29" i="22"/>
  <c r="C30" i="22"/>
  <c r="C42" i="22" s="1"/>
  <c r="C54" i="22" s="1"/>
  <c r="C66" i="22" s="1"/>
  <c r="C78" i="22" s="1"/>
  <c r="C90" i="22" s="1"/>
  <c r="C102" i="22" s="1"/>
  <c r="C114" i="22" s="1"/>
  <c r="C126" i="22" s="1"/>
  <c r="C33" i="22"/>
  <c r="C35" i="22"/>
  <c r="C47" i="22" s="1"/>
  <c r="C59" i="22" s="1"/>
  <c r="C71" i="22" s="1"/>
  <c r="C83" i="22" s="1"/>
  <c r="C95" i="22" s="1"/>
  <c r="C107" i="22" s="1"/>
  <c r="C119" i="22" s="1"/>
  <c r="C131" i="22" s="1"/>
  <c r="C143" i="22" s="1"/>
  <c r="C155" i="22" s="1"/>
  <c r="C167" i="22" s="1"/>
  <c r="C179" i="22" s="1"/>
  <c r="C191" i="22" s="1"/>
  <c r="C203" i="22" s="1"/>
  <c r="C215" i="22" s="1"/>
  <c r="C227" i="22" s="1"/>
  <c r="C239" i="22" s="1"/>
  <c r="C251" i="22" s="1"/>
  <c r="C263" i="22" s="1"/>
  <c r="C275" i="22" s="1"/>
  <c r="C287" i="22" s="1"/>
  <c r="C299" i="22" s="1"/>
  <c r="C311" i="22" s="1"/>
  <c r="C323" i="22" s="1"/>
  <c r="C335" i="22" s="1"/>
  <c r="C347" i="22" s="1"/>
  <c r="C359" i="22" s="1"/>
  <c r="C371" i="22" s="1"/>
  <c r="C36" i="22"/>
  <c r="C48" i="22" s="1"/>
  <c r="C60" i="22" s="1"/>
  <c r="C72" i="22" s="1"/>
  <c r="C84" i="22" s="1"/>
  <c r="C96" i="22" s="1"/>
  <c r="C108" i="22" s="1"/>
  <c r="C120" i="22" s="1"/>
  <c r="C132" i="22" s="1"/>
  <c r="C144" i="22" s="1"/>
  <c r="C156" i="22" s="1"/>
  <c r="C168" i="22" s="1"/>
  <c r="C180" i="22" s="1"/>
  <c r="C192" i="22" s="1"/>
  <c r="C204" i="22" s="1"/>
  <c r="C216" i="22" s="1"/>
  <c r="C228" i="22" s="1"/>
  <c r="C240" i="22" s="1"/>
  <c r="C252" i="22" s="1"/>
  <c r="C264" i="22" s="1"/>
  <c r="C276" i="22" s="1"/>
  <c r="C288" i="22" s="1"/>
  <c r="C300" i="22" s="1"/>
  <c r="C312" i="22" s="1"/>
  <c r="C324" i="22" s="1"/>
  <c r="C336" i="22" s="1"/>
  <c r="C348" i="22" s="1"/>
  <c r="C360" i="22" s="1"/>
  <c r="C372" i="22" s="1"/>
  <c r="C37" i="22"/>
  <c r="C38" i="22"/>
  <c r="C50" i="22" s="1"/>
  <c r="C41" i="22"/>
  <c r="C43" i="22"/>
  <c r="C55" i="22" s="1"/>
  <c r="C44" i="22"/>
  <c r="C56" i="22" s="1"/>
  <c r="C68" i="22" s="1"/>
  <c r="C80" i="22" s="1"/>
  <c r="C92" i="22" s="1"/>
  <c r="C104" i="22" s="1"/>
  <c r="C45" i="22"/>
  <c r="C57" i="22" s="1"/>
  <c r="C69" i="22" s="1"/>
  <c r="C81" i="22" s="1"/>
  <c r="C93" i="22" s="1"/>
  <c r="C105" i="22" s="1"/>
  <c r="C117" i="22" s="1"/>
  <c r="C129" i="22" s="1"/>
  <c r="C141" i="22" s="1"/>
  <c r="C153" i="22" s="1"/>
  <c r="C165" i="22" s="1"/>
  <c r="C177" i="22" s="1"/>
  <c r="C189" i="22" s="1"/>
  <c r="C201" i="22" s="1"/>
  <c r="C213" i="22" s="1"/>
  <c r="C225" i="22" s="1"/>
  <c r="C237" i="22" s="1"/>
  <c r="C249" i="22" s="1"/>
  <c r="C261" i="22" s="1"/>
  <c r="C273" i="22" s="1"/>
  <c r="C285" i="22" s="1"/>
  <c r="C297" i="22" s="1"/>
  <c r="C309" i="22" s="1"/>
  <c r="C321" i="22" s="1"/>
  <c r="C333" i="22" s="1"/>
  <c r="C345" i="22" s="1"/>
  <c r="C357" i="22" s="1"/>
  <c r="C369" i="22" s="1"/>
  <c r="C46" i="22"/>
  <c r="C58" i="22" s="1"/>
  <c r="C70" i="22" s="1"/>
  <c r="C82" i="22" s="1"/>
  <c r="C94" i="22" s="1"/>
  <c r="C106" i="22" s="1"/>
  <c r="C118" i="22" s="1"/>
  <c r="C130" i="22" s="1"/>
  <c r="C142" i="22" s="1"/>
  <c r="C154" i="22" s="1"/>
  <c r="C166" i="22" s="1"/>
  <c r="C178" i="22" s="1"/>
  <c r="C190" i="22" s="1"/>
  <c r="C202" i="22" s="1"/>
  <c r="C214" i="22" s="1"/>
  <c r="C226" i="22" s="1"/>
  <c r="C238" i="22" s="1"/>
  <c r="C250" i="22" s="1"/>
  <c r="C262" i="22" s="1"/>
  <c r="C274" i="22" s="1"/>
  <c r="C286" i="22" s="1"/>
  <c r="C298" i="22" s="1"/>
  <c r="C310" i="22" s="1"/>
  <c r="C322" i="22" s="1"/>
  <c r="C334" i="22" s="1"/>
  <c r="C346" i="22" s="1"/>
  <c r="C358" i="22" s="1"/>
  <c r="C370" i="22" s="1"/>
  <c r="C49" i="22"/>
  <c r="C61" i="22" s="1"/>
  <c r="C73" i="22" s="1"/>
  <c r="C85" i="22" s="1"/>
  <c r="C97" i="22" s="1"/>
  <c r="C109" i="22" s="1"/>
  <c r="C121" i="22" s="1"/>
  <c r="C133" i="22" s="1"/>
  <c r="C145" i="22" s="1"/>
  <c r="C157" i="22" s="1"/>
  <c r="C169" i="22" s="1"/>
  <c r="C181" i="22" s="1"/>
  <c r="C193" i="22" s="1"/>
  <c r="C205" i="22" s="1"/>
  <c r="C217" i="22" s="1"/>
  <c r="C229" i="22" s="1"/>
  <c r="C241" i="22" s="1"/>
  <c r="C253" i="22" s="1"/>
  <c r="C265" i="22" s="1"/>
  <c r="C277" i="22" s="1"/>
  <c r="C289" i="22" s="1"/>
  <c r="C301" i="22" s="1"/>
  <c r="C313" i="22" s="1"/>
  <c r="C325" i="22" s="1"/>
  <c r="C337" i="22" s="1"/>
  <c r="C349" i="22" s="1"/>
  <c r="C361" i="22" s="1"/>
  <c r="C373" i="22" s="1"/>
  <c r="C51" i="22"/>
  <c r="C63" i="22" s="1"/>
  <c r="C53" i="22"/>
  <c r="C65" i="22" s="1"/>
  <c r="C77" i="22" s="1"/>
  <c r="C89" i="22" s="1"/>
  <c r="C62" i="22"/>
  <c r="C67" i="22"/>
  <c r="C79" i="22" s="1"/>
  <c r="C91" i="22" s="1"/>
  <c r="C103" i="22" s="1"/>
  <c r="C115" i="22" s="1"/>
  <c r="C127" i="22" s="1"/>
  <c r="C139" i="22" s="1"/>
  <c r="C151" i="22" s="1"/>
  <c r="C163" i="22" s="1"/>
  <c r="C175" i="22" s="1"/>
  <c r="C187" i="22" s="1"/>
  <c r="C199" i="22" s="1"/>
  <c r="C211" i="22" s="1"/>
  <c r="C223" i="22" s="1"/>
  <c r="C235" i="22" s="1"/>
  <c r="C247" i="22" s="1"/>
  <c r="C259" i="22" s="1"/>
  <c r="C271" i="22" s="1"/>
  <c r="C283" i="22" s="1"/>
  <c r="C295" i="22" s="1"/>
  <c r="C307" i="22" s="1"/>
  <c r="C319" i="22" s="1"/>
  <c r="C331" i="22" s="1"/>
  <c r="C343" i="22" s="1"/>
  <c r="C355" i="22" s="1"/>
  <c r="C367" i="22" s="1"/>
  <c r="C74" i="22"/>
  <c r="C86" i="22" s="1"/>
  <c r="C98" i="22" s="1"/>
  <c r="C75" i="22"/>
  <c r="C87" i="22" s="1"/>
  <c r="C99" i="22" s="1"/>
  <c r="C111" i="22" s="1"/>
  <c r="C123" i="22" s="1"/>
  <c r="C135" i="22" s="1"/>
  <c r="C147" i="22" s="1"/>
  <c r="C159" i="22" s="1"/>
  <c r="C171" i="22"/>
  <c r="C183" i="22" s="1"/>
  <c r="C195" i="22" s="1"/>
  <c r="C207" i="22" s="1"/>
  <c r="C219" i="22" s="1"/>
  <c r="C231" i="22" s="1"/>
  <c r="C243" i="22" s="1"/>
  <c r="C255" i="22" s="1"/>
  <c r="C267" i="22" s="1"/>
  <c r="C279" i="22" s="1"/>
  <c r="C291" i="22" s="1"/>
  <c r="C303" i="22" s="1"/>
  <c r="C315" i="22" s="1"/>
  <c r="C327" i="22" s="1"/>
  <c r="C339" i="22" s="1"/>
  <c r="C351" i="22" s="1"/>
  <c r="C363" i="22" s="1"/>
  <c r="C375" i="22" s="1"/>
  <c r="C110" i="22"/>
  <c r="C122" i="22" s="1"/>
  <c r="C134" i="22" s="1"/>
  <c r="C146" i="22" s="1"/>
  <c r="C158" i="22" s="1"/>
  <c r="C170" i="22" s="1"/>
  <c r="C182" i="22" s="1"/>
  <c r="C194" i="22" s="1"/>
  <c r="C206" i="22" s="1"/>
  <c r="C218" i="22" s="1"/>
  <c r="C230" i="22" s="1"/>
  <c r="C242" i="22" s="1"/>
  <c r="C254" i="22" s="1"/>
  <c r="C266" i="22" s="1"/>
  <c r="C278" i="22" s="1"/>
  <c r="C290" i="22" s="1"/>
  <c r="C302" i="22" s="1"/>
  <c r="C314" i="22" s="1"/>
  <c r="C326" i="22" s="1"/>
  <c r="C338" i="22" s="1"/>
  <c r="C350" i="22" s="1"/>
  <c r="C362" i="22" s="1"/>
  <c r="C374" i="22" s="1"/>
  <c r="C138" i="22"/>
  <c r="C150" i="22" s="1"/>
  <c r="C162" i="22" s="1"/>
  <c r="C174" i="22" s="1"/>
  <c r="C186" i="22" s="1"/>
  <c r="C198" i="22" s="1"/>
  <c r="C210" i="22" s="1"/>
  <c r="C222" i="22" s="1"/>
  <c r="C234" i="22" s="1"/>
  <c r="C246" i="22" s="1"/>
  <c r="C258" i="22" s="1"/>
  <c r="C270" i="22" s="1"/>
  <c r="C282" i="22" s="1"/>
  <c r="C294" i="22" s="1"/>
  <c r="C306" i="22" s="1"/>
  <c r="C318" i="22" s="1"/>
  <c r="C330" i="22" s="1"/>
  <c r="C342" i="22" s="1"/>
  <c r="C354" i="22" s="1"/>
  <c r="C366" i="22" s="1"/>
  <c r="C101" i="22"/>
  <c r="C196" i="22"/>
  <c r="C208" i="22" s="1"/>
  <c r="C220" i="22" s="1"/>
  <c r="C232" i="22" s="1"/>
  <c r="C244" i="22" s="1"/>
  <c r="C256" i="22" s="1"/>
  <c r="C268" i="22" s="1"/>
  <c r="C280" i="22" s="1"/>
  <c r="C292" i="22" s="1"/>
  <c r="C304" i="22" s="1"/>
  <c r="C316" i="22" s="1"/>
  <c r="C328" i="22" s="1"/>
  <c r="C340" i="22" s="1"/>
  <c r="C352" i="22" s="1"/>
  <c r="C364" i="22" s="1"/>
  <c r="C376" i="22" s="1"/>
  <c r="C113" i="22"/>
  <c r="C125" i="22" s="1"/>
  <c r="C137" i="22" s="1"/>
  <c r="C149" i="22" s="1"/>
  <c r="C161" i="22" s="1"/>
  <c r="C173" i="22" s="1"/>
  <c r="C185" i="22" s="1"/>
  <c r="C197" i="22" s="1"/>
  <c r="C209" i="22" s="1"/>
  <c r="C116" i="22"/>
  <c r="C128" i="22" s="1"/>
  <c r="C140" i="22" s="1"/>
  <c r="C152" i="22" s="1"/>
  <c r="C164" i="22" s="1"/>
  <c r="C176" i="22" s="1"/>
  <c r="C188" i="22" s="1"/>
  <c r="C200" i="22" s="1"/>
  <c r="C212" i="22" s="1"/>
  <c r="C224" i="22" s="1"/>
  <c r="C236" i="22" s="1"/>
  <c r="C248" i="22" s="1"/>
  <c r="C260" i="22" s="1"/>
  <c r="C272" i="22" s="1"/>
  <c r="C284" i="22" s="1"/>
  <c r="C296" i="22" s="1"/>
  <c r="C308" i="22" s="1"/>
  <c r="C320" i="22" s="1"/>
  <c r="C332" i="22" s="1"/>
  <c r="C344" i="22" s="1"/>
  <c r="C356" i="22" s="1"/>
  <c r="C368" i="22"/>
  <c r="C221" i="22"/>
  <c r="C233" i="22"/>
  <c r="C245" i="22"/>
  <c r="C257" i="22" s="1"/>
  <c r="C269" i="22" s="1"/>
  <c r="C281" i="22" s="1"/>
  <c r="C293" i="22" s="1"/>
  <c r="C305" i="22" s="1"/>
  <c r="C317" i="22" s="1"/>
  <c r="C329" i="22" s="1"/>
  <c r="C341" i="22" s="1"/>
  <c r="C353" i="22" s="1"/>
  <c r="C365" i="22" s="1"/>
  <c r="C377" i="22" s="1"/>
  <c r="D6" i="22"/>
  <c r="L11" i="22"/>
  <c r="AK12" i="28"/>
  <c r="L3" i="8"/>
  <c r="AL12" i="28"/>
  <c r="AJ12" i="28"/>
  <c r="AI12"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E12" i="28"/>
  <c r="D12" i="28"/>
  <c r="A32" i="6"/>
  <c r="B32" i="6"/>
  <c r="B14" i="6"/>
  <c r="G14" i="6" s="1"/>
  <c r="A14" i="6"/>
  <c r="B13" i="6"/>
  <c r="E28" i="6" s="1"/>
  <c r="A13" i="6"/>
  <c r="B29" i="6"/>
  <c r="A29" i="6"/>
  <c r="B15" i="6"/>
  <c r="A15" i="6"/>
  <c r="B16" i="6"/>
  <c r="D16" i="6"/>
  <c r="A16" i="6"/>
  <c r="B17" i="6"/>
  <c r="D17" i="6"/>
  <c r="A17" i="6"/>
  <c r="B18" i="6"/>
  <c r="A18" i="6"/>
  <c r="A10" i="6"/>
  <c r="A31" i="6"/>
  <c r="H31" i="6" s="1"/>
  <c r="B31" i="6"/>
  <c r="D31" i="6"/>
  <c r="A30" i="6"/>
  <c r="I30" i="6" s="1"/>
  <c r="B30" i="6"/>
  <c r="H29" i="6"/>
  <c r="G29" i="6"/>
  <c r="A28" i="6"/>
  <c r="B28" i="6"/>
  <c r="G28" i="6"/>
  <c r="A27" i="6"/>
  <c r="B27" i="6"/>
  <c r="D27" i="6"/>
  <c r="A26" i="6"/>
  <c r="E25" i="6" s="1"/>
  <c r="B26" i="6"/>
  <c r="D26" i="6" s="1"/>
  <c r="A25" i="6"/>
  <c r="B25" i="6"/>
  <c r="D25" i="6"/>
  <c r="A24" i="6"/>
  <c r="B24" i="6"/>
  <c r="A23" i="6"/>
  <c r="B23" i="6"/>
  <c r="A22" i="6"/>
  <c r="H22" i="6" s="1"/>
  <c r="B22" i="6"/>
  <c r="G22" i="6"/>
  <c r="A21" i="6"/>
  <c r="I21" i="6" s="1"/>
  <c r="B21" i="6"/>
  <c r="A20" i="6"/>
  <c r="B20" i="6"/>
  <c r="A19" i="6"/>
  <c r="B19" i="6"/>
  <c r="D19" i="6"/>
  <c r="E19" i="3"/>
  <c r="E31" i="3"/>
  <c r="E43" i="3"/>
  <c r="E55" i="3"/>
  <c r="E67" i="3" s="1"/>
  <c r="E79" i="3" s="1"/>
  <c r="E91" i="3" s="1"/>
  <c r="E103" i="3" s="1"/>
  <c r="E115" i="3" s="1"/>
  <c r="E127" i="3" s="1"/>
  <c r="E139" i="3" s="1"/>
  <c r="E151" i="3" s="1"/>
  <c r="E163" i="3" s="1"/>
  <c r="E175" i="3" s="1"/>
  <c r="E187" i="3" s="1"/>
  <c r="E199" i="3" s="1"/>
  <c r="E211" i="3" s="1"/>
  <c r="E223" i="3" s="1"/>
  <c r="E235" i="3" s="1"/>
  <c r="E247" i="3" s="1"/>
  <c r="E259" i="3" s="1"/>
  <c r="E271" i="3" s="1"/>
  <c r="E283" i="3" s="1"/>
  <c r="E295" i="3" s="1"/>
  <c r="E18" i="3"/>
  <c r="E30" i="3"/>
  <c r="E17" i="3"/>
  <c r="E29" i="3"/>
  <c r="E41" i="3"/>
  <c r="E53" i="3"/>
  <c r="E65" i="3"/>
  <c r="E16" i="3"/>
  <c r="E28" i="3"/>
  <c r="E40" i="3"/>
  <c r="E52" i="3"/>
  <c r="E64" i="3"/>
  <c r="E76" i="3"/>
  <c r="E88" i="3"/>
  <c r="E100" i="3"/>
  <c r="E112" i="3" s="1"/>
  <c r="E124" i="3" s="1"/>
  <c r="E136" i="3" s="1"/>
  <c r="E148" i="3" s="1"/>
  <c r="E160" i="3" s="1"/>
  <c r="E15" i="3"/>
  <c r="E27" i="3"/>
  <c r="E39" i="3"/>
  <c r="E51" i="3" s="1"/>
  <c r="E63" i="3" s="1"/>
  <c r="E75" i="3" s="1"/>
  <c r="E87" i="3" s="1"/>
  <c r="E99" i="3" s="1"/>
  <c r="E111" i="3" s="1"/>
  <c r="E123" i="3" s="1"/>
  <c r="E135" i="3" s="1"/>
  <c r="E147" i="3" s="1"/>
  <c r="E159" i="3" s="1"/>
  <c r="E171" i="3" s="1"/>
  <c r="E183" i="3" s="1"/>
  <c r="E195" i="3" s="1"/>
  <c r="E207" i="3" s="1"/>
  <c r="E219" i="3" s="1"/>
  <c r="E231" i="3" s="1"/>
  <c r="E243" i="3" s="1"/>
  <c r="E255" i="3" s="1"/>
  <c r="E267" i="3" s="1"/>
  <c r="E279" i="3" s="1"/>
  <c r="E291" i="3" s="1"/>
  <c r="E303" i="3" s="1"/>
  <c r="E315" i="3" s="1"/>
  <c r="E327" i="3" s="1"/>
  <c r="E339" i="3" s="1"/>
  <c r="E351" i="3" s="1"/>
  <c r="E363" i="3" s="1"/>
  <c r="E14" i="3"/>
  <c r="E26" i="3" s="1"/>
  <c r="E38" i="3" s="1"/>
  <c r="E50" i="3" s="1"/>
  <c r="E62" i="3" s="1"/>
  <c r="E74" i="3" s="1"/>
  <c r="E86" i="3" s="1"/>
  <c r="E98" i="3" s="1"/>
  <c r="E110" i="3" s="1"/>
  <c r="E122" i="3" s="1"/>
  <c r="E134" i="3" s="1"/>
  <c r="E146" i="3" s="1"/>
  <c r="E158" i="3" s="1"/>
  <c r="E170" i="3" s="1"/>
  <c r="E182" i="3" s="1"/>
  <c r="E194" i="3" s="1"/>
  <c r="E206" i="3" s="1"/>
  <c r="E218" i="3" s="1"/>
  <c r="E230" i="3" s="1"/>
  <c r="E242" i="3" s="1"/>
  <c r="E13" i="3"/>
  <c r="E25" i="3"/>
  <c r="E37" i="3" s="1"/>
  <c r="E49" i="3" s="1"/>
  <c r="E61" i="3" s="1"/>
  <c r="E73" i="3" s="1"/>
  <c r="E85" i="3" s="1"/>
  <c r="E12" i="3"/>
  <c r="E24" i="3"/>
  <c r="E36" i="3" s="1"/>
  <c r="E48" i="3" s="1"/>
  <c r="E60" i="3" s="1"/>
  <c r="E72" i="3" s="1"/>
  <c r="E84" i="3" s="1"/>
  <c r="E96" i="3" s="1"/>
  <c r="E108" i="3" s="1"/>
  <c r="E120" i="3" s="1"/>
  <c r="E132" i="3" s="1"/>
  <c r="E144" i="3" s="1"/>
  <c r="E156" i="3" s="1"/>
  <c r="E168" i="3" s="1"/>
  <c r="E180" i="3" s="1"/>
  <c r="E192" i="3" s="1"/>
  <c r="E204" i="3" s="1"/>
  <c r="E216" i="3" s="1"/>
  <c r="E228" i="3" s="1"/>
  <c r="E240" i="3" s="1"/>
  <c r="E252" i="3" s="1"/>
  <c r="E264" i="3" s="1"/>
  <c r="E276" i="3" s="1"/>
  <c r="E288" i="3" s="1"/>
  <c r="E300" i="3" s="1"/>
  <c r="E312" i="3" s="1"/>
  <c r="E324" i="3" s="1"/>
  <c r="E336" i="3" s="1"/>
  <c r="E348" i="3" s="1"/>
  <c r="E360" i="3" s="1"/>
  <c r="E11" i="3"/>
  <c r="E23" i="3" s="1"/>
  <c r="E35" i="3" s="1"/>
  <c r="E47" i="3" s="1"/>
  <c r="E59" i="3" s="1"/>
  <c r="E71" i="3" s="1"/>
  <c r="E83" i="3" s="1"/>
  <c r="E95" i="3" s="1"/>
  <c r="E107" i="3" s="1"/>
  <c r="E119" i="3" s="1"/>
  <c r="E131" i="3" s="1"/>
  <c r="E143" i="3" s="1"/>
  <c r="E155" i="3" s="1"/>
  <c r="E167" i="3" s="1"/>
  <c r="E179" i="3" s="1"/>
  <c r="E10" i="3"/>
  <c r="E22" i="3" s="1"/>
  <c r="E34" i="3" s="1"/>
  <c r="E46" i="3" s="1"/>
  <c r="E9" i="3"/>
  <c r="E21" i="3"/>
  <c r="E33" i="3" s="1"/>
  <c r="E45" i="3" s="1"/>
  <c r="E57" i="3" s="1"/>
  <c r="E69" i="3" s="1"/>
  <c r="E81" i="3" s="1"/>
  <c r="E8" i="3"/>
  <c r="AC8" i="22"/>
  <c r="O3" i="22"/>
  <c r="E28" i="16"/>
  <c r="Q2" i="3"/>
  <c r="F8" i="3"/>
  <c r="F20" i="3" s="1"/>
  <c r="F32" i="3" s="1"/>
  <c r="F44" i="3" s="1"/>
  <c r="F56" i="3" s="1"/>
  <c r="F68" i="3"/>
  <c r="F80" i="3" s="1"/>
  <c r="F92" i="3" s="1"/>
  <c r="F9" i="3"/>
  <c r="F10" i="3"/>
  <c r="F22" i="3"/>
  <c r="F34" i="3"/>
  <c r="F46" i="3"/>
  <c r="F58" i="3" s="1"/>
  <c r="F70" i="3" s="1"/>
  <c r="F82" i="3" s="1"/>
  <c r="F11" i="3"/>
  <c r="F12" i="3"/>
  <c r="F24" i="3"/>
  <c r="F36" i="3"/>
  <c r="F48" i="3"/>
  <c r="F60" i="3" s="1"/>
  <c r="F72" i="3" s="1"/>
  <c r="F13" i="3"/>
  <c r="F14" i="3"/>
  <c r="F26" i="3" s="1"/>
  <c r="F38" i="3" s="1"/>
  <c r="F50" i="3" s="1"/>
  <c r="F62" i="3" s="1"/>
  <c r="F15" i="3"/>
  <c r="F27" i="3" s="1"/>
  <c r="F39" i="3" s="1"/>
  <c r="F51" i="3" s="1"/>
  <c r="F16" i="3"/>
  <c r="F28" i="3" s="1"/>
  <c r="F40" i="3" s="1"/>
  <c r="F17" i="3"/>
  <c r="F29" i="3" s="1"/>
  <c r="F41" i="3" s="1"/>
  <c r="F53" i="3" s="1"/>
  <c r="F65" i="3" s="1"/>
  <c r="F77" i="3" s="1"/>
  <c r="F89" i="3" s="1"/>
  <c r="F18" i="3"/>
  <c r="F30" i="3" s="1"/>
  <c r="F42" i="3" s="1"/>
  <c r="F54" i="3" s="1"/>
  <c r="F19" i="3"/>
  <c r="F31" i="3" s="1"/>
  <c r="E20" i="3"/>
  <c r="E32" i="3" s="1"/>
  <c r="E44" i="3" s="1"/>
  <c r="E56" i="3" s="1"/>
  <c r="E68" i="3" s="1"/>
  <c r="E80" i="3" s="1"/>
  <c r="E92" i="3" s="1"/>
  <c r="E104" i="3" s="1"/>
  <c r="E116" i="3" s="1"/>
  <c r="E128" i="3" s="1"/>
  <c r="E140" i="3" s="1"/>
  <c r="E152" i="3" s="1"/>
  <c r="E164" i="3" s="1"/>
  <c r="E176" i="3" s="1"/>
  <c r="E188" i="3" s="1"/>
  <c r="E200" i="3" s="1"/>
  <c r="E212" i="3" s="1"/>
  <c r="E224" i="3" s="1"/>
  <c r="E236" i="3" s="1"/>
  <c r="E248" i="3" s="1"/>
  <c r="E260" i="3" s="1"/>
  <c r="I2" i="6"/>
  <c r="E37" i="6"/>
  <c r="E38" i="6"/>
  <c r="F38" i="6"/>
  <c r="E39" i="6"/>
  <c r="E40" i="6"/>
  <c r="G40" i="6"/>
  <c r="G3" i="26"/>
  <c r="E5" i="26"/>
  <c r="E6" i="26"/>
  <c r="E19" i="26"/>
  <c r="E20" i="26"/>
  <c r="E21" i="26" s="1"/>
  <c r="E22" i="26" s="1"/>
  <c r="E23" i="26" s="1"/>
  <c r="G3" i="24"/>
  <c r="B18" i="24"/>
  <c r="D26" i="24" s="1"/>
  <c r="E26" i="24" s="1"/>
  <c r="D60" i="24"/>
  <c r="D61" i="24"/>
  <c r="C61" i="24"/>
  <c r="C62" i="24" s="1"/>
  <c r="D73" i="24"/>
  <c r="D75" i="24"/>
  <c r="D74" i="24"/>
  <c r="F3" i="16"/>
  <c r="B7" i="16"/>
  <c r="B15" i="16" s="1"/>
  <c r="B12" i="16"/>
  <c r="B34" i="16"/>
  <c r="I2" i="15"/>
  <c r="P2" i="15"/>
  <c r="M3" i="1"/>
  <c r="C27" i="8"/>
  <c r="C28" i="8"/>
  <c r="C30" i="8"/>
  <c r="C34" i="8"/>
  <c r="C36" i="8"/>
  <c r="D13" i="6"/>
  <c r="D27" i="24"/>
  <c r="E27" i="24" s="1"/>
  <c r="D29" i="6"/>
  <c r="I29" i="6"/>
  <c r="F27" i="24"/>
  <c r="G19" i="6"/>
  <c r="D21" i="6"/>
  <c r="G21" i="6"/>
  <c r="G27" i="6"/>
  <c r="D28" i="6"/>
  <c r="F35" i="24"/>
  <c r="E62" i="24" s="1"/>
  <c r="D28" i="24"/>
  <c r="E28" i="24" s="1"/>
  <c r="H30" i="6"/>
  <c r="I31" i="6"/>
  <c r="D22" i="6"/>
  <c r="F28" i="24"/>
  <c r="H21" i="6"/>
  <c r="G13" i="6"/>
  <c r="G17" i="6"/>
  <c r="G16" i="6"/>
  <c r="G31" i="6"/>
  <c r="G25" i="6"/>
  <c r="B33" i="15"/>
  <c r="F63" i="3"/>
  <c r="H63" i="3" s="1"/>
  <c r="F66" i="3"/>
  <c r="F78" i="3" s="1"/>
  <c r="F90" i="3" s="1"/>
  <c r="H25" i="6"/>
  <c r="I25" i="6"/>
  <c r="H32" i="6"/>
  <c r="I32" i="6"/>
  <c r="E31" i="6"/>
  <c r="I22" i="6"/>
  <c r="I24" i="6"/>
  <c r="H24" i="6"/>
  <c r="E63" i="24"/>
  <c r="C35" i="8"/>
  <c r="H26" i="6"/>
  <c r="I26" i="6"/>
  <c r="F23" i="3"/>
  <c r="F35" i="3" s="1"/>
  <c r="E27" i="16"/>
  <c r="H28" i="6"/>
  <c r="I28" i="6"/>
  <c r="G15" i="6"/>
  <c r="E14" i="6"/>
  <c r="F36" i="15"/>
  <c r="F45" i="16"/>
  <c r="B47" i="16"/>
  <c r="F21" i="3"/>
  <c r="H27" i="6"/>
  <c r="I27" i="6"/>
  <c r="G18" i="6"/>
  <c r="D18" i="6"/>
  <c r="D15" i="6"/>
  <c r="C8" i="8"/>
  <c r="D78" i="22" s="1"/>
  <c r="B38" i="15"/>
  <c r="B24" i="15"/>
  <c r="G4" i="3"/>
  <c r="D30" i="22"/>
  <c r="D209" i="22"/>
  <c r="D199" i="3" s="1"/>
  <c r="G199" i="3" s="1"/>
  <c r="D101" i="22"/>
  <c r="D245" i="22"/>
  <c r="D311" i="22"/>
  <c r="D275" i="22"/>
  <c r="D265" i="3" s="1"/>
  <c r="D341" i="22"/>
  <c r="D331" i="3" s="1"/>
  <c r="G331" i="3" s="1"/>
  <c r="D377" i="22"/>
  <c r="D367" i="3" s="1"/>
  <c r="D299" i="22"/>
  <c r="D289" i="3" s="1"/>
  <c r="D346" i="22"/>
  <c r="D336" i="3" s="1"/>
  <c r="G336" i="3" s="1"/>
  <c r="F52" i="3"/>
  <c r="F64" i="3" s="1"/>
  <c r="F76" i="3" s="1"/>
  <c r="F47" i="3"/>
  <c r="F84" i="3"/>
  <c r="H84" i="3" s="1"/>
  <c r="F74" i="3"/>
  <c r="H74" i="3" s="1"/>
  <c r="F94" i="3"/>
  <c r="F106" i="3" s="1"/>
  <c r="F96" i="3"/>
  <c r="F86" i="3"/>
  <c r="F98" i="3" s="1"/>
  <c r="F110" i="3" s="1"/>
  <c r="F122" i="3" s="1"/>
  <c r="H122" i="3" s="1"/>
  <c r="F88" i="3"/>
  <c r="F100" i="3" s="1"/>
  <c r="F102" i="3"/>
  <c r="H90" i="3"/>
  <c r="E97" i="3"/>
  <c r="E109" i="3" s="1"/>
  <c r="E121" i="3" s="1"/>
  <c r="E133" i="3" s="1"/>
  <c r="E145" i="3" s="1"/>
  <c r="E157" i="3" s="1"/>
  <c r="E169" i="3" s="1"/>
  <c r="E181" i="3" s="1"/>
  <c r="E193" i="3" s="1"/>
  <c r="E205" i="3" s="1"/>
  <c r="E217" i="3" s="1"/>
  <c r="E229" i="3" s="1"/>
  <c r="E241" i="3" s="1"/>
  <c r="E253" i="3" s="1"/>
  <c r="E265" i="3" s="1"/>
  <c r="E277" i="3" s="1"/>
  <c r="E289" i="3" s="1"/>
  <c r="E301" i="3" s="1"/>
  <c r="E313" i="3" s="1"/>
  <c r="E325" i="3" s="1"/>
  <c r="E337" i="3" s="1"/>
  <c r="E349" i="3" s="1"/>
  <c r="E361" i="3" s="1"/>
  <c r="E307" i="3"/>
  <c r="E319" i="3" s="1"/>
  <c r="E331" i="3" s="1"/>
  <c r="E343" i="3" s="1"/>
  <c r="E355" i="3" s="1"/>
  <c r="E367" i="3" s="1"/>
  <c r="E58" i="3"/>
  <c r="E70" i="3" s="1"/>
  <c r="E42" i="3"/>
  <c r="C38" i="8"/>
  <c r="H89" i="3"/>
  <c r="F101" i="3"/>
  <c r="F113" i="3" s="1"/>
  <c r="F125" i="3" s="1"/>
  <c r="F137" i="3" s="1"/>
  <c r="E93" i="3"/>
  <c r="E105" i="3" s="1"/>
  <c r="E77" i="3"/>
  <c r="E89" i="3"/>
  <c r="E101" i="3"/>
  <c r="E113" i="3" s="1"/>
  <c r="E125" i="3" s="1"/>
  <c r="E137" i="3" s="1"/>
  <c r="E149" i="3" s="1"/>
  <c r="E161" i="3" s="1"/>
  <c r="E173" i="3" s="1"/>
  <c r="E185" i="3" s="1"/>
  <c r="E197" i="3" s="1"/>
  <c r="E209" i="3" s="1"/>
  <c r="E221" i="3" s="1"/>
  <c r="E233" i="3" s="1"/>
  <c r="E245" i="3" s="1"/>
  <c r="E257" i="3" s="1"/>
  <c r="E269" i="3" s="1"/>
  <c r="E281" i="3" s="1"/>
  <c r="E254" i="3"/>
  <c r="E266" i="3"/>
  <c r="E278" i="3" s="1"/>
  <c r="D14" i="6"/>
  <c r="E13" i="6"/>
  <c r="E27" i="6"/>
  <c r="E17" i="6"/>
  <c r="E18" i="6"/>
  <c r="E24" i="6"/>
  <c r="E30" i="6"/>
  <c r="E22" i="6"/>
  <c r="E20" i="6"/>
  <c r="E15" i="6"/>
  <c r="G26" i="6"/>
  <c r="D82" i="22"/>
  <c r="D72" i="3" s="1"/>
  <c r="G72" i="3" s="1"/>
  <c r="E16" i="6"/>
  <c r="E21" i="6"/>
  <c r="E26" i="6"/>
  <c r="H11" i="3"/>
  <c r="H70" i="3"/>
  <c r="H12" i="3"/>
  <c r="H80" i="3"/>
  <c r="H64" i="3"/>
  <c r="H35" i="3"/>
  <c r="H36" i="3"/>
  <c r="H110" i="3"/>
  <c r="H72" i="3"/>
  <c r="H62" i="3"/>
  <c r="H56" i="3"/>
  <c r="H27" i="3"/>
  <c r="H44" i="3"/>
  <c r="H32" i="3"/>
  <c r="H40" i="3"/>
  <c r="H28" i="3"/>
  <c r="H53" i="3"/>
  <c r="H14" i="3"/>
  <c r="H16" i="3"/>
  <c r="H51" i="3"/>
  <c r="H88" i="3"/>
  <c r="H101" i="3"/>
  <c r="H66" i="3"/>
  <c r="H60" i="3"/>
  <c r="H50" i="3"/>
  <c r="H23" i="3"/>
  <c r="H42" i="3"/>
  <c r="H29" i="3"/>
  <c r="H41" i="3"/>
  <c r="H34" i="3"/>
  <c r="H15" i="3"/>
  <c r="H125" i="3"/>
  <c r="H76" i="3"/>
  <c r="H52" i="3"/>
  <c r="H38" i="3"/>
  <c r="H24" i="3"/>
  <c r="H26" i="3"/>
  <c r="H10" i="3"/>
  <c r="H46" i="3"/>
  <c r="H8" i="3"/>
  <c r="H77" i="3"/>
  <c r="H58" i="3"/>
  <c r="H98" i="3"/>
  <c r="H86" i="3"/>
  <c r="H78" i="3"/>
  <c r="H94" i="3"/>
  <c r="H82" i="3"/>
  <c r="H54" i="3"/>
  <c r="H68" i="3"/>
  <c r="H39" i="3"/>
  <c r="H48" i="3"/>
  <c r="H17" i="3"/>
  <c r="H30" i="3"/>
  <c r="H18" i="3"/>
  <c r="H65" i="3"/>
  <c r="H19" i="3"/>
  <c r="H9" i="3"/>
  <c r="H22" i="3"/>
  <c r="H20" i="3"/>
  <c r="F114" i="3"/>
  <c r="H102" i="3"/>
  <c r="E290" i="3"/>
  <c r="E117" i="3"/>
  <c r="C39" i="8"/>
  <c r="E27" i="26"/>
  <c r="C40" i="8"/>
  <c r="E54" i="3"/>
  <c r="E66" i="3" s="1"/>
  <c r="E172" i="3"/>
  <c r="A9" i="6"/>
  <c r="C30" i="6" s="1"/>
  <c r="F30" i="6" s="1"/>
  <c r="E129" i="3"/>
  <c r="E302" i="3"/>
  <c r="E314" i="3" s="1"/>
  <c r="E326" i="3" s="1"/>
  <c r="E338" i="3" s="1"/>
  <c r="E350" i="3" s="1"/>
  <c r="E362" i="3" s="1"/>
  <c r="E184" i="3"/>
  <c r="E196" i="3" s="1"/>
  <c r="E208" i="3" s="1"/>
  <c r="E220" i="3" s="1"/>
  <c r="E232" i="3" s="1"/>
  <c r="E244" i="3" s="1"/>
  <c r="E256" i="3" s="1"/>
  <c r="E268" i="3" s="1"/>
  <c r="E280" i="3" s="1"/>
  <c r="E292" i="3" s="1"/>
  <c r="E304" i="3" s="1"/>
  <c r="E316" i="3" s="1"/>
  <c r="E328" i="3" s="1"/>
  <c r="E340" i="3" s="1"/>
  <c r="E352" i="3" s="1"/>
  <c r="E364" i="3" s="1"/>
  <c r="E82" i="3"/>
  <c r="E94" i="3" s="1"/>
  <c r="E106" i="3" s="1"/>
  <c r="E118" i="3" s="1"/>
  <c r="E130" i="3" s="1"/>
  <c r="E142" i="3" s="1"/>
  <c r="E154" i="3" s="1"/>
  <c r="E166" i="3" s="1"/>
  <c r="E178" i="3" s="1"/>
  <c r="E190" i="3" s="1"/>
  <c r="E202" i="3" s="1"/>
  <c r="E141" i="3"/>
  <c r="E153" i="3" s="1"/>
  <c r="E165" i="3" s="1"/>
  <c r="E78" i="3"/>
  <c r="E90" i="3" s="1"/>
  <c r="E102" i="3" s="1"/>
  <c r="E114" i="3"/>
  <c r="E177" i="3"/>
  <c r="E189" i="3"/>
  <c r="E201" i="3" s="1"/>
  <c r="E213" i="3" s="1"/>
  <c r="E225" i="3" s="1"/>
  <c r="E237" i="3" s="1"/>
  <c r="E249" i="3" s="1"/>
  <c r="E261" i="3" s="1"/>
  <c r="E273" i="3" s="1"/>
  <c r="E285" i="3" s="1"/>
  <c r="E297" i="3" s="1"/>
  <c r="E309" i="3" s="1"/>
  <c r="E321" i="3" s="1"/>
  <c r="E333" i="3" s="1"/>
  <c r="E345" i="3" s="1"/>
  <c r="E357" i="3" s="1"/>
  <c r="E126" i="3"/>
  <c r="E138" i="3" s="1"/>
  <c r="E150" i="3" s="1"/>
  <c r="E162" i="3" s="1"/>
  <c r="E174" i="3" s="1"/>
  <c r="E186" i="3" s="1"/>
  <c r="E198" i="3" s="1"/>
  <c r="E210" i="3" s="1"/>
  <c r="E222" i="3" s="1"/>
  <c r="E234" i="3" s="1"/>
  <c r="E246" i="3" s="1"/>
  <c r="E258" i="3" s="1"/>
  <c r="E270" i="3" s="1"/>
  <c r="E282" i="3" s="1"/>
  <c r="E294" i="3" s="1"/>
  <c r="E306" i="3" s="1"/>
  <c r="E318" i="3" s="1"/>
  <c r="E330" i="3" s="1"/>
  <c r="E342" i="3" s="1"/>
  <c r="E354" i="3" s="1"/>
  <c r="E366" i="3" s="1"/>
  <c r="E272" i="3"/>
  <c r="E191" i="3"/>
  <c r="E203" i="3" s="1"/>
  <c r="E215" i="3" s="1"/>
  <c r="E227" i="3" s="1"/>
  <c r="E239" i="3" s="1"/>
  <c r="E251" i="3" s="1"/>
  <c r="E263" i="3" s="1"/>
  <c r="E275" i="3" s="1"/>
  <c r="E287" i="3" s="1"/>
  <c r="E299" i="3" s="1"/>
  <c r="E311" i="3" s="1"/>
  <c r="E323" i="3" s="1"/>
  <c r="E335" i="3" s="1"/>
  <c r="E347" i="3" s="1"/>
  <c r="E359" i="3" s="1"/>
  <c r="E284" i="3"/>
  <c r="E296" i="3"/>
  <c r="E308" i="3" s="1"/>
  <c r="E320" i="3" s="1"/>
  <c r="E332" i="3" s="1"/>
  <c r="E344" i="3" s="1"/>
  <c r="E356" i="3" s="1"/>
  <c r="E214" i="3"/>
  <c r="E226" i="3" s="1"/>
  <c r="E238" i="3" s="1"/>
  <c r="E250" i="3" s="1"/>
  <c r="E262" i="3" s="1"/>
  <c r="E274" i="3" s="1"/>
  <c r="E286" i="3" s="1"/>
  <c r="E298" i="3" s="1"/>
  <c r="E310" i="3" s="1"/>
  <c r="E322" i="3" s="1"/>
  <c r="E334" i="3" s="1"/>
  <c r="E346" i="3" s="1"/>
  <c r="E358" i="3" s="1"/>
  <c r="E293" i="3"/>
  <c r="E305" i="3" s="1"/>
  <c r="E317" i="3" s="1"/>
  <c r="E329" i="3" s="1"/>
  <c r="E341" i="3" s="1"/>
  <c r="E353" i="3" s="1"/>
  <c r="E365" i="3" s="1"/>
  <c r="D26" i="15"/>
  <c r="D28" i="15"/>
  <c r="D27" i="15"/>
  <c r="D30" i="15"/>
  <c r="D29" i="15"/>
  <c r="D32" i="15"/>
  <c r="D31" i="15"/>
  <c r="D301" i="3" l="1"/>
  <c r="G301" i="3" s="1"/>
  <c r="D68" i="3"/>
  <c r="G68" i="3" s="1"/>
  <c r="D235" i="3"/>
  <c r="G235" i="3" s="1"/>
  <c r="G367" i="3"/>
  <c r="D91" i="3"/>
  <c r="G91" i="3" s="1"/>
  <c r="H47" i="3"/>
  <c r="F59" i="3"/>
  <c r="G289" i="3"/>
  <c r="C29" i="6"/>
  <c r="F29" i="6" s="1"/>
  <c r="C31" i="6"/>
  <c r="F31" i="6" s="1"/>
  <c r="C28" i="6"/>
  <c r="F28" i="6" s="1"/>
  <c r="C24" i="6"/>
  <c r="F24" i="6" s="1"/>
  <c r="C19" i="6"/>
  <c r="F19" i="6" s="1"/>
  <c r="C22" i="6"/>
  <c r="F22" i="6" s="1"/>
  <c r="C20" i="6"/>
  <c r="F20" i="6" s="1"/>
  <c r="C15" i="6"/>
  <c r="F15" i="6" s="1"/>
  <c r="C27" i="6"/>
  <c r="F27" i="6" s="1"/>
  <c r="C23" i="6"/>
  <c r="F23" i="6" s="1"/>
  <c r="C17" i="6"/>
  <c r="F17" i="6" s="1"/>
  <c r="C13" i="6"/>
  <c r="F13" i="6" s="1"/>
  <c r="C21" i="6"/>
  <c r="F21" i="6" s="1"/>
  <c r="C14" i="6"/>
  <c r="F14" i="6" s="1"/>
  <c r="C16" i="6"/>
  <c r="F16" i="6" s="1"/>
  <c r="C32" i="6"/>
  <c r="F32" i="6" s="1"/>
  <c r="C18" i="6"/>
  <c r="F18" i="6" s="1"/>
  <c r="C25" i="6"/>
  <c r="F25" i="6" s="1"/>
  <c r="C26" i="6"/>
  <c r="F26" i="6" s="1"/>
  <c r="D20" i="3"/>
  <c r="G20" i="3" s="1"/>
  <c r="F149" i="3"/>
  <c r="H137" i="3"/>
  <c r="G265" i="3"/>
  <c r="D348" i="22"/>
  <c r="D108" i="22"/>
  <c r="D64" i="22"/>
  <c r="D281" i="22"/>
  <c r="D309" i="22"/>
  <c r="D73" i="22"/>
  <c r="F43" i="3"/>
  <c r="H31" i="3"/>
  <c r="F108" i="3"/>
  <c r="H96" i="3"/>
  <c r="D84" i="22"/>
  <c r="D95" i="22"/>
  <c r="D24" i="22"/>
  <c r="D40" i="22"/>
  <c r="D56" i="22"/>
  <c r="D72" i="22"/>
  <c r="D55" i="22"/>
  <c r="D195" i="22"/>
  <c r="D203" i="22"/>
  <c r="D211" i="22"/>
  <c r="D225" i="22"/>
  <c r="D233" i="22"/>
  <c r="D239" i="22"/>
  <c r="D114" i="22"/>
  <c r="D67" i="22"/>
  <c r="D125" i="22"/>
  <c r="D153" i="22"/>
  <c r="D181" i="22"/>
  <c r="D135" i="22"/>
  <c r="D178" i="22"/>
  <c r="D283" i="22"/>
  <c r="D331" i="22"/>
  <c r="D116" i="22"/>
  <c r="D247" i="22"/>
  <c r="D262" i="22"/>
  <c r="D288" i="22"/>
  <c r="D323" i="22"/>
  <c r="D129" i="22"/>
  <c r="D286" i="22"/>
  <c r="D345" i="22"/>
  <c r="D371" i="22"/>
  <c r="D141" i="22"/>
  <c r="D185" i="22"/>
  <c r="D287" i="22"/>
  <c r="D124" i="22"/>
  <c r="D362" i="22"/>
  <c r="D300" i="22"/>
  <c r="D356" i="22"/>
  <c r="D258" i="22"/>
  <c r="D290" i="22"/>
  <c r="D85" i="22"/>
  <c r="D96" i="22"/>
  <c r="D26" i="22"/>
  <c r="D42" i="22"/>
  <c r="D58" i="22"/>
  <c r="D74" i="22"/>
  <c r="D63" i="22"/>
  <c r="D196" i="22"/>
  <c r="D204" i="22"/>
  <c r="D212" i="22"/>
  <c r="D87" i="22"/>
  <c r="D97" i="22"/>
  <c r="D28" i="22"/>
  <c r="D44" i="22"/>
  <c r="D60" i="22"/>
  <c r="D76" i="22"/>
  <c r="D71" i="22"/>
  <c r="D197" i="22"/>
  <c r="D205" i="22"/>
  <c r="D213" i="22"/>
  <c r="D220" i="22"/>
  <c r="D227" i="22"/>
  <c r="D241" i="22"/>
  <c r="D57" i="22"/>
  <c r="D105" i="22"/>
  <c r="D138" i="22"/>
  <c r="D163" i="22"/>
  <c r="D188" i="22"/>
  <c r="D53" i="22"/>
  <c r="D157" i="22"/>
  <c r="D183" i="22"/>
  <c r="D267" i="22"/>
  <c r="D315" i="22"/>
  <c r="D45" i="22"/>
  <c r="D139" i="22"/>
  <c r="D159" i="22"/>
  <c r="D295" i="22"/>
  <c r="D83" i="22"/>
  <c r="D93" i="22"/>
  <c r="D22" i="22"/>
  <c r="D38" i="22"/>
  <c r="D54" i="22"/>
  <c r="D98" i="22"/>
  <c r="D46" i="22"/>
  <c r="D70" i="22"/>
  <c r="D111" i="22"/>
  <c r="D206" i="22"/>
  <c r="D217" i="22"/>
  <c r="D226" i="22"/>
  <c r="D236" i="22"/>
  <c r="D41" i="22"/>
  <c r="D118" i="22"/>
  <c r="D113" i="22"/>
  <c r="D146" i="22"/>
  <c r="D186" i="22"/>
  <c r="D127" i="22"/>
  <c r="D174" i="22"/>
  <c r="D263" i="22"/>
  <c r="D293" i="22"/>
  <c r="D324" i="22"/>
  <c r="D120" i="22"/>
  <c r="D187" i="22"/>
  <c r="D292" i="22"/>
  <c r="D330" i="22"/>
  <c r="D142" i="22"/>
  <c r="D325" i="22"/>
  <c r="D359" i="22"/>
  <c r="D155" i="22"/>
  <c r="D268" i="22"/>
  <c r="D259" i="22"/>
  <c r="D319" i="22"/>
  <c r="D368" i="22"/>
  <c r="D317" i="22"/>
  <c r="D131" i="22"/>
  <c r="A9" i="8"/>
  <c r="D8" i="8" s="1"/>
  <c r="D271" i="22"/>
  <c r="D61" i="22"/>
  <c r="D79" i="22"/>
  <c r="D99" i="22"/>
  <c r="D48" i="22"/>
  <c r="D77" i="22"/>
  <c r="D115" i="22"/>
  <c r="D207" i="22"/>
  <c r="D218" i="22"/>
  <c r="D228" i="22"/>
  <c r="D237" i="22"/>
  <c r="D49" i="22"/>
  <c r="D194" i="22"/>
  <c r="D117" i="22"/>
  <c r="D148" i="22"/>
  <c r="D130" i="22"/>
  <c r="D175" i="22"/>
  <c r="D270" i="22"/>
  <c r="D296" i="22"/>
  <c r="D328" i="22"/>
  <c r="D260" i="22"/>
  <c r="D301" i="22"/>
  <c r="D21" i="22"/>
  <c r="D164" i="22"/>
  <c r="D277" i="22"/>
  <c r="D333" i="22"/>
  <c r="D347" i="22"/>
  <c r="D361" i="22"/>
  <c r="D375" i="22"/>
  <c r="D167" i="22"/>
  <c r="D278" i="22"/>
  <c r="D326" i="22"/>
  <c r="D269" i="22"/>
  <c r="D329" i="22"/>
  <c r="D336" i="22"/>
  <c r="D322" i="22"/>
  <c r="D180" i="22"/>
  <c r="D80" i="22"/>
  <c r="D100" i="22"/>
  <c r="D50" i="22"/>
  <c r="D23" i="22"/>
  <c r="D119" i="22"/>
  <c r="D208" i="22"/>
  <c r="D219" i="22"/>
  <c r="D229" i="22"/>
  <c r="D238" i="22"/>
  <c r="D19" i="22"/>
  <c r="D121" i="22"/>
  <c r="D191" i="22"/>
  <c r="D182" i="22"/>
  <c r="D273" i="22"/>
  <c r="D298" i="22"/>
  <c r="D43" i="22"/>
  <c r="D144" i="22"/>
  <c r="D192" i="22"/>
  <c r="D266" i="22"/>
  <c r="D305" i="22"/>
  <c r="D176" i="22"/>
  <c r="D335" i="22"/>
  <c r="D349" i="22"/>
  <c r="D363" i="22"/>
  <c r="D284" i="22"/>
  <c r="D334" i="22"/>
  <c r="D137" i="22"/>
  <c r="D332" i="22"/>
  <c r="D184" i="22"/>
  <c r="D154" i="22"/>
  <c r="D352" i="22"/>
  <c r="D190" i="22"/>
  <c r="D92" i="22"/>
  <c r="D36" i="22"/>
  <c r="D68" i="22"/>
  <c r="D107" i="22"/>
  <c r="D202" i="22"/>
  <c r="D216" i="22"/>
  <c r="D224" i="22"/>
  <c r="D235" i="22"/>
  <c r="D33" i="22"/>
  <c r="D110" i="22"/>
  <c r="D109" i="22"/>
  <c r="D143" i="22"/>
  <c r="D173" i="22"/>
  <c r="D126" i="22"/>
  <c r="D169" i="22"/>
  <c r="D254" i="22"/>
  <c r="D160" i="22"/>
  <c r="D327" i="22"/>
  <c r="D272" i="22"/>
  <c r="D320" i="22"/>
  <c r="D343" i="22"/>
  <c r="D357" i="22"/>
  <c r="D373" i="22"/>
  <c r="D150" i="22"/>
  <c r="D256" i="22"/>
  <c r="D316" i="22"/>
  <c r="D252" i="22"/>
  <c r="D354" i="22"/>
  <c r="D307" i="22"/>
  <c r="D376" i="22"/>
  <c r="D122" i="22"/>
  <c r="D344" i="22"/>
  <c r="D372" i="22"/>
  <c r="D374" i="22"/>
  <c r="D34" i="22"/>
  <c r="D103" i="22"/>
  <c r="D215" i="22"/>
  <c r="D234" i="22"/>
  <c r="D106" i="22"/>
  <c r="D250" i="22"/>
  <c r="D321" i="22"/>
  <c r="D156" i="22"/>
  <c r="D285" i="22"/>
  <c r="D136" i="22"/>
  <c r="D313" i="22"/>
  <c r="D355" i="22"/>
  <c r="D304" i="22"/>
  <c r="D312" i="22"/>
  <c r="D75" i="22"/>
  <c r="D264" i="22"/>
  <c r="D81" i="22"/>
  <c r="D52" i="22"/>
  <c r="D198" i="22"/>
  <c r="D221" i="22"/>
  <c r="D35" i="22"/>
  <c r="D166" i="22"/>
  <c r="D134" i="22"/>
  <c r="D69" i="22"/>
  <c r="D243" i="22"/>
  <c r="D308" i="22"/>
  <c r="D189" i="22"/>
  <c r="D337" i="22"/>
  <c r="D365" i="22"/>
  <c r="D170" i="22"/>
  <c r="D145" i="22"/>
  <c r="D340" i="22"/>
  <c r="D342" i="22"/>
  <c r="D242" i="22"/>
  <c r="D360" i="22"/>
  <c r="D88" i="22"/>
  <c r="D62" i="22"/>
  <c r="D199" i="22"/>
  <c r="D222" i="22"/>
  <c r="D240" i="22"/>
  <c r="D51" i="22"/>
  <c r="D168" i="22"/>
  <c r="D149" i="22"/>
  <c r="D276" i="22"/>
  <c r="D104" i="22"/>
  <c r="D253" i="22"/>
  <c r="D310" i="22"/>
  <c r="D255" i="22"/>
  <c r="D339" i="22"/>
  <c r="D179" i="22"/>
  <c r="D177" i="22"/>
  <c r="D274" i="22"/>
  <c r="D32" i="22"/>
  <c r="D47" i="22"/>
  <c r="D214" i="22"/>
  <c r="D232" i="22"/>
  <c r="D102" i="22"/>
  <c r="D140" i="22"/>
  <c r="D29" i="22"/>
  <c r="D248" i="22"/>
  <c r="D318" i="22"/>
  <c r="D152" i="22"/>
  <c r="D282" i="22"/>
  <c r="D132" i="22"/>
  <c r="D353" i="22"/>
  <c r="D128" i="22"/>
  <c r="D297" i="22"/>
  <c r="D306" i="22"/>
  <c r="D294" i="22"/>
  <c r="D358" i="22"/>
  <c r="D193" i="22"/>
  <c r="D366" i="22"/>
  <c r="D39" i="22"/>
  <c r="D231" i="22"/>
  <c r="D133" i="22"/>
  <c r="D244" i="22"/>
  <c r="D151" i="22"/>
  <c r="D59" i="22"/>
  <c r="D172" i="22"/>
  <c r="D158" i="22"/>
  <c r="D94" i="22"/>
  <c r="D89" i="22"/>
  <c r="D200" i="22"/>
  <c r="D18" i="22"/>
  <c r="D171" i="22"/>
  <c r="D280" i="22"/>
  <c r="D261" i="22"/>
  <c r="D367" i="22"/>
  <c r="D350" i="22"/>
  <c r="D90" i="22"/>
  <c r="D91" i="22"/>
  <c r="D201" i="22"/>
  <c r="D25" i="22"/>
  <c r="D289" i="22"/>
  <c r="D257" i="22"/>
  <c r="D265" i="22"/>
  <c r="D369" i="22"/>
  <c r="D246" i="22"/>
  <c r="D370" i="22"/>
  <c r="D364" i="22"/>
  <c r="D86" i="22"/>
  <c r="D31" i="22"/>
  <c r="D230" i="22"/>
  <c r="D123" i="22"/>
  <c r="D147" i="22"/>
  <c r="D351" i="22"/>
  <c r="D162" i="22"/>
  <c r="D161" i="22"/>
  <c r="D314" i="22"/>
  <c r="D249" i="22"/>
  <c r="D338" i="22"/>
  <c r="D223" i="22"/>
  <c r="D165" i="22"/>
  <c r="D20" i="22"/>
  <c r="D65" i="22"/>
  <c r="D302" i="22"/>
  <c r="D303" i="22"/>
  <c r="D291" i="22"/>
  <c r="D251" i="22"/>
  <c r="D210" i="22"/>
  <c r="D27" i="22"/>
  <c r="D279" i="22"/>
  <c r="D37" i="22"/>
  <c r="D112" i="22"/>
  <c r="D66" i="22"/>
  <c r="H114" i="3"/>
  <c r="F126" i="3"/>
  <c r="F33" i="3"/>
  <c r="H21" i="3"/>
  <c r="F25" i="3"/>
  <c r="H13" i="3"/>
  <c r="M11" i="22"/>
  <c r="F118" i="3"/>
  <c r="H106" i="3"/>
  <c r="F75" i="3"/>
  <c r="I20" i="6"/>
  <c r="H20" i="6"/>
  <c r="D24" i="6"/>
  <c r="G24" i="6"/>
  <c r="E23" i="6"/>
  <c r="F134" i="3"/>
  <c r="H113" i="3"/>
  <c r="F112" i="3"/>
  <c r="H100" i="3"/>
  <c r="F104" i="3"/>
  <c r="H92" i="3"/>
  <c r="G20" i="6"/>
  <c r="E19" i="6"/>
  <c r="D20" i="6"/>
  <c r="I23" i="6"/>
  <c r="H23" i="6"/>
  <c r="D30" i="6"/>
  <c r="G30" i="6"/>
  <c r="E29" i="6"/>
  <c r="B17" i="16"/>
  <c r="B21" i="16"/>
  <c r="B16" i="16"/>
  <c r="B18" i="16" s="1"/>
  <c r="F26" i="24"/>
  <c r="I19" i="6"/>
  <c r="H19" i="6"/>
  <c r="D23" i="6"/>
  <c r="G23" i="6"/>
  <c r="G32" i="6"/>
  <c r="D32" i="6"/>
  <c r="E32" i="6"/>
  <c r="E29" i="16"/>
  <c r="D25" i="24"/>
  <c r="C34" i="15"/>
  <c r="C35" i="15" s="1"/>
  <c r="B27" i="15"/>
  <c r="B32" i="15" s="1"/>
  <c r="B37" i="15" s="1"/>
  <c r="B48" i="16" l="1"/>
  <c r="B49" i="16" s="1"/>
  <c r="B36" i="16"/>
  <c r="B37" i="16" s="1"/>
  <c r="D21" i="3"/>
  <c r="G21" i="3" s="1"/>
  <c r="D348" i="3"/>
  <c r="G348" i="3" s="1"/>
  <c r="D189" i="3"/>
  <c r="G189" i="3" s="1"/>
  <c r="D240" i="3"/>
  <c r="G240" i="3" s="1"/>
  <c r="D180" i="3"/>
  <c r="G180" i="3" s="1"/>
  <c r="D365" i="3"/>
  <c r="G365" i="3" s="1"/>
  <c r="D320" i="3"/>
  <c r="G320" i="3" s="1"/>
  <c r="D257" i="3"/>
  <c r="G257" i="3" s="1"/>
  <c r="D131" i="3"/>
  <c r="G131" i="3" s="1"/>
  <c r="D56" i="3"/>
  <c r="G56" i="3" s="1"/>
  <c r="D15" i="3"/>
  <c r="G15" i="3" s="1"/>
  <c r="D308" i="3"/>
  <c r="G308" i="3" s="1"/>
  <c r="D355" i="3"/>
  <c r="G355" i="3" s="1"/>
  <c r="D112" i="3"/>
  <c r="G112" i="3" s="1"/>
  <c r="D342" i="3"/>
  <c r="G342" i="3" s="1"/>
  <c r="D312" i="3"/>
  <c r="G312" i="3" s="1"/>
  <c r="D39" i="3"/>
  <c r="G39" i="3" s="1"/>
  <c r="D176" i="3"/>
  <c r="G176" i="3" s="1"/>
  <c r="D53" i="3"/>
  <c r="G53" i="3" s="1"/>
  <c r="D106" i="3"/>
  <c r="G106" i="3" s="1"/>
  <c r="E18" i="22"/>
  <c r="D354" i="3"/>
  <c r="G354" i="3" s="1"/>
  <c r="D296" i="3"/>
  <c r="G296" i="3" s="1"/>
  <c r="D78" i="3"/>
  <c r="G78" i="3" s="1"/>
  <c r="D224" i="3"/>
  <c r="G224" i="3" s="1"/>
  <c r="D116" i="3"/>
  <c r="G116" i="3" s="1"/>
  <c r="D263" i="3"/>
  <c r="G263" i="3" s="1"/>
  <c r="D286" i="3"/>
  <c r="G286" i="3" s="1"/>
  <c r="D177" i="3"/>
  <c r="G177" i="3" s="1"/>
  <c r="D73" i="3"/>
  <c r="G73" i="3" s="1"/>
  <c r="D34" i="3"/>
  <c r="G34" i="3" s="1"/>
  <c r="D335" i="3"/>
  <c r="G335" i="3" s="1"/>
  <c r="D338" i="3"/>
  <c r="G338" i="3" s="1"/>
  <c r="D152" i="3"/>
  <c r="G152" i="3" s="1"/>
  <c r="D123" i="3"/>
  <c r="G123" i="3" s="1"/>
  <c r="D139" i="3"/>
  <c r="G139" i="3" s="1"/>
  <c r="D303" i="3"/>
  <c r="G303" i="3" s="1"/>
  <c r="D163" i="3"/>
  <c r="G163" i="3" s="1"/>
  <c r="D319" i="3"/>
  <c r="G319" i="3" s="1"/>
  <c r="D258" i="3"/>
  <c r="G258" i="3" s="1"/>
  <c r="D48" i="3"/>
  <c r="G48" i="3" s="1"/>
  <c r="F18" i="22"/>
  <c r="F124" i="3"/>
  <c r="H112" i="3"/>
  <c r="H75" i="3"/>
  <c r="F87" i="3"/>
  <c r="F138" i="3"/>
  <c r="H126" i="3"/>
  <c r="D241" i="3"/>
  <c r="G241" i="3" s="1"/>
  <c r="D328" i="3"/>
  <c r="G328" i="3" s="1"/>
  <c r="D220" i="3"/>
  <c r="G220" i="3" s="1"/>
  <c r="D247" i="3"/>
  <c r="G247" i="3" s="1"/>
  <c r="D251" i="3"/>
  <c r="G251" i="3" s="1"/>
  <c r="D162" i="3"/>
  <c r="G162" i="3" s="1"/>
  <c r="D183" i="3"/>
  <c r="G183" i="3" s="1"/>
  <c r="D272" i="3"/>
  <c r="G272" i="3" s="1"/>
  <c r="D204" i="3"/>
  <c r="G204" i="3" s="1"/>
  <c r="D300" i="3"/>
  <c r="G300" i="3" s="1"/>
  <c r="D212" i="3"/>
  <c r="G212" i="3" s="1"/>
  <c r="D135" i="3"/>
  <c r="G135" i="3" s="1"/>
  <c r="D124" i="3"/>
  <c r="G124" i="3" s="1"/>
  <c r="D65" i="3"/>
  <c r="G65" i="3" s="1"/>
  <c r="D311" i="3"/>
  <c r="G311" i="3" s="1"/>
  <c r="D362" i="3"/>
  <c r="G362" i="3" s="1"/>
  <c r="D246" i="3"/>
  <c r="G246" i="3" s="1"/>
  <c r="D150" i="3"/>
  <c r="G150" i="3" s="1"/>
  <c r="D23" i="3"/>
  <c r="G23" i="3" s="1"/>
  <c r="D82" i="3"/>
  <c r="G82" i="3" s="1"/>
  <c r="D274" i="3"/>
  <c r="G274" i="3" s="1"/>
  <c r="D134" i="3"/>
  <c r="G134" i="3" s="1"/>
  <c r="D228" i="3"/>
  <c r="G228" i="3" s="1"/>
  <c r="D70" i="3"/>
  <c r="G70" i="3" s="1"/>
  <c r="D157" i="3"/>
  <c r="G157" i="3" s="1"/>
  <c r="D291" i="3"/>
  <c r="G291" i="3" s="1"/>
  <c r="D107" i="3"/>
  <c r="G107" i="3" s="1"/>
  <c r="D67" i="3"/>
  <c r="G67" i="3" s="1"/>
  <c r="D307" i="3"/>
  <c r="G307" i="3" s="1"/>
  <c r="D132" i="3"/>
  <c r="G132" i="3" s="1"/>
  <c r="D164" i="3"/>
  <c r="G164" i="3" s="1"/>
  <c r="D216" i="3"/>
  <c r="G216" i="3" s="1"/>
  <c r="D28" i="3"/>
  <c r="G28" i="3" s="1"/>
  <c r="D305" i="3"/>
  <c r="G305" i="3" s="1"/>
  <c r="D95" i="3"/>
  <c r="G95" i="3" s="1"/>
  <c r="D61" i="3"/>
  <c r="G61" i="3" s="1"/>
  <c r="D194" i="3"/>
  <c r="G194" i="3" s="1"/>
  <c r="D75" i="3"/>
  <c r="G75" i="3" s="1"/>
  <c r="D175" i="3"/>
  <c r="G175" i="3" s="1"/>
  <c r="D252" i="3"/>
  <c r="G252" i="3" s="1"/>
  <c r="D143" i="3"/>
  <c r="G143" i="3" s="1"/>
  <c r="D193" i="3"/>
  <c r="G193" i="3" s="1"/>
  <c r="D74" i="3"/>
  <c r="G74" i="3" s="1"/>
  <c r="K8" i="8"/>
  <c r="K10" i="8" s="1"/>
  <c r="G6" i="6" s="1"/>
  <c r="G8" i="6" s="1"/>
  <c r="J12" i="8"/>
  <c r="K7" i="8"/>
  <c r="D281" i="3"/>
  <c r="G281" i="3" s="1"/>
  <c r="D270" i="3"/>
  <c r="G270" i="3" s="1"/>
  <c r="D37" i="3"/>
  <c r="G37" i="3" s="1"/>
  <c r="D156" i="3"/>
  <c r="G156" i="3" s="1"/>
  <c r="D140" i="3"/>
  <c r="G140" i="3" s="1"/>
  <c r="D353" i="3"/>
  <c r="G353" i="3" s="1"/>
  <c r="D170" i="3"/>
  <c r="G170" i="3" s="1"/>
  <c r="D38" i="3"/>
  <c r="G38" i="3" s="1"/>
  <c r="D207" i="3"/>
  <c r="G207" i="3" s="1"/>
  <c r="D66" i="3"/>
  <c r="G66" i="3" s="1"/>
  <c r="D237" i="3"/>
  <c r="G237" i="3" s="1"/>
  <c r="D293" i="3"/>
  <c r="G293" i="3" s="1"/>
  <c r="D161" i="3"/>
  <c r="G161" i="3" s="1"/>
  <c r="D22" i="3"/>
  <c r="G22" i="3" s="1"/>
  <c r="D25" i="3"/>
  <c r="G25" i="3" s="1"/>
  <c r="D363" i="3"/>
  <c r="G363" i="3" s="1"/>
  <c r="D339" i="3"/>
  <c r="G339" i="3" s="1"/>
  <c r="D351" i="3"/>
  <c r="G351" i="3" s="1"/>
  <c r="D309" i="3"/>
  <c r="G309" i="3" s="1"/>
  <c r="D83" i="3"/>
  <c r="G83" i="3" s="1"/>
  <c r="D50" i="3"/>
  <c r="G50" i="3" s="1"/>
  <c r="D361" i="3"/>
  <c r="G361" i="3" s="1"/>
  <c r="F120" i="3"/>
  <c r="H108" i="3"/>
  <c r="D151" i="3"/>
  <c r="G151" i="3" s="1"/>
  <c r="D234" i="3"/>
  <c r="G234" i="3" s="1"/>
  <c r="D266" i="3"/>
  <c r="G266" i="3" s="1"/>
  <c r="D345" i="3"/>
  <c r="G345" i="3" s="1"/>
  <c r="D206" i="3"/>
  <c r="G206" i="3" s="1"/>
  <c r="D198" i="3"/>
  <c r="G198" i="3" s="1"/>
  <c r="D227" i="3"/>
  <c r="G227" i="3" s="1"/>
  <c r="D136" i="3"/>
  <c r="G136" i="3" s="1"/>
  <c r="D217" i="3"/>
  <c r="G217" i="3" s="1"/>
  <c r="D321" i="3"/>
  <c r="G321" i="3" s="1"/>
  <c r="D55" i="3"/>
  <c r="G55" i="3" s="1"/>
  <c r="D190" i="3"/>
  <c r="G190" i="3" s="1"/>
  <c r="D167" i="3"/>
  <c r="G167" i="3" s="1"/>
  <c r="D188" i="3"/>
  <c r="G188" i="3" s="1"/>
  <c r="D333" i="3"/>
  <c r="G333" i="3" s="1"/>
  <c r="D166" i="3"/>
  <c r="G166" i="3" s="1"/>
  <c r="D323" i="3"/>
  <c r="G323" i="3" s="1"/>
  <c r="D51" i="3"/>
  <c r="G51" i="3" s="1"/>
  <c r="D60" i="3"/>
  <c r="G60" i="3" s="1"/>
  <c r="D210" i="3"/>
  <c r="G210" i="3" s="1"/>
  <c r="D276" i="3"/>
  <c r="G276" i="3" s="1"/>
  <c r="D46" i="3"/>
  <c r="G46" i="3" s="1"/>
  <c r="F37" i="3"/>
  <c r="H25" i="3"/>
  <c r="D269" i="3"/>
  <c r="G269" i="3" s="1"/>
  <c r="D10" i="3"/>
  <c r="G10" i="3" s="1"/>
  <c r="D341" i="3"/>
  <c r="G341" i="3" s="1"/>
  <c r="D236" i="3"/>
  <c r="G236" i="3" s="1"/>
  <c r="D80" i="3"/>
  <c r="G80" i="3" s="1"/>
  <c r="D79" i="3"/>
  <c r="G79" i="3" s="1"/>
  <c r="D221" i="3"/>
  <c r="G221" i="3" s="1"/>
  <c r="D118" i="3"/>
  <c r="G118" i="3" s="1"/>
  <c r="D130" i="3"/>
  <c r="G130" i="3" s="1"/>
  <c r="D169" i="3"/>
  <c r="G169" i="3" s="1"/>
  <c r="D158" i="3"/>
  <c r="G158" i="3" s="1"/>
  <c r="D232" i="3"/>
  <c r="G232" i="3" s="1"/>
  <c r="D298" i="3"/>
  <c r="G298" i="3" s="1"/>
  <c r="D42" i="3"/>
  <c r="G42" i="3" s="1"/>
  <c r="D126" i="3"/>
  <c r="G126" i="3" s="1"/>
  <c r="D93" i="3"/>
  <c r="G93" i="3" s="1"/>
  <c r="D344" i="3"/>
  <c r="G344" i="3" s="1"/>
  <c r="D310" i="3"/>
  <c r="G310" i="3" s="1"/>
  <c r="D133" i="3"/>
  <c r="G133" i="3" s="1"/>
  <c r="D97" i="3"/>
  <c r="G97" i="3" s="1"/>
  <c r="D322" i="3"/>
  <c r="G322" i="3" s="1"/>
  <c r="D295" i="3"/>
  <c r="G295" i="3" s="1"/>
  <c r="D181" i="3"/>
  <c r="G181" i="3" s="1"/>
  <c r="D13" i="3"/>
  <c r="G13" i="3" s="1"/>
  <c r="D259" i="3"/>
  <c r="G259" i="3" s="1"/>
  <c r="D267" i="3"/>
  <c r="G267" i="3" s="1"/>
  <c r="D165" i="3"/>
  <c r="G165" i="3" s="1"/>
  <c r="D208" i="3"/>
  <c r="G208" i="3" s="1"/>
  <c r="D261" i="3"/>
  <c r="G261" i="3" s="1"/>
  <c r="D145" i="3"/>
  <c r="G145" i="3" s="1"/>
  <c r="D314" i="3"/>
  <c r="G314" i="3" s="1"/>
  <c r="D108" i="3"/>
  <c r="G108" i="3" s="1"/>
  <c r="D36" i="3"/>
  <c r="G36" i="3" s="1"/>
  <c r="D149" i="3"/>
  <c r="G149" i="3" s="1"/>
  <c r="D178" i="3"/>
  <c r="G178" i="3" s="1"/>
  <c r="D203" i="3"/>
  <c r="G203" i="3" s="1"/>
  <c r="D87" i="3"/>
  <c r="G87" i="3" s="1"/>
  <c r="D32" i="3"/>
  <c r="G32" i="3" s="1"/>
  <c r="D352" i="3"/>
  <c r="G352" i="3" s="1"/>
  <c r="D119" i="3"/>
  <c r="G119" i="3" s="1"/>
  <c r="D168" i="3"/>
  <c r="G168" i="3" s="1"/>
  <c r="D223" i="3"/>
  <c r="G223" i="3" s="1"/>
  <c r="D30" i="3"/>
  <c r="G30" i="3" s="1"/>
  <c r="D63" i="3"/>
  <c r="G63" i="3" s="1"/>
  <c r="F71" i="3"/>
  <c r="H59" i="3"/>
  <c r="D279" i="3"/>
  <c r="G279" i="3" s="1"/>
  <c r="D142" i="3"/>
  <c r="G142" i="3" s="1"/>
  <c r="D160" i="3"/>
  <c r="G160" i="3" s="1"/>
  <c r="D334" i="3"/>
  <c r="G334" i="3" s="1"/>
  <c r="D225" i="3"/>
  <c r="G225" i="3" s="1"/>
  <c r="D219" i="3"/>
  <c r="G219" i="3" s="1"/>
  <c r="D184" i="3"/>
  <c r="G184" i="3" s="1"/>
  <c r="D117" i="3"/>
  <c r="G117" i="3" s="1"/>
  <c r="D47" i="3"/>
  <c r="G47" i="3" s="1"/>
  <c r="D280" i="3"/>
  <c r="G280" i="3" s="1"/>
  <c r="D115" i="3"/>
  <c r="G115" i="3" s="1"/>
  <c r="D54" i="3"/>
  <c r="G54" i="3" s="1"/>
  <c r="F146" i="3"/>
  <c r="H134" i="3"/>
  <c r="D304" i="3"/>
  <c r="G304" i="3" s="1"/>
  <c r="D284" i="3"/>
  <c r="G284" i="3" s="1"/>
  <c r="D52" i="3"/>
  <c r="G52" i="3" s="1"/>
  <c r="D96" i="3"/>
  <c r="G96" i="3" s="1"/>
  <c r="D214" i="3"/>
  <c r="G214" i="3" s="1"/>
  <c r="D209" i="3"/>
  <c r="G209" i="3" s="1"/>
  <c r="D89" i="3"/>
  <c r="G89" i="3" s="1"/>
  <c r="D196" i="3"/>
  <c r="G196" i="3" s="1"/>
  <c r="D231" i="3"/>
  <c r="G231" i="3" s="1"/>
  <c r="D57" i="3"/>
  <c r="G57" i="3" s="1"/>
  <c r="D292" i="3"/>
  <c r="G292" i="3" s="1"/>
  <c r="D191" i="3"/>
  <c r="G191" i="3" s="1"/>
  <c r="D238" i="3"/>
  <c r="G238" i="3" s="1"/>
  <c r="D327" i="3"/>
  <c r="G327" i="3" s="1"/>
  <c r="D347" i="3"/>
  <c r="G347" i="3" s="1"/>
  <c r="D325" i="3"/>
  <c r="G325" i="3" s="1"/>
  <c r="D337" i="3"/>
  <c r="G337" i="3" s="1"/>
  <c r="D249" i="3"/>
  <c r="G249" i="3" s="1"/>
  <c r="D147" i="3"/>
  <c r="G147" i="3" s="1"/>
  <c r="D346" i="3"/>
  <c r="G346" i="3" s="1"/>
  <c r="D104" i="3"/>
  <c r="G104" i="3" s="1"/>
  <c r="D27" i="3"/>
  <c r="G27" i="3" s="1"/>
  <c r="D81" i="3"/>
  <c r="G81" i="3" s="1"/>
  <c r="D19" i="3"/>
  <c r="G19" i="3" s="1"/>
  <c r="D179" i="3"/>
  <c r="G179" i="3" s="1"/>
  <c r="D297" i="3"/>
  <c r="G297" i="3" s="1"/>
  <c r="D174" i="3"/>
  <c r="G174" i="3" s="1"/>
  <c r="D109" i="3"/>
  <c r="G109" i="3" s="1"/>
  <c r="D218" i="3"/>
  <c r="G218" i="3" s="1"/>
  <c r="D103" i="3"/>
  <c r="G103" i="3" s="1"/>
  <c r="D43" i="3"/>
  <c r="G43" i="3" s="1"/>
  <c r="D290" i="3"/>
  <c r="G290" i="3" s="1"/>
  <c r="D229" i="3"/>
  <c r="G229" i="3" s="1"/>
  <c r="E25" i="24"/>
  <c r="F25" i="24"/>
  <c r="D17" i="3"/>
  <c r="G17" i="3" s="1"/>
  <c r="D137" i="3"/>
  <c r="G137" i="3" s="1"/>
  <c r="D359" i="3"/>
  <c r="G359" i="3" s="1"/>
  <c r="D340" i="3"/>
  <c r="G340" i="3" s="1"/>
  <c r="D84" i="3"/>
  <c r="G84" i="3" s="1"/>
  <c r="D29" i="3"/>
  <c r="G29" i="3" s="1"/>
  <c r="D343" i="3"/>
  <c r="G343" i="3" s="1"/>
  <c r="D92" i="3"/>
  <c r="G92" i="3" s="1"/>
  <c r="D329" i="3"/>
  <c r="G329" i="3" s="1"/>
  <c r="D41" i="3"/>
  <c r="G41" i="3" s="1"/>
  <c r="D332" i="3"/>
  <c r="G332" i="3" s="1"/>
  <c r="D233" i="3"/>
  <c r="G233" i="3" s="1"/>
  <c r="D71" i="3"/>
  <c r="G71" i="3" s="1"/>
  <c r="D275" i="3"/>
  <c r="G275" i="3" s="1"/>
  <c r="D24" i="3"/>
  <c r="G24" i="3" s="1"/>
  <c r="D242" i="3"/>
  <c r="G242" i="3" s="1"/>
  <c r="D262" i="3"/>
  <c r="G262" i="3" s="1"/>
  <c r="D99" i="3"/>
  <c r="G99" i="3" s="1"/>
  <c r="D58" i="3"/>
  <c r="G58" i="3" s="1"/>
  <c r="D127" i="3"/>
  <c r="G127" i="3" s="1"/>
  <c r="D256" i="3"/>
  <c r="G256" i="3" s="1"/>
  <c r="D111" i="3"/>
  <c r="G111" i="3" s="1"/>
  <c r="D40" i="3"/>
  <c r="G40" i="3" s="1"/>
  <c r="D316" i="3"/>
  <c r="G316" i="3" s="1"/>
  <c r="D154" i="3"/>
  <c r="G154" i="3" s="1"/>
  <c r="D120" i="3"/>
  <c r="G120" i="3" s="1"/>
  <c r="D197" i="3"/>
  <c r="G197" i="3" s="1"/>
  <c r="D349" i="3"/>
  <c r="G349" i="3" s="1"/>
  <c r="D283" i="3"/>
  <c r="G283" i="3" s="1"/>
  <c r="D31" i="3"/>
  <c r="G31" i="3" s="1"/>
  <c r="D88" i="3"/>
  <c r="G88" i="3" s="1"/>
  <c r="D129" i="3"/>
  <c r="G129" i="3" s="1"/>
  <c r="D153" i="3"/>
  <c r="G153" i="3" s="1"/>
  <c r="D195" i="3"/>
  <c r="G195" i="3" s="1"/>
  <c r="D77" i="3"/>
  <c r="G77" i="3" s="1"/>
  <c r="D16" i="3"/>
  <c r="G16" i="3" s="1"/>
  <c r="D114" i="3"/>
  <c r="G114" i="3" s="1"/>
  <c r="D313" i="3"/>
  <c r="G313" i="3" s="1"/>
  <c r="D125" i="3"/>
  <c r="G125" i="3" s="1"/>
  <c r="D215" i="3"/>
  <c r="G215" i="3" s="1"/>
  <c r="D14" i="3"/>
  <c r="G14" i="3" s="1"/>
  <c r="D299" i="3"/>
  <c r="G299" i="3" s="1"/>
  <c r="F161" i="3"/>
  <c r="H149" i="3"/>
  <c r="D239" i="3"/>
  <c r="G239" i="3" s="1"/>
  <c r="D49" i="3"/>
  <c r="G49" i="3" s="1"/>
  <c r="D243" i="3"/>
  <c r="G243" i="3" s="1"/>
  <c r="D302" i="3"/>
  <c r="G302" i="3" s="1"/>
  <c r="D244" i="3"/>
  <c r="G244" i="3" s="1"/>
  <c r="D33" i="3"/>
  <c r="G33" i="3" s="1"/>
  <c r="D250" i="3"/>
  <c r="G250" i="3" s="1"/>
  <c r="D358" i="3"/>
  <c r="G358" i="3" s="1"/>
  <c r="D12" i="3"/>
  <c r="G12" i="3" s="1"/>
  <c r="D186" i="3"/>
  <c r="G186" i="3" s="1"/>
  <c r="D185" i="3"/>
  <c r="G185" i="3" s="1"/>
  <c r="F130" i="3"/>
  <c r="H118" i="3"/>
  <c r="D76" i="3"/>
  <c r="G76" i="3" s="1"/>
  <c r="D141" i="3"/>
  <c r="G141" i="3" s="1"/>
  <c r="D94" i="3"/>
  <c r="G94" i="3" s="1"/>
  <c r="D294" i="3"/>
  <c r="G294" i="3" s="1"/>
  <c r="D159" i="3"/>
  <c r="G159" i="3" s="1"/>
  <c r="D288" i="3"/>
  <c r="G288" i="3" s="1"/>
  <c r="D318" i="3"/>
  <c r="G318" i="3" s="1"/>
  <c r="D282" i="3"/>
  <c r="G282" i="3" s="1"/>
  <c r="D173" i="3"/>
  <c r="G173" i="3" s="1"/>
  <c r="D248" i="3"/>
  <c r="G248" i="3" s="1"/>
  <c r="D45" i="3"/>
  <c r="G45" i="3" s="1"/>
  <c r="D98" i="3"/>
  <c r="G98" i="3" s="1"/>
  <c r="B22" i="16"/>
  <c r="B23" i="16"/>
  <c r="D102" i="3"/>
  <c r="G102" i="3" s="1"/>
  <c r="G18" i="22"/>
  <c r="H18" i="22" s="1"/>
  <c r="D8" i="3"/>
  <c r="G8" i="3" s="1"/>
  <c r="D264" i="3"/>
  <c r="G264" i="3" s="1"/>
  <c r="D211" i="3"/>
  <c r="G211" i="3" s="1"/>
  <c r="D366" i="3"/>
  <c r="G366" i="3" s="1"/>
  <c r="D144" i="3"/>
  <c r="G144" i="3" s="1"/>
  <c r="D326" i="3"/>
  <c r="G326" i="3" s="1"/>
  <c r="D69" i="3"/>
  <c r="G69" i="3" s="1"/>
  <c r="D101" i="3"/>
  <c r="G101" i="3" s="1"/>
  <c r="D64" i="3"/>
  <c r="G64" i="3" s="1"/>
  <c r="D62" i="3"/>
  <c r="G62" i="3" s="1"/>
  <c r="D360" i="3"/>
  <c r="G360" i="3" s="1"/>
  <c r="D287" i="3"/>
  <c r="G287" i="3" s="1"/>
  <c r="D350" i="3"/>
  <c r="G350" i="3" s="1"/>
  <c r="D205" i="3"/>
  <c r="G205" i="3" s="1"/>
  <c r="D192" i="3"/>
  <c r="G192" i="3" s="1"/>
  <c r="D172" i="3"/>
  <c r="G172" i="3" s="1"/>
  <c r="D260" i="3"/>
  <c r="G260" i="3" s="1"/>
  <c r="D110" i="3"/>
  <c r="G110" i="3" s="1"/>
  <c r="D285" i="3"/>
  <c r="G285" i="3" s="1"/>
  <c r="D18" i="3"/>
  <c r="G18" i="3" s="1"/>
  <c r="D273" i="3"/>
  <c r="G273" i="3" s="1"/>
  <c r="F55" i="3"/>
  <c r="H43" i="3"/>
  <c r="F116" i="3"/>
  <c r="H104" i="3"/>
  <c r="D155" i="3"/>
  <c r="G155" i="3" s="1"/>
  <c r="F45" i="3"/>
  <c r="H33" i="3"/>
  <c r="D200" i="3"/>
  <c r="G200" i="3" s="1"/>
  <c r="D213" i="3"/>
  <c r="G213" i="3" s="1"/>
  <c r="D113" i="3"/>
  <c r="G113" i="3" s="1"/>
  <c r="D255" i="3"/>
  <c r="G255" i="3" s="1"/>
  <c r="D357" i="3"/>
  <c r="G357" i="3" s="1"/>
  <c r="D148" i="3"/>
  <c r="G148" i="3" s="1"/>
  <c r="D356" i="3"/>
  <c r="G356" i="3" s="1"/>
  <c r="D122" i="3"/>
  <c r="G122" i="3" s="1"/>
  <c r="D222" i="3"/>
  <c r="G222" i="3" s="1"/>
  <c r="D245" i="3"/>
  <c r="G245" i="3" s="1"/>
  <c r="D230" i="3"/>
  <c r="G230" i="3" s="1"/>
  <c r="D330" i="3"/>
  <c r="G330" i="3" s="1"/>
  <c r="D59" i="3"/>
  <c r="G59" i="3" s="1"/>
  <c r="D254" i="3"/>
  <c r="G254" i="3" s="1"/>
  <c r="D146" i="3"/>
  <c r="G146" i="3" s="1"/>
  <c r="D364" i="3"/>
  <c r="G364" i="3" s="1"/>
  <c r="D306" i="3"/>
  <c r="G306" i="3" s="1"/>
  <c r="D317" i="3"/>
  <c r="G317" i="3" s="1"/>
  <c r="D100" i="3"/>
  <c r="G100" i="3" s="1"/>
  <c r="D26" i="3"/>
  <c r="G26" i="3" s="1"/>
  <c r="D324" i="3"/>
  <c r="G324" i="3" s="1"/>
  <c r="D182" i="3"/>
  <c r="G182" i="3" s="1"/>
  <c r="D9" i="3"/>
  <c r="G9" i="3" s="1"/>
  <c r="D90" i="3"/>
  <c r="G90" i="3" s="1"/>
  <c r="D268" i="3"/>
  <c r="G268" i="3" s="1"/>
  <c r="D11" i="3"/>
  <c r="G11" i="3" s="1"/>
  <c r="D138" i="3"/>
  <c r="G138" i="3" s="1"/>
  <c r="D105" i="3"/>
  <c r="G105" i="3" s="1"/>
  <c r="D121" i="3"/>
  <c r="G121" i="3" s="1"/>
  <c r="D315" i="3"/>
  <c r="G315" i="3" s="1"/>
  <c r="D253" i="3"/>
  <c r="G253" i="3" s="1"/>
  <c r="D226" i="3"/>
  <c r="G226" i="3" s="1"/>
  <c r="D44" i="3"/>
  <c r="G44" i="3" s="1"/>
  <c r="D35" i="3"/>
  <c r="G35" i="3" s="1"/>
  <c r="D128" i="3"/>
  <c r="G128" i="3" s="1"/>
  <c r="D187" i="3"/>
  <c r="G187" i="3" s="1"/>
  <c r="D202" i="3"/>
  <c r="G202" i="3" s="1"/>
  <c r="D86" i="3"/>
  <c r="G86" i="3" s="1"/>
  <c r="D277" i="3"/>
  <c r="G277" i="3" s="1"/>
  <c r="D278" i="3"/>
  <c r="G278" i="3" s="1"/>
  <c r="D171" i="3"/>
  <c r="G171" i="3" s="1"/>
  <c r="D201" i="3"/>
  <c r="G201" i="3" s="1"/>
  <c r="D85" i="3"/>
  <c r="G85" i="3" s="1"/>
  <c r="D271" i="3"/>
  <c r="G271" i="3" s="1"/>
  <c r="E19" i="22" l="1"/>
  <c r="F19" i="22"/>
  <c r="G19" i="22" s="1"/>
  <c r="I19" i="22" s="1"/>
  <c r="H138" i="3"/>
  <c r="F150" i="3"/>
  <c r="F173" i="3"/>
  <c r="H161" i="3"/>
  <c r="F136" i="3"/>
  <c r="H124" i="3"/>
  <c r="F99" i="3"/>
  <c r="H87" i="3"/>
  <c r="J18" i="22"/>
  <c r="L18" i="22" s="1"/>
  <c r="F67" i="3"/>
  <c r="H55" i="3"/>
  <c r="H130" i="3"/>
  <c r="F142" i="3"/>
  <c r="H37" i="3"/>
  <c r="F49" i="3"/>
  <c r="F128" i="3"/>
  <c r="H116" i="3"/>
  <c r="H71" i="3"/>
  <c r="F83" i="3"/>
  <c r="F132" i="3"/>
  <c r="H120" i="3"/>
  <c r="I18" i="22"/>
  <c r="F158" i="3"/>
  <c r="H146" i="3"/>
  <c r="F57" i="3"/>
  <c r="H45" i="3"/>
  <c r="B24" i="16"/>
  <c r="B50" i="16" s="1"/>
  <c r="B54" i="16" s="1"/>
  <c r="H15" i="6"/>
  <c r="H17" i="6"/>
  <c r="H14" i="6"/>
  <c r="H16" i="6"/>
  <c r="K9" i="8"/>
  <c r="H18" i="6"/>
  <c r="H13" i="6"/>
  <c r="B53" i="16"/>
  <c r="F144" i="3" l="1"/>
  <c r="H132" i="3"/>
  <c r="H142" i="3"/>
  <c r="F154" i="3"/>
  <c r="F162" i="3"/>
  <c r="H150" i="3"/>
  <c r="H99" i="3"/>
  <c r="F111" i="3"/>
  <c r="C31" i="8"/>
  <c r="F38" i="24"/>
  <c r="H83" i="3"/>
  <c r="F95" i="3"/>
  <c r="F79" i="3"/>
  <c r="H67" i="3"/>
  <c r="F170" i="3"/>
  <c r="H158" i="3"/>
  <c r="F140" i="3"/>
  <c r="H128" i="3"/>
  <c r="F148" i="3"/>
  <c r="H136" i="3"/>
  <c r="M18" i="22"/>
  <c r="F185" i="3"/>
  <c r="H173" i="3"/>
  <c r="H57" i="3"/>
  <c r="F69" i="3"/>
  <c r="J19" i="22"/>
  <c r="L19" i="22" s="1"/>
  <c r="F61" i="3"/>
  <c r="H49" i="3"/>
  <c r="J4" i="3"/>
  <c r="F37" i="24" s="1"/>
  <c r="I4" i="3"/>
  <c r="N7" i="3" s="1"/>
  <c r="I14" i="6"/>
  <c r="B27" i="24"/>
  <c r="C27" i="24" s="1"/>
  <c r="G27" i="24" s="1"/>
  <c r="I18" i="6"/>
  <c r="I13" i="6"/>
  <c r="I17" i="6"/>
  <c r="G5" i="6"/>
  <c r="G7" i="6" s="1"/>
  <c r="I15" i="6"/>
  <c r="B28" i="24"/>
  <c r="C28" i="24" s="1"/>
  <c r="G28" i="24" s="1"/>
  <c r="I16" i="6"/>
  <c r="O11" i="15"/>
  <c r="K18" i="22"/>
  <c r="H19" i="22"/>
  <c r="B26" i="24" l="1"/>
  <c r="C26" i="24" s="1"/>
  <c r="G26" i="24" s="1"/>
  <c r="B25" i="24"/>
  <c r="C25" i="24" s="1"/>
  <c r="G25" i="24" s="1"/>
  <c r="C32" i="8"/>
  <c r="C33" i="8" s="1"/>
  <c r="F39" i="24"/>
  <c r="M19" i="22"/>
  <c r="A55" i="24"/>
  <c r="C63" i="24" s="1"/>
  <c r="C60" i="24"/>
  <c r="A56" i="24" s="1"/>
  <c r="F20" i="22"/>
  <c r="E20" i="22"/>
  <c r="F73" i="3"/>
  <c r="H61" i="3"/>
  <c r="F152" i="3"/>
  <c r="H140" i="3"/>
  <c r="H95" i="3"/>
  <c r="F107" i="3"/>
  <c r="K19" i="22"/>
  <c r="F182" i="3"/>
  <c r="H170" i="3"/>
  <c r="H154" i="3"/>
  <c r="F166" i="3"/>
  <c r="N18" i="22"/>
  <c r="O18" i="22" s="1"/>
  <c r="F81" i="3"/>
  <c r="H69" i="3"/>
  <c r="H111" i="3"/>
  <c r="F123" i="3"/>
  <c r="C25" i="8"/>
  <c r="F197" i="3"/>
  <c r="H185" i="3"/>
  <c r="F174" i="3"/>
  <c r="H162" i="3"/>
  <c r="O7" i="3"/>
  <c r="H79" i="3"/>
  <c r="F91" i="3"/>
  <c r="F160" i="3"/>
  <c r="H148" i="3"/>
  <c r="F156" i="3"/>
  <c r="H144" i="3"/>
  <c r="F194" i="3" l="1"/>
  <c r="H182" i="3"/>
  <c r="H107" i="3"/>
  <c r="F119" i="3"/>
  <c r="F103" i="3"/>
  <c r="H91" i="3"/>
  <c r="F85" i="3"/>
  <c r="H73" i="3"/>
  <c r="F209" i="3"/>
  <c r="H197" i="3"/>
  <c r="H156" i="3"/>
  <c r="F168" i="3"/>
  <c r="F93" i="3"/>
  <c r="H81" i="3"/>
  <c r="C8" i="3"/>
  <c r="H166" i="3"/>
  <c r="F178" i="3"/>
  <c r="G20" i="22"/>
  <c r="F186" i="3"/>
  <c r="H174" i="3"/>
  <c r="H152" i="3"/>
  <c r="F164" i="3"/>
  <c r="N19" i="22"/>
  <c r="O19" i="22" s="1"/>
  <c r="C9" i="3" s="1"/>
  <c r="H160" i="3"/>
  <c r="F172" i="3"/>
  <c r="F135" i="3"/>
  <c r="H123" i="3"/>
  <c r="F180" i="3" l="1"/>
  <c r="H168" i="3"/>
  <c r="F147" i="3"/>
  <c r="H135" i="3"/>
  <c r="H186" i="3"/>
  <c r="F198" i="3"/>
  <c r="J8" i="3"/>
  <c r="K8" i="3" s="1"/>
  <c r="L8" i="3" s="1"/>
  <c r="M8" i="3" s="1"/>
  <c r="F184" i="3"/>
  <c r="H172" i="3"/>
  <c r="H103" i="3"/>
  <c r="F115" i="3"/>
  <c r="J20" i="22"/>
  <c r="L20" i="22" s="1"/>
  <c r="K20" i="22"/>
  <c r="H20" i="22"/>
  <c r="I20" i="22"/>
  <c r="H209" i="3"/>
  <c r="F221" i="3"/>
  <c r="F131" i="3"/>
  <c r="H119" i="3"/>
  <c r="F97" i="3"/>
  <c r="H85" i="3"/>
  <c r="F190" i="3"/>
  <c r="H178" i="3"/>
  <c r="F176" i="3"/>
  <c r="H164" i="3"/>
  <c r="F105" i="3"/>
  <c r="H93" i="3"/>
  <c r="F206" i="3"/>
  <c r="H194" i="3"/>
  <c r="N8" i="3" l="1"/>
  <c r="P8" i="3"/>
  <c r="W8" i="3" s="1"/>
  <c r="Q8" i="3"/>
  <c r="F127" i="3"/>
  <c r="H115" i="3"/>
  <c r="F143" i="3"/>
  <c r="H131" i="3"/>
  <c r="H184" i="3"/>
  <c r="F196" i="3"/>
  <c r="F117" i="3"/>
  <c r="H105" i="3"/>
  <c r="H221" i="3"/>
  <c r="F233" i="3"/>
  <c r="H206" i="3"/>
  <c r="F218" i="3"/>
  <c r="F192" i="3"/>
  <c r="H180" i="3"/>
  <c r="F188" i="3"/>
  <c r="H176" i="3"/>
  <c r="H147" i="3"/>
  <c r="F159" i="3"/>
  <c r="F21" i="22"/>
  <c r="E21" i="22"/>
  <c r="F202" i="3"/>
  <c r="H190" i="3"/>
  <c r="H97" i="3"/>
  <c r="F109" i="3"/>
  <c r="M20" i="22"/>
  <c r="N20" i="22" s="1"/>
  <c r="O20" i="22" s="1"/>
  <c r="H198" i="3"/>
  <c r="F210" i="3"/>
  <c r="F204" i="3" l="1"/>
  <c r="H192" i="3"/>
  <c r="H117" i="3"/>
  <c r="F129" i="3"/>
  <c r="F139" i="3"/>
  <c r="H127" i="3"/>
  <c r="F155" i="3"/>
  <c r="H143" i="3"/>
  <c r="F171" i="3"/>
  <c r="H159" i="3"/>
  <c r="C10" i="3"/>
  <c r="H196" i="3"/>
  <c r="F208" i="3"/>
  <c r="G21" i="22"/>
  <c r="H188" i="3"/>
  <c r="F200" i="3"/>
  <c r="V8" i="3"/>
  <c r="U8" i="3"/>
  <c r="H210" i="3"/>
  <c r="F222" i="3"/>
  <c r="F214" i="3"/>
  <c r="H202" i="3"/>
  <c r="F245" i="3"/>
  <c r="H233" i="3"/>
  <c r="H109" i="3"/>
  <c r="F121" i="3"/>
  <c r="H218" i="3"/>
  <c r="F230" i="3"/>
  <c r="J9" i="3"/>
  <c r="K9" i="3" s="1"/>
  <c r="O8" i="3"/>
  <c r="F234" i="3" l="1"/>
  <c r="H222" i="3"/>
  <c r="J21" i="22"/>
  <c r="L21" i="22" s="1"/>
  <c r="K21" i="22"/>
  <c r="I21" i="22"/>
  <c r="H21" i="22"/>
  <c r="F242" i="3"/>
  <c r="H230" i="3"/>
  <c r="F151" i="3"/>
  <c r="H139" i="3"/>
  <c r="H214" i="3"/>
  <c r="F226" i="3"/>
  <c r="H200" i="3"/>
  <c r="F212" i="3"/>
  <c r="F141" i="3"/>
  <c r="H129" i="3"/>
  <c r="F133" i="3"/>
  <c r="H121" i="3"/>
  <c r="L9" i="3"/>
  <c r="M9" i="3" s="1"/>
  <c r="F183" i="3"/>
  <c r="H171" i="3"/>
  <c r="H208" i="3"/>
  <c r="F220" i="3"/>
  <c r="F257" i="3"/>
  <c r="H245" i="3"/>
  <c r="F167" i="3"/>
  <c r="H155" i="3"/>
  <c r="F216" i="3"/>
  <c r="H204" i="3"/>
  <c r="F22" i="22" l="1"/>
  <c r="E22" i="22"/>
  <c r="N9" i="3"/>
  <c r="P9" i="3"/>
  <c r="W9" i="3" s="1"/>
  <c r="Q9" i="3"/>
  <c r="F269" i="3"/>
  <c r="H257" i="3"/>
  <c r="F238" i="3"/>
  <c r="H226" i="3"/>
  <c r="F195" i="3"/>
  <c r="H183" i="3"/>
  <c r="M21" i="22"/>
  <c r="N21" i="22" s="1"/>
  <c r="O21" i="22" s="1"/>
  <c r="H133" i="3"/>
  <c r="F145" i="3"/>
  <c r="H141" i="3"/>
  <c r="F153" i="3"/>
  <c r="F228" i="3"/>
  <c r="H216" i="3"/>
  <c r="F179" i="3"/>
  <c r="H167" i="3"/>
  <c r="H151" i="3"/>
  <c r="F163" i="3"/>
  <c r="F246" i="3"/>
  <c r="H234" i="3"/>
  <c r="F232" i="3"/>
  <c r="H220" i="3"/>
  <c r="F224" i="3"/>
  <c r="H212" i="3"/>
  <c r="F254" i="3"/>
  <c r="H242" i="3"/>
  <c r="H153" i="3" l="1"/>
  <c r="F165" i="3"/>
  <c r="F207" i="3"/>
  <c r="H195" i="3"/>
  <c r="U9" i="3"/>
  <c r="V9" i="3"/>
  <c r="F157" i="3"/>
  <c r="H145" i="3"/>
  <c r="F266" i="3"/>
  <c r="H254" i="3"/>
  <c r="C11" i="3"/>
  <c r="F175" i="3"/>
  <c r="H163" i="3"/>
  <c r="G22" i="22"/>
  <c r="J10" i="3"/>
  <c r="K10" i="3" s="1"/>
  <c r="O9" i="3"/>
  <c r="F236" i="3"/>
  <c r="H224" i="3"/>
  <c r="F258" i="3"/>
  <c r="H246" i="3"/>
  <c r="F250" i="3"/>
  <c r="H238" i="3"/>
  <c r="F191" i="3"/>
  <c r="H179" i="3"/>
  <c r="H232" i="3"/>
  <c r="F244" i="3"/>
  <c r="F240" i="3"/>
  <c r="H228" i="3"/>
  <c r="F281" i="3"/>
  <c r="H269" i="3"/>
  <c r="F256" i="3" l="1"/>
  <c r="H244" i="3"/>
  <c r="H281" i="3"/>
  <c r="F293" i="3"/>
  <c r="J22" i="22"/>
  <c r="L22" i="22" s="1"/>
  <c r="K22" i="22"/>
  <c r="H22" i="22"/>
  <c r="I22" i="22"/>
  <c r="H207" i="3"/>
  <c r="F219" i="3"/>
  <c r="L10" i="3"/>
  <c r="M10" i="3" s="1"/>
  <c r="F169" i="3"/>
  <c r="H157" i="3"/>
  <c r="F177" i="3"/>
  <c r="H165" i="3"/>
  <c r="F270" i="3"/>
  <c r="H258" i="3"/>
  <c r="H191" i="3"/>
  <c r="F203" i="3"/>
  <c r="F278" i="3"/>
  <c r="H266" i="3"/>
  <c r="F248" i="3"/>
  <c r="H236" i="3"/>
  <c r="F252" i="3"/>
  <c r="H240" i="3"/>
  <c r="H250" i="3"/>
  <c r="F262" i="3"/>
  <c r="F187" i="3"/>
  <c r="H175" i="3"/>
  <c r="N10" i="3" l="1"/>
  <c r="P10" i="3"/>
  <c r="W10" i="3" s="1"/>
  <c r="Q10" i="3"/>
  <c r="F189" i="3"/>
  <c r="H177" i="3"/>
  <c r="F290" i="3"/>
  <c r="H278" i="3"/>
  <c r="F282" i="3"/>
  <c r="H270" i="3"/>
  <c r="F199" i="3"/>
  <c r="H187" i="3"/>
  <c r="F274" i="3"/>
  <c r="H262" i="3"/>
  <c r="H252" i="3"/>
  <c r="F264" i="3"/>
  <c r="F181" i="3"/>
  <c r="H169" i="3"/>
  <c r="F305" i="3"/>
  <c r="H293" i="3"/>
  <c r="F231" i="3"/>
  <c r="H219" i="3"/>
  <c r="F215" i="3"/>
  <c r="H203" i="3"/>
  <c r="E23" i="22"/>
  <c r="F23" i="22"/>
  <c r="G23" i="22" s="1"/>
  <c r="H23" i="22" s="1"/>
  <c r="H248" i="3"/>
  <c r="F260" i="3"/>
  <c r="M22" i="22"/>
  <c r="N22" i="22" s="1"/>
  <c r="O22" i="22" s="1"/>
  <c r="H256" i="3"/>
  <c r="F268" i="3"/>
  <c r="E24" i="22" l="1"/>
  <c r="F24" i="22"/>
  <c r="G24" i="22" s="1"/>
  <c r="H260" i="3"/>
  <c r="F272" i="3"/>
  <c r="H215" i="3"/>
  <c r="F227" i="3"/>
  <c r="H290" i="3"/>
  <c r="F302" i="3"/>
  <c r="V10" i="3"/>
  <c r="U10" i="3"/>
  <c r="F286" i="3"/>
  <c r="H274" i="3"/>
  <c r="C12" i="3"/>
  <c r="F243" i="3"/>
  <c r="H231" i="3"/>
  <c r="F201" i="3"/>
  <c r="H189" i="3"/>
  <c r="F294" i="3"/>
  <c r="H282" i="3"/>
  <c r="F280" i="3"/>
  <c r="H268" i="3"/>
  <c r="H181" i="3"/>
  <c r="F193" i="3"/>
  <c r="K23" i="22"/>
  <c r="J23" i="22"/>
  <c r="L23" i="22" s="1"/>
  <c r="F276" i="3"/>
  <c r="H264" i="3"/>
  <c r="F211" i="3"/>
  <c r="H199" i="3"/>
  <c r="I23" i="22"/>
  <c r="H305" i="3"/>
  <c r="F317" i="3"/>
  <c r="J11" i="3"/>
  <c r="K11" i="3" s="1"/>
  <c r="O10" i="3"/>
  <c r="M23" i="22" l="1"/>
  <c r="N23" i="22" s="1"/>
  <c r="O23" i="22" s="1"/>
  <c r="H294" i="3"/>
  <c r="F306" i="3"/>
  <c r="F255" i="3"/>
  <c r="H243" i="3"/>
  <c r="J24" i="22"/>
  <c r="L24" i="22" s="1"/>
  <c r="K24" i="22"/>
  <c r="H280" i="3"/>
  <c r="F292" i="3"/>
  <c r="F284" i="3"/>
  <c r="H272" i="3"/>
  <c r="H193" i="3"/>
  <c r="F205" i="3"/>
  <c r="F213" i="3"/>
  <c r="H201" i="3"/>
  <c r="H302" i="3"/>
  <c r="F314" i="3"/>
  <c r="F223" i="3"/>
  <c r="H211" i="3"/>
  <c r="L11" i="3"/>
  <c r="M11" i="3" s="1"/>
  <c r="F329" i="3"/>
  <c r="H317" i="3"/>
  <c r="F298" i="3"/>
  <c r="H286" i="3"/>
  <c r="I24" i="22"/>
  <c r="H276" i="3"/>
  <c r="F288" i="3"/>
  <c r="F239" i="3"/>
  <c r="H227" i="3"/>
  <c r="H24" i="22"/>
  <c r="M24" i="22" l="1"/>
  <c r="N24" i="22" s="1"/>
  <c r="O24" i="22" s="1"/>
  <c r="C14" i="3" s="1"/>
  <c r="F296" i="3"/>
  <c r="H284" i="3"/>
  <c r="H288" i="3"/>
  <c r="F300" i="3"/>
  <c r="Q11" i="3"/>
  <c r="P11" i="3"/>
  <c r="W11" i="3" s="1"/>
  <c r="N11" i="3"/>
  <c r="F25" i="22"/>
  <c r="G25" i="22" s="1"/>
  <c r="I25" i="22" s="1"/>
  <c r="E25" i="22"/>
  <c r="H213" i="3"/>
  <c r="F225" i="3"/>
  <c r="C13" i="3"/>
  <c r="H292" i="3"/>
  <c r="F304" i="3"/>
  <c r="F235" i="3"/>
  <c r="H223" i="3"/>
  <c r="F217" i="3"/>
  <c r="H205" i="3"/>
  <c r="F341" i="3"/>
  <c r="H329" i="3"/>
  <c r="H306" i="3"/>
  <c r="F318" i="3"/>
  <c r="H239" i="3"/>
  <c r="F251" i="3"/>
  <c r="F310" i="3"/>
  <c r="H298" i="3"/>
  <c r="F326" i="3"/>
  <c r="H314" i="3"/>
  <c r="F267" i="3"/>
  <c r="H255" i="3"/>
  <c r="F279" i="3" l="1"/>
  <c r="H267" i="3"/>
  <c r="H304" i="3"/>
  <c r="F316" i="3"/>
  <c r="H318" i="3"/>
  <c r="F330" i="3"/>
  <c r="J25" i="22"/>
  <c r="L25" i="22" s="1"/>
  <c r="K25" i="22"/>
  <c r="F229" i="3"/>
  <c r="H217" i="3"/>
  <c r="H25" i="22"/>
  <c r="F338" i="3"/>
  <c r="H326" i="3"/>
  <c r="J12" i="3"/>
  <c r="K12" i="3" s="1"/>
  <c r="O11" i="3"/>
  <c r="H235" i="3"/>
  <c r="F247" i="3"/>
  <c r="F353" i="3"/>
  <c r="H341" i="3"/>
  <c r="F237" i="3"/>
  <c r="H225" i="3"/>
  <c r="V11" i="3"/>
  <c r="U11" i="3"/>
  <c r="F308" i="3"/>
  <c r="H296" i="3"/>
  <c r="F322" i="3"/>
  <c r="H310" i="3"/>
  <c r="H251" i="3"/>
  <c r="F263" i="3"/>
  <c r="F312" i="3"/>
  <c r="H300" i="3"/>
  <c r="F342" i="3" l="1"/>
  <c r="H330" i="3"/>
  <c r="M25" i="22"/>
  <c r="N25" i="22" s="1"/>
  <c r="O25" i="22" s="1"/>
  <c r="C15" i="3" s="1"/>
  <c r="F291" i="3"/>
  <c r="H279" i="3"/>
  <c r="H322" i="3"/>
  <c r="F334" i="3"/>
  <c r="F241" i="3"/>
  <c r="H229" i="3"/>
  <c r="L12" i="3"/>
  <c r="M12" i="3" s="1"/>
  <c r="F365" i="3"/>
  <c r="H365" i="3" s="1"/>
  <c r="H353" i="3"/>
  <c r="F275" i="3"/>
  <c r="H263" i="3"/>
  <c r="H247" i="3"/>
  <c r="F259" i="3"/>
  <c r="F350" i="3"/>
  <c r="H338" i="3"/>
  <c r="F328" i="3"/>
  <c r="H316" i="3"/>
  <c r="H308" i="3"/>
  <c r="F320" i="3"/>
  <c r="F249" i="3"/>
  <c r="H237" i="3"/>
  <c r="F324" i="3"/>
  <c r="H312" i="3"/>
  <c r="E26" i="22"/>
  <c r="F26" i="22"/>
  <c r="G26" i="22" s="1"/>
  <c r="Q12" i="3" l="1"/>
  <c r="P12" i="3"/>
  <c r="W12" i="3" s="1"/>
  <c r="N12" i="3"/>
  <c r="J26" i="22"/>
  <c r="L26" i="22" s="1"/>
  <c r="F340" i="3"/>
  <c r="H328" i="3"/>
  <c r="F253" i="3"/>
  <c r="H241" i="3"/>
  <c r="H324" i="3"/>
  <c r="F336" i="3"/>
  <c r="F261" i="3"/>
  <c r="H249" i="3"/>
  <c r="F354" i="3"/>
  <c r="H342" i="3"/>
  <c r="H26" i="22"/>
  <c r="H320" i="3"/>
  <c r="F332" i="3"/>
  <c r="F362" i="3"/>
  <c r="H362" i="3" s="1"/>
  <c r="H350" i="3"/>
  <c r="F303" i="3"/>
  <c r="H291" i="3"/>
  <c r="F287" i="3"/>
  <c r="H275" i="3"/>
  <c r="H334" i="3"/>
  <c r="F346" i="3"/>
  <c r="I26" i="22"/>
  <c r="F271" i="3"/>
  <c r="H259" i="3"/>
  <c r="M26" i="22" l="1"/>
  <c r="K26" i="22"/>
  <c r="F352" i="3"/>
  <c r="H340" i="3"/>
  <c r="J13" i="3"/>
  <c r="K13" i="3" s="1"/>
  <c r="O12" i="3"/>
  <c r="F366" i="3"/>
  <c r="H366" i="3" s="1"/>
  <c r="H354" i="3"/>
  <c r="H253" i="3"/>
  <c r="F265" i="3"/>
  <c r="F358" i="3"/>
  <c r="H358" i="3" s="1"/>
  <c r="H346" i="3"/>
  <c r="F344" i="3"/>
  <c r="H332" i="3"/>
  <c r="H287" i="3"/>
  <c r="F299" i="3"/>
  <c r="F315" i="3"/>
  <c r="H303" i="3"/>
  <c r="F273" i="3"/>
  <c r="H261" i="3"/>
  <c r="E27" i="22"/>
  <c r="F27" i="22"/>
  <c r="G27" i="22" s="1"/>
  <c r="I27" i="22" s="1"/>
  <c r="F283" i="3"/>
  <c r="H271" i="3"/>
  <c r="H336" i="3"/>
  <c r="F348" i="3"/>
  <c r="U12" i="3"/>
  <c r="V12" i="3"/>
  <c r="F285" i="3" l="1"/>
  <c r="H273" i="3"/>
  <c r="H283" i="3"/>
  <c r="F295" i="3"/>
  <c r="F356" i="3"/>
  <c r="H356" i="3" s="1"/>
  <c r="H344" i="3"/>
  <c r="F327" i="3"/>
  <c r="H315" i="3"/>
  <c r="N26" i="22"/>
  <c r="O26" i="22" s="1"/>
  <c r="C16" i="3" s="1"/>
  <c r="H352" i="3"/>
  <c r="F364" i="3"/>
  <c r="H364" i="3" s="1"/>
  <c r="H348" i="3"/>
  <c r="F360" i="3"/>
  <c r="H360" i="3" s="1"/>
  <c r="F311" i="3"/>
  <c r="H299" i="3"/>
  <c r="L13" i="3"/>
  <c r="M13" i="3" s="1"/>
  <c r="J27" i="22"/>
  <c r="L27" i="22" s="1"/>
  <c r="K27" i="22"/>
  <c r="H27" i="22"/>
  <c r="H265" i="3"/>
  <c r="F277" i="3"/>
  <c r="M27" i="22" l="1"/>
  <c r="N27" i="22" s="1"/>
  <c r="O27" i="22" s="1"/>
  <c r="C17" i="3" s="1"/>
  <c r="F339" i="3"/>
  <c r="H327" i="3"/>
  <c r="Q13" i="3"/>
  <c r="N13" i="3"/>
  <c r="P13" i="3"/>
  <c r="W13" i="3" s="1"/>
  <c r="F28" i="22"/>
  <c r="E28" i="22"/>
  <c r="H285" i="3"/>
  <c r="F297" i="3"/>
  <c r="F307" i="3"/>
  <c r="H295" i="3"/>
  <c r="H311" i="3"/>
  <c r="F323" i="3"/>
  <c r="F289" i="3"/>
  <c r="H277" i="3"/>
  <c r="G28" i="22" l="1"/>
  <c r="H289" i="3"/>
  <c r="F301" i="3"/>
  <c r="F319" i="3"/>
  <c r="H307" i="3"/>
  <c r="V13" i="3"/>
  <c r="U13" i="3"/>
  <c r="F351" i="3"/>
  <c r="H339" i="3"/>
  <c r="H323" i="3"/>
  <c r="F335" i="3"/>
  <c r="H297" i="3"/>
  <c r="F309" i="3"/>
  <c r="J14" i="3"/>
  <c r="K14" i="3" s="1"/>
  <c r="O13" i="3"/>
  <c r="L14" i="3" l="1"/>
  <c r="M14" i="3" s="1"/>
  <c r="Q14" i="3" s="1"/>
  <c r="N14" i="3"/>
  <c r="P14" i="3"/>
  <c r="W14" i="3" s="1"/>
  <c r="F347" i="3"/>
  <c r="H335" i="3"/>
  <c r="H351" i="3"/>
  <c r="F363" i="3"/>
  <c r="H363" i="3" s="1"/>
  <c r="F331" i="3"/>
  <c r="H319" i="3"/>
  <c r="F313" i="3"/>
  <c r="H301" i="3"/>
  <c r="H309" i="3"/>
  <c r="F321" i="3"/>
  <c r="J28" i="22"/>
  <c r="L28" i="22" s="1"/>
  <c r="K28" i="22"/>
  <c r="H28" i="22"/>
  <c r="I28" i="22"/>
  <c r="F29" i="22" l="1"/>
  <c r="E29" i="22"/>
  <c r="H331" i="3"/>
  <c r="F343" i="3"/>
  <c r="F325" i="3"/>
  <c r="H313" i="3"/>
  <c r="F359" i="3"/>
  <c r="H359" i="3" s="1"/>
  <c r="H347" i="3"/>
  <c r="M28" i="22"/>
  <c r="N28" i="22" s="1"/>
  <c r="O28" i="22" s="1"/>
  <c r="C18" i="3" s="1"/>
  <c r="F333" i="3"/>
  <c r="H321" i="3"/>
  <c r="J15" i="3"/>
  <c r="K15" i="3" s="1"/>
  <c r="O14" i="3"/>
  <c r="U14" i="3"/>
  <c r="V14" i="3"/>
  <c r="G29" i="22" l="1"/>
  <c r="F355" i="3"/>
  <c r="H343" i="3"/>
  <c r="L15" i="3"/>
  <c r="M15" i="3" s="1"/>
  <c r="F345" i="3"/>
  <c r="H333" i="3"/>
  <c r="F337" i="3"/>
  <c r="H325" i="3"/>
  <c r="H355" i="3" l="1"/>
  <c r="F367" i="3"/>
  <c r="H367" i="3" s="1"/>
  <c r="H337" i="3"/>
  <c r="F349" i="3"/>
  <c r="F357" i="3"/>
  <c r="H357" i="3" s="1"/>
  <c r="H345" i="3"/>
  <c r="N15" i="3"/>
  <c r="Q15" i="3"/>
  <c r="P15" i="3"/>
  <c r="W15" i="3" s="1"/>
  <c r="J29" i="22"/>
  <c r="L29" i="22" s="1"/>
  <c r="K29" i="22"/>
  <c r="I29" i="22"/>
  <c r="H29" i="22"/>
  <c r="F30" i="22" l="1"/>
  <c r="E30" i="22"/>
  <c r="H349" i="3"/>
  <c r="F361" i="3"/>
  <c r="H361" i="3" s="1"/>
  <c r="M29" i="22"/>
  <c r="N29" i="22" s="1"/>
  <c r="O29" i="22" s="1"/>
  <c r="C19" i="3" s="1"/>
  <c r="V15" i="3"/>
  <c r="U15" i="3"/>
  <c r="J16" i="3"/>
  <c r="K16" i="3" s="1"/>
  <c r="O15" i="3"/>
  <c r="G30" i="22" l="1"/>
  <c r="L16" i="3"/>
  <c r="M16" i="3" s="1"/>
  <c r="N16" i="3" l="1"/>
  <c r="P16" i="3"/>
  <c r="W16" i="3" s="1"/>
  <c r="Q16" i="3"/>
  <c r="J30" i="22"/>
  <c r="L30" i="22" s="1"/>
  <c r="H30" i="22"/>
  <c r="I30" i="22"/>
  <c r="E31" i="22" l="1"/>
  <c r="F31" i="22"/>
  <c r="G31" i="22" s="1"/>
  <c r="H31" i="22" s="1"/>
  <c r="M30" i="22"/>
  <c r="K30" i="22"/>
  <c r="V16" i="3"/>
  <c r="U16" i="3"/>
  <c r="J17" i="3"/>
  <c r="K17" i="3" s="1"/>
  <c r="O16" i="3"/>
  <c r="F32" i="22" l="1"/>
  <c r="E32" i="22"/>
  <c r="N30" i="22"/>
  <c r="O30" i="22" s="1"/>
  <c r="C20" i="3" s="1"/>
  <c r="L17" i="3"/>
  <c r="M17" i="3" s="1"/>
  <c r="J31" i="22"/>
  <c r="L31" i="22" s="1"/>
  <c r="K31" i="22"/>
  <c r="I31" i="22"/>
  <c r="M31" i="22" l="1"/>
  <c r="N31" i="22" s="1"/>
  <c r="O31" i="22" s="1"/>
  <c r="C21" i="3" s="1"/>
  <c r="Q17" i="3"/>
  <c r="N17" i="3"/>
  <c r="P17" i="3"/>
  <c r="W17" i="3" s="1"/>
  <c r="G32" i="22"/>
  <c r="J32" i="22" l="1"/>
  <c r="L32" i="22" s="1"/>
  <c r="I32" i="22"/>
  <c r="H32" i="22"/>
  <c r="J18" i="3"/>
  <c r="K18" i="3" s="1"/>
  <c r="O17" i="3"/>
  <c r="U17" i="3"/>
  <c r="V17" i="3"/>
  <c r="L18" i="3" l="1"/>
  <c r="M18" i="3" s="1"/>
  <c r="Q18" i="3"/>
  <c r="N18" i="3"/>
  <c r="P18" i="3"/>
  <c r="W18" i="3" s="1"/>
  <c r="E33" i="22"/>
  <c r="F33" i="22"/>
  <c r="G33" i="22" s="1"/>
  <c r="M32" i="22"/>
  <c r="K32" i="22"/>
  <c r="J33" i="22" l="1"/>
  <c r="L33" i="22" s="1"/>
  <c r="J19" i="3"/>
  <c r="K19" i="3" s="1"/>
  <c r="O18" i="3"/>
  <c r="H33" i="22"/>
  <c r="I33" i="22"/>
  <c r="N32" i="22"/>
  <c r="O32" i="22" s="1"/>
  <c r="C22" i="3" s="1"/>
  <c r="V18" i="3"/>
  <c r="U18" i="3"/>
  <c r="L19" i="3" l="1"/>
  <c r="M19" i="3" s="1"/>
  <c r="N19" i="3"/>
  <c r="P19" i="3"/>
  <c r="W19" i="3" s="1"/>
  <c r="Q19" i="3"/>
  <c r="E34" i="22"/>
  <c r="F34" i="22"/>
  <c r="G34" i="22" s="1"/>
  <c r="M33" i="22"/>
  <c r="K33" i="22"/>
  <c r="V19" i="3" l="1"/>
  <c r="U19" i="3"/>
  <c r="J34" i="22"/>
  <c r="L34" i="22" s="1"/>
  <c r="K34" i="22"/>
  <c r="H34" i="22"/>
  <c r="N33" i="22"/>
  <c r="O33" i="22" s="1"/>
  <c r="C23" i="3" s="1"/>
  <c r="I34" i="22"/>
  <c r="J20" i="3"/>
  <c r="K20" i="3" s="1"/>
  <c r="O19" i="3"/>
  <c r="L20" i="3" l="1"/>
  <c r="M20" i="3" s="1"/>
  <c r="Q20" i="3"/>
  <c r="N20" i="3"/>
  <c r="P20" i="3"/>
  <c r="W20" i="3" s="1"/>
  <c r="M34" i="22"/>
  <c r="N34" i="22" s="1"/>
  <c r="O34" i="22" s="1"/>
  <c r="C24" i="3" s="1"/>
  <c r="I35" i="22"/>
  <c r="H35" i="22"/>
  <c r="F35" i="22"/>
  <c r="G35" i="22" s="1"/>
  <c r="E35" i="22"/>
  <c r="E36" i="22" l="1"/>
  <c r="F36" i="22"/>
  <c r="G36" i="22" s="1"/>
  <c r="J21" i="3"/>
  <c r="K21" i="3" s="1"/>
  <c r="O20" i="3"/>
  <c r="J35" i="22"/>
  <c r="L35" i="22" s="1"/>
  <c r="U20" i="3"/>
  <c r="V20" i="3"/>
  <c r="M35" i="22" l="1"/>
  <c r="J36" i="22"/>
  <c r="L36" i="22" s="1"/>
  <c r="L21" i="3"/>
  <c r="M21" i="3" s="1"/>
  <c r="H36" i="22"/>
  <c r="K35" i="22"/>
  <c r="I36" i="22"/>
  <c r="M36" i="22" l="1"/>
  <c r="F37" i="22"/>
  <c r="E37" i="22"/>
  <c r="Q21" i="3"/>
  <c r="N21" i="3"/>
  <c r="P21" i="3"/>
  <c r="W21" i="3" s="1"/>
  <c r="K36" i="22"/>
  <c r="N35" i="22"/>
  <c r="O35" i="22" s="1"/>
  <c r="C25" i="3" s="1"/>
  <c r="V21" i="3" l="1"/>
  <c r="U21" i="3"/>
  <c r="G37" i="22"/>
  <c r="N36" i="22"/>
  <c r="O36" i="22" s="1"/>
  <c r="C26" i="3" s="1"/>
  <c r="J22" i="3"/>
  <c r="K22" i="3" s="1"/>
  <c r="O21" i="3"/>
  <c r="L22" i="3" l="1"/>
  <c r="M22" i="3" s="1"/>
  <c r="Q22" i="3"/>
  <c r="N22" i="3"/>
  <c r="P22" i="3"/>
  <c r="W22" i="3" s="1"/>
  <c r="J37" i="22"/>
  <c r="L37" i="22" s="1"/>
  <c r="K37" i="22"/>
  <c r="I37" i="22"/>
  <c r="H37" i="22"/>
  <c r="F38" i="22" l="1"/>
  <c r="E38" i="22"/>
  <c r="M37" i="22"/>
  <c r="N37" i="22" s="1"/>
  <c r="O37" i="22" s="1"/>
  <c r="C27" i="3" s="1"/>
  <c r="J23" i="3"/>
  <c r="K23" i="3" s="1"/>
  <c r="O22" i="3"/>
  <c r="U22" i="3"/>
  <c r="V22" i="3"/>
  <c r="L23" i="3" l="1"/>
  <c r="M23" i="3" s="1"/>
  <c r="N23" i="3" s="1"/>
  <c r="Q23" i="3"/>
  <c r="P23" i="3"/>
  <c r="W23" i="3" s="1"/>
  <c r="G38" i="22"/>
  <c r="J38" i="22" l="1"/>
  <c r="L38" i="22" s="1"/>
  <c r="K38" i="22"/>
  <c r="H38" i="22"/>
  <c r="I38" i="22"/>
  <c r="V23" i="3"/>
  <c r="U23" i="3"/>
  <c r="J24" i="3"/>
  <c r="K24" i="3" s="1"/>
  <c r="O23" i="3"/>
  <c r="L24" i="3" l="1"/>
  <c r="M24" i="3" s="1"/>
  <c r="N24" i="3"/>
  <c r="Q24" i="3"/>
  <c r="P24" i="3"/>
  <c r="W24" i="3" s="1"/>
  <c r="E39" i="22"/>
  <c r="F39" i="22"/>
  <c r="G39" i="22" s="1"/>
  <c r="M38" i="22"/>
  <c r="N38" i="22" s="1"/>
  <c r="O38" i="22" s="1"/>
  <c r="C28" i="3" s="1"/>
  <c r="J39" i="22" l="1"/>
  <c r="L39" i="22" s="1"/>
  <c r="K39" i="22"/>
  <c r="H39" i="22"/>
  <c r="I39" i="22"/>
  <c r="V24" i="3"/>
  <c r="U24" i="3"/>
  <c r="J25" i="3"/>
  <c r="K25" i="3" s="1"/>
  <c r="O24" i="3"/>
  <c r="L25" i="3" l="1"/>
  <c r="M25" i="3" s="1"/>
  <c r="N25" i="3" s="1"/>
  <c r="Q25" i="3"/>
  <c r="P25" i="3"/>
  <c r="W25" i="3" s="1"/>
  <c r="E40" i="22"/>
  <c r="F40" i="22"/>
  <c r="G40" i="22" s="1"/>
  <c r="M39" i="22"/>
  <c r="N39" i="22" s="1"/>
  <c r="O39" i="22" s="1"/>
  <c r="C29" i="3" s="1"/>
  <c r="J40" i="22" l="1"/>
  <c r="L40" i="22" s="1"/>
  <c r="K40" i="22"/>
  <c r="I40" i="22"/>
  <c r="H40" i="22"/>
  <c r="V25" i="3"/>
  <c r="U25" i="3"/>
  <c r="J26" i="3"/>
  <c r="K26" i="3" s="1"/>
  <c r="O25" i="3"/>
  <c r="L26" i="3" l="1"/>
  <c r="M26" i="3" s="1"/>
  <c r="N26" i="3"/>
  <c r="Q26" i="3"/>
  <c r="P26" i="3"/>
  <c r="W26" i="3" s="1"/>
  <c r="F41" i="22"/>
  <c r="E41" i="22"/>
  <c r="M40" i="22"/>
  <c r="N40" i="22" s="1"/>
  <c r="O40" i="22" s="1"/>
  <c r="C30" i="3" s="1"/>
  <c r="G41" i="22" l="1"/>
  <c r="U26" i="3"/>
  <c r="V26" i="3"/>
  <c r="J27" i="3"/>
  <c r="K27" i="3" s="1"/>
  <c r="O26" i="3"/>
  <c r="L27" i="3" l="1"/>
  <c r="M27" i="3" s="1"/>
  <c r="J41" i="22"/>
  <c r="L41" i="22" s="1"/>
  <c r="K41" i="22"/>
  <c r="H41" i="22"/>
  <c r="I41" i="22"/>
  <c r="M41" i="22" l="1"/>
  <c r="N41" i="22" s="1"/>
  <c r="O41" i="22" s="1"/>
  <c r="C31" i="3" s="1"/>
  <c r="E42" i="22"/>
  <c r="F42" i="22"/>
  <c r="G42" i="22" s="1"/>
  <c r="Q27" i="3"/>
  <c r="N27" i="3"/>
  <c r="P27" i="3"/>
  <c r="W27" i="3" s="1"/>
  <c r="J42" i="22" l="1"/>
  <c r="L42" i="22" s="1"/>
  <c r="H42" i="22"/>
  <c r="I42" i="22"/>
  <c r="U27" i="3"/>
  <c r="V27" i="3"/>
  <c r="J28" i="3"/>
  <c r="K28" i="3" s="1"/>
  <c r="L28" i="3" s="1"/>
  <c r="M28" i="3" s="1"/>
  <c r="O27" i="3"/>
  <c r="Q28" i="3" l="1"/>
  <c r="P28" i="3"/>
  <c r="W28" i="3" s="1"/>
  <c r="N28" i="3"/>
  <c r="E43" i="22"/>
  <c r="F43" i="22"/>
  <c r="G43" i="22" s="1"/>
  <c r="M42" i="22"/>
  <c r="K42" i="22"/>
  <c r="J43" i="22" l="1"/>
  <c r="L43" i="22" s="1"/>
  <c r="K43" i="22"/>
  <c r="I43" i="22"/>
  <c r="H43" i="22"/>
  <c r="J29" i="3"/>
  <c r="K29" i="3" s="1"/>
  <c r="O28" i="3"/>
  <c r="N42" i="22"/>
  <c r="O42" i="22" s="1"/>
  <c r="C32" i="3" s="1"/>
  <c r="U28" i="3"/>
  <c r="V28" i="3"/>
  <c r="L29" i="3" l="1"/>
  <c r="M29" i="3" s="1"/>
  <c r="Q29" i="3"/>
  <c r="N29" i="3"/>
  <c r="P29" i="3"/>
  <c r="W29" i="3" s="1"/>
  <c r="F44" i="22"/>
  <c r="E44" i="22"/>
  <c r="M43" i="22"/>
  <c r="N43" i="22" s="1"/>
  <c r="O43" i="22" s="1"/>
  <c r="C33" i="3" s="1"/>
  <c r="J30" i="3" l="1"/>
  <c r="K30" i="3" s="1"/>
  <c r="O29" i="3"/>
  <c r="G44" i="22"/>
  <c r="U29" i="3"/>
  <c r="V29" i="3"/>
  <c r="J44" i="22" l="1"/>
  <c r="L44" i="22" s="1"/>
  <c r="K44" i="22"/>
  <c r="I44" i="22"/>
  <c r="H44" i="22"/>
  <c r="L30" i="3"/>
  <c r="M30" i="3" s="1"/>
  <c r="Q30" i="3" l="1"/>
  <c r="N30" i="3"/>
  <c r="P30" i="3"/>
  <c r="W30" i="3" s="1"/>
  <c r="F45" i="22"/>
  <c r="G45" i="22" s="1"/>
  <c r="E45" i="22"/>
  <c r="M44" i="22"/>
  <c r="N44" i="22" s="1"/>
  <c r="O44" i="22" s="1"/>
  <c r="C34" i="3" s="1"/>
  <c r="J45" i="22" l="1"/>
  <c r="L45" i="22" s="1"/>
  <c r="I45" i="22"/>
  <c r="H45" i="22"/>
  <c r="J31" i="3"/>
  <c r="K31" i="3" s="1"/>
  <c r="O30" i="3"/>
  <c r="V30" i="3"/>
  <c r="U30" i="3"/>
  <c r="F46" i="22" l="1"/>
  <c r="G46" i="22" s="1"/>
  <c r="E46" i="22"/>
  <c r="M45" i="22"/>
  <c r="N45" i="22" s="1"/>
  <c r="O45" i="22" s="1"/>
  <c r="C35" i="3" s="1"/>
  <c r="L31" i="3"/>
  <c r="M31" i="3" s="1"/>
  <c r="K45" i="22"/>
  <c r="N31" i="3" l="1"/>
  <c r="Q31" i="3"/>
  <c r="P31" i="3"/>
  <c r="W31" i="3" s="1"/>
  <c r="J46" i="22"/>
  <c r="L46" i="22" s="1"/>
  <c r="I46" i="22"/>
  <c r="H46" i="22"/>
  <c r="E47" i="22" l="1"/>
  <c r="F47" i="22"/>
  <c r="G47" i="22" s="1"/>
  <c r="H47" i="22" s="1"/>
  <c r="K46" i="22"/>
  <c r="M46" i="22"/>
  <c r="N46" i="22" s="1"/>
  <c r="O46" i="22" s="1"/>
  <c r="C36" i="3" s="1"/>
  <c r="V31" i="3"/>
  <c r="U31" i="3"/>
  <c r="J32" i="3"/>
  <c r="K32" i="3" s="1"/>
  <c r="O31" i="3"/>
  <c r="E48" i="22" l="1"/>
  <c r="F48" i="22"/>
  <c r="G48" i="22" s="1"/>
  <c r="L32" i="3"/>
  <c r="M32" i="3" s="1"/>
  <c r="J47" i="22"/>
  <c r="L47" i="22" s="1"/>
  <c r="K47" i="22"/>
  <c r="I47" i="22"/>
  <c r="M47" i="22" l="1"/>
  <c r="N47" i="22" s="1"/>
  <c r="O47" i="22" s="1"/>
  <c r="C37" i="3" s="1"/>
  <c r="N32" i="3"/>
  <c r="Q32" i="3"/>
  <c r="P32" i="3"/>
  <c r="W32" i="3" s="1"/>
  <c r="J48" i="22"/>
  <c r="L48" i="22" s="1"/>
  <c r="I48" i="22"/>
  <c r="H48" i="22"/>
  <c r="M48" i="22" l="1"/>
  <c r="K48" i="22"/>
  <c r="J33" i="3"/>
  <c r="K33" i="3" s="1"/>
  <c r="O32" i="3"/>
  <c r="U32" i="3"/>
  <c r="V32" i="3"/>
  <c r="E49" i="22"/>
  <c r="F49" i="22"/>
  <c r="G49" i="22" s="1"/>
  <c r="J49" i="22" l="1"/>
  <c r="L49" i="22" s="1"/>
  <c r="N48" i="22"/>
  <c r="O48" i="22" s="1"/>
  <c r="C38" i="3" s="1"/>
  <c r="H49" i="22"/>
  <c r="I49" i="22"/>
  <c r="L33" i="3"/>
  <c r="M33" i="3" s="1"/>
  <c r="Q33" i="3" l="1"/>
  <c r="N33" i="3"/>
  <c r="P33" i="3"/>
  <c r="W33" i="3" s="1"/>
  <c r="F50" i="22"/>
  <c r="E50" i="22"/>
  <c r="M49" i="22"/>
  <c r="K49" i="22"/>
  <c r="J34" i="3" l="1"/>
  <c r="K34" i="3" s="1"/>
  <c r="O33" i="3"/>
  <c r="G50" i="22"/>
  <c r="N49" i="22"/>
  <c r="O49" i="22" s="1"/>
  <c r="C39" i="3" s="1"/>
  <c r="V33" i="3"/>
  <c r="U33" i="3"/>
  <c r="J50" i="22" l="1"/>
  <c r="L50" i="22" s="1"/>
  <c r="K50" i="22"/>
  <c r="H50" i="22"/>
  <c r="I50" i="22"/>
  <c r="L34" i="3"/>
  <c r="M34" i="3" s="1"/>
  <c r="N34" i="3" l="1"/>
  <c r="P34" i="3"/>
  <c r="W34" i="3" s="1"/>
  <c r="Q34" i="3"/>
  <c r="E51" i="22"/>
  <c r="F51" i="22"/>
  <c r="G51" i="22" s="1"/>
  <c r="M50" i="22"/>
  <c r="N50" i="22" s="1"/>
  <c r="O50" i="22" s="1"/>
  <c r="C40" i="3" s="1"/>
  <c r="J51" i="22" l="1"/>
  <c r="L51" i="22" s="1"/>
  <c r="K51" i="22"/>
  <c r="I51" i="22"/>
  <c r="H51" i="22"/>
  <c r="U34" i="3"/>
  <c r="V34" i="3"/>
  <c r="J35" i="3"/>
  <c r="K35" i="3" s="1"/>
  <c r="O34" i="3"/>
  <c r="L35" i="3" l="1"/>
  <c r="M35" i="3" s="1"/>
  <c r="N35" i="3" s="1"/>
  <c r="F52" i="22"/>
  <c r="G52" i="22" s="1"/>
  <c r="I52" i="22" s="1"/>
  <c r="E52" i="22"/>
  <c r="M51" i="22"/>
  <c r="N51" i="22" s="1"/>
  <c r="O51" i="22" s="1"/>
  <c r="C41" i="3" s="1"/>
  <c r="Q35" i="3" l="1"/>
  <c r="P35" i="3"/>
  <c r="W35" i="3" s="1"/>
  <c r="H52" i="22"/>
  <c r="U35" i="3"/>
  <c r="V35" i="3"/>
  <c r="J52" i="22"/>
  <c r="L52" i="22" s="1"/>
  <c r="K52" i="22"/>
  <c r="J36" i="3"/>
  <c r="K36" i="3" s="1"/>
  <c r="L36" i="3" s="1"/>
  <c r="M36" i="3" s="1"/>
  <c r="O35" i="3"/>
  <c r="Q36" i="3" l="1"/>
  <c r="N36" i="3"/>
  <c r="P36" i="3"/>
  <c r="W36" i="3" s="1"/>
  <c r="M52" i="22"/>
  <c r="N52" i="22" s="1"/>
  <c r="O52" i="22" s="1"/>
  <c r="C42" i="3" s="1"/>
  <c r="I53" i="22"/>
  <c r="H53" i="22"/>
  <c r="E53" i="22"/>
  <c r="F53" i="22"/>
  <c r="G53" i="22" s="1"/>
  <c r="E54" i="22" l="1"/>
  <c r="F54" i="22"/>
  <c r="G54" i="22" s="1"/>
  <c r="J53" i="22"/>
  <c r="L53" i="22" s="1"/>
  <c r="J37" i="3"/>
  <c r="K37" i="3" s="1"/>
  <c r="O36" i="3"/>
  <c r="V36" i="3"/>
  <c r="U36" i="3"/>
  <c r="L37" i="3" l="1"/>
  <c r="M37" i="3" s="1"/>
  <c r="Q37" i="3" s="1"/>
  <c r="P37" i="3"/>
  <c r="W37" i="3" s="1"/>
  <c r="J54" i="22"/>
  <c r="K54" i="22" s="1"/>
  <c r="M53" i="22"/>
  <c r="N53" i="22" s="1"/>
  <c r="O53" i="22" s="1"/>
  <c r="C43" i="3" s="1"/>
  <c r="K53" i="22"/>
  <c r="I54" i="22"/>
  <c r="H54" i="22"/>
  <c r="N37" i="3" l="1"/>
  <c r="J38" i="3" s="1"/>
  <c r="K38" i="3" s="1"/>
  <c r="L38" i="3" s="1"/>
  <c r="M38" i="3" s="1"/>
  <c r="L54" i="22"/>
  <c r="E55" i="22"/>
  <c r="F55" i="22"/>
  <c r="G55" i="22" s="1"/>
  <c r="O37" i="3"/>
  <c r="V37" i="3"/>
  <c r="U37" i="3"/>
  <c r="Q38" i="3" l="1"/>
  <c r="N38" i="3"/>
  <c r="P38" i="3"/>
  <c r="W38" i="3" s="1"/>
  <c r="J55" i="22"/>
  <c r="L55" i="22" s="1"/>
  <c r="H55" i="22"/>
  <c r="I55" i="22"/>
  <c r="M54" i="22"/>
  <c r="N54" i="22" s="1"/>
  <c r="O54" i="22" s="1"/>
  <c r="C44" i="3" s="1"/>
  <c r="M55" i="22" l="1"/>
  <c r="F56" i="22"/>
  <c r="E56" i="22"/>
  <c r="K55" i="22"/>
  <c r="J39" i="3"/>
  <c r="K39" i="3" s="1"/>
  <c r="O38" i="3"/>
  <c r="U38" i="3"/>
  <c r="V38" i="3"/>
  <c r="G56" i="22" l="1"/>
  <c r="N55" i="22"/>
  <c r="O55" i="22" s="1"/>
  <c r="C45" i="3" s="1"/>
  <c r="L39" i="3"/>
  <c r="M39" i="3" s="1"/>
  <c r="N39" i="3" l="1"/>
  <c r="Q39" i="3"/>
  <c r="P39" i="3"/>
  <c r="W39" i="3" s="1"/>
  <c r="J56" i="22"/>
  <c r="L56" i="22" s="1"/>
  <c r="K56" i="22"/>
  <c r="H56" i="22"/>
  <c r="I56" i="22"/>
  <c r="M56" i="22" l="1"/>
  <c r="N56" i="22" s="1"/>
  <c r="O56" i="22" s="1"/>
  <c r="C46" i="3" s="1"/>
  <c r="U39" i="3"/>
  <c r="V39" i="3"/>
  <c r="E57" i="22"/>
  <c r="F57" i="22"/>
  <c r="J40" i="3"/>
  <c r="K40" i="3" s="1"/>
  <c r="O39" i="3"/>
  <c r="L40" i="3" l="1"/>
  <c r="M40" i="3" s="1"/>
  <c r="G57" i="22"/>
  <c r="J57" i="22" l="1"/>
  <c r="L57" i="22" s="1"/>
  <c r="I57" i="22"/>
  <c r="H57" i="22"/>
  <c r="N40" i="3"/>
  <c r="Q40" i="3"/>
  <c r="P40" i="3"/>
  <c r="W40" i="3" s="1"/>
  <c r="U40" i="3" l="1"/>
  <c r="V40" i="3"/>
  <c r="J41" i="3"/>
  <c r="K41" i="3" s="1"/>
  <c r="O40" i="3"/>
  <c r="F58" i="22"/>
  <c r="G58" i="22" s="1"/>
  <c r="E58" i="22"/>
  <c r="M57" i="22"/>
  <c r="K57" i="22"/>
  <c r="N57" i="22" l="1"/>
  <c r="O57" i="22" s="1"/>
  <c r="C47" i="3" s="1"/>
  <c r="J58" i="22"/>
  <c r="L58" i="22" s="1"/>
  <c r="I58" i="22"/>
  <c r="H58" i="22"/>
  <c r="L41" i="3"/>
  <c r="M41" i="3" s="1"/>
  <c r="E59" i="22" l="1"/>
  <c r="F59" i="22"/>
  <c r="G59" i="22" s="1"/>
  <c r="Q41" i="3"/>
  <c r="N41" i="3"/>
  <c r="P41" i="3"/>
  <c r="W41" i="3" s="1"/>
  <c r="M58" i="22"/>
  <c r="K58" i="22"/>
  <c r="U41" i="3" l="1"/>
  <c r="V41" i="3"/>
  <c r="J42" i="3"/>
  <c r="K42" i="3" s="1"/>
  <c r="O41" i="3"/>
  <c r="J59" i="22"/>
  <c r="L59" i="22" s="1"/>
  <c r="K59" i="22"/>
  <c r="N58" i="22"/>
  <c r="O58" i="22" s="1"/>
  <c r="C48" i="3" s="1"/>
  <c r="H59" i="22"/>
  <c r="I59" i="22"/>
  <c r="L42" i="3" l="1"/>
  <c r="M42" i="3" s="1"/>
  <c r="M59" i="22"/>
  <c r="N59" i="22" s="1"/>
  <c r="O59" i="22" s="1"/>
  <c r="C49" i="3" s="1"/>
  <c r="F60" i="22"/>
  <c r="E60" i="22"/>
  <c r="G60" i="22" l="1"/>
  <c r="N42" i="3"/>
  <c r="P42" i="3"/>
  <c r="W42" i="3" s="1"/>
  <c r="Q42" i="3"/>
  <c r="V42" i="3" l="1"/>
  <c r="U42" i="3"/>
  <c r="J43" i="3"/>
  <c r="K43" i="3" s="1"/>
  <c r="O42" i="3"/>
  <c r="J60" i="22"/>
  <c r="L60" i="22" s="1"/>
  <c r="K60" i="22"/>
  <c r="H60" i="22"/>
  <c r="I60" i="22"/>
  <c r="L43" i="3" l="1"/>
  <c r="M43" i="3" s="1"/>
  <c r="Q43" i="3" s="1"/>
  <c r="N43" i="3"/>
  <c r="P43" i="3"/>
  <c r="W43" i="3" s="1"/>
  <c r="M60" i="22"/>
  <c r="N60" i="22" s="1"/>
  <c r="O60" i="22" s="1"/>
  <c r="C50" i="3" s="1"/>
  <c r="F61" i="22"/>
  <c r="E61" i="22"/>
  <c r="J44" i="3" l="1"/>
  <c r="K44" i="3" s="1"/>
  <c r="O43" i="3"/>
  <c r="G61" i="22"/>
  <c r="V43" i="3"/>
  <c r="U43" i="3"/>
  <c r="J61" i="22" l="1"/>
  <c r="L61" i="22" s="1"/>
  <c r="K61" i="22"/>
  <c r="I61" i="22"/>
  <c r="H61" i="22"/>
  <c r="L44" i="3"/>
  <c r="M44" i="3" s="1"/>
  <c r="Q44" i="3" l="1"/>
  <c r="P44" i="3"/>
  <c r="W44" i="3" s="1"/>
  <c r="N44" i="3"/>
  <c r="E62" i="22"/>
  <c r="F62" i="22"/>
  <c r="G62" i="22" s="1"/>
  <c r="I62" i="22" s="1"/>
  <c r="M61" i="22"/>
  <c r="N61" i="22" s="1"/>
  <c r="O61" i="22" s="1"/>
  <c r="C51" i="3" s="1"/>
  <c r="J62" i="22" l="1"/>
  <c r="L62" i="22" s="1"/>
  <c r="H62" i="22"/>
  <c r="J45" i="3"/>
  <c r="K45" i="3" s="1"/>
  <c r="O44" i="3"/>
  <c r="V44" i="3"/>
  <c r="U44" i="3"/>
  <c r="E63" i="22" l="1"/>
  <c r="F63" i="22"/>
  <c r="G63" i="22" s="1"/>
  <c r="L45" i="3"/>
  <c r="M45" i="3" s="1"/>
  <c r="M62" i="22"/>
  <c r="N62" i="22" s="1"/>
  <c r="O62" i="22" s="1"/>
  <c r="C52" i="3" s="1"/>
  <c r="K62" i="22"/>
  <c r="Q45" i="3" l="1"/>
  <c r="N45" i="3"/>
  <c r="P45" i="3"/>
  <c r="W45" i="3" s="1"/>
  <c r="J63" i="22"/>
  <c r="L63" i="22" s="1"/>
  <c r="I63" i="22"/>
  <c r="H63" i="22"/>
  <c r="K63" i="22" l="1"/>
  <c r="M63" i="22"/>
  <c r="N63" i="22" s="1"/>
  <c r="O63" i="22" s="1"/>
  <c r="C53" i="3" s="1"/>
  <c r="J46" i="3"/>
  <c r="K46" i="3" s="1"/>
  <c r="L46" i="3" s="1"/>
  <c r="M46" i="3" s="1"/>
  <c r="O45" i="3"/>
  <c r="H64" i="22"/>
  <c r="E64" i="22"/>
  <c r="F64" i="22"/>
  <c r="G64" i="22" s="1"/>
  <c r="V45" i="3"/>
  <c r="U45" i="3"/>
  <c r="Q46" i="3" l="1"/>
  <c r="N46" i="3"/>
  <c r="P46" i="3"/>
  <c r="W46" i="3" s="1"/>
  <c r="E65" i="22"/>
  <c r="F65" i="22"/>
  <c r="G65" i="22" s="1"/>
  <c r="I65" i="22" s="1"/>
  <c r="K64" i="22"/>
  <c r="J64" i="22"/>
  <c r="L64" i="22" s="1"/>
  <c r="I64" i="22"/>
  <c r="J65" i="22" l="1"/>
  <c r="K65" i="22"/>
  <c r="H65" i="22"/>
  <c r="J47" i="3"/>
  <c r="K47" i="3" s="1"/>
  <c r="O46" i="3"/>
  <c r="L65" i="22"/>
  <c r="M64" i="22"/>
  <c r="N64" i="22" s="1"/>
  <c r="O64" i="22" s="1"/>
  <c r="C54" i="3" s="1"/>
  <c r="U46" i="3"/>
  <c r="V46" i="3"/>
  <c r="L47" i="3" l="1"/>
  <c r="M47" i="3" s="1"/>
  <c r="M65" i="22"/>
  <c r="N65" i="22" s="1"/>
  <c r="O65" i="22" s="1"/>
  <c r="C55" i="3" s="1"/>
  <c r="F66" i="22"/>
  <c r="E66" i="22"/>
  <c r="G66" i="22" l="1"/>
  <c r="N47" i="3"/>
  <c r="Q47" i="3"/>
  <c r="P47" i="3"/>
  <c r="W47" i="3" s="1"/>
  <c r="V47" i="3" l="1"/>
  <c r="U47" i="3"/>
  <c r="J48" i="3"/>
  <c r="K48" i="3" s="1"/>
  <c r="O47" i="3"/>
  <c r="J66" i="22"/>
  <c r="L66" i="22" s="1"/>
  <c r="I66" i="22"/>
  <c r="H66" i="22"/>
  <c r="K66" i="22" l="1"/>
  <c r="M66" i="22"/>
  <c r="N66" i="22" s="1"/>
  <c r="O66" i="22" s="1"/>
  <c r="C56" i="3" s="1"/>
  <c r="L48" i="3"/>
  <c r="M48" i="3" s="1"/>
  <c r="F67" i="22"/>
  <c r="G67" i="22" s="1"/>
  <c r="E67" i="22"/>
  <c r="N48" i="3" l="1"/>
  <c r="Q48" i="3"/>
  <c r="P48" i="3"/>
  <c r="W48" i="3" s="1"/>
  <c r="J67" i="22"/>
  <c r="L67" i="22" s="1"/>
  <c r="H67" i="22"/>
  <c r="I67" i="22"/>
  <c r="M67" i="22" l="1"/>
  <c r="F68" i="22"/>
  <c r="E68" i="22"/>
  <c r="K67" i="22"/>
  <c r="V48" i="3"/>
  <c r="U48" i="3"/>
  <c r="J49" i="3"/>
  <c r="K49" i="3" s="1"/>
  <c r="O48" i="3"/>
  <c r="G68" i="22" l="1"/>
  <c r="L49" i="3"/>
  <c r="M49" i="3" s="1"/>
  <c r="N67" i="22"/>
  <c r="O67" i="22" s="1"/>
  <c r="C57" i="3" s="1"/>
  <c r="Q49" i="3" l="1"/>
  <c r="N49" i="3"/>
  <c r="P49" i="3"/>
  <c r="W49" i="3" s="1"/>
  <c r="J68" i="22"/>
  <c r="L68" i="22" s="1"/>
  <c r="H68" i="22"/>
  <c r="I68" i="22"/>
  <c r="M68" i="22" l="1"/>
  <c r="K68" i="22"/>
  <c r="F69" i="22"/>
  <c r="E69" i="22"/>
  <c r="J50" i="3"/>
  <c r="K50" i="3" s="1"/>
  <c r="O49" i="3"/>
  <c r="V49" i="3"/>
  <c r="U49" i="3"/>
  <c r="N68" i="22" l="1"/>
  <c r="O68" i="22" s="1"/>
  <c r="C58" i="3" s="1"/>
  <c r="G69" i="22"/>
  <c r="L50" i="3"/>
  <c r="M50" i="3" s="1"/>
  <c r="Q50" i="3" l="1"/>
  <c r="N50" i="3"/>
  <c r="P50" i="3"/>
  <c r="W50" i="3" s="1"/>
  <c r="J69" i="22"/>
  <c r="L69" i="22" s="1"/>
  <c r="I69" i="22"/>
  <c r="H69" i="22"/>
  <c r="E70" i="22" l="1"/>
  <c r="F70" i="22"/>
  <c r="G70" i="22" s="1"/>
  <c r="M69" i="22"/>
  <c r="K69" i="22"/>
  <c r="J51" i="3"/>
  <c r="K51" i="3" s="1"/>
  <c r="O50" i="3"/>
  <c r="V50" i="3"/>
  <c r="U50" i="3"/>
  <c r="N69" i="22" l="1"/>
  <c r="O69" i="22" s="1"/>
  <c r="C59" i="3" s="1"/>
  <c r="J70" i="22"/>
  <c r="L70" i="22" s="1"/>
  <c r="K70" i="22"/>
  <c r="L51" i="3"/>
  <c r="M51" i="3" s="1"/>
  <c r="H70" i="22"/>
  <c r="I70" i="22"/>
  <c r="F71" i="22" l="1"/>
  <c r="E71" i="22"/>
  <c r="M70" i="22"/>
  <c r="N70" i="22" s="1"/>
  <c r="O70" i="22" s="1"/>
  <c r="C60" i="3" s="1"/>
  <c r="N51" i="3"/>
  <c r="P51" i="3"/>
  <c r="W51" i="3" s="1"/>
  <c r="Q51" i="3"/>
  <c r="J52" i="3" l="1"/>
  <c r="K52" i="3" s="1"/>
  <c r="O51" i="3"/>
  <c r="G71" i="22"/>
  <c r="V51" i="3"/>
  <c r="U51" i="3"/>
  <c r="J71" i="22" l="1"/>
  <c r="L71" i="22" s="1"/>
  <c r="K71" i="22"/>
  <c r="H71" i="22"/>
  <c r="I71" i="22"/>
  <c r="L52" i="3"/>
  <c r="M52" i="3" s="1"/>
  <c r="Q52" i="3" l="1"/>
  <c r="N52" i="3"/>
  <c r="P52" i="3"/>
  <c r="W52" i="3" s="1"/>
  <c r="F72" i="22"/>
  <c r="G72" i="22" s="1"/>
  <c r="E72" i="22"/>
  <c r="M71" i="22"/>
  <c r="N71" i="22" s="1"/>
  <c r="O71" i="22" s="1"/>
  <c r="C61" i="3" s="1"/>
  <c r="J72" i="22" l="1"/>
  <c r="L72" i="22" s="1"/>
  <c r="H72" i="22"/>
  <c r="J53" i="3"/>
  <c r="K53" i="3" s="1"/>
  <c r="O52" i="3"/>
  <c r="I72" i="22"/>
  <c r="U52" i="3"/>
  <c r="V52" i="3"/>
  <c r="L53" i="3" l="1"/>
  <c r="M53" i="3" s="1"/>
  <c r="M72" i="22"/>
  <c r="N72" i="22" s="1"/>
  <c r="O72" i="22" s="1"/>
  <c r="C62" i="3" s="1"/>
  <c r="F73" i="22"/>
  <c r="E73" i="22"/>
  <c r="K72" i="22"/>
  <c r="G73" i="22" l="1"/>
  <c r="Q53" i="3"/>
  <c r="N53" i="3"/>
  <c r="P53" i="3"/>
  <c r="W53" i="3" s="1"/>
  <c r="J54" i="3" l="1"/>
  <c r="K54" i="3" s="1"/>
  <c r="O53" i="3"/>
  <c r="V53" i="3"/>
  <c r="U53" i="3"/>
  <c r="J73" i="22"/>
  <c r="L73" i="22" s="1"/>
  <c r="I73" i="22"/>
  <c r="H73" i="22"/>
  <c r="L54" i="3" l="1"/>
  <c r="M54" i="3" s="1"/>
  <c r="Q54" i="3" s="1"/>
  <c r="N54" i="3"/>
  <c r="P54" i="3"/>
  <c r="W54" i="3" s="1"/>
  <c r="M73" i="22"/>
  <c r="K73" i="22"/>
  <c r="F74" i="22"/>
  <c r="E74" i="22"/>
  <c r="N73" i="22" l="1"/>
  <c r="O73" i="22" s="1"/>
  <c r="C63" i="3" s="1"/>
  <c r="J55" i="3"/>
  <c r="K55" i="3" s="1"/>
  <c r="O54" i="3"/>
  <c r="G74" i="22"/>
  <c r="V54" i="3"/>
  <c r="U54" i="3"/>
  <c r="L55" i="3" l="1"/>
  <c r="M55" i="3" s="1"/>
  <c r="J74" i="22"/>
  <c r="L74" i="22" s="1"/>
  <c r="H74" i="22"/>
  <c r="I74" i="22"/>
  <c r="M74" i="22" l="1"/>
  <c r="K74" i="22"/>
  <c r="E75" i="22"/>
  <c r="F75" i="22"/>
  <c r="G75" i="22" s="1"/>
  <c r="N55" i="3"/>
  <c r="Q55" i="3"/>
  <c r="P55" i="3"/>
  <c r="W55" i="3" s="1"/>
  <c r="V55" i="3" l="1"/>
  <c r="U55" i="3"/>
  <c r="J75" i="22"/>
  <c r="L75" i="22" s="1"/>
  <c r="I75" i="22"/>
  <c r="H75" i="22"/>
  <c r="N74" i="22"/>
  <c r="O74" i="22" s="1"/>
  <c r="C64" i="3" s="1"/>
  <c r="J56" i="3"/>
  <c r="K56" i="3" s="1"/>
  <c r="O55" i="3"/>
  <c r="L56" i="3" l="1"/>
  <c r="M56" i="3" s="1"/>
  <c r="N56" i="3" s="1"/>
  <c r="P56" i="3"/>
  <c r="W56" i="3" s="1"/>
  <c r="M75" i="22"/>
  <c r="N75" i="22" s="1"/>
  <c r="O75" i="22" s="1"/>
  <c r="C65" i="3" s="1"/>
  <c r="H76" i="22"/>
  <c r="I76" i="22"/>
  <c r="F76" i="22"/>
  <c r="G76" i="22" s="1"/>
  <c r="E76" i="22"/>
  <c r="K75" i="22"/>
  <c r="Q56" i="3" l="1"/>
  <c r="V56" i="3"/>
  <c r="U56" i="3"/>
  <c r="F77" i="22"/>
  <c r="G77" i="22" s="1"/>
  <c r="E77" i="22"/>
  <c r="J76" i="22"/>
  <c r="L76" i="22" s="1"/>
  <c r="J57" i="3"/>
  <c r="K57" i="3" s="1"/>
  <c r="O56" i="3"/>
  <c r="K76" i="22" l="1"/>
  <c r="J77" i="22"/>
  <c r="K77" i="22"/>
  <c r="H77" i="22"/>
  <c r="I77" i="22"/>
  <c r="L77" i="22"/>
  <c r="M76" i="22"/>
  <c r="N76" i="22" s="1"/>
  <c r="O76" i="22" s="1"/>
  <c r="C66" i="3" s="1"/>
  <c r="L57" i="3"/>
  <c r="M57" i="3" s="1"/>
  <c r="E78" i="22" l="1"/>
  <c r="F78" i="22"/>
  <c r="G78" i="22" s="1"/>
  <c r="M77" i="22"/>
  <c r="N77" i="22" s="1"/>
  <c r="O77" i="22" s="1"/>
  <c r="C67" i="3" s="1"/>
  <c r="N57" i="3"/>
  <c r="Q57" i="3"/>
  <c r="P57" i="3"/>
  <c r="W57" i="3" s="1"/>
  <c r="J58" i="3" l="1"/>
  <c r="K58" i="3" s="1"/>
  <c r="O57" i="3"/>
  <c r="J78" i="22"/>
  <c r="L78" i="22" s="1"/>
  <c r="I78" i="22"/>
  <c r="H78" i="22"/>
  <c r="V57" i="3"/>
  <c r="U57" i="3"/>
  <c r="K78" i="22" l="1"/>
  <c r="F79" i="22"/>
  <c r="E79" i="22"/>
  <c r="M78" i="22"/>
  <c r="N78" i="22" s="1"/>
  <c r="O78" i="22" s="1"/>
  <c r="C68" i="3" s="1"/>
  <c r="L58" i="3"/>
  <c r="M58" i="3" s="1"/>
  <c r="G79" i="22" l="1"/>
  <c r="N58" i="3"/>
  <c r="Q58" i="3"/>
  <c r="P58" i="3"/>
  <c r="W58" i="3" s="1"/>
  <c r="U58" i="3" l="1"/>
  <c r="V58" i="3"/>
  <c r="J59" i="3"/>
  <c r="K59" i="3" s="1"/>
  <c r="O58" i="3"/>
  <c r="J79" i="22"/>
  <c r="L79" i="22" s="1"/>
  <c r="H79" i="22"/>
  <c r="I79" i="22"/>
  <c r="L59" i="3" l="1"/>
  <c r="M59" i="3" s="1"/>
  <c r="Q59" i="3" s="1"/>
  <c r="N59" i="3"/>
  <c r="P59" i="3"/>
  <c r="W59" i="3" s="1"/>
  <c r="E80" i="22"/>
  <c r="F80" i="22"/>
  <c r="G80" i="22" s="1"/>
  <c r="K79" i="22"/>
  <c r="M79" i="22"/>
  <c r="J80" i="22" l="1"/>
  <c r="L80" i="22" s="1"/>
  <c r="K80" i="22"/>
  <c r="H80" i="22"/>
  <c r="I80" i="22"/>
  <c r="N79" i="22"/>
  <c r="O79" i="22" s="1"/>
  <c r="C69" i="3" s="1"/>
  <c r="J60" i="3"/>
  <c r="K60" i="3" s="1"/>
  <c r="O59" i="3"/>
  <c r="V59" i="3"/>
  <c r="U59" i="3"/>
  <c r="E81" i="22" l="1"/>
  <c r="F81" i="22"/>
  <c r="G81" i="22" s="1"/>
  <c r="L60" i="3"/>
  <c r="M60" i="3" s="1"/>
  <c r="M80" i="22"/>
  <c r="N80" i="22" s="1"/>
  <c r="O80" i="22" s="1"/>
  <c r="C70" i="3" s="1"/>
  <c r="Q60" i="3" l="1"/>
  <c r="P60" i="3"/>
  <c r="W60" i="3" s="1"/>
  <c r="N60" i="3"/>
  <c r="J81" i="22"/>
  <c r="L81" i="22" s="1"/>
  <c r="H81" i="22"/>
  <c r="I81" i="22"/>
  <c r="M81" i="22" l="1"/>
  <c r="E82" i="22"/>
  <c r="F82" i="22"/>
  <c r="G82" i="22" s="1"/>
  <c r="I82" i="22" s="1"/>
  <c r="K81" i="22"/>
  <c r="J61" i="3"/>
  <c r="K61" i="3" s="1"/>
  <c r="O60" i="3"/>
  <c r="U60" i="3"/>
  <c r="V60" i="3"/>
  <c r="H82" i="22" l="1"/>
  <c r="L61" i="3"/>
  <c r="M61" i="3" s="1"/>
  <c r="J82" i="22"/>
  <c r="L82" i="22" s="1"/>
  <c r="N81" i="22"/>
  <c r="O81" i="22" s="1"/>
  <c r="C71" i="3" s="1"/>
  <c r="Q61" i="3" l="1"/>
  <c r="N61" i="3"/>
  <c r="P61" i="3"/>
  <c r="W61" i="3" s="1"/>
  <c r="M82" i="22"/>
  <c r="N82" i="22" s="1"/>
  <c r="O82" i="22" s="1"/>
  <c r="C72" i="3" s="1"/>
  <c r="K82" i="22"/>
  <c r="F83" i="22"/>
  <c r="E83" i="22"/>
  <c r="J62" i="3" l="1"/>
  <c r="K62" i="3" s="1"/>
  <c r="O61" i="3"/>
  <c r="G83" i="22"/>
  <c r="V61" i="3"/>
  <c r="U61" i="3"/>
  <c r="J83" i="22" l="1"/>
  <c r="L83" i="22" s="1"/>
  <c r="H83" i="22"/>
  <c r="I83" i="22"/>
  <c r="L62" i="3"/>
  <c r="M62" i="3" s="1"/>
  <c r="E84" i="22" l="1"/>
  <c r="F84" i="22"/>
  <c r="G84" i="22" s="1"/>
  <c r="Q62" i="3"/>
  <c r="N62" i="3"/>
  <c r="P62" i="3"/>
  <c r="W62" i="3" s="1"/>
  <c r="M83" i="22"/>
  <c r="K83" i="22"/>
  <c r="J84" i="22" l="1"/>
  <c r="L84" i="22" s="1"/>
  <c r="N83" i="22"/>
  <c r="O83" i="22" s="1"/>
  <c r="C73" i="3" s="1"/>
  <c r="J63" i="3"/>
  <c r="K63" i="3" s="1"/>
  <c r="O62" i="3"/>
  <c r="V62" i="3"/>
  <c r="U62" i="3"/>
  <c r="I84" i="22"/>
  <c r="H84" i="22"/>
  <c r="L63" i="3" l="1"/>
  <c r="M63" i="3" s="1"/>
  <c r="M84" i="22"/>
  <c r="N84" i="22" s="1"/>
  <c r="O84" i="22" s="1"/>
  <c r="C74" i="3" s="1"/>
  <c r="E85" i="22"/>
  <c r="F85" i="22"/>
  <c r="G85" i="22" s="1"/>
  <c r="K84" i="22"/>
  <c r="J85" i="22" l="1"/>
  <c r="L85" i="22" s="1"/>
  <c r="H85" i="22"/>
  <c r="I85" i="22"/>
  <c r="N63" i="3"/>
  <c r="Q63" i="3"/>
  <c r="P63" i="3"/>
  <c r="W63" i="3" s="1"/>
  <c r="J64" i="3" l="1"/>
  <c r="K64" i="3" s="1"/>
  <c r="O63" i="3"/>
  <c r="V63" i="3"/>
  <c r="U63" i="3"/>
  <c r="F86" i="22"/>
  <c r="G86" i="22" s="1"/>
  <c r="E86" i="22"/>
  <c r="M85" i="22"/>
  <c r="K85" i="22"/>
  <c r="J86" i="22" l="1"/>
  <c r="L86" i="22" s="1"/>
  <c r="H86" i="22"/>
  <c r="I86" i="22"/>
  <c r="N85" i="22"/>
  <c r="O85" i="22" s="1"/>
  <c r="C75" i="3" s="1"/>
  <c r="L64" i="3"/>
  <c r="M64" i="3" s="1"/>
  <c r="N64" i="3" l="1"/>
  <c r="Q64" i="3"/>
  <c r="P64" i="3"/>
  <c r="W64" i="3" s="1"/>
  <c r="F87" i="22"/>
  <c r="G87" i="22" s="1"/>
  <c r="H87" i="22" s="1"/>
  <c r="E87" i="22"/>
  <c r="M86" i="22"/>
  <c r="K86" i="22"/>
  <c r="F88" i="22" l="1"/>
  <c r="E88" i="22"/>
  <c r="U64" i="3"/>
  <c r="V64" i="3"/>
  <c r="J87" i="22"/>
  <c r="L87" i="22" s="1"/>
  <c r="I87" i="22"/>
  <c r="N86" i="22"/>
  <c r="O86" i="22" s="1"/>
  <c r="C76" i="3" s="1"/>
  <c r="J65" i="3"/>
  <c r="K65" i="3" s="1"/>
  <c r="O64" i="3"/>
  <c r="M87" i="22" l="1"/>
  <c r="N87" i="22" s="1"/>
  <c r="O87" i="22" s="1"/>
  <c r="C77" i="3" s="1"/>
  <c r="K87" i="22"/>
  <c r="G88" i="22"/>
  <c r="L65" i="3"/>
  <c r="M65" i="3" s="1"/>
  <c r="Q65" i="3" l="1"/>
  <c r="N65" i="3"/>
  <c r="P65" i="3"/>
  <c r="W65" i="3" s="1"/>
  <c r="J88" i="22"/>
  <c r="L88" i="22" s="1"/>
  <c r="H88" i="22"/>
  <c r="I88" i="22"/>
  <c r="M88" i="22" l="1"/>
  <c r="E89" i="22"/>
  <c r="F89" i="22"/>
  <c r="G89" i="22" s="1"/>
  <c r="K88" i="22"/>
  <c r="J66" i="3"/>
  <c r="K66" i="3" s="1"/>
  <c r="O65" i="3"/>
  <c r="U65" i="3"/>
  <c r="V65" i="3"/>
  <c r="J89" i="22" l="1"/>
  <c r="L89" i="22" s="1"/>
  <c r="H89" i="22"/>
  <c r="I89" i="22"/>
  <c r="N88" i="22"/>
  <c r="O88" i="22" s="1"/>
  <c r="C78" i="3" s="1"/>
  <c r="L66" i="3"/>
  <c r="M66" i="3" s="1"/>
  <c r="P66" i="3" l="1"/>
  <c r="W66" i="3" s="1"/>
  <c r="N66" i="3"/>
  <c r="Q66" i="3"/>
  <c r="E90" i="22"/>
  <c r="F90" i="22"/>
  <c r="G90" i="22" s="1"/>
  <c r="M89" i="22"/>
  <c r="K89" i="22"/>
  <c r="J90" i="22" l="1"/>
  <c r="L90" i="22" s="1"/>
  <c r="K90" i="22"/>
  <c r="I90" i="22"/>
  <c r="N89" i="22"/>
  <c r="O89" i="22" s="1"/>
  <c r="C79" i="3" s="1"/>
  <c r="J67" i="3"/>
  <c r="K67" i="3" s="1"/>
  <c r="O66" i="3"/>
  <c r="H90" i="22"/>
  <c r="U66" i="3"/>
  <c r="V66" i="3"/>
  <c r="E91" i="22" l="1"/>
  <c r="F91" i="22"/>
  <c r="G91" i="22" s="1"/>
  <c r="L67" i="3"/>
  <c r="M67" i="3" s="1"/>
  <c r="M90" i="22"/>
  <c r="N90" i="22" s="1"/>
  <c r="O90" i="22" s="1"/>
  <c r="C80" i="3" s="1"/>
  <c r="N67" i="3" l="1"/>
  <c r="P67" i="3"/>
  <c r="W67" i="3" s="1"/>
  <c r="Q67" i="3"/>
  <c r="J91" i="22"/>
  <c r="L91" i="22" s="1"/>
  <c r="H91" i="22"/>
  <c r="I91" i="22"/>
  <c r="M91" i="22" l="1"/>
  <c r="E92" i="22"/>
  <c r="F92" i="22"/>
  <c r="G92" i="22" s="1"/>
  <c r="K91" i="22"/>
  <c r="V67" i="3"/>
  <c r="U67" i="3"/>
  <c r="J68" i="3"/>
  <c r="K68" i="3" s="1"/>
  <c r="O67" i="3"/>
  <c r="J92" i="22" l="1"/>
  <c r="L92" i="22" s="1"/>
  <c r="K92" i="22"/>
  <c r="I92" i="22"/>
  <c r="H92" i="22"/>
  <c r="L68" i="3"/>
  <c r="M68" i="3" s="1"/>
  <c r="N91" i="22"/>
  <c r="O91" i="22" s="1"/>
  <c r="C81" i="3" s="1"/>
  <c r="Q68" i="3" l="1"/>
  <c r="N68" i="3"/>
  <c r="P68" i="3"/>
  <c r="W68" i="3" s="1"/>
  <c r="E93" i="22"/>
  <c r="F93" i="22"/>
  <c r="G93" i="22" s="1"/>
  <c r="M92" i="22"/>
  <c r="N92" i="22" s="1"/>
  <c r="O92" i="22" s="1"/>
  <c r="C82" i="3" s="1"/>
  <c r="J93" i="22" l="1"/>
  <c r="L93" i="22" s="1"/>
  <c r="I93" i="22"/>
  <c r="H93" i="22"/>
  <c r="J69" i="3"/>
  <c r="K69" i="3" s="1"/>
  <c r="O68" i="3"/>
  <c r="V68" i="3"/>
  <c r="U68" i="3"/>
  <c r="L69" i="3" l="1"/>
  <c r="M69" i="3" s="1"/>
  <c r="Q69" i="3" s="1"/>
  <c r="F94" i="22"/>
  <c r="G94" i="22" s="1"/>
  <c r="E94" i="22"/>
  <c r="M93" i="22"/>
  <c r="K93" i="22"/>
  <c r="P69" i="3" l="1"/>
  <c r="W69" i="3" s="1"/>
  <c r="N69" i="3"/>
  <c r="J94" i="22"/>
  <c r="L94" i="22" s="1"/>
  <c r="I94" i="22"/>
  <c r="H94" i="22"/>
  <c r="N93" i="22"/>
  <c r="O93" i="22" s="1"/>
  <c r="C83" i="3" s="1"/>
  <c r="J70" i="3"/>
  <c r="K70" i="3" s="1"/>
  <c r="L70" i="3" s="1"/>
  <c r="M70" i="3" s="1"/>
  <c r="O69" i="3"/>
  <c r="V69" i="3"/>
  <c r="U69" i="3"/>
  <c r="Q70" i="3" l="1"/>
  <c r="N70" i="3"/>
  <c r="P70" i="3"/>
  <c r="W70" i="3" s="1"/>
  <c r="M94" i="22"/>
  <c r="N94" i="22" s="1"/>
  <c r="O94" i="22" s="1"/>
  <c r="C84" i="3" s="1"/>
  <c r="H95" i="22"/>
  <c r="I95" i="22"/>
  <c r="E95" i="22"/>
  <c r="F95" i="22"/>
  <c r="G95" i="22" s="1"/>
  <c r="K94" i="22"/>
  <c r="F96" i="22" l="1"/>
  <c r="E96" i="22"/>
  <c r="J95" i="22"/>
  <c r="L95" i="22" s="1"/>
  <c r="J71" i="3"/>
  <c r="K71" i="3" s="1"/>
  <c r="O70" i="3"/>
  <c r="U70" i="3"/>
  <c r="V70" i="3"/>
  <c r="L71" i="3" l="1"/>
  <c r="M71" i="3" s="1"/>
  <c r="N71" i="3" s="1"/>
  <c r="Q71" i="3"/>
  <c r="P71" i="3"/>
  <c r="W71" i="3" s="1"/>
  <c r="G96" i="22"/>
  <c r="M95" i="22"/>
  <c r="N95" i="22" s="1"/>
  <c r="O95" i="22" s="1"/>
  <c r="C85" i="3" s="1"/>
  <c r="K95" i="22"/>
  <c r="J96" i="22" l="1"/>
  <c r="L96" i="22" s="1"/>
  <c r="H96" i="22"/>
  <c r="I96" i="22"/>
  <c r="V71" i="3"/>
  <c r="U71" i="3"/>
  <c r="J72" i="3"/>
  <c r="K72" i="3" s="1"/>
  <c r="O71" i="3"/>
  <c r="L72" i="3" l="1"/>
  <c r="M72" i="3" s="1"/>
  <c r="N72" i="3" s="1"/>
  <c r="F97" i="22"/>
  <c r="G97" i="22" s="1"/>
  <c r="E97" i="22"/>
  <c r="M96" i="22"/>
  <c r="K96" i="22"/>
  <c r="P72" i="3" l="1"/>
  <c r="W72" i="3" s="1"/>
  <c r="Q72" i="3"/>
  <c r="U72" i="3" s="1"/>
  <c r="J97" i="22"/>
  <c r="L97" i="22" s="1"/>
  <c r="K97" i="22"/>
  <c r="I97" i="22"/>
  <c r="H97" i="22"/>
  <c r="N96" i="22"/>
  <c r="O96" i="22" s="1"/>
  <c r="C86" i="3" s="1"/>
  <c r="V72" i="3"/>
  <c r="J73" i="3"/>
  <c r="K73" i="3" s="1"/>
  <c r="O72" i="3"/>
  <c r="L73" i="3" l="1"/>
  <c r="M73" i="3" s="1"/>
  <c r="Q73" i="3" s="1"/>
  <c r="N73" i="3"/>
  <c r="P73" i="3"/>
  <c r="W73" i="3" s="1"/>
  <c r="F98" i="22"/>
  <c r="E98" i="22"/>
  <c r="M97" i="22"/>
  <c r="N97" i="22" s="1"/>
  <c r="O97" i="22" s="1"/>
  <c r="C87" i="3" s="1"/>
  <c r="G98" i="22" l="1"/>
  <c r="J74" i="3"/>
  <c r="K74" i="3" s="1"/>
  <c r="O73" i="3"/>
  <c r="V73" i="3"/>
  <c r="U73" i="3"/>
  <c r="L74" i="3" l="1"/>
  <c r="M74" i="3" s="1"/>
  <c r="J98" i="22"/>
  <c r="L98" i="22" s="1"/>
  <c r="K98" i="22"/>
  <c r="H98" i="22"/>
  <c r="I98" i="22"/>
  <c r="E99" i="22" l="1"/>
  <c r="F99" i="22"/>
  <c r="G99" i="22" s="1"/>
  <c r="I99" i="22" s="1"/>
  <c r="M98" i="22"/>
  <c r="N98" i="22" s="1"/>
  <c r="O98" i="22" s="1"/>
  <c r="C88" i="3" s="1"/>
  <c r="N74" i="3"/>
  <c r="Q74" i="3"/>
  <c r="P74" i="3"/>
  <c r="W74" i="3" s="1"/>
  <c r="J75" i="3" l="1"/>
  <c r="K75" i="3" s="1"/>
  <c r="O74" i="3"/>
  <c r="J99" i="22"/>
  <c r="L99" i="22" s="1"/>
  <c r="U74" i="3"/>
  <c r="V74" i="3"/>
  <c r="H99" i="22"/>
  <c r="F100" i="22" l="1"/>
  <c r="E100" i="22"/>
  <c r="M99" i="22"/>
  <c r="K99" i="22"/>
  <c r="L75" i="3"/>
  <c r="M75" i="3" s="1"/>
  <c r="N99" i="22" l="1"/>
  <c r="O99" i="22" s="1"/>
  <c r="C89" i="3" s="1"/>
  <c r="G100" i="22"/>
  <c r="Q75" i="3"/>
  <c r="N75" i="3"/>
  <c r="P75" i="3"/>
  <c r="W75" i="3" s="1"/>
  <c r="V75" i="3" l="1"/>
  <c r="U75" i="3"/>
  <c r="J100" i="22"/>
  <c r="L100" i="22" s="1"/>
  <c r="H100" i="22"/>
  <c r="I100" i="22"/>
  <c r="J76" i="3"/>
  <c r="K76" i="3" s="1"/>
  <c r="O75" i="3"/>
  <c r="L76" i="3" l="1"/>
  <c r="M76" i="3" s="1"/>
  <c r="Q76" i="3" s="1"/>
  <c r="F101" i="22"/>
  <c r="G101" i="22" s="1"/>
  <c r="E101" i="22"/>
  <c r="K100" i="22"/>
  <c r="M100" i="22"/>
  <c r="P76" i="3" l="1"/>
  <c r="W76" i="3" s="1"/>
  <c r="N76" i="3"/>
  <c r="J101" i="22"/>
  <c r="L101" i="22" s="1"/>
  <c r="K101" i="22"/>
  <c r="J77" i="3"/>
  <c r="K77" i="3" s="1"/>
  <c r="L77" i="3" s="1"/>
  <c r="M77" i="3" s="1"/>
  <c r="O76" i="3"/>
  <c r="I101" i="22"/>
  <c r="H101" i="22"/>
  <c r="N100" i="22"/>
  <c r="O100" i="22" s="1"/>
  <c r="C90" i="3" s="1"/>
  <c r="V76" i="3"/>
  <c r="U76" i="3"/>
  <c r="Q77" i="3" l="1"/>
  <c r="N77" i="3"/>
  <c r="P77" i="3"/>
  <c r="W77" i="3" s="1"/>
  <c r="F102" i="22"/>
  <c r="E102" i="22"/>
  <c r="M101" i="22"/>
  <c r="N101" i="22" s="1"/>
  <c r="O101" i="22" s="1"/>
  <c r="C91" i="3" s="1"/>
  <c r="J78" i="3" l="1"/>
  <c r="K78" i="3" s="1"/>
  <c r="O77" i="3"/>
  <c r="G102" i="22"/>
  <c r="U77" i="3"/>
  <c r="V77" i="3"/>
  <c r="J102" i="22" l="1"/>
  <c r="L102" i="22" s="1"/>
  <c r="H102" i="22"/>
  <c r="I102" i="22"/>
  <c r="L78" i="3"/>
  <c r="M78" i="3" s="1"/>
  <c r="M102" i="22" l="1"/>
  <c r="Q78" i="3"/>
  <c r="N78" i="3"/>
  <c r="P78" i="3"/>
  <c r="W78" i="3" s="1"/>
  <c r="F103" i="22"/>
  <c r="E103" i="22"/>
  <c r="K102" i="22"/>
  <c r="J79" i="3" l="1"/>
  <c r="K79" i="3" s="1"/>
  <c r="O78" i="3"/>
  <c r="U78" i="3"/>
  <c r="V78" i="3"/>
  <c r="N102" i="22"/>
  <c r="O102" i="22" s="1"/>
  <c r="C92" i="3" s="1"/>
  <c r="G103" i="22"/>
  <c r="J103" i="22" l="1"/>
  <c r="L103" i="22" s="1"/>
  <c r="H103" i="22"/>
  <c r="I103" i="22"/>
  <c r="L79" i="3"/>
  <c r="M79" i="3" s="1"/>
  <c r="N79" i="3" l="1"/>
  <c r="Q79" i="3"/>
  <c r="P79" i="3"/>
  <c r="W79" i="3" s="1"/>
  <c r="E104" i="22"/>
  <c r="F104" i="22"/>
  <c r="G104" i="22" s="1"/>
  <c r="M103" i="22"/>
  <c r="K103" i="22"/>
  <c r="J104" i="22" l="1"/>
  <c r="L104" i="22" s="1"/>
  <c r="K104" i="22"/>
  <c r="I104" i="22"/>
  <c r="H104" i="22"/>
  <c r="N103" i="22"/>
  <c r="O103" i="22" s="1"/>
  <c r="C93" i="3" s="1"/>
  <c r="V79" i="3"/>
  <c r="U79" i="3"/>
  <c r="J80" i="3"/>
  <c r="K80" i="3" s="1"/>
  <c r="L80" i="3" s="1"/>
  <c r="M80" i="3" s="1"/>
  <c r="O79" i="3"/>
  <c r="N80" i="3" l="1"/>
  <c r="P80" i="3"/>
  <c r="W80" i="3" s="1"/>
  <c r="Q80" i="3"/>
  <c r="F105" i="22"/>
  <c r="G105" i="22" s="1"/>
  <c r="I105" i="22" s="1"/>
  <c r="E105" i="22"/>
  <c r="M104" i="22"/>
  <c r="N104" i="22" s="1"/>
  <c r="O104" i="22" s="1"/>
  <c r="C94" i="3" s="1"/>
  <c r="H105" i="22" l="1"/>
  <c r="V80" i="3"/>
  <c r="U80" i="3"/>
  <c r="J105" i="22"/>
  <c r="L105" i="22" s="1"/>
  <c r="K105" i="22"/>
  <c r="J81" i="3"/>
  <c r="K81" i="3" s="1"/>
  <c r="O80" i="3"/>
  <c r="L81" i="3" l="1"/>
  <c r="M81" i="3" s="1"/>
  <c r="M105" i="22"/>
  <c r="N105" i="22" s="1"/>
  <c r="O105" i="22" s="1"/>
  <c r="C95" i="3" s="1"/>
  <c r="E106" i="22"/>
  <c r="F106" i="22"/>
  <c r="G106" i="22" s="1"/>
  <c r="J106" i="22" l="1"/>
  <c r="L106" i="22" s="1"/>
  <c r="K106" i="22"/>
  <c r="H106" i="22"/>
  <c r="I106" i="22"/>
  <c r="Q81" i="3"/>
  <c r="N81" i="3"/>
  <c r="P81" i="3"/>
  <c r="W81" i="3" s="1"/>
  <c r="V81" i="3" l="1"/>
  <c r="U81" i="3"/>
  <c r="J82" i="3"/>
  <c r="K82" i="3" s="1"/>
  <c r="O81" i="3"/>
  <c r="E107" i="22"/>
  <c r="F107" i="22"/>
  <c r="M106" i="22"/>
  <c r="N106" i="22" s="1"/>
  <c r="O106" i="22" s="1"/>
  <c r="C96" i="3" s="1"/>
  <c r="L82" i="3" l="1"/>
  <c r="M82" i="3" s="1"/>
  <c r="Q82" i="3" s="1"/>
  <c r="G107" i="22"/>
  <c r="P82" i="3" l="1"/>
  <c r="W82" i="3" s="1"/>
  <c r="N82" i="3"/>
  <c r="J107" i="22"/>
  <c r="L107" i="22" s="1"/>
  <c r="K107" i="22"/>
  <c r="H107" i="22"/>
  <c r="I107" i="22"/>
  <c r="J83" i="3"/>
  <c r="K83" i="3" s="1"/>
  <c r="O82" i="3"/>
  <c r="V82" i="3"/>
  <c r="U82" i="3"/>
  <c r="L83" i="3" l="1"/>
  <c r="M83" i="3" s="1"/>
  <c r="N83" i="3"/>
  <c r="P83" i="3"/>
  <c r="W83" i="3" s="1"/>
  <c r="Q83" i="3"/>
  <c r="F108" i="22"/>
  <c r="G108" i="22" s="1"/>
  <c r="E108" i="22"/>
  <c r="M107" i="22"/>
  <c r="N107" i="22" s="1"/>
  <c r="O107" i="22" s="1"/>
  <c r="C97" i="3" s="1"/>
  <c r="J108" i="22" l="1"/>
  <c r="L108" i="22" s="1"/>
  <c r="K108" i="22"/>
  <c r="I108" i="22"/>
  <c r="H108" i="22"/>
  <c r="V83" i="3"/>
  <c r="U83" i="3"/>
  <c r="J84" i="3"/>
  <c r="K84" i="3" s="1"/>
  <c r="O83" i="3"/>
  <c r="L84" i="3" l="1"/>
  <c r="M84" i="3" s="1"/>
  <c r="Q84" i="3" s="1"/>
  <c r="N84" i="3"/>
  <c r="P84" i="3"/>
  <c r="W84" i="3" s="1"/>
  <c r="F109" i="22"/>
  <c r="E109" i="22"/>
  <c r="M108" i="22"/>
  <c r="N108" i="22" s="1"/>
  <c r="O108" i="22" s="1"/>
  <c r="C98" i="3" s="1"/>
  <c r="J85" i="3" l="1"/>
  <c r="K85" i="3" s="1"/>
  <c r="O84" i="3"/>
  <c r="G109" i="22"/>
  <c r="V84" i="3"/>
  <c r="U84" i="3"/>
  <c r="J109" i="22" l="1"/>
  <c r="L109" i="22" s="1"/>
  <c r="I109" i="22"/>
  <c r="H109" i="22"/>
  <c r="L85" i="3"/>
  <c r="M85" i="3" s="1"/>
  <c r="E110" i="22" l="1"/>
  <c r="F110" i="22"/>
  <c r="G110" i="22" s="1"/>
  <c r="Q85" i="3"/>
  <c r="N85" i="3"/>
  <c r="P85" i="3"/>
  <c r="W85" i="3" s="1"/>
  <c r="M109" i="22"/>
  <c r="K109" i="22"/>
  <c r="J86" i="3" l="1"/>
  <c r="K86" i="3" s="1"/>
  <c r="O85" i="3"/>
  <c r="J110" i="22"/>
  <c r="L110" i="22" s="1"/>
  <c r="N109" i="22"/>
  <c r="O109" i="22" s="1"/>
  <c r="C99" i="3" s="1"/>
  <c r="I110" i="22"/>
  <c r="V85" i="3"/>
  <c r="U85" i="3"/>
  <c r="H110" i="22"/>
  <c r="L86" i="3" l="1"/>
  <c r="M86" i="3" s="1"/>
  <c r="M110" i="22"/>
  <c r="K110" i="22"/>
  <c r="E111" i="22"/>
  <c r="F111" i="22"/>
  <c r="N110" i="22" l="1"/>
  <c r="O110" i="22" s="1"/>
  <c r="C100" i="3" s="1"/>
  <c r="G111" i="22"/>
  <c r="Q86" i="3"/>
  <c r="N86" i="3"/>
  <c r="P86" i="3"/>
  <c r="W86" i="3" s="1"/>
  <c r="U86" i="3" l="1"/>
  <c r="V86" i="3"/>
  <c r="J111" i="22"/>
  <c r="L111" i="22" s="1"/>
  <c r="K111" i="22"/>
  <c r="I111" i="22"/>
  <c r="H111" i="22"/>
  <c r="J87" i="3"/>
  <c r="K87" i="3" s="1"/>
  <c r="O86" i="3"/>
  <c r="L87" i="3" l="1"/>
  <c r="M87" i="3" s="1"/>
  <c r="N87" i="3" s="1"/>
  <c r="Q87" i="3"/>
  <c r="P87" i="3"/>
  <c r="W87" i="3" s="1"/>
  <c r="M111" i="22"/>
  <c r="N111" i="22" s="1"/>
  <c r="O111" i="22" s="1"/>
  <c r="C101" i="3" s="1"/>
  <c r="H112" i="22"/>
  <c r="I112" i="22"/>
  <c r="E112" i="22"/>
  <c r="F112" i="22"/>
  <c r="G112" i="22" s="1"/>
  <c r="E113" i="22" l="1"/>
  <c r="F113" i="22"/>
  <c r="G113" i="22" s="1"/>
  <c r="J112" i="22"/>
  <c r="L112" i="22" s="1"/>
  <c r="K112" i="22"/>
  <c r="V87" i="3"/>
  <c r="U87" i="3"/>
  <c r="J88" i="3"/>
  <c r="K88" i="3" s="1"/>
  <c r="O87" i="3"/>
  <c r="M112" i="22" l="1"/>
  <c r="N112" i="22" s="1"/>
  <c r="O112" i="22" s="1"/>
  <c r="C102" i="3" s="1"/>
  <c r="J113" i="22"/>
  <c r="L113" i="22" s="1"/>
  <c r="K113" i="22"/>
  <c r="H113" i="22"/>
  <c r="L88" i="3"/>
  <c r="M88" i="3" s="1"/>
  <c r="I113" i="22"/>
  <c r="M113" i="22" l="1"/>
  <c r="N113" i="22" s="1"/>
  <c r="O113" i="22" s="1"/>
  <c r="C103" i="3" s="1"/>
  <c r="N88" i="3"/>
  <c r="Q88" i="3"/>
  <c r="P88" i="3"/>
  <c r="W88" i="3" s="1"/>
  <c r="H114" i="22"/>
  <c r="I114" i="22"/>
  <c r="E114" i="22"/>
  <c r="F114" i="22"/>
  <c r="G114" i="22" s="1"/>
  <c r="V88" i="3" l="1"/>
  <c r="U88" i="3"/>
  <c r="F115" i="22"/>
  <c r="G115" i="22" s="1"/>
  <c r="E115" i="22"/>
  <c r="J89" i="3"/>
  <c r="K89" i="3" s="1"/>
  <c r="O88" i="3"/>
  <c r="J114" i="22"/>
  <c r="L114" i="22" s="1"/>
  <c r="L89" i="3" l="1"/>
  <c r="M89" i="3" s="1"/>
  <c r="P89" i="3" s="1"/>
  <c r="W89" i="3" s="1"/>
  <c r="Q89" i="3"/>
  <c r="N89" i="3"/>
  <c r="J115" i="22"/>
  <c r="K115" i="22"/>
  <c r="L115" i="22"/>
  <c r="M115" i="22" s="1"/>
  <c r="N115" i="22" s="1"/>
  <c r="O115" i="22" s="1"/>
  <c r="C105" i="3" s="1"/>
  <c r="M114" i="22"/>
  <c r="N114" i="22" s="1"/>
  <c r="O114" i="22" s="1"/>
  <c r="C104" i="3" s="1"/>
  <c r="H115" i="22"/>
  <c r="I115" i="22"/>
  <c r="K114" i="22"/>
  <c r="J90" i="3" l="1"/>
  <c r="K90" i="3" s="1"/>
  <c r="O89" i="3"/>
  <c r="U89" i="3"/>
  <c r="V89" i="3"/>
  <c r="F116" i="22"/>
  <c r="E116" i="22"/>
  <c r="G116" i="22" l="1"/>
  <c r="L90" i="3"/>
  <c r="M90" i="3" s="1"/>
  <c r="N90" i="3" l="1"/>
  <c r="Q90" i="3"/>
  <c r="P90" i="3"/>
  <c r="W90" i="3" s="1"/>
  <c r="J116" i="22"/>
  <c r="L116" i="22" s="1"/>
  <c r="K116" i="22"/>
  <c r="I116" i="22"/>
  <c r="H116" i="22"/>
  <c r="E117" i="22" l="1"/>
  <c r="F117" i="22"/>
  <c r="G117" i="22" s="1"/>
  <c r="I117" i="22" s="1"/>
  <c r="M116" i="22"/>
  <c r="N116" i="22" s="1"/>
  <c r="O116" i="22" s="1"/>
  <c r="C106" i="3" s="1"/>
  <c r="U90" i="3"/>
  <c r="V90" i="3"/>
  <c r="J91" i="3"/>
  <c r="K91" i="3" s="1"/>
  <c r="O90" i="3"/>
  <c r="L91" i="3" l="1"/>
  <c r="M91" i="3" s="1"/>
  <c r="J117" i="22"/>
  <c r="L117" i="22" s="1"/>
  <c r="K117" i="22"/>
  <c r="H117" i="22"/>
  <c r="E118" i="22" l="1"/>
  <c r="F118" i="22"/>
  <c r="G118" i="22" s="1"/>
  <c r="M117" i="22"/>
  <c r="N117" i="22" s="1"/>
  <c r="O117" i="22" s="1"/>
  <c r="C107" i="3" s="1"/>
  <c r="Q91" i="3"/>
  <c r="N91" i="3"/>
  <c r="P91" i="3"/>
  <c r="W91" i="3" s="1"/>
  <c r="V91" i="3" l="1"/>
  <c r="U91" i="3"/>
  <c r="J118" i="22"/>
  <c r="L118" i="22" s="1"/>
  <c r="I118" i="22"/>
  <c r="J92" i="3"/>
  <c r="K92" i="3" s="1"/>
  <c r="L92" i="3" s="1"/>
  <c r="M92" i="3" s="1"/>
  <c r="O91" i="3"/>
  <c r="H118" i="22"/>
  <c r="Q92" i="3" l="1"/>
  <c r="P92" i="3"/>
  <c r="W92" i="3" s="1"/>
  <c r="N92" i="3"/>
  <c r="K118" i="22"/>
  <c r="M118" i="22"/>
  <c r="N118" i="22" s="1"/>
  <c r="O118" i="22" s="1"/>
  <c r="C108" i="3" s="1"/>
  <c r="F119" i="22"/>
  <c r="E119" i="22"/>
  <c r="J93" i="3" l="1"/>
  <c r="K93" i="3" s="1"/>
  <c r="O92" i="3"/>
  <c r="G119" i="22"/>
  <c r="V92" i="3"/>
  <c r="U92" i="3"/>
  <c r="J119" i="22" l="1"/>
  <c r="L119" i="22" s="1"/>
  <c r="I119" i="22"/>
  <c r="H119" i="22"/>
  <c r="L93" i="3"/>
  <c r="M93" i="3" s="1"/>
  <c r="Q93" i="3" l="1"/>
  <c r="N93" i="3"/>
  <c r="P93" i="3"/>
  <c r="W93" i="3" s="1"/>
  <c r="K119" i="22"/>
  <c r="F120" i="22"/>
  <c r="E120" i="22"/>
  <c r="M119" i="22"/>
  <c r="J94" i="3" l="1"/>
  <c r="K94" i="3" s="1"/>
  <c r="O93" i="3"/>
  <c r="G120" i="22"/>
  <c r="N119" i="22"/>
  <c r="O119" i="22" s="1"/>
  <c r="C109" i="3" s="1"/>
  <c r="V93" i="3"/>
  <c r="U93" i="3"/>
  <c r="J120" i="22" l="1"/>
  <c r="L120" i="22" s="1"/>
  <c r="K120" i="22"/>
  <c r="H120" i="22"/>
  <c r="I120" i="22"/>
  <c r="L94" i="3"/>
  <c r="M94" i="3" s="1"/>
  <c r="Q94" i="3" l="1"/>
  <c r="N94" i="3"/>
  <c r="P94" i="3"/>
  <c r="W94" i="3" s="1"/>
  <c r="F121" i="22"/>
  <c r="G121" i="22" s="1"/>
  <c r="E121" i="22"/>
  <c r="M120" i="22"/>
  <c r="N120" i="22" s="1"/>
  <c r="O120" i="22" s="1"/>
  <c r="C110" i="3" s="1"/>
  <c r="J121" i="22" l="1"/>
  <c r="L121" i="22" s="1"/>
  <c r="K121" i="22"/>
  <c r="J95" i="3"/>
  <c r="K95" i="3" s="1"/>
  <c r="O94" i="3"/>
  <c r="I121" i="22"/>
  <c r="H121" i="22"/>
  <c r="U94" i="3"/>
  <c r="V94" i="3"/>
  <c r="F122" i="22" l="1"/>
  <c r="G122" i="22" s="1"/>
  <c r="I122" i="22" s="1"/>
  <c r="E122" i="22"/>
  <c r="L95" i="3"/>
  <c r="M95" i="3" s="1"/>
  <c r="M121" i="22"/>
  <c r="N121" i="22" s="1"/>
  <c r="O121" i="22" s="1"/>
  <c r="C111" i="3" s="1"/>
  <c r="N95" i="3" l="1"/>
  <c r="Q95" i="3"/>
  <c r="P95" i="3"/>
  <c r="W95" i="3" s="1"/>
  <c r="J122" i="22"/>
  <c r="L122" i="22" s="1"/>
  <c r="K122" i="22"/>
  <c r="H122" i="22"/>
  <c r="F123" i="22" l="1"/>
  <c r="E123" i="22"/>
  <c r="M122" i="22"/>
  <c r="N122" i="22" s="1"/>
  <c r="O122" i="22" s="1"/>
  <c r="C112" i="3" s="1"/>
  <c r="V95" i="3"/>
  <c r="U95" i="3"/>
  <c r="J96" i="3"/>
  <c r="K96" i="3" s="1"/>
  <c r="O95" i="3"/>
  <c r="L96" i="3" l="1"/>
  <c r="M96" i="3" s="1"/>
  <c r="G123" i="22"/>
  <c r="J123" i="22" l="1"/>
  <c r="L123" i="22" s="1"/>
  <c r="K123" i="22"/>
  <c r="H123" i="22"/>
  <c r="I123" i="22"/>
  <c r="N96" i="3"/>
  <c r="Q96" i="3"/>
  <c r="P96" i="3"/>
  <c r="W96" i="3" s="1"/>
  <c r="V96" i="3" l="1"/>
  <c r="U96" i="3"/>
  <c r="J97" i="3"/>
  <c r="K97" i="3" s="1"/>
  <c r="O96" i="3"/>
  <c r="F124" i="22"/>
  <c r="G124" i="22" s="1"/>
  <c r="E124" i="22"/>
  <c r="M123" i="22"/>
  <c r="N123" i="22" s="1"/>
  <c r="O123" i="22" s="1"/>
  <c r="C113" i="3" s="1"/>
  <c r="J124" i="22" l="1"/>
  <c r="L124" i="22" s="1"/>
  <c r="K124" i="22"/>
  <c r="H124" i="22"/>
  <c r="I124" i="22"/>
  <c r="L97" i="3"/>
  <c r="M97" i="3" s="1"/>
  <c r="Q97" i="3" l="1"/>
  <c r="N97" i="3"/>
  <c r="P97" i="3"/>
  <c r="W97" i="3" s="1"/>
  <c r="E125" i="22"/>
  <c r="F125" i="22"/>
  <c r="G125" i="22" s="1"/>
  <c r="M124" i="22"/>
  <c r="N124" i="22" s="1"/>
  <c r="O124" i="22" s="1"/>
  <c r="C114" i="3" s="1"/>
  <c r="J98" i="3" l="1"/>
  <c r="K98" i="3" s="1"/>
  <c r="O97" i="3"/>
  <c r="J125" i="22"/>
  <c r="L125" i="22" s="1"/>
  <c r="K125" i="22"/>
  <c r="H125" i="22"/>
  <c r="I125" i="22"/>
  <c r="V97" i="3"/>
  <c r="U97" i="3"/>
  <c r="M125" i="22" l="1"/>
  <c r="N125" i="22" s="1"/>
  <c r="O125" i="22" s="1"/>
  <c r="C115" i="3" s="1"/>
  <c r="E126" i="22"/>
  <c r="F126" i="22"/>
  <c r="G126" i="22" s="1"/>
  <c r="L98" i="3"/>
  <c r="M98" i="3" s="1"/>
  <c r="P98" i="3" l="1"/>
  <c r="W98" i="3" s="1"/>
  <c r="Q98" i="3"/>
  <c r="N98" i="3"/>
  <c r="J126" i="22"/>
  <c r="L126" i="22" s="1"/>
  <c r="K126" i="22"/>
  <c r="I126" i="22"/>
  <c r="H126" i="22"/>
  <c r="E127" i="22" l="1"/>
  <c r="F127" i="22"/>
  <c r="G127" i="22" s="1"/>
  <c r="M126" i="22"/>
  <c r="N126" i="22" s="1"/>
  <c r="O126" i="22" s="1"/>
  <c r="C116" i="3" s="1"/>
  <c r="J99" i="3"/>
  <c r="K99" i="3" s="1"/>
  <c r="O98" i="3"/>
  <c r="U98" i="3"/>
  <c r="V98" i="3"/>
  <c r="J127" i="22" l="1"/>
  <c r="L127" i="22" s="1"/>
  <c r="I127" i="22"/>
  <c r="L99" i="3"/>
  <c r="M99" i="3" s="1"/>
  <c r="H127" i="22"/>
  <c r="F128" i="22" l="1"/>
  <c r="G128" i="22" s="1"/>
  <c r="H128" i="22" s="1"/>
  <c r="E128" i="22"/>
  <c r="N99" i="3"/>
  <c r="P99" i="3"/>
  <c r="W99" i="3" s="1"/>
  <c r="Q99" i="3"/>
  <c r="M127" i="22"/>
  <c r="K127" i="22"/>
  <c r="F129" i="22" l="1"/>
  <c r="G129" i="22" s="1"/>
  <c r="I129" i="22" s="1"/>
  <c r="E129" i="22"/>
  <c r="J100" i="3"/>
  <c r="K100" i="3" s="1"/>
  <c r="O99" i="3"/>
  <c r="N127" i="22"/>
  <c r="O127" i="22" s="1"/>
  <c r="C117" i="3" s="1"/>
  <c r="V99" i="3"/>
  <c r="U99" i="3"/>
  <c r="J128" i="22"/>
  <c r="L128" i="22" s="1"/>
  <c r="I128" i="22"/>
  <c r="L100" i="3" l="1"/>
  <c r="M100" i="3" s="1"/>
  <c r="M128" i="22"/>
  <c r="K128" i="22"/>
  <c r="J129" i="22"/>
  <c r="L129" i="22" s="1"/>
  <c r="H129" i="22"/>
  <c r="M129" i="22" l="1"/>
  <c r="F130" i="22"/>
  <c r="G130" i="22" s="1"/>
  <c r="E130" i="22"/>
  <c r="K129" i="22"/>
  <c r="N128" i="22"/>
  <c r="O128" i="22" s="1"/>
  <c r="C118" i="3" s="1"/>
  <c r="Q100" i="3"/>
  <c r="N100" i="3"/>
  <c r="P100" i="3"/>
  <c r="W100" i="3" s="1"/>
  <c r="J130" i="22" l="1"/>
  <c r="L130" i="22" s="1"/>
  <c r="K130" i="22"/>
  <c r="I130" i="22"/>
  <c r="N129" i="22"/>
  <c r="O129" i="22" s="1"/>
  <c r="C119" i="3" s="1"/>
  <c r="V100" i="3"/>
  <c r="U100" i="3"/>
  <c r="H130" i="22"/>
  <c r="J101" i="3"/>
  <c r="K101" i="3" s="1"/>
  <c r="O100" i="3"/>
  <c r="L101" i="3" l="1"/>
  <c r="M101" i="3" s="1"/>
  <c r="Q101" i="3" s="1"/>
  <c r="E131" i="22"/>
  <c r="F131" i="22"/>
  <c r="G131" i="22" s="1"/>
  <c r="M130" i="22"/>
  <c r="N130" i="22" s="1"/>
  <c r="O130" i="22" s="1"/>
  <c r="C120" i="3" s="1"/>
  <c r="P101" i="3" l="1"/>
  <c r="W101" i="3" s="1"/>
  <c r="N101" i="3"/>
  <c r="J131" i="22"/>
  <c r="L131" i="22" s="1"/>
  <c r="K131" i="22"/>
  <c r="I131" i="22"/>
  <c r="H131" i="22"/>
  <c r="J102" i="3"/>
  <c r="K102" i="3" s="1"/>
  <c r="O101" i="3"/>
  <c r="U101" i="3"/>
  <c r="V101" i="3"/>
  <c r="L102" i="3" l="1"/>
  <c r="M102" i="3" s="1"/>
  <c r="Q102" i="3"/>
  <c r="N102" i="3"/>
  <c r="P102" i="3"/>
  <c r="W102" i="3" s="1"/>
  <c r="E132" i="22"/>
  <c r="F132" i="22"/>
  <c r="G132" i="22" s="1"/>
  <c r="M131" i="22"/>
  <c r="N131" i="22" s="1"/>
  <c r="O131" i="22" s="1"/>
  <c r="C121" i="3" s="1"/>
  <c r="J132" i="22" l="1"/>
  <c r="L132" i="22" s="1"/>
  <c r="I132" i="22"/>
  <c r="J103" i="3"/>
  <c r="K103" i="3" s="1"/>
  <c r="O102" i="3"/>
  <c r="H132" i="22"/>
  <c r="U102" i="3"/>
  <c r="V102" i="3"/>
  <c r="L103" i="3" l="1"/>
  <c r="M103" i="3" s="1"/>
  <c r="E133" i="22"/>
  <c r="F133" i="22"/>
  <c r="G133" i="22" s="1"/>
  <c r="I133" i="22" s="1"/>
  <c r="M132" i="22"/>
  <c r="N132" i="22" s="1"/>
  <c r="O132" i="22" s="1"/>
  <c r="C122" i="3" s="1"/>
  <c r="K132" i="22"/>
  <c r="H133" i="22" l="1"/>
  <c r="J133" i="22"/>
  <c r="L133" i="22" s="1"/>
  <c r="K133" i="22"/>
  <c r="N103" i="3"/>
  <c r="Q103" i="3"/>
  <c r="P103" i="3"/>
  <c r="W103" i="3" s="1"/>
  <c r="V103" i="3" l="1"/>
  <c r="U103" i="3"/>
  <c r="J104" i="3"/>
  <c r="K104" i="3" s="1"/>
  <c r="O103" i="3"/>
  <c r="M133" i="22"/>
  <c r="N133" i="22" s="1"/>
  <c r="O133" i="22" s="1"/>
  <c r="C123" i="3" s="1"/>
  <c r="E134" i="22"/>
  <c r="F134" i="22"/>
  <c r="G134" i="22" s="1"/>
  <c r="L104" i="3" l="1"/>
  <c r="M104" i="3" s="1"/>
  <c r="J134" i="22"/>
  <c r="L134" i="22" s="1"/>
  <c r="I134" i="22"/>
  <c r="H134" i="22"/>
  <c r="M134" i="22" l="1"/>
  <c r="K134" i="22"/>
  <c r="F135" i="22"/>
  <c r="G135" i="22" s="1"/>
  <c r="H135" i="22" s="1"/>
  <c r="E135" i="22"/>
  <c r="N104" i="3"/>
  <c r="Q104" i="3"/>
  <c r="P104" i="3"/>
  <c r="W104" i="3" s="1"/>
  <c r="F136" i="22" l="1"/>
  <c r="E136" i="22"/>
  <c r="N134" i="22"/>
  <c r="O134" i="22" s="1"/>
  <c r="C124" i="3" s="1"/>
  <c r="J135" i="22"/>
  <c r="L135" i="22" s="1"/>
  <c r="I135" i="22"/>
  <c r="V104" i="3"/>
  <c r="U104" i="3"/>
  <c r="J105" i="3"/>
  <c r="K105" i="3" s="1"/>
  <c r="O104" i="3"/>
  <c r="M135" i="22" l="1"/>
  <c r="K135" i="22"/>
  <c r="G136" i="22"/>
  <c r="L105" i="3"/>
  <c r="M105" i="3" s="1"/>
  <c r="Q105" i="3" l="1"/>
  <c r="N105" i="3"/>
  <c r="P105" i="3"/>
  <c r="W105" i="3" s="1"/>
  <c r="J136" i="22"/>
  <c r="L136" i="22" s="1"/>
  <c r="H136" i="22"/>
  <c r="I136" i="22"/>
  <c r="N135" i="22"/>
  <c r="O135" i="22" s="1"/>
  <c r="C125" i="3" s="1"/>
  <c r="F137" i="22" l="1"/>
  <c r="E137" i="22"/>
  <c r="J106" i="3"/>
  <c r="K106" i="3" s="1"/>
  <c r="O105" i="3"/>
  <c r="M136" i="22"/>
  <c r="K136" i="22"/>
  <c r="V105" i="3"/>
  <c r="U105" i="3"/>
  <c r="L106" i="3" l="1"/>
  <c r="M106" i="3" s="1"/>
  <c r="G137" i="22"/>
  <c r="N136" i="22"/>
  <c r="O136" i="22" s="1"/>
  <c r="C126" i="3" s="1"/>
  <c r="J137" i="22" l="1"/>
  <c r="L137" i="22" s="1"/>
  <c r="K137" i="22"/>
  <c r="I137" i="22"/>
  <c r="H137" i="22"/>
  <c r="N106" i="3"/>
  <c r="Q106" i="3"/>
  <c r="P106" i="3"/>
  <c r="W106" i="3" s="1"/>
  <c r="J107" i="3" l="1"/>
  <c r="K107" i="3" s="1"/>
  <c r="O106" i="3"/>
  <c r="V106" i="3"/>
  <c r="U106" i="3"/>
  <c r="F138" i="22"/>
  <c r="G138" i="22" s="1"/>
  <c r="I138" i="22" s="1"/>
  <c r="E138" i="22"/>
  <c r="M137" i="22"/>
  <c r="N137" i="22" s="1"/>
  <c r="O137" i="22" s="1"/>
  <c r="C127" i="3" s="1"/>
  <c r="J138" i="22" l="1"/>
  <c r="L138" i="22" s="1"/>
  <c r="K138" i="22"/>
  <c r="H138" i="22"/>
  <c r="L107" i="3"/>
  <c r="M107" i="3" s="1"/>
  <c r="Q107" i="3" l="1"/>
  <c r="N107" i="3"/>
  <c r="P107" i="3"/>
  <c r="W107" i="3" s="1"/>
  <c r="F139" i="22"/>
  <c r="E139" i="22"/>
  <c r="M138" i="22"/>
  <c r="N138" i="22" s="1"/>
  <c r="O138" i="22" s="1"/>
  <c r="C128" i="3" s="1"/>
  <c r="G139" i="22" l="1"/>
  <c r="J108" i="3"/>
  <c r="K108" i="3" s="1"/>
  <c r="O107" i="3"/>
  <c r="V107" i="3"/>
  <c r="U107" i="3"/>
  <c r="L108" i="3" l="1"/>
  <c r="M108" i="3" s="1"/>
  <c r="J139" i="22"/>
  <c r="L139" i="22" s="1"/>
  <c r="K139" i="22"/>
  <c r="I139" i="22"/>
  <c r="H139" i="22"/>
  <c r="F140" i="22" l="1"/>
  <c r="G140" i="22" s="1"/>
  <c r="E140" i="22"/>
  <c r="M139" i="22"/>
  <c r="N139" i="22" s="1"/>
  <c r="O139" i="22" s="1"/>
  <c r="C129" i="3" s="1"/>
  <c r="N108" i="3"/>
  <c r="Q108" i="3"/>
  <c r="P108" i="3"/>
  <c r="W108" i="3" s="1"/>
  <c r="J109" i="3" l="1"/>
  <c r="K109" i="3" s="1"/>
  <c r="O108" i="3"/>
  <c r="J140" i="22"/>
  <c r="L140" i="22" s="1"/>
  <c r="I140" i="22"/>
  <c r="V108" i="3"/>
  <c r="U108" i="3"/>
  <c r="H140" i="22"/>
  <c r="M140" i="22" l="1"/>
  <c r="K140" i="22"/>
  <c r="L109" i="3"/>
  <c r="M109" i="3" s="1"/>
  <c r="E141" i="22"/>
  <c r="F141" i="22"/>
  <c r="Q109" i="3" l="1"/>
  <c r="N109" i="3"/>
  <c r="P109" i="3"/>
  <c r="W109" i="3" s="1"/>
  <c r="N140" i="22"/>
  <c r="O140" i="22" s="1"/>
  <c r="C130" i="3" s="1"/>
  <c r="G141" i="22"/>
  <c r="J141" i="22" l="1"/>
  <c r="L141" i="22" s="1"/>
  <c r="H141" i="22"/>
  <c r="I141" i="22"/>
  <c r="J110" i="3"/>
  <c r="K110" i="3" s="1"/>
  <c r="O109" i="3"/>
  <c r="V109" i="3"/>
  <c r="U109" i="3"/>
  <c r="L110" i="3" l="1"/>
  <c r="M110" i="3" s="1"/>
  <c r="Q110" i="3" s="1"/>
  <c r="N110" i="3"/>
  <c r="P110" i="3"/>
  <c r="W110" i="3" s="1"/>
  <c r="E142" i="22"/>
  <c r="F142" i="22"/>
  <c r="G142" i="22" s="1"/>
  <c r="M141" i="22"/>
  <c r="K141" i="22"/>
  <c r="J142" i="22" l="1"/>
  <c r="L142" i="22" s="1"/>
  <c r="J111" i="3"/>
  <c r="K111" i="3" s="1"/>
  <c r="O110" i="3"/>
  <c r="I142" i="22"/>
  <c r="H142" i="22"/>
  <c r="N141" i="22"/>
  <c r="O141" i="22" s="1"/>
  <c r="C131" i="3" s="1"/>
  <c r="V110" i="3"/>
  <c r="U110" i="3"/>
  <c r="M142" i="22" l="1"/>
  <c r="N142" i="22" s="1"/>
  <c r="O142" i="22" s="1"/>
  <c r="C132" i="3" s="1"/>
  <c r="E143" i="22"/>
  <c r="F143" i="22"/>
  <c r="G143" i="22" s="1"/>
  <c r="H143" i="22" s="1"/>
  <c r="L111" i="3"/>
  <c r="M111" i="3" s="1"/>
  <c r="K142" i="22"/>
  <c r="E144" i="22" l="1"/>
  <c r="F144" i="22"/>
  <c r="G144" i="22" s="1"/>
  <c r="H144" i="22" s="1"/>
  <c r="N111" i="3"/>
  <c r="Q111" i="3"/>
  <c r="P111" i="3"/>
  <c r="W111" i="3" s="1"/>
  <c r="I143" i="22"/>
  <c r="J143" i="22"/>
  <c r="L143" i="22" s="1"/>
  <c r="K143" i="22"/>
  <c r="E145" i="22" l="1"/>
  <c r="F145" i="22"/>
  <c r="G145" i="22" s="1"/>
  <c r="H145" i="22" s="1"/>
  <c r="J112" i="3"/>
  <c r="K112" i="3" s="1"/>
  <c r="O111" i="3"/>
  <c r="V111" i="3"/>
  <c r="U111" i="3"/>
  <c r="J144" i="22"/>
  <c r="K144" i="22"/>
  <c r="L144" i="22"/>
  <c r="M143" i="22"/>
  <c r="N143" i="22" s="1"/>
  <c r="O143" i="22" s="1"/>
  <c r="C133" i="3" s="1"/>
  <c r="I144" i="22"/>
  <c r="F146" i="22" l="1"/>
  <c r="E146" i="22"/>
  <c r="L145" i="22"/>
  <c r="L112" i="3"/>
  <c r="M112" i="3" s="1"/>
  <c r="M144" i="22"/>
  <c r="N144" i="22" s="1"/>
  <c r="O144" i="22" s="1"/>
  <c r="C134" i="3" s="1"/>
  <c r="J145" i="22"/>
  <c r="K145" i="22" s="1"/>
  <c r="I145" i="22"/>
  <c r="M145" i="22" l="1"/>
  <c r="N145" i="22" s="1"/>
  <c r="O145" i="22" s="1"/>
  <c r="C135" i="3" s="1"/>
  <c r="G146" i="22"/>
  <c r="N112" i="3"/>
  <c r="Q112" i="3"/>
  <c r="P112" i="3"/>
  <c r="W112" i="3" s="1"/>
  <c r="J113" i="3" l="1"/>
  <c r="K113" i="3" s="1"/>
  <c r="O112" i="3"/>
  <c r="J146" i="22"/>
  <c r="L146" i="22" s="1"/>
  <c r="I146" i="22"/>
  <c r="H146" i="22"/>
  <c r="V112" i="3"/>
  <c r="U112" i="3"/>
  <c r="F147" i="22" l="1"/>
  <c r="E147" i="22"/>
  <c r="K146" i="22"/>
  <c r="M146" i="22"/>
  <c r="N146" i="22" s="1"/>
  <c r="O146" i="22" s="1"/>
  <c r="C136" i="3" s="1"/>
  <c r="L113" i="3"/>
  <c r="M113" i="3" s="1"/>
  <c r="G147" i="22" l="1"/>
  <c r="N113" i="3"/>
  <c r="P113" i="3"/>
  <c r="W113" i="3" s="1"/>
  <c r="Q113" i="3"/>
  <c r="V113" i="3" l="1"/>
  <c r="U113" i="3"/>
  <c r="J114" i="3"/>
  <c r="K114" i="3" s="1"/>
  <c r="O113" i="3"/>
  <c r="J147" i="22"/>
  <c r="L147" i="22" s="1"/>
  <c r="H147" i="22"/>
  <c r="I147" i="22"/>
  <c r="M147" i="22" l="1"/>
  <c r="E148" i="22"/>
  <c r="F148" i="22"/>
  <c r="G148" i="22" s="1"/>
  <c r="H148" i="22" s="1"/>
  <c r="K147" i="22"/>
  <c r="L114" i="3"/>
  <c r="M114" i="3" s="1"/>
  <c r="E149" i="22" l="1"/>
  <c r="F149" i="22"/>
  <c r="G149" i="22" s="1"/>
  <c r="J148" i="22"/>
  <c r="L148" i="22" s="1"/>
  <c r="K148" i="22"/>
  <c r="I148" i="22"/>
  <c r="N147" i="22"/>
  <c r="O147" i="22" s="1"/>
  <c r="C137" i="3" s="1"/>
  <c r="Q114" i="3"/>
  <c r="N114" i="3"/>
  <c r="P114" i="3"/>
  <c r="W114" i="3" s="1"/>
  <c r="M148" i="22" l="1"/>
  <c r="N148" i="22" s="1"/>
  <c r="O148" i="22" s="1"/>
  <c r="C138" i="3" s="1"/>
  <c r="J149" i="22"/>
  <c r="L149" i="22" s="1"/>
  <c r="K149" i="22"/>
  <c r="J115" i="3"/>
  <c r="K115" i="3" s="1"/>
  <c r="O114" i="3"/>
  <c r="I149" i="22"/>
  <c r="V114" i="3"/>
  <c r="U114" i="3"/>
  <c r="H149" i="22"/>
  <c r="M149" i="22" l="1"/>
  <c r="N149" i="22" s="1"/>
  <c r="O149" i="22" s="1"/>
  <c r="C139" i="3" s="1"/>
  <c r="F150" i="22"/>
  <c r="G150" i="22" s="1"/>
  <c r="E150" i="22"/>
  <c r="L115" i="3"/>
  <c r="M115" i="3" s="1"/>
  <c r="J150" i="22" l="1"/>
  <c r="L150" i="22" s="1"/>
  <c r="K150" i="22"/>
  <c r="H150" i="22"/>
  <c r="N115" i="3"/>
  <c r="P115" i="3"/>
  <c r="W115" i="3" s="1"/>
  <c r="Q115" i="3"/>
  <c r="I150" i="22"/>
  <c r="V115" i="3" l="1"/>
  <c r="U115" i="3"/>
  <c r="J116" i="3"/>
  <c r="K116" i="3" s="1"/>
  <c r="O115" i="3"/>
  <c r="E151" i="22"/>
  <c r="F151" i="22"/>
  <c r="M150" i="22"/>
  <c r="N150" i="22" s="1"/>
  <c r="O150" i="22" s="1"/>
  <c r="C140" i="3" s="1"/>
  <c r="L116" i="3" l="1"/>
  <c r="M116" i="3" s="1"/>
  <c r="G151" i="22"/>
  <c r="J151" i="22" l="1"/>
  <c r="L151" i="22" s="1"/>
  <c r="H151" i="22"/>
  <c r="I151" i="22"/>
  <c r="Q116" i="3"/>
  <c r="N116" i="3"/>
  <c r="P116" i="3"/>
  <c r="W116" i="3" s="1"/>
  <c r="J117" i="3" l="1"/>
  <c r="K117" i="3" s="1"/>
  <c r="O116" i="3"/>
  <c r="V116" i="3"/>
  <c r="U116" i="3"/>
  <c r="E152" i="22"/>
  <c r="F152" i="22"/>
  <c r="M151" i="22"/>
  <c r="K151" i="22"/>
  <c r="N151" i="22" l="1"/>
  <c r="O151" i="22" s="1"/>
  <c r="C141" i="3" s="1"/>
  <c r="L117" i="3"/>
  <c r="M117" i="3" s="1"/>
  <c r="G152" i="22"/>
  <c r="J152" i="22" l="1"/>
  <c r="L152" i="22" s="1"/>
  <c r="I152" i="22"/>
  <c r="H152" i="22"/>
  <c r="Q117" i="3"/>
  <c r="N117" i="3"/>
  <c r="P117" i="3"/>
  <c r="W117" i="3" s="1"/>
  <c r="J118" i="3" l="1"/>
  <c r="K118" i="3" s="1"/>
  <c r="O117" i="3"/>
  <c r="E153" i="22"/>
  <c r="F153" i="22"/>
  <c r="G153" i="22" s="1"/>
  <c r="M152" i="22"/>
  <c r="V117" i="3"/>
  <c r="U117" i="3"/>
  <c r="K152" i="22"/>
  <c r="J153" i="22" l="1"/>
  <c r="L153" i="22" s="1"/>
  <c r="K153" i="22"/>
  <c r="H153" i="22"/>
  <c r="N152" i="22"/>
  <c r="O152" i="22" s="1"/>
  <c r="C142" i="3" s="1"/>
  <c r="I153" i="22"/>
  <c r="L118" i="3"/>
  <c r="M118" i="3" s="1"/>
  <c r="Q118" i="3" l="1"/>
  <c r="N118" i="3"/>
  <c r="P118" i="3"/>
  <c r="W118" i="3" s="1"/>
  <c r="E154" i="22"/>
  <c r="F154" i="22"/>
  <c r="G154" i="22" s="1"/>
  <c r="I154" i="22" s="1"/>
  <c r="M153" i="22"/>
  <c r="N153" i="22" s="1"/>
  <c r="O153" i="22" s="1"/>
  <c r="C143" i="3" s="1"/>
  <c r="J119" i="3" l="1"/>
  <c r="K119" i="3" s="1"/>
  <c r="O118" i="3"/>
  <c r="J154" i="22"/>
  <c r="L154" i="22" s="1"/>
  <c r="H154" i="22"/>
  <c r="V118" i="3"/>
  <c r="U118" i="3"/>
  <c r="M154" i="22" l="1"/>
  <c r="F155" i="22"/>
  <c r="G155" i="22" s="1"/>
  <c r="H155" i="22" s="1"/>
  <c r="E155" i="22"/>
  <c r="K154" i="22"/>
  <c r="L119" i="3"/>
  <c r="M119" i="3" s="1"/>
  <c r="E156" i="22" l="1"/>
  <c r="F156" i="22"/>
  <c r="G156" i="22" s="1"/>
  <c r="N154" i="22"/>
  <c r="O154" i="22" s="1"/>
  <c r="C144" i="3" s="1"/>
  <c r="I155" i="22"/>
  <c r="J155" i="22"/>
  <c r="L155" i="22" s="1"/>
  <c r="N119" i="3"/>
  <c r="Q119" i="3"/>
  <c r="P119" i="3"/>
  <c r="W119" i="3" s="1"/>
  <c r="K155" i="22" l="1"/>
  <c r="M155" i="22"/>
  <c r="N155" i="22" s="1"/>
  <c r="O155" i="22" s="1"/>
  <c r="C145" i="3" s="1"/>
  <c r="J156" i="22"/>
  <c r="L156" i="22" s="1"/>
  <c r="V119" i="3"/>
  <c r="U119" i="3"/>
  <c r="H156" i="22"/>
  <c r="J120" i="3"/>
  <c r="K120" i="3" s="1"/>
  <c r="O119" i="3"/>
  <c r="I156" i="22"/>
  <c r="M156" i="22" l="1"/>
  <c r="K156" i="22"/>
  <c r="L120" i="3"/>
  <c r="M120" i="3" s="1"/>
  <c r="F157" i="22"/>
  <c r="G157" i="22" s="1"/>
  <c r="E157" i="22"/>
  <c r="J157" i="22" l="1"/>
  <c r="L157" i="22" s="1"/>
  <c r="H157" i="22"/>
  <c r="I157" i="22"/>
  <c r="N120" i="3"/>
  <c r="P120" i="3"/>
  <c r="W120" i="3" s="1"/>
  <c r="Q120" i="3"/>
  <c r="N156" i="22"/>
  <c r="O156" i="22" s="1"/>
  <c r="C146" i="3" s="1"/>
  <c r="E158" i="22" l="1"/>
  <c r="F158" i="22"/>
  <c r="G158" i="22" s="1"/>
  <c r="V120" i="3"/>
  <c r="U120" i="3"/>
  <c r="J121" i="3"/>
  <c r="K121" i="3" s="1"/>
  <c r="O120" i="3"/>
  <c r="M157" i="22"/>
  <c r="K157" i="22"/>
  <c r="L121" i="3" l="1"/>
  <c r="M121" i="3" s="1"/>
  <c r="Q121" i="3" s="1"/>
  <c r="N121" i="3"/>
  <c r="P121" i="3"/>
  <c r="W121" i="3" s="1"/>
  <c r="N157" i="22"/>
  <c r="O157" i="22" s="1"/>
  <c r="C147" i="3" s="1"/>
  <c r="J158" i="22"/>
  <c r="L158" i="22" s="1"/>
  <c r="K158" i="22"/>
  <c r="I158" i="22"/>
  <c r="H158" i="22"/>
  <c r="E159" i="22" l="1"/>
  <c r="F159" i="22"/>
  <c r="G159" i="22" s="1"/>
  <c r="I159" i="22" s="1"/>
  <c r="M158" i="22"/>
  <c r="N158" i="22" s="1"/>
  <c r="O158" i="22" s="1"/>
  <c r="C148" i="3" s="1"/>
  <c r="J122" i="3"/>
  <c r="K122" i="3" s="1"/>
  <c r="O121" i="3"/>
  <c r="V121" i="3"/>
  <c r="U121" i="3"/>
  <c r="L122" i="3" l="1"/>
  <c r="M122" i="3" s="1"/>
  <c r="N122" i="3" s="1"/>
  <c r="Q122" i="3"/>
  <c r="P122" i="3"/>
  <c r="W122" i="3" s="1"/>
  <c r="J159" i="22"/>
  <c r="L159" i="22" s="1"/>
  <c r="H159" i="22"/>
  <c r="M159" i="22" l="1"/>
  <c r="N159" i="22" s="1"/>
  <c r="O159" i="22" s="1"/>
  <c r="C149" i="3" s="1"/>
  <c r="U122" i="3"/>
  <c r="V122" i="3"/>
  <c r="F160" i="22"/>
  <c r="G160" i="22" s="1"/>
  <c r="E160" i="22"/>
  <c r="K159" i="22"/>
  <c r="J123" i="3"/>
  <c r="K123" i="3" s="1"/>
  <c r="O122" i="3"/>
  <c r="J160" i="22" l="1"/>
  <c r="L160" i="22" s="1"/>
  <c r="K160" i="22"/>
  <c r="H160" i="22"/>
  <c r="I160" i="22"/>
  <c r="L123" i="3"/>
  <c r="M123" i="3" s="1"/>
  <c r="Q123" i="3" l="1"/>
  <c r="N123" i="3"/>
  <c r="P123" i="3"/>
  <c r="W123" i="3" s="1"/>
  <c r="F161" i="22"/>
  <c r="G161" i="22" s="1"/>
  <c r="E161" i="22"/>
  <c r="M160" i="22"/>
  <c r="N160" i="22" s="1"/>
  <c r="O160" i="22" s="1"/>
  <c r="C150" i="3" s="1"/>
  <c r="J161" i="22" l="1"/>
  <c r="L161" i="22" s="1"/>
  <c r="K161" i="22"/>
  <c r="H161" i="22"/>
  <c r="I161" i="22"/>
  <c r="J124" i="3"/>
  <c r="K124" i="3" s="1"/>
  <c r="O123" i="3"/>
  <c r="V123" i="3"/>
  <c r="U123" i="3"/>
  <c r="L124" i="3" l="1"/>
  <c r="M124" i="3" s="1"/>
  <c r="F162" i="22"/>
  <c r="E162" i="22"/>
  <c r="M161" i="22"/>
  <c r="N161" i="22" s="1"/>
  <c r="O161" i="22" s="1"/>
  <c r="C151" i="3" s="1"/>
  <c r="G162" i="22" l="1"/>
  <c r="Q124" i="3"/>
  <c r="N124" i="3"/>
  <c r="P124" i="3"/>
  <c r="W124" i="3" s="1"/>
  <c r="J125" i="3" l="1"/>
  <c r="K125" i="3" s="1"/>
  <c r="O124" i="3"/>
  <c r="V124" i="3"/>
  <c r="U124" i="3"/>
  <c r="J162" i="22"/>
  <c r="L162" i="22" s="1"/>
  <c r="H162" i="22"/>
  <c r="I162" i="22"/>
  <c r="E163" i="22" l="1"/>
  <c r="F163" i="22"/>
  <c r="G163" i="22" s="1"/>
  <c r="K162" i="22"/>
  <c r="M162" i="22"/>
  <c r="N162" i="22" s="1"/>
  <c r="O162" i="22" s="1"/>
  <c r="C152" i="3" s="1"/>
  <c r="L125" i="3"/>
  <c r="M125" i="3" s="1"/>
  <c r="J163" i="22" l="1"/>
  <c r="L163" i="22" s="1"/>
  <c r="H163" i="22"/>
  <c r="N125" i="3"/>
  <c r="Q125" i="3"/>
  <c r="P125" i="3"/>
  <c r="W125" i="3" s="1"/>
  <c r="I163" i="22"/>
  <c r="J126" i="3" l="1"/>
  <c r="K126" i="3" s="1"/>
  <c r="O125" i="3"/>
  <c r="E164" i="22"/>
  <c r="F164" i="22"/>
  <c r="G164" i="22" s="1"/>
  <c r="V125" i="3"/>
  <c r="U125" i="3"/>
  <c r="M163" i="22"/>
  <c r="K163" i="22"/>
  <c r="J164" i="22" l="1"/>
  <c r="L164" i="22" s="1"/>
  <c r="K164" i="22"/>
  <c r="N163" i="22"/>
  <c r="O163" i="22" s="1"/>
  <c r="C153" i="3" s="1"/>
  <c r="L126" i="3"/>
  <c r="M126" i="3" s="1"/>
  <c r="H164" i="22"/>
  <c r="I164" i="22"/>
  <c r="E165" i="22" l="1"/>
  <c r="F165" i="22"/>
  <c r="G165" i="22" s="1"/>
  <c r="Q126" i="3"/>
  <c r="N126" i="3"/>
  <c r="P126" i="3"/>
  <c r="W126" i="3" s="1"/>
  <c r="M164" i="22"/>
  <c r="N164" i="22" s="1"/>
  <c r="O164" i="22" s="1"/>
  <c r="C154" i="3" s="1"/>
  <c r="J165" i="22" l="1"/>
  <c r="L165" i="22" s="1"/>
  <c r="J127" i="3"/>
  <c r="K127" i="3" s="1"/>
  <c r="O126" i="3"/>
  <c r="V126" i="3"/>
  <c r="U126" i="3"/>
  <c r="I165" i="22"/>
  <c r="H165" i="22"/>
  <c r="L127" i="3" l="1"/>
  <c r="M127" i="3" s="1"/>
  <c r="N127" i="3"/>
  <c r="Q127" i="3"/>
  <c r="P127" i="3"/>
  <c r="W127" i="3" s="1"/>
  <c r="M165" i="22"/>
  <c r="N165" i="22" s="1"/>
  <c r="O165" i="22" s="1"/>
  <c r="C155" i="3" s="1"/>
  <c r="F166" i="22"/>
  <c r="E166" i="22"/>
  <c r="K165" i="22"/>
  <c r="V127" i="3" l="1"/>
  <c r="U127" i="3"/>
  <c r="G166" i="22"/>
  <c r="J128" i="3"/>
  <c r="K128" i="3" s="1"/>
  <c r="O127" i="3"/>
  <c r="L128" i="3" l="1"/>
  <c r="M128" i="3" s="1"/>
  <c r="J166" i="22"/>
  <c r="L166" i="22" s="1"/>
  <c r="H166" i="22"/>
  <c r="I166" i="22"/>
  <c r="E167" i="22" l="1"/>
  <c r="F167" i="22"/>
  <c r="G167" i="22" s="1"/>
  <c r="M166" i="22"/>
  <c r="N166" i="22" s="1"/>
  <c r="O166" i="22" s="1"/>
  <c r="C156" i="3" s="1"/>
  <c r="K166" i="22"/>
  <c r="N128" i="3"/>
  <c r="Q128" i="3"/>
  <c r="P128" i="3"/>
  <c r="W128" i="3" s="1"/>
  <c r="J167" i="22" l="1"/>
  <c r="L167" i="22" s="1"/>
  <c r="V128" i="3"/>
  <c r="U128" i="3"/>
  <c r="H167" i="22"/>
  <c r="J129" i="3"/>
  <c r="K129" i="3" s="1"/>
  <c r="O128" i="3"/>
  <c r="I167" i="22"/>
  <c r="L129" i="3" l="1"/>
  <c r="M129" i="3" s="1"/>
  <c r="E168" i="22"/>
  <c r="F168" i="22"/>
  <c r="G168" i="22" s="1"/>
  <c r="M167" i="22"/>
  <c r="N167" i="22" s="1"/>
  <c r="O167" i="22" s="1"/>
  <c r="C157" i="3" s="1"/>
  <c r="K167" i="22"/>
  <c r="J168" i="22" l="1"/>
  <c r="L168" i="22" s="1"/>
  <c r="I168" i="22"/>
  <c r="H168" i="22"/>
  <c r="Q129" i="3"/>
  <c r="P129" i="3"/>
  <c r="W129" i="3" s="1"/>
  <c r="N129" i="3"/>
  <c r="J130" i="3" l="1"/>
  <c r="K130" i="3" s="1"/>
  <c r="O129" i="3"/>
  <c r="V129" i="3"/>
  <c r="U129" i="3"/>
  <c r="F169" i="22"/>
  <c r="G169" i="22" s="1"/>
  <c r="E169" i="22"/>
  <c r="M168" i="22"/>
  <c r="K168" i="22"/>
  <c r="J169" i="22" l="1"/>
  <c r="L169" i="22" s="1"/>
  <c r="H169" i="22"/>
  <c r="N168" i="22"/>
  <c r="O168" i="22" s="1"/>
  <c r="C158" i="3" s="1"/>
  <c r="I169" i="22"/>
  <c r="L130" i="3"/>
  <c r="M130" i="3" s="1"/>
  <c r="Q130" i="3" l="1"/>
  <c r="N130" i="3"/>
  <c r="P130" i="3"/>
  <c r="W130" i="3" s="1"/>
  <c r="F170" i="22"/>
  <c r="G170" i="22" s="1"/>
  <c r="H170" i="22" s="1"/>
  <c r="E170" i="22"/>
  <c r="M169" i="22"/>
  <c r="K169" i="22"/>
  <c r="F171" i="22" l="1"/>
  <c r="E171" i="22"/>
  <c r="J131" i="3"/>
  <c r="K131" i="3" s="1"/>
  <c r="O130" i="3"/>
  <c r="J170" i="22"/>
  <c r="L170" i="22" s="1"/>
  <c r="I170" i="22"/>
  <c r="N169" i="22"/>
  <c r="O169" i="22" s="1"/>
  <c r="C159" i="3" s="1"/>
  <c r="V130" i="3"/>
  <c r="U130" i="3"/>
  <c r="L131" i="3" l="1"/>
  <c r="M131" i="3" s="1"/>
  <c r="N131" i="3" s="1"/>
  <c r="M170" i="22"/>
  <c r="G171" i="22"/>
  <c r="K170" i="22"/>
  <c r="Q131" i="3" l="1"/>
  <c r="U131" i="3" s="1"/>
  <c r="P131" i="3"/>
  <c r="W131" i="3" s="1"/>
  <c r="N170" i="22"/>
  <c r="O170" i="22" s="1"/>
  <c r="C160" i="3" s="1"/>
  <c r="J171" i="22"/>
  <c r="L171" i="22" s="1"/>
  <c r="H171" i="22"/>
  <c r="I171" i="22"/>
  <c r="J132" i="3"/>
  <c r="K132" i="3" s="1"/>
  <c r="O131" i="3"/>
  <c r="V131" i="3" l="1"/>
  <c r="L132" i="3"/>
  <c r="M132" i="3" s="1"/>
  <c r="Q132" i="3"/>
  <c r="N132" i="3"/>
  <c r="P132" i="3"/>
  <c r="W132" i="3" s="1"/>
  <c r="M171" i="22"/>
  <c r="N171" i="22" s="1"/>
  <c r="O171" i="22" s="1"/>
  <c r="C161" i="3" s="1"/>
  <c r="H172" i="22"/>
  <c r="I172" i="22"/>
  <c r="E172" i="22"/>
  <c r="F172" i="22"/>
  <c r="G172" i="22" s="1"/>
  <c r="K171" i="22"/>
  <c r="J133" i="3" l="1"/>
  <c r="K133" i="3" s="1"/>
  <c r="O132" i="3"/>
  <c r="F173" i="22"/>
  <c r="E173" i="22"/>
  <c r="K172" i="22"/>
  <c r="J172" i="22"/>
  <c r="L172" i="22" s="1"/>
  <c r="V132" i="3"/>
  <c r="U132" i="3"/>
  <c r="G173" i="22" l="1"/>
  <c r="L133" i="3"/>
  <c r="M133" i="3" s="1"/>
  <c r="M172" i="22"/>
  <c r="N172" i="22" s="1"/>
  <c r="O172" i="22" s="1"/>
  <c r="C162" i="3" s="1"/>
  <c r="Q133" i="3" l="1"/>
  <c r="N133" i="3"/>
  <c r="P133" i="3"/>
  <c r="W133" i="3" s="1"/>
  <c r="J173" i="22"/>
  <c r="L173" i="22" s="1"/>
  <c r="I173" i="22"/>
  <c r="H173" i="22"/>
  <c r="E174" i="22" l="1"/>
  <c r="F174" i="22"/>
  <c r="G174" i="22" s="1"/>
  <c r="M173" i="22"/>
  <c r="K173" i="22"/>
  <c r="J134" i="3"/>
  <c r="K134" i="3" s="1"/>
  <c r="O133" i="3"/>
  <c r="V133" i="3"/>
  <c r="U133" i="3"/>
  <c r="N173" i="22" l="1"/>
  <c r="O173" i="22" s="1"/>
  <c r="C163" i="3" s="1"/>
  <c r="J174" i="22"/>
  <c r="L174" i="22" s="1"/>
  <c r="K174" i="22"/>
  <c r="L134" i="3"/>
  <c r="M134" i="3" s="1"/>
  <c r="I174" i="22"/>
  <c r="H174" i="22"/>
  <c r="Q134" i="3" l="1"/>
  <c r="N134" i="3"/>
  <c r="P134" i="3"/>
  <c r="W134" i="3" s="1"/>
  <c r="E175" i="22"/>
  <c r="F175" i="22"/>
  <c r="G175" i="22" s="1"/>
  <c r="M174" i="22"/>
  <c r="N174" i="22" s="1"/>
  <c r="O174" i="22" s="1"/>
  <c r="C164" i="3" s="1"/>
  <c r="J175" i="22" l="1"/>
  <c r="L175" i="22" s="1"/>
  <c r="H175" i="22"/>
  <c r="I175" i="22"/>
  <c r="J135" i="3"/>
  <c r="K135" i="3" s="1"/>
  <c r="O134" i="3"/>
  <c r="V134" i="3"/>
  <c r="U134" i="3"/>
  <c r="L135" i="3" l="1"/>
  <c r="M135" i="3" s="1"/>
  <c r="N135" i="3" s="1"/>
  <c r="Q135" i="3"/>
  <c r="F176" i="22"/>
  <c r="G176" i="22" s="1"/>
  <c r="I176" i="22" s="1"/>
  <c r="E176" i="22"/>
  <c r="M175" i="22"/>
  <c r="K175" i="22"/>
  <c r="P135" i="3" l="1"/>
  <c r="W135" i="3" s="1"/>
  <c r="V135" i="3"/>
  <c r="U135" i="3"/>
  <c r="J176" i="22"/>
  <c r="L176" i="22" s="1"/>
  <c r="H176" i="22"/>
  <c r="N175" i="22"/>
  <c r="O175" i="22" s="1"/>
  <c r="C165" i="3" s="1"/>
  <c r="J136" i="3"/>
  <c r="K136" i="3" s="1"/>
  <c r="O135" i="3"/>
  <c r="L136" i="3" l="1"/>
  <c r="M136" i="3" s="1"/>
  <c r="P136" i="3" s="1"/>
  <c r="W136" i="3" s="1"/>
  <c r="F177" i="22"/>
  <c r="E177" i="22"/>
  <c r="K176" i="22"/>
  <c r="M176" i="22"/>
  <c r="Q136" i="3" l="1"/>
  <c r="N136" i="3"/>
  <c r="V136" i="3"/>
  <c r="U136" i="3"/>
  <c r="G177" i="22"/>
  <c r="N176" i="22"/>
  <c r="O176" i="22" s="1"/>
  <c r="C166" i="3" s="1"/>
  <c r="J137" i="3"/>
  <c r="K137" i="3" s="1"/>
  <c r="O136" i="3"/>
  <c r="L137" i="3" l="1"/>
  <c r="M137" i="3" s="1"/>
  <c r="J177" i="22"/>
  <c r="L177" i="22" s="1"/>
  <c r="K177" i="22"/>
  <c r="I177" i="22"/>
  <c r="H177" i="22"/>
  <c r="E178" i="22" l="1"/>
  <c r="F178" i="22"/>
  <c r="G178" i="22" s="1"/>
  <c r="M177" i="22"/>
  <c r="N177" i="22" s="1"/>
  <c r="O177" i="22" s="1"/>
  <c r="C167" i="3" s="1"/>
  <c r="Q137" i="3"/>
  <c r="N137" i="3"/>
  <c r="P137" i="3"/>
  <c r="W137" i="3" s="1"/>
  <c r="J178" i="22" l="1"/>
  <c r="L178" i="22" s="1"/>
  <c r="K178" i="22"/>
  <c r="V137" i="3"/>
  <c r="U137" i="3"/>
  <c r="I178" i="22"/>
  <c r="J138" i="3"/>
  <c r="K138" i="3" s="1"/>
  <c r="O137" i="3"/>
  <c r="H178" i="22"/>
  <c r="L138" i="3" l="1"/>
  <c r="M138" i="3" s="1"/>
  <c r="Q138" i="3" s="1"/>
  <c r="E179" i="22"/>
  <c r="F179" i="22"/>
  <c r="G179" i="22" s="1"/>
  <c r="M178" i="22"/>
  <c r="N178" i="22" s="1"/>
  <c r="O178" i="22" s="1"/>
  <c r="C168" i="3" s="1"/>
  <c r="P138" i="3" l="1"/>
  <c r="W138" i="3" s="1"/>
  <c r="N138" i="3"/>
  <c r="J179" i="22"/>
  <c r="L179" i="22" s="1"/>
  <c r="K179" i="22"/>
  <c r="H179" i="22"/>
  <c r="I179" i="22"/>
  <c r="J139" i="3"/>
  <c r="K139" i="3" s="1"/>
  <c r="O138" i="3"/>
  <c r="V138" i="3"/>
  <c r="U138" i="3"/>
  <c r="L139" i="3" l="1"/>
  <c r="M139" i="3" s="1"/>
  <c r="F180" i="22"/>
  <c r="E180" i="22"/>
  <c r="M179" i="22"/>
  <c r="N179" i="22" s="1"/>
  <c r="O179" i="22" s="1"/>
  <c r="C169" i="3" s="1"/>
  <c r="G180" i="22" l="1"/>
  <c r="N139" i="3"/>
  <c r="Q139" i="3"/>
  <c r="P139" i="3"/>
  <c r="W139" i="3" s="1"/>
  <c r="V139" i="3" l="1"/>
  <c r="U139" i="3"/>
  <c r="J140" i="3"/>
  <c r="K140" i="3" s="1"/>
  <c r="O139" i="3"/>
  <c r="J180" i="22"/>
  <c r="L180" i="22" s="1"/>
  <c r="K180" i="22"/>
  <c r="I180" i="22"/>
  <c r="H180" i="22"/>
  <c r="L140" i="3" l="1"/>
  <c r="M140" i="3" s="1"/>
  <c r="M180" i="22"/>
  <c r="N180" i="22" s="1"/>
  <c r="O180" i="22" s="1"/>
  <c r="C170" i="3" s="1"/>
  <c r="E181" i="22"/>
  <c r="F181" i="22"/>
  <c r="G181" i="22" s="1"/>
  <c r="I181" i="22" s="1"/>
  <c r="J181" i="22" l="1"/>
  <c r="L181" i="22" s="1"/>
  <c r="H181" i="22"/>
  <c r="Q140" i="3"/>
  <c r="N140" i="3"/>
  <c r="P140" i="3"/>
  <c r="W140" i="3" s="1"/>
  <c r="V140" i="3" l="1"/>
  <c r="U140" i="3"/>
  <c r="M181" i="22"/>
  <c r="J141" i="3"/>
  <c r="K141" i="3" s="1"/>
  <c r="O140" i="3"/>
  <c r="F182" i="22"/>
  <c r="G182" i="22" s="1"/>
  <c r="E182" i="22"/>
  <c r="K181" i="22"/>
  <c r="J182" i="22" l="1"/>
  <c r="L182" i="22" s="1"/>
  <c r="I182" i="22"/>
  <c r="L141" i="3"/>
  <c r="M141" i="3" s="1"/>
  <c r="N181" i="22"/>
  <c r="O181" i="22" s="1"/>
  <c r="C171" i="3" s="1"/>
  <c r="H182" i="22"/>
  <c r="E183" i="22" l="1"/>
  <c r="F183" i="22"/>
  <c r="G183" i="22" s="1"/>
  <c r="Q141" i="3"/>
  <c r="P141" i="3"/>
  <c r="W141" i="3" s="1"/>
  <c r="N141" i="3"/>
  <c r="M182" i="22"/>
  <c r="K182" i="22"/>
  <c r="J183" i="22" l="1"/>
  <c r="L183" i="22" s="1"/>
  <c r="J142" i="3"/>
  <c r="K142" i="3" s="1"/>
  <c r="O141" i="3"/>
  <c r="V141" i="3"/>
  <c r="U141" i="3"/>
  <c r="N182" i="22"/>
  <c r="O182" i="22" s="1"/>
  <c r="C172" i="3" s="1"/>
  <c r="H183" i="22"/>
  <c r="I183" i="22"/>
  <c r="M183" i="22" l="1"/>
  <c r="N183" i="22" s="1"/>
  <c r="O183" i="22" s="1"/>
  <c r="C173" i="3" s="1"/>
  <c r="L142" i="3"/>
  <c r="M142" i="3" s="1"/>
  <c r="F184" i="22"/>
  <c r="G184" i="22" s="1"/>
  <c r="E184" i="22"/>
  <c r="K183" i="22"/>
  <c r="J184" i="22" l="1"/>
  <c r="L184" i="22" s="1"/>
  <c r="K184" i="22"/>
  <c r="H184" i="22"/>
  <c r="I184" i="22"/>
  <c r="Q142" i="3"/>
  <c r="N142" i="3"/>
  <c r="P142" i="3"/>
  <c r="W142" i="3" s="1"/>
  <c r="J143" i="3" l="1"/>
  <c r="K143" i="3" s="1"/>
  <c r="O142" i="3"/>
  <c r="V142" i="3"/>
  <c r="U142" i="3"/>
  <c r="E185" i="22"/>
  <c r="F185" i="22"/>
  <c r="M184" i="22"/>
  <c r="N184" i="22" s="1"/>
  <c r="O184" i="22" s="1"/>
  <c r="C174" i="3" s="1"/>
  <c r="G185" i="22" l="1"/>
  <c r="L143" i="3"/>
  <c r="M143" i="3" s="1"/>
  <c r="N143" i="3" l="1"/>
  <c r="Q143" i="3"/>
  <c r="P143" i="3"/>
  <c r="W143" i="3" s="1"/>
  <c r="J185" i="22"/>
  <c r="L185" i="22" s="1"/>
  <c r="K185" i="22"/>
  <c r="H185" i="22"/>
  <c r="I185" i="22"/>
  <c r="M185" i="22" l="1"/>
  <c r="N185" i="22" s="1"/>
  <c r="O185" i="22" s="1"/>
  <c r="C175" i="3" s="1"/>
  <c r="E186" i="22"/>
  <c r="F186" i="22"/>
  <c r="G186" i="22" s="1"/>
  <c r="V143" i="3"/>
  <c r="U143" i="3"/>
  <c r="J144" i="3"/>
  <c r="K144" i="3" s="1"/>
  <c r="O143" i="3"/>
  <c r="J186" i="22" l="1"/>
  <c r="L186" i="22" s="1"/>
  <c r="H186" i="22"/>
  <c r="I186" i="22"/>
  <c r="L144" i="3"/>
  <c r="M144" i="3" s="1"/>
  <c r="E187" i="22" l="1"/>
  <c r="F187" i="22"/>
  <c r="G187" i="22" s="1"/>
  <c r="N144" i="3"/>
  <c r="P144" i="3"/>
  <c r="W144" i="3" s="1"/>
  <c r="Q144" i="3"/>
  <c r="M186" i="22"/>
  <c r="K186" i="22"/>
  <c r="V144" i="3" l="1"/>
  <c r="U144" i="3"/>
  <c r="J187" i="22"/>
  <c r="L187" i="22" s="1"/>
  <c r="J145" i="3"/>
  <c r="K145" i="3" s="1"/>
  <c r="O144" i="3"/>
  <c r="N186" i="22"/>
  <c r="O186" i="22" s="1"/>
  <c r="C176" i="3" s="1"/>
  <c r="H187" i="22"/>
  <c r="I187" i="22"/>
  <c r="L145" i="3" l="1"/>
  <c r="M145" i="3" s="1"/>
  <c r="Q145" i="3"/>
  <c r="N145" i="3"/>
  <c r="P145" i="3"/>
  <c r="W145" i="3" s="1"/>
  <c r="K187" i="22"/>
  <c r="M187" i="22"/>
  <c r="N187" i="22" s="1"/>
  <c r="O187" i="22" s="1"/>
  <c r="C177" i="3" s="1"/>
  <c r="F188" i="22"/>
  <c r="E188" i="22"/>
  <c r="G188" i="22" l="1"/>
  <c r="J146" i="3"/>
  <c r="K146" i="3" s="1"/>
  <c r="O145" i="3"/>
  <c r="V145" i="3"/>
  <c r="U145" i="3"/>
  <c r="L146" i="3" l="1"/>
  <c r="M146" i="3" s="1"/>
  <c r="J188" i="22"/>
  <c r="L188" i="22" s="1"/>
  <c r="I188" i="22"/>
  <c r="H188" i="22"/>
  <c r="M188" i="22" l="1"/>
  <c r="K188" i="22"/>
  <c r="F189" i="22"/>
  <c r="E189" i="22"/>
  <c r="Q146" i="3"/>
  <c r="N146" i="3"/>
  <c r="P146" i="3"/>
  <c r="W146" i="3" s="1"/>
  <c r="G189" i="22" l="1"/>
  <c r="J147" i="3"/>
  <c r="K147" i="3" s="1"/>
  <c r="O146" i="3"/>
  <c r="N188" i="22"/>
  <c r="O188" i="22" s="1"/>
  <c r="C178" i="3" s="1"/>
  <c r="V146" i="3"/>
  <c r="U146" i="3"/>
  <c r="L147" i="3" l="1"/>
  <c r="M147" i="3" s="1"/>
  <c r="J189" i="22"/>
  <c r="L189" i="22" s="1"/>
  <c r="K189" i="22"/>
  <c r="I189" i="22"/>
  <c r="H189" i="22"/>
  <c r="E190" i="22" l="1"/>
  <c r="F190" i="22"/>
  <c r="G190" i="22" s="1"/>
  <c r="H190" i="22" s="1"/>
  <c r="M189" i="22"/>
  <c r="N189" i="22" s="1"/>
  <c r="O189" i="22" s="1"/>
  <c r="C179" i="3" s="1"/>
  <c r="N147" i="3"/>
  <c r="Q147" i="3"/>
  <c r="P147" i="3"/>
  <c r="W147" i="3" s="1"/>
  <c r="F191" i="22" l="1"/>
  <c r="E191" i="22"/>
  <c r="J148" i="3"/>
  <c r="K148" i="3" s="1"/>
  <c r="O147" i="3"/>
  <c r="J190" i="22"/>
  <c r="L190" i="22" s="1"/>
  <c r="V147" i="3"/>
  <c r="U147" i="3"/>
  <c r="I190" i="22"/>
  <c r="L148" i="3" l="1"/>
  <c r="M148" i="3" s="1"/>
  <c r="M190" i="22"/>
  <c r="G191" i="22"/>
  <c r="K190" i="22"/>
  <c r="J191" i="22" l="1"/>
  <c r="L191" i="22" s="1"/>
  <c r="K191" i="22"/>
  <c r="H191" i="22"/>
  <c r="I191" i="22"/>
  <c r="N190" i="22"/>
  <c r="O190" i="22" s="1"/>
  <c r="C180" i="3" s="1"/>
  <c r="Q148" i="3"/>
  <c r="P148" i="3"/>
  <c r="W148" i="3" s="1"/>
  <c r="N148" i="3"/>
  <c r="J149" i="3" l="1"/>
  <c r="K149" i="3" s="1"/>
  <c r="O148" i="3"/>
  <c r="V148" i="3"/>
  <c r="U148" i="3"/>
  <c r="F192" i="22"/>
  <c r="G192" i="22" s="1"/>
  <c r="E192" i="22"/>
  <c r="M191" i="22"/>
  <c r="N191" i="22" s="1"/>
  <c r="O191" i="22" s="1"/>
  <c r="C181" i="3" s="1"/>
  <c r="L149" i="3" l="1"/>
  <c r="M149" i="3" s="1"/>
  <c r="J192" i="22"/>
  <c r="L192" i="22" s="1"/>
  <c r="K192" i="22"/>
  <c r="I192" i="22"/>
  <c r="H192" i="22"/>
  <c r="E193" i="22" l="1"/>
  <c r="F193" i="22"/>
  <c r="G193" i="22" s="1"/>
  <c r="M192" i="22"/>
  <c r="N192" i="22" s="1"/>
  <c r="O192" i="22" s="1"/>
  <c r="C182" i="3" s="1"/>
  <c r="P149" i="3"/>
  <c r="W149" i="3" s="1"/>
  <c r="Q149" i="3"/>
  <c r="N149" i="3"/>
  <c r="J193" i="22" l="1"/>
  <c r="L193" i="22" s="1"/>
  <c r="K193" i="22"/>
  <c r="J150" i="3"/>
  <c r="K150" i="3" s="1"/>
  <c r="O149" i="3"/>
  <c r="I193" i="22"/>
  <c r="V149" i="3"/>
  <c r="U149" i="3"/>
  <c r="H193" i="22"/>
  <c r="L150" i="3" l="1"/>
  <c r="M150" i="3" s="1"/>
  <c r="Q150" i="3" s="1"/>
  <c r="F194" i="22"/>
  <c r="G194" i="22" s="1"/>
  <c r="I194" i="22" s="1"/>
  <c r="E194" i="22"/>
  <c r="M193" i="22"/>
  <c r="N193" i="22" s="1"/>
  <c r="O193" i="22" s="1"/>
  <c r="C183" i="3" s="1"/>
  <c r="P150" i="3" l="1"/>
  <c r="W150" i="3" s="1"/>
  <c r="N150" i="3"/>
  <c r="J151" i="3"/>
  <c r="K151" i="3" s="1"/>
  <c r="L151" i="3" s="1"/>
  <c r="M151" i="3" s="1"/>
  <c r="O150" i="3"/>
  <c r="J194" i="22"/>
  <c r="L194" i="22" s="1"/>
  <c r="K194" i="22"/>
  <c r="H194" i="22"/>
  <c r="V150" i="3"/>
  <c r="U150" i="3"/>
  <c r="N151" i="3" l="1"/>
  <c r="Q151" i="3"/>
  <c r="P151" i="3"/>
  <c r="W151" i="3" s="1"/>
  <c r="M194" i="22"/>
  <c r="N194" i="22" s="1"/>
  <c r="O194" i="22" s="1"/>
  <c r="C184" i="3" s="1"/>
  <c r="I195" i="22"/>
  <c r="H195" i="22"/>
  <c r="E195" i="22"/>
  <c r="F195" i="22"/>
  <c r="G195" i="22" s="1"/>
  <c r="J195" i="22" l="1"/>
  <c r="L195" i="22" s="1"/>
  <c r="V151" i="3"/>
  <c r="U151" i="3"/>
  <c r="E196" i="22"/>
  <c r="F196" i="22"/>
  <c r="G196" i="22" s="1"/>
  <c r="J152" i="3"/>
  <c r="K152" i="3" s="1"/>
  <c r="O151" i="3"/>
  <c r="J196" i="22" l="1"/>
  <c r="K196" i="22" s="1"/>
  <c r="I196" i="22"/>
  <c r="H196" i="22"/>
  <c r="L196" i="22"/>
  <c r="M195" i="22"/>
  <c r="N195" i="22" s="1"/>
  <c r="O195" i="22" s="1"/>
  <c r="C185" i="3" s="1"/>
  <c r="L152" i="3"/>
  <c r="M152" i="3" s="1"/>
  <c r="K195" i="22"/>
  <c r="N152" i="3" l="1"/>
  <c r="Q152" i="3"/>
  <c r="P152" i="3"/>
  <c r="W152" i="3" s="1"/>
  <c r="M196" i="22"/>
  <c r="N196" i="22" s="1"/>
  <c r="O196" i="22" s="1"/>
  <c r="C186" i="3" s="1"/>
  <c r="I197" i="22"/>
  <c r="H197" i="22"/>
  <c r="E197" i="22"/>
  <c r="F197" i="22"/>
  <c r="G197" i="22" s="1"/>
  <c r="E198" i="22" l="1"/>
  <c r="F198" i="22"/>
  <c r="G198" i="22" s="1"/>
  <c r="J197" i="22"/>
  <c r="L197" i="22" s="1"/>
  <c r="K197" i="22"/>
  <c r="V152" i="3"/>
  <c r="U152" i="3"/>
  <c r="J153" i="3"/>
  <c r="K153" i="3" s="1"/>
  <c r="O152" i="3"/>
  <c r="J198" i="22" l="1"/>
  <c r="K198" i="22"/>
  <c r="H198" i="22"/>
  <c r="L198" i="22"/>
  <c r="M197" i="22"/>
  <c r="N197" i="22" s="1"/>
  <c r="O197" i="22" s="1"/>
  <c r="C187" i="3" s="1"/>
  <c r="L153" i="3"/>
  <c r="M153" i="3" s="1"/>
  <c r="I198" i="22"/>
  <c r="Q153" i="3" l="1"/>
  <c r="N153" i="3"/>
  <c r="P153" i="3"/>
  <c r="W153" i="3" s="1"/>
  <c r="M198" i="22"/>
  <c r="N198" i="22" s="1"/>
  <c r="O198" i="22" s="1"/>
  <c r="C188" i="3" s="1"/>
  <c r="I199" i="22"/>
  <c r="H199" i="22"/>
  <c r="E199" i="22"/>
  <c r="F199" i="22"/>
  <c r="G199" i="22" s="1"/>
  <c r="F200" i="22" l="1"/>
  <c r="E200" i="22"/>
  <c r="J199" i="22"/>
  <c r="L199" i="22" s="1"/>
  <c r="K199" i="22"/>
  <c r="J154" i="3"/>
  <c r="K154" i="3" s="1"/>
  <c r="O153" i="3"/>
  <c r="V153" i="3"/>
  <c r="U153" i="3"/>
  <c r="L154" i="3" l="1"/>
  <c r="M154" i="3" s="1"/>
  <c r="Q154" i="3"/>
  <c r="P154" i="3"/>
  <c r="W154" i="3" s="1"/>
  <c r="N154" i="3"/>
  <c r="M199" i="22"/>
  <c r="N199" i="22" s="1"/>
  <c r="O199" i="22" s="1"/>
  <c r="C189" i="3" s="1"/>
  <c r="G200" i="22"/>
  <c r="J200" i="22" l="1"/>
  <c r="L200" i="22" s="1"/>
  <c r="K200" i="22"/>
  <c r="I200" i="22"/>
  <c r="H200" i="22"/>
  <c r="J155" i="3"/>
  <c r="K155" i="3" s="1"/>
  <c r="O154" i="3"/>
  <c r="V154" i="3"/>
  <c r="U154" i="3"/>
  <c r="L155" i="3" l="1"/>
  <c r="M155" i="3" s="1"/>
  <c r="Q155" i="3" s="1"/>
  <c r="F201" i="22"/>
  <c r="G201" i="22" s="1"/>
  <c r="H201" i="22" s="1"/>
  <c r="E201" i="22"/>
  <c r="M200" i="22"/>
  <c r="N200" i="22" s="1"/>
  <c r="O200" i="22" s="1"/>
  <c r="C190" i="3" s="1"/>
  <c r="P155" i="3" l="1"/>
  <c r="W155" i="3" s="1"/>
  <c r="N155" i="3"/>
  <c r="E202" i="22"/>
  <c r="F202" i="22"/>
  <c r="G202" i="22" s="1"/>
  <c r="I202" i="22" s="1"/>
  <c r="J201" i="22"/>
  <c r="L201" i="22" s="1"/>
  <c r="K201" i="22"/>
  <c r="I201" i="22"/>
  <c r="J156" i="3"/>
  <c r="K156" i="3" s="1"/>
  <c r="L156" i="3" s="1"/>
  <c r="M156" i="3" s="1"/>
  <c r="O155" i="3"/>
  <c r="V155" i="3"/>
  <c r="U155" i="3"/>
  <c r="N156" i="3" l="1"/>
  <c r="P156" i="3"/>
  <c r="W156" i="3" s="1"/>
  <c r="Q156" i="3"/>
  <c r="M201" i="22"/>
  <c r="N201" i="22" s="1"/>
  <c r="O201" i="22" s="1"/>
  <c r="C191" i="3" s="1"/>
  <c r="J202" i="22"/>
  <c r="L202" i="22" s="1"/>
  <c r="H202" i="22"/>
  <c r="M202" i="22" l="1"/>
  <c r="K202" i="22"/>
  <c r="V156" i="3"/>
  <c r="U156" i="3"/>
  <c r="F203" i="22"/>
  <c r="E203" i="22"/>
  <c r="J157" i="3"/>
  <c r="K157" i="3" s="1"/>
  <c r="O156" i="3"/>
  <c r="L157" i="3" l="1"/>
  <c r="M157" i="3" s="1"/>
  <c r="N202" i="22"/>
  <c r="O202" i="22" s="1"/>
  <c r="C192" i="3" s="1"/>
  <c r="G203" i="22"/>
  <c r="J203" i="22" l="1"/>
  <c r="L203" i="22" s="1"/>
  <c r="I203" i="22"/>
  <c r="H203" i="22"/>
  <c r="P157" i="3"/>
  <c r="W157" i="3" s="1"/>
  <c r="N157" i="3"/>
  <c r="Q157" i="3"/>
  <c r="V157" i="3" l="1"/>
  <c r="U157" i="3"/>
  <c r="J158" i="3"/>
  <c r="K158" i="3" s="1"/>
  <c r="O157" i="3"/>
  <c r="F204" i="22"/>
  <c r="G204" i="22" s="1"/>
  <c r="E204" i="22"/>
  <c r="M203" i="22"/>
  <c r="K203" i="22"/>
  <c r="J204" i="22" l="1"/>
  <c r="L204" i="22" s="1"/>
  <c r="I204" i="22"/>
  <c r="H204" i="22"/>
  <c r="N203" i="22"/>
  <c r="O203" i="22" s="1"/>
  <c r="C193" i="3" s="1"/>
  <c r="L158" i="3"/>
  <c r="M158" i="3" s="1"/>
  <c r="Q158" i="3" l="1"/>
  <c r="N158" i="3"/>
  <c r="P158" i="3"/>
  <c r="W158" i="3" s="1"/>
  <c r="F205" i="22"/>
  <c r="G205" i="22" s="1"/>
  <c r="E205" i="22"/>
  <c r="M204" i="22"/>
  <c r="K204" i="22"/>
  <c r="J205" i="22" l="1"/>
  <c r="L205" i="22" s="1"/>
  <c r="J159" i="3"/>
  <c r="K159" i="3" s="1"/>
  <c r="O158" i="3"/>
  <c r="H205" i="22"/>
  <c r="I205" i="22"/>
  <c r="N204" i="22"/>
  <c r="O204" i="22" s="1"/>
  <c r="C194" i="3" s="1"/>
  <c r="V158" i="3"/>
  <c r="U158" i="3"/>
  <c r="E206" i="22" l="1"/>
  <c r="F206" i="22"/>
  <c r="G206" i="22" s="1"/>
  <c r="M205" i="22"/>
  <c r="N205" i="22" s="1"/>
  <c r="O205" i="22" s="1"/>
  <c r="C195" i="3" s="1"/>
  <c r="L159" i="3"/>
  <c r="M159" i="3" s="1"/>
  <c r="K205" i="22"/>
  <c r="N159" i="3" l="1"/>
  <c r="Q159" i="3"/>
  <c r="P159" i="3"/>
  <c r="W159" i="3" s="1"/>
  <c r="J206" i="22"/>
  <c r="L206" i="22" s="1"/>
  <c r="I206" i="22"/>
  <c r="H206" i="22"/>
  <c r="E207" i="22" l="1"/>
  <c r="F207" i="22"/>
  <c r="G207" i="22" s="1"/>
  <c r="M206" i="22"/>
  <c r="K206" i="22"/>
  <c r="V159" i="3"/>
  <c r="U159" i="3"/>
  <c r="J160" i="3"/>
  <c r="K160" i="3" s="1"/>
  <c r="O159" i="3"/>
  <c r="N206" i="22" l="1"/>
  <c r="O206" i="22" s="1"/>
  <c r="C196" i="3" s="1"/>
  <c r="J207" i="22"/>
  <c r="L207" i="22" s="1"/>
  <c r="K207" i="22"/>
  <c r="H207" i="22"/>
  <c r="L160" i="3"/>
  <c r="M160" i="3" s="1"/>
  <c r="I207" i="22"/>
  <c r="F208" i="22" l="1"/>
  <c r="E208" i="22"/>
  <c r="N160" i="3"/>
  <c r="Q160" i="3"/>
  <c r="P160" i="3"/>
  <c r="W160" i="3" s="1"/>
  <c r="M207" i="22"/>
  <c r="N207" i="22" s="1"/>
  <c r="O207" i="22" s="1"/>
  <c r="C197" i="3" s="1"/>
  <c r="V160" i="3" l="1"/>
  <c r="U160" i="3"/>
  <c r="J161" i="3"/>
  <c r="K161" i="3" s="1"/>
  <c r="O160" i="3"/>
  <c r="G208" i="22"/>
  <c r="J208" i="22" l="1"/>
  <c r="L208" i="22" s="1"/>
  <c r="H208" i="22"/>
  <c r="I208" i="22"/>
  <c r="L161" i="3"/>
  <c r="M161" i="3" s="1"/>
  <c r="Q161" i="3" l="1"/>
  <c r="P161" i="3"/>
  <c r="W161" i="3" s="1"/>
  <c r="N161" i="3"/>
  <c r="F209" i="22"/>
  <c r="G209" i="22" s="1"/>
  <c r="H209" i="22" s="1"/>
  <c r="E209" i="22"/>
  <c r="M208" i="22"/>
  <c r="K208" i="22"/>
  <c r="E210" i="22" l="1"/>
  <c r="F210" i="22"/>
  <c r="G210" i="22" s="1"/>
  <c r="I209" i="22"/>
  <c r="N208" i="22"/>
  <c r="O208" i="22" s="1"/>
  <c r="C198" i="3" s="1"/>
  <c r="J209" i="22"/>
  <c r="L209" i="22" s="1"/>
  <c r="J162" i="3"/>
  <c r="K162" i="3" s="1"/>
  <c r="O161" i="3"/>
  <c r="V161" i="3"/>
  <c r="U161" i="3"/>
  <c r="M209" i="22" l="1"/>
  <c r="K209" i="22"/>
  <c r="J210" i="22"/>
  <c r="L210" i="22" s="1"/>
  <c r="K210" i="22"/>
  <c r="L162" i="3"/>
  <c r="M162" i="3" s="1"/>
  <c r="H210" i="22"/>
  <c r="I210" i="22"/>
  <c r="M210" i="22" l="1"/>
  <c r="N210" i="22" s="1"/>
  <c r="O210" i="22" s="1"/>
  <c r="C200" i="3" s="1"/>
  <c r="E211" i="22"/>
  <c r="F211" i="22"/>
  <c r="G211" i="22" s="1"/>
  <c r="P162" i="3"/>
  <c r="W162" i="3" s="1"/>
  <c r="Q162" i="3"/>
  <c r="N162" i="3"/>
  <c r="N209" i="22"/>
  <c r="O209" i="22" s="1"/>
  <c r="C199" i="3" s="1"/>
  <c r="J163" i="3" l="1"/>
  <c r="K163" i="3" s="1"/>
  <c r="O162" i="3"/>
  <c r="J211" i="22"/>
  <c r="L211" i="22" s="1"/>
  <c r="I211" i="22"/>
  <c r="H211" i="22"/>
  <c r="V162" i="3"/>
  <c r="U162" i="3"/>
  <c r="E212" i="22" l="1"/>
  <c r="F212" i="22"/>
  <c r="G212" i="22" s="1"/>
  <c r="K211" i="22"/>
  <c r="M211" i="22"/>
  <c r="N211" i="22" s="1"/>
  <c r="O211" i="22" s="1"/>
  <c r="C201" i="3" s="1"/>
  <c r="L163" i="3"/>
  <c r="M163" i="3" s="1"/>
  <c r="J212" i="22" l="1"/>
  <c r="L212" i="22" s="1"/>
  <c r="H212" i="22"/>
  <c r="Q163" i="3"/>
  <c r="N163" i="3"/>
  <c r="P163" i="3"/>
  <c r="W163" i="3" s="1"/>
  <c r="I212" i="22"/>
  <c r="J164" i="3" l="1"/>
  <c r="K164" i="3" s="1"/>
  <c r="O163" i="3"/>
  <c r="V163" i="3"/>
  <c r="U163" i="3"/>
  <c r="F213" i="22"/>
  <c r="G213" i="22" s="1"/>
  <c r="I213" i="22" s="1"/>
  <c r="E213" i="22"/>
  <c r="M212" i="22"/>
  <c r="K212" i="22"/>
  <c r="N212" i="22" l="1"/>
  <c r="O212" i="22" s="1"/>
  <c r="C202" i="3" s="1"/>
  <c r="J213" i="22"/>
  <c r="L213" i="22" s="1"/>
  <c r="K213" i="22"/>
  <c r="H213" i="22"/>
  <c r="L164" i="3"/>
  <c r="M164" i="3" s="1"/>
  <c r="N164" i="3" l="1"/>
  <c r="Q164" i="3"/>
  <c r="P164" i="3"/>
  <c r="W164" i="3" s="1"/>
  <c r="E214" i="22"/>
  <c r="F214" i="22"/>
  <c r="G214" i="22" s="1"/>
  <c r="I214" i="22" s="1"/>
  <c r="M213" i="22"/>
  <c r="N213" i="22" s="1"/>
  <c r="O213" i="22" s="1"/>
  <c r="C203" i="3" s="1"/>
  <c r="H214" i="22" l="1"/>
  <c r="J214" i="22"/>
  <c r="L214" i="22" s="1"/>
  <c r="V164" i="3"/>
  <c r="U164" i="3"/>
  <c r="J165" i="3"/>
  <c r="K165" i="3" s="1"/>
  <c r="O164" i="3"/>
  <c r="L165" i="3" l="1"/>
  <c r="M165" i="3" s="1"/>
  <c r="M214" i="22"/>
  <c r="K214" i="22"/>
  <c r="E215" i="22"/>
  <c r="F215" i="22"/>
  <c r="N214" i="22" l="1"/>
  <c r="O214" i="22" s="1"/>
  <c r="C204" i="3" s="1"/>
  <c r="G215" i="22"/>
  <c r="N165" i="3"/>
  <c r="P165" i="3"/>
  <c r="W165" i="3" s="1"/>
  <c r="Q165" i="3"/>
  <c r="V165" i="3" l="1"/>
  <c r="U165" i="3"/>
  <c r="J166" i="3"/>
  <c r="K166" i="3" s="1"/>
  <c r="O165" i="3"/>
  <c r="J215" i="22"/>
  <c r="L215" i="22" s="1"/>
  <c r="I215" i="22"/>
  <c r="H215" i="22"/>
  <c r="M215" i="22" l="1"/>
  <c r="K215" i="22"/>
  <c r="L166" i="3"/>
  <c r="M166" i="3" s="1"/>
  <c r="E216" i="22"/>
  <c r="F216" i="22"/>
  <c r="Q166" i="3" l="1"/>
  <c r="N166" i="3"/>
  <c r="P166" i="3"/>
  <c r="W166" i="3" s="1"/>
  <c r="N215" i="22"/>
  <c r="O215" i="22" s="1"/>
  <c r="C205" i="3" s="1"/>
  <c r="G216" i="22"/>
  <c r="J216" i="22" l="1"/>
  <c r="L216" i="22" s="1"/>
  <c r="H216" i="22"/>
  <c r="I216" i="22"/>
  <c r="J167" i="3"/>
  <c r="K167" i="3" s="1"/>
  <c r="O166" i="3"/>
  <c r="V166" i="3"/>
  <c r="U166" i="3"/>
  <c r="L167" i="3" l="1"/>
  <c r="M167" i="3" s="1"/>
  <c r="N167" i="3" s="1"/>
  <c r="P167" i="3"/>
  <c r="W167" i="3" s="1"/>
  <c r="E217" i="22"/>
  <c r="F217" i="22"/>
  <c r="G217" i="22" s="1"/>
  <c r="M216" i="22"/>
  <c r="K216" i="22"/>
  <c r="Q167" i="3" l="1"/>
  <c r="J217" i="22"/>
  <c r="L217" i="22" s="1"/>
  <c r="K217" i="22"/>
  <c r="I217" i="22"/>
  <c r="H217" i="22"/>
  <c r="N216" i="22"/>
  <c r="O216" i="22" s="1"/>
  <c r="C206" i="3" s="1"/>
  <c r="V167" i="3"/>
  <c r="U167" i="3"/>
  <c r="J168" i="3"/>
  <c r="K168" i="3" s="1"/>
  <c r="O167" i="3"/>
  <c r="F218" i="22" l="1"/>
  <c r="E218" i="22"/>
  <c r="L168" i="3"/>
  <c r="M168" i="3" s="1"/>
  <c r="M217" i="22"/>
  <c r="N217" i="22" s="1"/>
  <c r="O217" i="22" s="1"/>
  <c r="C207" i="3" s="1"/>
  <c r="Q168" i="3" l="1"/>
  <c r="N168" i="3"/>
  <c r="P168" i="3"/>
  <c r="W168" i="3" s="1"/>
  <c r="G218" i="22"/>
  <c r="J218" i="22" l="1"/>
  <c r="L218" i="22" s="1"/>
  <c r="I218" i="22"/>
  <c r="H218" i="22"/>
  <c r="J169" i="3"/>
  <c r="K169" i="3" s="1"/>
  <c r="O168" i="3"/>
  <c r="V168" i="3"/>
  <c r="U168" i="3"/>
  <c r="F219" i="22" l="1"/>
  <c r="E219" i="22"/>
  <c r="L169" i="3"/>
  <c r="M169" i="3" s="1"/>
  <c r="M218" i="22"/>
  <c r="N218" i="22" s="1"/>
  <c r="O218" i="22" s="1"/>
  <c r="C208" i="3" s="1"/>
  <c r="K218" i="22"/>
  <c r="N169" i="3" l="1"/>
  <c r="P169" i="3"/>
  <c r="W169" i="3" s="1"/>
  <c r="Q169" i="3"/>
  <c r="G219" i="22"/>
  <c r="J219" i="22" l="1"/>
  <c r="L219" i="22" s="1"/>
  <c r="I219" i="22"/>
  <c r="H219" i="22"/>
  <c r="V169" i="3"/>
  <c r="U169" i="3"/>
  <c r="J170" i="3"/>
  <c r="K170" i="3" s="1"/>
  <c r="O169" i="3"/>
  <c r="L170" i="3" l="1"/>
  <c r="M170" i="3" s="1"/>
  <c r="P170" i="3"/>
  <c r="W170" i="3" s="1"/>
  <c r="Q170" i="3"/>
  <c r="N170" i="3"/>
  <c r="E220" i="22"/>
  <c r="F220" i="22"/>
  <c r="G220" i="22" s="1"/>
  <c r="M219" i="22"/>
  <c r="K219" i="22"/>
  <c r="J171" i="3" l="1"/>
  <c r="K171" i="3" s="1"/>
  <c r="O170" i="3"/>
  <c r="J220" i="22"/>
  <c r="L220" i="22" s="1"/>
  <c r="K220" i="22"/>
  <c r="H220" i="22"/>
  <c r="I220" i="22"/>
  <c r="N219" i="22"/>
  <c r="O219" i="22" s="1"/>
  <c r="C209" i="3" s="1"/>
  <c r="V170" i="3"/>
  <c r="U170" i="3"/>
  <c r="F221" i="22" l="1"/>
  <c r="G221" i="22" s="1"/>
  <c r="E221" i="22"/>
  <c r="M220" i="22"/>
  <c r="N220" i="22" s="1"/>
  <c r="O220" i="22" s="1"/>
  <c r="C210" i="3" s="1"/>
  <c r="L171" i="3"/>
  <c r="M171" i="3" s="1"/>
  <c r="Q171" i="3" l="1"/>
  <c r="N171" i="3"/>
  <c r="P171" i="3"/>
  <c r="W171" i="3" s="1"/>
  <c r="J221" i="22"/>
  <c r="L221" i="22" s="1"/>
  <c r="H221" i="22"/>
  <c r="I221" i="22"/>
  <c r="M221" i="22" l="1"/>
  <c r="F222" i="22"/>
  <c r="E222" i="22"/>
  <c r="K221" i="22"/>
  <c r="J172" i="3"/>
  <c r="K172" i="3" s="1"/>
  <c r="O171" i="3"/>
  <c r="V171" i="3"/>
  <c r="U171" i="3"/>
  <c r="L172" i="3" l="1"/>
  <c r="M172" i="3" s="1"/>
  <c r="Q172" i="3" s="1"/>
  <c r="N172" i="3"/>
  <c r="P172" i="3"/>
  <c r="W172" i="3" s="1"/>
  <c r="N221" i="22"/>
  <c r="O221" i="22" s="1"/>
  <c r="C211" i="3" s="1"/>
  <c r="G222" i="22"/>
  <c r="J222" i="22" l="1"/>
  <c r="L222" i="22" s="1"/>
  <c r="K222" i="22"/>
  <c r="I222" i="22"/>
  <c r="H222" i="22"/>
  <c r="J173" i="3"/>
  <c r="K173" i="3" s="1"/>
  <c r="O172" i="3"/>
  <c r="V172" i="3"/>
  <c r="U172" i="3"/>
  <c r="L173" i="3" l="1"/>
  <c r="M173" i="3" s="1"/>
  <c r="N173" i="3"/>
  <c r="Q173" i="3"/>
  <c r="P173" i="3"/>
  <c r="W173" i="3" s="1"/>
  <c r="E223" i="22"/>
  <c r="F223" i="22"/>
  <c r="G223" i="22" s="1"/>
  <c r="M222" i="22"/>
  <c r="N222" i="22" s="1"/>
  <c r="O222" i="22" s="1"/>
  <c r="C212" i="3" s="1"/>
  <c r="V173" i="3" l="1"/>
  <c r="U173" i="3"/>
  <c r="J223" i="22"/>
  <c r="L223" i="22" s="1"/>
  <c r="I223" i="22"/>
  <c r="H223" i="22"/>
  <c r="J174" i="3"/>
  <c r="K174" i="3" s="1"/>
  <c r="O173" i="3"/>
  <c r="L174" i="3" l="1"/>
  <c r="M174" i="3" s="1"/>
  <c r="Q174" i="3"/>
  <c r="N174" i="3"/>
  <c r="P174" i="3"/>
  <c r="W174" i="3" s="1"/>
  <c r="E224" i="22"/>
  <c r="F224" i="22"/>
  <c r="G224" i="22" s="1"/>
  <c r="K223" i="22"/>
  <c r="M223" i="22"/>
  <c r="J224" i="22" l="1"/>
  <c r="L224" i="22" s="1"/>
  <c r="I224" i="22"/>
  <c r="H224" i="22"/>
  <c r="N223" i="22"/>
  <c r="O223" i="22" s="1"/>
  <c r="C213" i="3" s="1"/>
  <c r="J175" i="3"/>
  <c r="K175" i="3" s="1"/>
  <c r="O174" i="3"/>
  <c r="V174" i="3"/>
  <c r="U174" i="3"/>
  <c r="M224" i="22" l="1"/>
  <c r="N224" i="22" s="1"/>
  <c r="O224" i="22" s="1"/>
  <c r="C214" i="3" s="1"/>
  <c r="L175" i="3"/>
  <c r="M175" i="3" s="1"/>
  <c r="F225" i="22"/>
  <c r="G225" i="22" s="1"/>
  <c r="E225" i="22"/>
  <c r="K224" i="22"/>
  <c r="J225" i="22" l="1"/>
  <c r="L225" i="22" s="1"/>
  <c r="N175" i="3"/>
  <c r="Q175" i="3"/>
  <c r="P175" i="3"/>
  <c r="W175" i="3" s="1"/>
  <c r="H225" i="22"/>
  <c r="I225" i="22"/>
  <c r="E226" i="22" l="1"/>
  <c r="F226" i="22"/>
  <c r="G226" i="22" s="1"/>
  <c r="V175" i="3"/>
  <c r="U175" i="3"/>
  <c r="J176" i="3"/>
  <c r="K176" i="3" s="1"/>
  <c r="L176" i="3" s="1"/>
  <c r="M176" i="3" s="1"/>
  <c r="O175" i="3"/>
  <c r="M225" i="22"/>
  <c r="K225" i="22"/>
  <c r="Q176" i="3" l="1"/>
  <c r="N176" i="3"/>
  <c r="P176" i="3"/>
  <c r="W176" i="3" s="1"/>
  <c r="N225" i="22"/>
  <c r="O225" i="22" s="1"/>
  <c r="C215" i="3" s="1"/>
  <c r="J226" i="22"/>
  <c r="L226" i="22" s="1"/>
  <c r="K226" i="22"/>
  <c r="I226" i="22"/>
  <c r="H226" i="22"/>
  <c r="F227" i="22" l="1"/>
  <c r="E227" i="22"/>
  <c r="M226" i="22"/>
  <c r="N226" i="22" s="1"/>
  <c r="O226" i="22" s="1"/>
  <c r="C216" i="3" s="1"/>
  <c r="J177" i="3"/>
  <c r="K177" i="3" s="1"/>
  <c r="O176" i="3"/>
  <c r="V176" i="3"/>
  <c r="U176" i="3"/>
  <c r="L177" i="3" l="1"/>
  <c r="M177" i="3" s="1"/>
  <c r="N177" i="3" s="1"/>
  <c r="Q177" i="3"/>
  <c r="P177" i="3"/>
  <c r="W177" i="3" s="1"/>
  <c r="G227" i="22"/>
  <c r="V177" i="3" l="1"/>
  <c r="U177" i="3"/>
  <c r="J227" i="22"/>
  <c r="L227" i="22" s="1"/>
  <c r="I227" i="22"/>
  <c r="H227" i="22"/>
  <c r="J178" i="3"/>
  <c r="K178" i="3" s="1"/>
  <c r="O177" i="3"/>
  <c r="L178" i="3" l="1"/>
  <c r="M178" i="3" s="1"/>
  <c r="P178" i="3" s="1"/>
  <c r="W178" i="3" s="1"/>
  <c r="N178" i="3"/>
  <c r="Q178" i="3"/>
  <c r="M227" i="22"/>
  <c r="K227" i="22"/>
  <c r="H228" i="22"/>
  <c r="E228" i="22"/>
  <c r="F228" i="22"/>
  <c r="G228" i="22" s="1"/>
  <c r="J228" i="22" l="1"/>
  <c r="L228" i="22" s="1"/>
  <c r="J179" i="3"/>
  <c r="K179" i="3" s="1"/>
  <c r="O178" i="3"/>
  <c r="E229" i="22"/>
  <c r="F229" i="22"/>
  <c r="N227" i="22"/>
  <c r="O227" i="22" s="1"/>
  <c r="C217" i="3" s="1"/>
  <c r="V178" i="3"/>
  <c r="U178" i="3"/>
  <c r="I228" i="22"/>
  <c r="L179" i="3" l="1"/>
  <c r="M179" i="3" s="1"/>
  <c r="M228" i="22"/>
  <c r="G229" i="22"/>
  <c r="K228" i="22"/>
  <c r="J229" i="22" l="1"/>
  <c r="L229" i="22" s="1"/>
  <c r="K229" i="22"/>
  <c r="H229" i="22"/>
  <c r="I229" i="22"/>
  <c r="N228" i="22"/>
  <c r="O228" i="22" s="1"/>
  <c r="C218" i="3" s="1"/>
  <c r="Q179" i="3"/>
  <c r="N179" i="3"/>
  <c r="P179" i="3"/>
  <c r="W179" i="3" s="1"/>
  <c r="J180" i="3" l="1"/>
  <c r="K180" i="3" s="1"/>
  <c r="O179" i="3"/>
  <c r="V179" i="3"/>
  <c r="U179" i="3"/>
  <c r="E230" i="22"/>
  <c r="F230" i="22"/>
  <c r="M229" i="22"/>
  <c r="N229" i="22" s="1"/>
  <c r="O229" i="22" s="1"/>
  <c r="C219" i="3" s="1"/>
  <c r="L180" i="3" l="1"/>
  <c r="M180" i="3" s="1"/>
  <c r="G230" i="22"/>
  <c r="J230" i="22" l="1"/>
  <c r="L230" i="22" s="1"/>
  <c r="H230" i="22"/>
  <c r="I230" i="22"/>
  <c r="Q180" i="3"/>
  <c r="N180" i="3"/>
  <c r="P180" i="3"/>
  <c r="W180" i="3" s="1"/>
  <c r="J181" i="3" l="1"/>
  <c r="K181" i="3" s="1"/>
  <c r="O180" i="3"/>
  <c r="E231" i="22"/>
  <c r="F231" i="22"/>
  <c r="G231" i="22" s="1"/>
  <c r="V180" i="3"/>
  <c r="U180" i="3"/>
  <c r="M230" i="22"/>
  <c r="K230" i="22"/>
  <c r="J231" i="22" l="1"/>
  <c r="L231" i="22" s="1"/>
  <c r="H231" i="22"/>
  <c r="N230" i="22"/>
  <c r="O230" i="22" s="1"/>
  <c r="C220" i="3" s="1"/>
  <c r="I231" i="22"/>
  <c r="L181" i="3"/>
  <c r="M181" i="3" s="1"/>
  <c r="N181" i="3" l="1"/>
  <c r="Q181" i="3"/>
  <c r="P181" i="3"/>
  <c r="W181" i="3" s="1"/>
  <c r="E232" i="22"/>
  <c r="F232" i="22"/>
  <c r="G232" i="22" s="1"/>
  <c r="H232" i="22" s="1"/>
  <c r="M231" i="22"/>
  <c r="K231" i="22"/>
  <c r="E233" i="22" l="1"/>
  <c r="F233" i="22"/>
  <c r="G233" i="22" s="1"/>
  <c r="I232" i="22"/>
  <c r="J232" i="22"/>
  <c r="L232" i="22" s="1"/>
  <c r="N231" i="22"/>
  <c r="O231" i="22" s="1"/>
  <c r="C221" i="3" s="1"/>
  <c r="V181" i="3"/>
  <c r="U181" i="3"/>
  <c r="J182" i="3"/>
  <c r="K182" i="3" s="1"/>
  <c r="O181" i="3"/>
  <c r="L182" i="3" l="1"/>
  <c r="M182" i="3" s="1"/>
  <c r="M232" i="22"/>
  <c r="K232" i="22"/>
  <c r="J233" i="22"/>
  <c r="L233" i="22" s="1"/>
  <c r="K233" i="22"/>
  <c r="H233" i="22"/>
  <c r="I233" i="22"/>
  <c r="M233" i="22" l="1"/>
  <c r="N233" i="22" s="1"/>
  <c r="O233" i="22" s="1"/>
  <c r="C223" i="3" s="1"/>
  <c r="F234" i="22"/>
  <c r="G234" i="22" s="1"/>
  <c r="E234" i="22"/>
  <c r="N232" i="22"/>
  <c r="O232" i="22" s="1"/>
  <c r="C222" i="3" s="1"/>
  <c r="Q182" i="3"/>
  <c r="P182" i="3"/>
  <c r="W182" i="3" s="1"/>
  <c r="N182" i="3"/>
  <c r="J234" i="22" l="1"/>
  <c r="L234" i="22" s="1"/>
  <c r="K234" i="22"/>
  <c r="I234" i="22"/>
  <c r="J183" i="3"/>
  <c r="K183" i="3" s="1"/>
  <c r="O182" i="3"/>
  <c r="H234" i="22"/>
  <c r="V182" i="3"/>
  <c r="U182" i="3"/>
  <c r="E235" i="22" l="1"/>
  <c r="F235" i="22"/>
  <c r="G235" i="22" s="1"/>
  <c r="L183" i="3"/>
  <c r="M183" i="3" s="1"/>
  <c r="M234" i="22"/>
  <c r="N234" i="22" s="1"/>
  <c r="O234" i="22" s="1"/>
  <c r="C224" i="3" s="1"/>
  <c r="J235" i="22" l="1"/>
  <c r="L235" i="22" s="1"/>
  <c r="K235" i="22"/>
  <c r="N183" i="3"/>
  <c r="P183" i="3"/>
  <c r="W183" i="3" s="1"/>
  <c r="Q183" i="3"/>
  <c r="I235" i="22"/>
  <c r="H235" i="22"/>
  <c r="V183" i="3" l="1"/>
  <c r="U183" i="3"/>
  <c r="E236" i="22"/>
  <c r="F236" i="22"/>
  <c r="G236" i="22" s="1"/>
  <c r="J184" i="3"/>
  <c r="K184" i="3" s="1"/>
  <c r="O183" i="3"/>
  <c r="M235" i="22"/>
  <c r="N235" i="22" s="1"/>
  <c r="O235" i="22" s="1"/>
  <c r="C225" i="3" s="1"/>
  <c r="L184" i="3" l="1"/>
  <c r="M184" i="3" s="1"/>
  <c r="Q184" i="3" s="1"/>
  <c r="N184" i="3"/>
  <c r="P184" i="3"/>
  <c r="W184" i="3" s="1"/>
  <c r="J236" i="22"/>
  <c r="L236" i="22" s="1"/>
  <c r="K236" i="22"/>
  <c r="H236" i="22"/>
  <c r="I236" i="22"/>
  <c r="E237" i="22" l="1"/>
  <c r="F237" i="22"/>
  <c r="G237" i="22" s="1"/>
  <c r="M236" i="22"/>
  <c r="N236" i="22" s="1"/>
  <c r="O236" i="22" s="1"/>
  <c r="C226" i="3" s="1"/>
  <c r="J185" i="3"/>
  <c r="K185" i="3" s="1"/>
  <c r="O184" i="3"/>
  <c r="V184" i="3"/>
  <c r="U184" i="3"/>
  <c r="L185" i="3" l="1"/>
  <c r="M185" i="3" s="1"/>
  <c r="Q185" i="3"/>
  <c r="N185" i="3"/>
  <c r="P185" i="3"/>
  <c r="W185" i="3" s="1"/>
  <c r="J237" i="22"/>
  <c r="L237" i="22" s="1"/>
  <c r="I237" i="22"/>
  <c r="H237" i="22"/>
  <c r="F238" i="22" l="1"/>
  <c r="E238" i="22"/>
  <c r="M237" i="22"/>
  <c r="K237" i="22"/>
  <c r="J186" i="3"/>
  <c r="K186" i="3" s="1"/>
  <c r="O185" i="3"/>
  <c r="V185" i="3"/>
  <c r="U185" i="3"/>
  <c r="N237" i="22" l="1"/>
  <c r="O237" i="22" s="1"/>
  <c r="C227" i="3" s="1"/>
  <c r="G238" i="22"/>
  <c r="L186" i="3"/>
  <c r="M186" i="3" s="1"/>
  <c r="N186" i="3" l="1"/>
  <c r="P186" i="3"/>
  <c r="W186" i="3" s="1"/>
  <c r="Q186" i="3"/>
  <c r="J238" i="22"/>
  <c r="L238" i="22" s="1"/>
  <c r="K238" i="22"/>
  <c r="H238" i="22"/>
  <c r="I238" i="22"/>
  <c r="E239" i="22" l="1"/>
  <c r="F239" i="22"/>
  <c r="G239" i="22" s="1"/>
  <c r="M238" i="22"/>
  <c r="N238" i="22" s="1"/>
  <c r="O238" i="22" s="1"/>
  <c r="C228" i="3" s="1"/>
  <c r="V186" i="3"/>
  <c r="U186" i="3"/>
  <c r="J187" i="3"/>
  <c r="K187" i="3" s="1"/>
  <c r="O186" i="3"/>
  <c r="J239" i="22" l="1"/>
  <c r="L239" i="22" s="1"/>
  <c r="K239" i="22"/>
  <c r="L187" i="3"/>
  <c r="M187" i="3" s="1"/>
  <c r="I239" i="22"/>
  <c r="H239" i="22"/>
  <c r="E240" i="22" l="1"/>
  <c r="F240" i="22"/>
  <c r="G240" i="22" s="1"/>
  <c r="Q187" i="3"/>
  <c r="N187" i="3"/>
  <c r="P187" i="3"/>
  <c r="W187" i="3" s="1"/>
  <c r="M239" i="22"/>
  <c r="N239" i="22" s="1"/>
  <c r="O239" i="22" s="1"/>
  <c r="C229" i="3" s="1"/>
  <c r="J240" i="22" l="1"/>
  <c r="L240" i="22" s="1"/>
  <c r="J188" i="3"/>
  <c r="K188" i="3" s="1"/>
  <c r="O187" i="3"/>
  <c r="V187" i="3"/>
  <c r="U187" i="3"/>
  <c r="H240" i="22"/>
  <c r="I240" i="22"/>
  <c r="E241" i="22" l="1"/>
  <c r="F241" i="22"/>
  <c r="G241" i="22" s="1"/>
  <c r="L188" i="3"/>
  <c r="M188" i="3" s="1"/>
  <c r="M240" i="22"/>
  <c r="N240" i="22" s="1"/>
  <c r="O240" i="22" s="1"/>
  <c r="C230" i="3" s="1"/>
  <c r="K240" i="22"/>
  <c r="J241" i="22" l="1"/>
  <c r="L241" i="22" s="1"/>
  <c r="K241" i="22"/>
  <c r="Q188" i="3"/>
  <c r="P188" i="3"/>
  <c r="W188" i="3" s="1"/>
  <c r="N188" i="3"/>
  <c r="H241" i="22"/>
  <c r="I241" i="22"/>
  <c r="J189" i="3" l="1"/>
  <c r="K189" i="3" s="1"/>
  <c r="O188" i="3"/>
  <c r="E242" i="22"/>
  <c r="F242" i="22"/>
  <c r="G242" i="22" s="1"/>
  <c r="H242" i="22" s="1"/>
  <c r="V188" i="3"/>
  <c r="U188" i="3"/>
  <c r="M241" i="22"/>
  <c r="N241" i="22" s="1"/>
  <c r="O241" i="22" s="1"/>
  <c r="C231" i="3" s="1"/>
  <c r="E243" i="22" l="1"/>
  <c r="F243" i="22"/>
  <c r="G243" i="22" s="1"/>
  <c r="J242" i="22"/>
  <c r="L242" i="22" s="1"/>
  <c r="K242" i="22"/>
  <c r="I242" i="22"/>
  <c r="L189" i="3"/>
  <c r="M189" i="3" s="1"/>
  <c r="J243" i="22" l="1"/>
  <c r="K243" i="22"/>
  <c r="Q189" i="3"/>
  <c r="N189" i="3"/>
  <c r="P189" i="3"/>
  <c r="W189" i="3" s="1"/>
  <c r="L243" i="22"/>
  <c r="M242" i="22"/>
  <c r="N242" i="22" s="1"/>
  <c r="O242" i="22" s="1"/>
  <c r="C232" i="3" s="1"/>
  <c r="H243" i="22"/>
  <c r="I243" i="22"/>
  <c r="M243" i="22" l="1"/>
  <c r="N243" i="22" s="1"/>
  <c r="O243" i="22" s="1"/>
  <c r="C233" i="3" s="1"/>
  <c r="J190" i="3"/>
  <c r="K190" i="3" s="1"/>
  <c r="O189" i="3"/>
  <c r="V189" i="3"/>
  <c r="U189" i="3"/>
  <c r="E244" i="22"/>
  <c r="F244" i="22"/>
  <c r="G244" i="22" s="1"/>
  <c r="L190" i="3" l="1"/>
  <c r="M190" i="3" s="1"/>
  <c r="J244" i="22"/>
  <c r="L244" i="22" s="1"/>
  <c r="K244" i="22"/>
  <c r="I244" i="22"/>
  <c r="H244" i="22"/>
  <c r="E245" i="22" l="1"/>
  <c r="F245" i="22"/>
  <c r="G245" i="22" s="1"/>
  <c r="H245" i="22" s="1"/>
  <c r="M244" i="22"/>
  <c r="N244" i="22" s="1"/>
  <c r="O244" i="22" s="1"/>
  <c r="C234" i="3" s="1"/>
  <c r="Q190" i="3"/>
  <c r="N190" i="3"/>
  <c r="P190" i="3"/>
  <c r="W190" i="3" s="1"/>
  <c r="E246" i="22" l="1"/>
  <c r="F246" i="22"/>
  <c r="G246" i="22" s="1"/>
  <c r="I246" i="22" s="1"/>
  <c r="V190" i="3"/>
  <c r="U190" i="3"/>
  <c r="J245" i="22"/>
  <c r="L245" i="22" s="1"/>
  <c r="J191" i="3"/>
  <c r="K191" i="3" s="1"/>
  <c r="O190" i="3"/>
  <c r="I245" i="22"/>
  <c r="M245" i="22" l="1"/>
  <c r="N245" i="22" s="1"/>
  <c r="O245" i="22" s="1"/>
  <c r="C235" i="3" s="1"/>
  <c r="K245" i="22"/>
  <c r="J246" i="22"/>
  <c r="L246" i="22" s="1"/>
  <c r="L191" i="3"/>
  <c r="M191" i="3" s="1"/>
  <c r="H246" i="22"/>
  <c r="M246" i="22" l="1"/>
  <c r="N191" i="3"/>
  <c r="P191" i="3"/>
  <c r="W191" i="3" s="1"/>
  <c r="Q191" i="3"/>
  <c r="K246" i="22"/>
  <c r="H247" i="22"/>
  <c r="E247" i="22"/>
  <c r="F247" i="22"/>
  <c r="G247" i="22" s="1"/>
  <c r="F248" i="22" l="1"/>
  <c r="E248" i="22"/>
  <c r="V191" i="3"/>
  <c r="U191" i="3"/>
  <c r="J192" i="3"/>
  <c r="K192" i="3" s="1"/>
  <c r="O191" i="3"/>
  <c r="J247" i="22"/>
  <c r="L247" i="22" s="1"/>
  <c r="N246" i="22"/>
  <c r="O246" i="22" s="1"/>
  <c r="C236" i="3" s="1"/>
  <c r="I247" i="22"/>
  <c r="L192" i="3" l="1"/>
  <c r="M192" i="3" s="1"/>
  <c r="Q192" i="3" s="1"/>
  <c r="P192" i="3"/>
  <c r="W192" i="3" s="1"/>
  <c r="M247" i="22"/>
  <c r="G248" i="22"/>
  <c r="K247" i="22"/>
  <c r="N192" i="3" l="1"/>
  <c r="J193" i="3" s="1"/>
  <c r="K193" i="3" s="1"/>
  <c r="J248" i="22"/>
  <c r="L248" i="22" s="1"/>
  <c r="K248" i="22"/>
  <c r="I248" i="22"/>
  <c r="H248" i="22"/>
  <c r="N247" i="22"/>
  <c r="O247" i="22" s="1"/>
  <c r="C237" i="3" s="1"/>
  <c r="O192" i="3"/>
  <c r="V192" i="3"/>
  <c r="U192" i="3"/>
  <c r="L193" i="3" l="1"/>
  <c r="M193" i="3" s="1"/>
  <c r="E249" i="22"/>
  <c r="F249" i="22"/>
  <c r="G249" i="22" s="1"/>
  <c r="M248" i="22"/>
  <c r="N248" i="22" s="1"/>
  <c r="O248" i="22" s="1"/>
  <c r="C238" i="3" s="1"/>
  <c r="J249" i="22" l="1"/>
  <c r="L249" i="22" s="1"/>
  <c r="I249" i="22"/>
  <c r="H249" i="22"/>
  <c r="Q193" i="3"/>
  <c r="N193" i="3"/>
  <c r="P193" i="3"/>
  <c r="W193" i="3" s="1"/>
  <c r="J194" i="3" l="1"/>
  <c r="K194" i="3" s="1"/>
  <c r="O193" i="3"/>
  <c r="V193" i="3"/>
  <c r="U193" i="3"/>
  <c r="F250" i="22"/>
  <c r="G250" i="22" s="1"/>
  <c r="E250" i="22"/>
  <c r="M249" i="22"/>
  <c r="K249" i="22"/>
  <c r="J250" i="22" l="1"/>
  <c r="L250" i="22" s="1"/>
  <c r="K250" i="22"/>
  <c r="I250" i="22"/>
  <c r="H250" i="22"/>
  <c r="N249" i="22"/>
  <c r="O249" i="22" s="1"/>
  <c r="C239" i="3" s="1"/>
  <c r="L194" i="3"/>
  <c r="M194" i="3" s="1"/>
  <c r="N194" i="3" l="1"/>
  <c r="Q194" i="3"/>
  <c r="P194" i="3"/>
  <c r="W194" i="3" s="1"/>
  <c r="E251" i="22"/>
  <c r="F251" i="22"/>
  <c r="G251" i="22" s="1"/>
  <c r="I251" i="22" s="1"/>
  <c r="M250" i="22"/>
  <c r="N250" i="22" s="1"/>
  <c r="O250" i="22" s="1"/>
  <c r="C240" i="3" s="1"/>
  <c r="J251" i="22" l="1"/>
  <c r="L251" i="22" s="1"/>
  <c r="K251" i="22"/>
  <c r="H251" i="22"/>
  <c r="V194" i="3"/>
  <c r="U194" i="3"/>
  <c r="J195" i="3"/>
  <c r="K195" i="3" s="1"/>
  <c r="O194" i="3"/>
  <c r="L195" i="3" l="1"/>
  <c r="M195" i="3" s="1"/>
  <c r="E252" i="22"/>
  <c r="F252" i="22"/>
  <c r="G252" i="22" s="1"/>
  <c r="M251" i="22"/>
  <c r="N251" i="22" s="1"/>
  <c r="O251" i="22" s="1"/>
  <c r="C241" i="3" s="1"/>
  <c r="J252" i="22" l="1"/>
  <c r="L252" i="22" s="1"/>
  <c r="K252" i="22"/>
  <c r="H252" i="22"/>
  <c r="I252" i="22"/>
  <c r="Q195" i="3"/>
  <c r="P195" i="3"/>
  <c r="W195" i="3" s="1"/>
  <c r="N195" i="3"/>
  <c r="J196" i="3" l="1"/>
  <c r="K196" i="3" s="1"/>
  <c r="O195" i="3"/>
  <c r="E253" i="22"/>
  <c r="F253" i="22"/>
  <c r="G253" i="22" s="1"/>
  <c r="V195" i="3"/>
  <c r="U195" i="3"/>
  <c r="M252" i="22"/>
  <c r="N252" i="22" s="1"/>
  <c r="O252" i="22" s="1"/>
  <c r="C242" i="3" s="1"/>
  <c r="J253" i="22" l="1"/>
  <c r="L253" i="22" s="1"/>
  <c r="I253" i="22"/>
  <c r="L196" i="3"/>
  <c r="M196" i="3" s="1"/>
  <c r="H253" i="22"/>
  <c r="F254" i="22" l="1"/>
  <c r="E254" i="22"/>
  <c r="P196" i="3"/>
  <c r="W196" i="3" s="1"/>
  <c r="Q196" i="3"/>
  <c r="N196" i="3"/>
  <c r="M253" i="22"/>
  <c r="K253" i="22"/>
  <c r="J197" i="3" l="1"/>
  <c r="K197" i="3" s="1"/>
  <c r="O196" i="3"/>
  <c r="V196" i="3"/>
  <c r="U196" i="3"/>
  <c r="G254" i="22"/>
  <c r="N253" i="22"/>
  <c r="O253" i="22" s="1"/>
  <c r="C243" i="3" s="1"/>
  <c r="L197" i="3" l="1"/>
  <c r="M197" i="3" s="1"/>
  <c r="Q197" i="3" s="1"/>
  <c r="J254" i="22"/>
  <c r="L254" i="22" s="1"/>
  <c r="I254" i="22"/>
  <c r="H254" i="22"/>
  <c r="P197" i="3" l="1"/>
  <c r="W197" i="3" s="1"/>
  <c r="N197" i="3"/>
  <c r="E255" i="22"/>
  <c r="F255" i="22"/>
  <c r="G255" i="22" s="1"/>
  <c r="K254" i="22"/>
  <c r="M254" i="22"/>
  <c r="N254" i="22" s="1"/>
  <c r="O254" i="22" s="1"/>
  <c r="C244" i="3" s="1"/>
  <c r="J198" i="3"/>
  <c r="K198" i="3" s="1"/>
  <c r="O197" i="3"/>
  <c r="V197" i="3"/>
  <c r="U197" i="3"/>
  <c r="J255" i="22" l="1"/>
  <c r="L255" i="22" s="1"/>
  <c r="L198" i="3"/>
  <c r="M198" i="3" s="1"/>
  <c r="H255" i="22"/>
  <c r="I255" i="22"/>
  <c r="E256" i="22" l="1"/>
  <c r="F256" i="22"/>
  <c r="G256" i="22" s="1"/>
  <c r="H256" i="22" s="1"/>
  <c r="Q198" i="3"/>
  <c r="N198" i="3"/>
  <c r="P198" i="3"/>
  <c r="W198" i="3" s="1"/>
  <c r="M255" i="22"/>
  <c r="K255" i="22"/>
  <c r="E257" i="22" l="1"/>
  <c r="F257" i="22"/>
  <c r="G257" i="22" s="1"/>
  <c r="J199" i="3"/>
  <c r="K199" i="3" s="1"/>
  <c r="O198" i="3"/>
  <c r="V198" i="3"/>
  <c r="U198" i="3"/>
  <c r="J256" i="22"/>
  <c r="L256" i="22" s="1"/>
  <c r="K256" i="22"/>
  <c r="N255" i="22"/>
  <c r="O255" i="22" s="1"/>
  <c r="C245" i="3" s="1"/>
  <c r="I256" i="22"/>
  <c r="J257" i="22" l="1"/>
  <c r="K257" i="22" s="1"/>
  <c r="L199" i="3"/>
  <c r="M199" i="3" s="1"/>
  <c r="L257" i="22"/>
  <c r="M256" i="22"/>
  <c r="N256" i="22" s="1"/>
  <c r="O256" i="22" s="1"/>
  <c r="C246" i="3" s="1"/>
  <c r="I257" i="22"/>
  <c r="H257" i="22"/>
  <c r="E258" i="22" l="1"/>
  <c r="F258" i="22"/>
  <c r="G258" i="22" s="1"/>
  <c r="M257" i="22"/>
  <c r="N257" i="22" s="1"/>
  <c r="O257" i="22" s="1"/>
  <c r="C247" i="3" s="1"/>
  <c r="N199" i="3"/>
  <c r="Q199" i="3"/>
  <c r="P199" i="3"/>
  <c r="W199" i="3" s="1"/>
  <c r="J200" i="3" l="1"/>
  <c r="K200" i="3" s="1"/>
  <c r="O199" i="3"/>
  <c r="J258" i="22"/>
  <c r="L258" i="22" s="1"/>
  <c r="K258" i="22"/>
  <c r="I258" i="22"/>
  <c r="V199" i="3"/>
  <c r="U199" i="3"/>
  <c r="H258" i="22"/>
  <c r="M258" i="22" l="1"/>
  <c r="N258" i="22" s="1"/>
  <c r="O258" i="22" s="1"/>
  <c r="C248" i="3" s="1"/>
  <c r="E259" i="22"/>
  <c r="F259" i="22"/>
  <c r="G259" i="22" s="1"/>
  <c r="L200" i="3"/>
  <c r="M200" i="3" s="1"/>
  <c r="J259" i="22" l="1"/>
  <c r="L259" i="22" s="1"/>
  <c r="Q200" i="3"/>
  <c r="N200" i="3"/>
  <c r="P200" i="3"/>
  <c r="W200" i="3" s="1"/>
  <c r="H259" i="22"/>
  <c r="I259" i="22"/>
  <c r="V200" i="3" l="1"/>
  <c r="U200" i="3"/>
  <c r="E260" i="22"/>
  <c r="F260" i="22"/>
  <c r="G260" i="22" s="1"/>
  <c r="I260" i="22" s="1"/>
  <c r="J201" i="3"/>
  <c r="K201" i="3" s="1"/>
  <c r="O200" i="3"/>
  <c r="M259" i="22"/>
  <c r="K259" i="22"/>
  <c r="L201" i="3" l="1"/>
  <c r="M201" i="3" s="1"/>
  <c r="Q201" i="3"/>
  <c r="P201" i="3"/>
  <c r="W201" i="3" s="1"/>
  <c r="N201" i="3"/>
  <c r="H260" i="22"/>
  <c r="J260" i="22"/>
  <c r="L260" i="22" s="1"/>
  <c r="N259" i="22"/>
  <c r="O259" i="22" s="1"/>
  <c r="C249" i="3" s="1"/>
  <c r="M260" i="22" l="1"/>
  <c r="K260" i="22"/>
  <c r="E261" i="22"/>
  <c r="F261" i="22"/>
  <c r="G261" i="22" s="1"/>
  <c r="J202" i="3"/>
  <c r="K202" i="3" s="1"/>
  <c r="O201" i="3"/>
  <c r="V201" i="3"/>
  <c r="U201" i="3"/>
  <c r="L202" i="3" l="1"/>
  <c r="M202" i="3" s="1"/>
  <c r="J261" i="22"/>
  <c r="L261" i="22" s="1"/>
  <c r="K261" i="22"/>
  <c r="H261" i="22"/>
  <c r="I261" i="22"/>
  <c r="N260" i="22"/>
  <c r="O260" i="22" s="1"/>
  <c r="C250" i="3" s="1"/>
  <c r="F262" i="22" l="1"/>
  <c r="G262" i="22" s="1"/>
  <c r="E262" i="22"/>
  <c r="M261" i="22"/>
  <c r="N261" i="22" s="1"/>
  <c r="O261" i="22" s="1"/>
  <c r="C251" i="3" s="1"/>
  <c r="Q202" i="3"/>
  <c r="N202" i="3"/>
  <c r="P202" i="3"/>
  <c r="W202" i="3" s="1"/>
  <c r="V202" i="3" l="1"/>
  <c r="U202" i="3"/>
  <c r="J262" i="22"/>
  <c r="L262" i="22" s="1"/>
  <c r="H262" i="22"/>
  <c r="J203" i="3"/>
  <c r="K203" i="3" s="1"/>
  <c r="O202" i="3"/>
  <c r="I262" i="22"/>
  <c r="L203" i="3" l="1"/>
  <c r="M203" i="3" s="1"/>
  <c r="N203" i="3" s="1"/>
  <c r="Q203" i="3"/>
  <c r="P203" i="3"/>
  <c r="W203" i="3" s="1"/>
  <c r="E263" i="22"/>
  <c r="F263" i="22"/>
  <c r="G263" i="22" s="1"/>
  <c r="H263" i="22" s="1"/>
  <c r="K262" i="22"/>
  <c r="M262" i="22"/>
  <c r="E264" i="22" l="1"/>
  <c r="F264" i="22"/>
  <c r="G264" i="22" s="1"/>
  <c r="I263" i="22"/>
  <c r="N262" i="22"/>
  <c r="O262" i="22" s="1"/>
  <c r="C252" i="3" s="1"/>
  <c r="V203" i="3"/>
  <c r="U203" i="3"/>
  <c r="J263" i="22"/>
  <c r="L263" i="22" s="1"/>
  <c r="J204" i="3"/>
  <c r="K204" i="3" s="1"/>
  <c r="O203" i="3"/>
  <c r="J264" i="22" l="1"/>
  <c r="K264" i="22"/>
  <c r="L204" i="3"/>
  <c r="M204" i="3" s="1"/>
  <c r="L264" i="22"/>
  <c r="M264" i="22"/>
  <c r="N264" i="22" s="1"/>
  <c r="O264" i="22" s="1"/>
  <c r="C254" i="3" s="1"/>
  <c r="M263" i="22"/>
  <c r="H264" i="22"/>
  <c r="K263" i="22"/>
  <c r="I264" i="22"/>
  <c r="N263" i="22" l="1"/>
  <c r="O263" i="22" s="1"/>
  <c r="C253" i="3" s="1"/>
  <c r="F265" i="22"/>
  <c r="G265" i="22" s="1"/>
  <c r="E265" i="22"/>
  <c r="P204" i="3"/>
  <c r="W204" i="3" s="1"/>
  <c r="N204" i="3"/>
  <c r="Q204" i="3"/>
  <c r="V204" i="3" l="1"/>
  <c r="U204" i="3"/>
  <c r="J205" i="3"/>
  <c r="K205" i="3" s="1"/>
  <c r="O204" i="3"/>
  <c r="J265" i="22"/>
  <c r="L265" i="22" s="1"/>
  <c r="K265" i="22"/>
  <c r="I265" i="22"/>
  <c r="H265" i="22"/>
  <c r="L205" i="3" l="1"/>
  <c r="M205" i="3" s="1"/>
  <c r="Q205" i="3" s="1"/>
  <c r="M265" i="22"/>
  <c r="N265" i="22" s="1"/>
  <c r="O265" i="22" s="1"/>
  <c r="C255" i="3" s="1"/>
  <c r="I266" i="22"/>
  <c r="H266" i="22"/>
  <c r="E266" i="22"/>
  <c r="F266" i="22"/>
  <c r="G266" i="22" s="1"/>
  <c r="N205" i="3" l="1"/>
  <c r="P205" i="3"/>
  <c r="W205" i="3" s="1"/>
  <c r="E267" i="22"/>
  <c r="F267" i="22"/>
  <c r="G267" i="22" s="1"/>
  <c r="J266" i="22"/>
  <c r="L266" i="22" s="1"/>
  <c r="J206" i="3"/>
  <c r="K206" i="3" s="1"/>
  <c r="L206" i="3" s="1"/>
  <c r="M206" i="3" s="1"/>
  <c r="O205" i="3"/>
  <c r="V205" i="3"/>
  <c r="U205" i="3"/>
  <c r="Q206" i="3" l="1"/>
  <c r="N206" i="3"/>
  <c r="P206" i="3"/>
  <c r="W206" i="3" s="1"/>
  <c r="L267" i="22"/>
  <c r="M267" i="22"/>
  <c r="M266" i="22"/>
  <c r="K266" i="22"/>
  <c r="K267" i="22"/>
  <c r="J267" i="22"/>
  <c r="I267" i="22"/>
  <c r="H267" i="22"/>
  <c r="N267" i="22" l="1"/>
  <c r="O267" i="22" s="1"/>
  <c r="C257" i="3" s="1"/>
  <c r="J207" i="3"/>
  <c r="K207" i="3" s="1"/>
  <c r="O206" i="3"/>
  <c r="N266" i="22"/>
  <c r="O266" i="22" s="1"/>
  <c r="C256" i="3" s="1"/>
  <c r="H268" i="22"/>
  <c r="E268" i="22"/>
  <c r="F268" i="22"/>
  <c r="G268" i="22" s="1"/>
  <c r="V206" i="3"/>
  <c r="U206" i="3"/>
  <c r="E269" i="22" l="1"/>
  <c r="F269" i="22"/>
  <c r="G269" i="22" s="1"/>
  <c r="J268" i="22"/>
  <c r="L268" i="22" s="1"/>
  <c r="L207" i="3"/>
  <c r="M207" i="3" s="1"/>
  <c r="I268" i="22"/>
  <c r="N207" i="3" l="1"/>
  <c r="Q207" i="3"/>
  <c r="P207" i="3"/>
  <c r="W207" i="3" s="1"/>
  <c r="K268" i="22"/>
  <c r="L269" i="22"/>
  <c r="M268" i="22"/>
  <c r="N268" i="22" s="1"/>
  <c r="O268" i="22" s="1"/>
  <c r="C258" i="3" s="1"/>
  <c r="K269" i="22"/>
  <c r="J269" i="22"/>
  <c r="H269" i="22"/>
  <c r="I269" i="22"/>
  <c r="M269" i="22" l="1"/>
  <c r="N269" i="22" s="1"/>
  <c r="O269" i="22" s="1"/>
  <c r="C259" i="3" s="1"/>
  <c r="F270" i="22"/>
  <c r="E270" i="22"/>
  <c r="V207" i="3"/>
  <c r="U207" i="3"/>
  <c r="J208" i="3"/>
  <c r="K208" i="3" s="1"/>
  <c r="O207" i="3"/>
  <c r="G270" i="22" l="1"/>
  <c r="L208" i="3"/>
  <c r="M208" i="3" s="1"/>
  <c r="Q208" i="3" l="1"/>
  <c r="P208" i="3"/>
  <c r="W208" i="3" s="1"/>
  <c r="N208" i="3"/>
  <c r="J270" i="22"/>
  <c r="L270" i="22" s="1"/>
  <c r="K270" i="22"/>
  <c r="H270" i="22"/>
  <c r="I270" i="22"/>
  <c r="E271" i="22" l="1"/>
  <c r="F271" i="22"/>
  <c r="G271" i="22" s="1"/>
  <c r="M270" i="22"/>
  <c r="N270" i="22" s="1"/>
  <c r="O270" i="22" s="1"/>
  <c r="C260" i="3" s="1"/>
  <c r="J209" i="3"/>
  <c r="K209" i="3" s="1"/>
  <c r="O208" i="3"/>
  <c r="V208" i="3"/>
  <c r="U208" i="3"/>
  <c r="L209" i="3" l="1"/>
  <c r="M209" i="3" s="1"/>
  <c r="P209" i="3"/>
  <c r="W209" i="3" s="1"/>
  <c r="N209" i="3"/>
  <c r="Q209" i="3"/>
  <c r="J271" i="22"/>
  <c r="L271" i="22" s="1"/>
  <c r="K271" i="22"/>
  <c r="I271" i="22"/>
  <c r="H271" i="22"/>
  <c r="E272" i="22" l="1"/>
  <c r="F272" i="22"/>
  <c r="G272" i="22" s="1"/>
  <c r="M271" i="22"/>
  <c r="N271" i="22" s="1"/>
  <c r="O271" i="22" s="1"/>
  <c r="C261" i="3" s="1"/>
  <c r="J210" i="3"/>
  <c r="K210" i="3" s="1"/>
  <c r="O209" i="3"/>
  <c r="V209" i="3"/>
  <c r="U209" i="3"/>
  <c r="J272" i="22" l="1"/>
  <c r="L272" i="22" s="1"/>
  <c r="I272" i="22"/>
  <c r="L210" i="3"/>
  <c r="M210" i="3" s="1"/>
  <c r="H272" i="22"/>
  <c r="F273" i="22" l="1"/>
  <c r="E273" i="22"/>
  <c r="Q210" i="3"/>
  <c r="N210" i="3"/>
  <c r="P210" i="3"/>
  <c r="W210" i="3" s="1"/>
  <c r="M272" i="22"/>
  <c r="K272" i="22"/>
  <c r="J211" i="3" l="1"/>
  <c r="K211" i="3" s="1"/>
  <c r="O210" i="3"/>
  <c r="N272" i="22"/>
  <c r="O272" i="22" s="1"/>
  <c r="C262" i="3" s="1"/>
  <c r="V210" i="3"/>
  <c r="U210" i="3"/>
  <c r="G273" i="22"/>
  <c r="J273" i="22" l="1"/>
  <c r="L273" i="22" s="1"/>
  <c r="H273" i="22"/>
  <c r="I273" i="22"/>
  <c r="L211" i="3"/>
  <c r="M211" i="3" s="1"/>
  <c r="F274" i="22" l="1"/>
  <c r="E274" i="22"/>
  <c r="N211" i="3"/>
  <c r="Q211" i="3"/>
  <c r="P211" i="3"/>
  <c r="W211" i="3" s="1"/>
  <c r="M273" i="22"/>
  <c r="K273" i="22"/>
  <c r="V211" i="3" l="1"/>
  <c r="U211" i="3"/>
  <c r="N273" i="22"/>
  <c r="O273" i="22" s="1"/>
  <c r="C263" i="3" s="1"/>
  <c r="J212" i="3"/>
  <c r="K212" i="3" s="1"/>
  <c r="O211" i="3"/>
  <c r="G274" i="22"/>
  <c r="J274" i="22" l="1"/>
  <c r="L274" i="22" s="1"/>
  <c r="K274" i="22"/>
  <c r="H274" i="22"/>
  <c r="I274" i="22"/>
  <c r="L212" i="3"/>
  <c r="M212" i="3" s="1"/>
  <c r="P212" i="3" l="1"/>
  <c r="W212" i="3" s="1"/>
  <c r="N212" i="3"/>
  <c r="Q212" i="3"/>
  <c r="F275" i="22"/>
  <c r="E275" i="22"/>
  <c r="M274" i="22"/>
  <c r="N274" i="22" s="1"/>
  <c r="O274" i="22" s="1"/>
  <c r="C264" i="3" s="1"/>
  <c r="G275" i="22" l="1"/>
  <c r="V212" i="3"/>
  <c r="U212" i="3"/>
  <c r="J213" i="3"/>
  <c r="K213" i="3" s="1"/>
  <c r="O212" i="3"/>
  <c r="L213" i="3" l="1"/>
  <c r="M213" i="3" s="1"/>
  <c r="Q213" i="3" s="1"/>
  <c r="J275" i="22"/>
  <c r="L275" i="22" s="1"/>
  <c r="I275" i="22"/>
  <c r="H275" i="22"/>
  <c r="P213" i="3" l="1"/>
  <c r="W213" i="3" s="1"/>
  <c r="N213" i="3"/>
  <c r="J214" i="3" s="1"/>
  <c r="K214" i="3" s="1"/>
  <c r="M275" i="22"/>
  <c r="E276" i="22"/>
  <c r="F276" i="22"/>
  <c r="G276" i="22" s="1"/>
  <c r="I276" i="22" s="1"/>
  <c r="K275" i="22"/>
  <c r="O213" i="3"/>
  <c r="V213" i="3"/>
  <c r="U213" i="3"/>
  <c r="J276" i="22" l="1"/>
  <c r="L276" i="22" s="1"/>
  <c r="H276" i="22"/>
  <c r="L214" i="3"/>
  <c r="M214" i="3" s="1"/>
  <c r="N275" i="22"/>
  <c r="O275" i="22" s="1"/>
  <c r="C265" i="3" s="1"/>
  <c r="Q214" i="3" l="1"/>
  <c r="N214" i="3"/>
  <c r="P214" i="3"/>
  <c r="W214" i="3" s="1"/>
  <c r="E277" i="22"/>
  <c r="F277" i="22"/>
  <c r="G277" i="22" s="1"/>
  <c r="H277" i="22" s="1"/>
  <c r="M276" i="22"/>
  <c r="K276" i="22"/>
  <c r="F278" i="22" l="1"/>
  <c r="E278" i="22"/>
  <c r="J277" i="22"/>
  <c r="L277" i="22" s="1"/>
  <c r="K277" i="22"/>
  <c r="I277" i="22"/>
  <c r="N276" i="22"/>
  <c r="O276" i="22" s="1"/>
  <c r="C266" i="3" s="1"/>
  <c r="J215" i="3"/>
  <c r="K215" i="3" s="1"/>
  <c r="O214" i="3"/>
  <c r="V214" i="3"/>
  <c r="U214" i="3"/>
  <c r="M277" i="22" l="1"/>
  <c r="N277" i="22" s="1"/>
  <c r="O277" i="22" s="1"/>
  <c r="C267" i="3" s="1"/>
  <c r="G278" i="22"/>
  <c r="L215" i="3"/>
  <c r="M215" i="3" s="1"/>
  <c r="N215" i="3" l="1"/>
  <c r="Q215" i="3"/>
  <c r="P215" i="3"/>
  <c r="W215" i="3" s="1"/>
  <c r="J278" i="22"/>
  <c r="L278" i="22" s="1"/>
  <c r="H278" i="22"/>
  <c r="I278" i="22"/>
  <c r="M278" i="22" l="1"/>
  <c r="E279" i="22"/>
  <c r="F279" i="22"/>
  <c r="G279" i="22" s="1"/>
  <c r="K278" i="22"/>
  <c r="V215" i="3"/>
  <c r="U215" i="3"/>
  <c r="J216" i="3"/>
  <c r="K216" i="3" s="1"/>
  <c r="O215" i="3"/>
  <c r="L216" i="3" l="1"/>
  <c r="M216" i="3" s="1"/>
  <c r="J279" i="22"/>
  <c r="L279" i="22" s="1"/>
  <c r="H279" i="22"/>
  <c r="I279" i="22"/>
  <c r="N278" i="22"/>
  <c r="O278" i="22" s="1"/>
  <c r="C268" i="3" s="1"/>
  <c r="M279" i="22" l="1"/>
  <c r="K279" i="22"/>
  <c r="E280" i="22"/>
  <c r="F280" i="22"/>
  <c r="G280" i="22" s="1"/>
  <c r="N216" i="3"/>
  <c r="P216" i="3"/>
  <c r="W216" i="3" s="1"/>
  <c r="Q216" i="3"/>
  <c r="J280" i="22" l="1"/>
  <c r="L280" i="22" s="1"/>
  <c r="K280" i="22"/>
  <c r="H280" i="22"/>
  <c r="I280" i="22"/>
  <c r="N279" i="22"/>
  <c r="O279" i="22" s="1"/>
  <c r="C269" i="3" s="1"/>
  <c r="V216" i="3"/>
  <c r="U216" i="3"/>
  <c r="J217" i="3"/>
  <c r="K217" i="3" s="1"/>
  <c r="L217" i="3" s="1"/>
  <c r="M217" i="3" s="1"/>
  <c r="O216" i="3"/>
  <c r="P217" i="3" l="1"/>
  <c r="W217" i="3" s="1"/>
  <c r="N217" i="3"/>
  <c r="Q217" i="3"/>
  <c r="F281" i="22"/>
  <c r="G281" i="22" s="1"/>
  <c r="E281" i="22"/>
  <c r="M280" i="22"/>
  <c r="N280" i="22" s="1"/>
  <c r="O280" i="22" s="1"/>
  <c r="C270" i="3" s="1"/>
  <c r="J281" i="22" l="1"/>
  <c r="L281" i="22" s="1"/>
  <c r="I281" i="22"/>
  <c r="H281" i="22"/>
  <c r="V217" i="3"/>
  <c r="U217" i="3"/>
  <c r="J218" i="3"/>
  <c r="K218" i="3" s="1"/>
  <c r="O217" i="3"/>
  <c r="L218" i="3" l="1"/>
  <c r="M218" i="3" s="1"/>
  <c r="Q218" i="3"/>
  <c r="N218" i="3"/>
  <c r="P218" i="3"/>
  <c r="W218" i="3" s="1"/>
  <c r="F282" i="22"/>
  <c r="G282" i="22" s="1"/>
  <c r="E282" i="22"/>
  <c r="M281" i="22"/>
  <c r="K281" i="22"/>
  <c r="J282" i="22" l="1"/>
  <c r="L282" i="22" s="1"/>
  <c r="I282" i="22"/>
  <c r="J219" i="3"/>
  <c r="K219" i="3" s="1"/>
  <c r="O218" i="3"/>
  <c r="H282" i="22"/>
  <c r="N281" i="22"/>
  <c r="O281" i="22" s="1"/>
  <c r="C271" i="3" s="1"/>
  <c r="V218" i="3"/>
  <c r="U218" i="3"/>
  <c r="L219" i="3" l="1"/>
  <c r="M219" i="3" s="1"/>
  <c r="Q219" i="3" s="1"/>
  <c r="P219" i="3"/>
  <c r="W219" i="3" s="1"/>
  <c r="F283" i="22"/>
  <c r="G283" i="22" s="1"/>
  <c r="H283" i="22" s="1"/>
  <c r="E283" i="22"/>
  <c r="M282" i="22"/>
  <c r="K282" i="22"/>
  <c r="N219" i="3" l="1"/>
  <c r="F284" i="22"/>
  <c r="E284" i="22"/>
  <c r="I283" i="22"/>
  <c r="J283" i="22"/>
  <c r="L283" i="22" s="1"/>
  <c r="N282" i="22"/>
  <c r="O282" i="22" s="1"/>
  <c r="C272" i="3" s="1"/>
  <c r="J220" i="3"/>
  <c r="K220" i="3" s="1"/>
  <c r="O219" i="3"/>
  <c r="V219" i="3"/>
  <c r="U219" i="3"/>
  <c r="M283" i="22" l="1"/>
  <c r="G284" i="22"/>
  <c r="K283" i="22"/>
  <c r="L220" i="3"/>
  <c r="M220" i="3" s="1"/>
  <c r="N220" i="3" l="1"/>
  <c r="P220" i="3"/>
  <c r="W220" i="3" s="1"/>
  <c r="Q220" i="3"/>
  <c r="J284" i="22"/>
  <c r="L284" i="22" s="1"/>
  <c r="K284" i="22"/>
  <c r="I284" i="22"/>
  <c r="H284" i="22"/>
  <c r="N283" i="22"/>
  <c r="O283" i="22" s="1"/>
  <c r="C273" i="3" s="1"/>
  <c r="M284" i="22" l="1"/>
  <c r="N284" i="22" s="1"/>
  <c r="O284" i="22" s="1"/>
  <c r="C274" i="3" s="1"/>
  <c r="V220" i="3"/>
  <c r="U220" i="3"/>
  <c r="F285" i="22"/>
  <c r="G285" i="22" s="1"/>
  <c r="E285" i="22"/>
  <c r="J221" i="3"/>
  <c r="K221" i="3" s="1"/>
  <c r="O220" i="3"/>
  <c r="J285" i="22" l="1"/>
  <c r="L285" i="22" s="1"/>
  <c r="K285" i="22"/>
  <c r="I285" i="22"/>
  <c r="L221" i="3"/>
  <c r="M221" i="3" s="1"/>
  <c r="H285" i="22"/>
  <c r="E286" i="22" l="1"/>
  <c r="F286" i="22"/>
  <c r="G286" i="22" s="1"/>
  <c r="I286" i="22" s="1"/>
  <c r="Q221" i="3"/>
  <c r="N221" i="3"/>
  <c r="P221" i="3"/>
  <c r="W221" i="3" s="1"/>
  <c r="M285" i="22"/>
  <c r="N285" i="22" s="1"/>
  <c r="O285" i="22" s="1"/>
  <c r="C275" i="3" s="1"/>
  <c r="V221" i="3" l="1"/>
  <c r="U221" i="3"/>
  <c r="J222" i="3"/>
  <c r="K222" i="3" s="1"/>
  <c r="O221" i="3"/>
  <c r="J286" i="22"/>
  <c r="L286" i="22" s="1"/>
  <c r="H286" i="22"/>
  <c r="F287" i="22" l="1"/>
  <c r="E287" i="22"/>
  <c r="K286" i="22"/>
  <c r="L222" i="3"/>
  <c r="M222" i="3" s="1"/>
  <c r="M286" i="22"/>
  <c r="Q222" i="3" l="1"/>
  <c r="P222" i="3"/>
  <c r="W222" i="3" s="1"/>
  <c r="N222" i="3"/>
  <c r="G287" i="22"/>
  <c r="N286" i="22"/>
  <c r="O286" i="22" s="1"/>
  <c r="C276" i="3" s="1"/>
  <c r="J287" i="22" l="1"/>
  <c r="L287" i="22" s="1"/>
  <c r="K287" i="22"/>
  <c r="I287" i="22"/>
  <c r="H287" i="22"/>
  <c r="J223" i="3"/>
  <c r="K223" i="3" s="1"/>
  <c r="O222" i="3"/>
  <c r="V222" i="3"/>
  <c r="U222" i="3"/>
  <c r="L223" i="3" l="1"/>
  <c r="M223" i="3" s="1"/>
  <c r="N223" i="3"/>
  <c r="Q223" i="3"/>
  <c r="P223" i="3"/>
  <c r="W223" i="3" s="1"/>
  <c r="E288" i="22"/>
  <c r="F288" i="22"/>
  <c r="G288" i="22" s="1"/>
  <c r="M287" i="22"/>
  <c r="N287" i="22" s="1"/>
  <c r="O287" i="22" s="1"/>
  <c r="C277" i="3" s="1"/>
  <c r="J288" i="22" l="1"/>
  <c r="L288" i="22" s="1"/>
  <c r="K288" i="22"/>
  <c r="I288" i="22"/>
  <c r="V223" i="3"/>
  <c r="U223" i="3"/>
  <c r="H288" i="22"/>
  <c r="J224" i="3"/>
  <c r="K224" i="3" s="1"/>
  <c r="O223" i="3"/>
  <c r="L224" i="3" l="1"/>
  <c r="M224" i="3" s="1"/>
  <c r="N224" i="3" s="1"/>
  <c r="Q224" i="3"/>
  <c r="P224" i="3"/>
  <c r="W224" i="3" s="1"/>
  <c r="F289" i="22"/>
  <c r="G289" i="22" s="1"/>
  <c r="H289" i="22" s="1"/>
  <c r="E289" i="22"/>
  <c r="M288" i="22"/>
  <c r="N288" i="22" s="1"/>
  <c r="O288" i="22" s="1"/>
  <c r="C278" i="3" s="1"/>
  <c r="F290" i="22" l="1"/>
  <c r="E290" i="22"/>
  <c r="J289" i="22"/>
  <c r="L289" i="22" s="1"/>
  <c r="I289" i="22"/>
  <c r="V224" i="3"/>
  <c r="U224" i="3"/>
  <c r="J225" i="3"/>
  <c r="K225" i="3" s="1"/>
  <c r="O224" i="3"/>
  <c r="M289" i="22" l="1"/>
  <c r="G290" i="22"/>
  <c r="K289" i="22"/>
  <c r="L225" i="3"/>
  <c r="M225" i="3" s="1"/>
  <c r="N225" i="3" l="1"/>
  <c r="Q225" i="3"/>
  <c r="P225" i="3"/>
  <c r="W225" i="3" s="1"/>
  <c r="J290" i="22"/>
  <c r="L290" i="22" s="1"/>
  <c r="K290" i="22"/>
  <c r="I290" i="22"/>
  <c r="H290" i="22"/>
  <c r="N289" i="22"/>
  <c r="O289" i="22" s="1"/>
  <c r="C279" i="3" s="1"/>
  <c r="M290" i="22" l="1"/>
  <c r="N290" i="22" s="1"/>
  <c r="O290" i="22" s="1"/>
  <c r="C280" i="3" s="1"/>
  <c r="V225" i="3"/>
  <c r="U225" i="3"/>
  <c r="E291" i="22"/>
  <c r="F291" i="22"/>
  <c r="J226" i="3"/>
  <c r="K226" i="3" s="1"/>
  <c r="O225" i="3"/>
  <c r="L226" i="3" l="1"/>
  <c r="M226" i="3" s="1"/>
  <c r="G291" i="22"/>
  <c r="J291" i="22" l="1"/>
  <c r="L291" i="22" s="1"/>
  <c r="K291" i="22"/>
  <c r="H291" i="22"/>
  <c r="I291" i="22"/>
  <c r="Q226" i="3"/>
  <c r="N226" i="3"/>
  <c r="P226" i="3"/>
  <c r="W226" i="3" s="1"/>
  <c r="V226" i="3" l="1"/>
  <c r="U226" i="3"/>
  <c r="J227" i="3"/>
  <c r="K227" i="3" s="1"/>
  <c r="O226" i="3"/>
  <c r="E292" i="22"/>
  <c r="F292" i="22"/>
  <c r="M291" i="22"/>
  <c r="N291" i="22" s="1"/>
  <c r="O291" i="22" s="1"/>
  <c r="C281" i="3" s="1"/>
  <c r="L227" i="3" l="1"/>
  <c r="M227" i="3" s="1"/>
  <c r="G292" i="22"/>
  <c r="J292" i="22" l="1"/>
  <c r="L292" i="22" s="1"/>
  <c r="I292" i="22"/>
  <c r="H292" i="22"/>
  <c r="Q227" i="3"/>
  <c r="N227" i="3"/>
  <c r="P227" i="3"/>
  <c r="W227" i="3" s="1"/>
  <c r="J228" i="3" l="1"/>
  <c r="K228" i="3" s="1"/>
  <c r="O227" i="3"/>
  <c r="V227" i="3"/>
  <c r="U227" i="3"/>
  <c r="F293" i="22"/>
  <c r="E293" i="22"/>
  <c r="M292" i="22"/>
  <c r="K292" i="22"/>
  <c r="N292" i="22" l="1"/>
  <c r="O292" i="22" s="1"/>
  <c r="C282" i="3" s="1"/>
  <c r="L228" i="3"/>
  <c r="M228" i="3" s="1"/>
  <c r="G293" i="22"/>
  <c r="J293" i="22" l="1"/>
  <c r="L293" i="22" s="1"/>
  <c r="I293" i="22"/>
  <c r="H293" i="22"/>
  <c r="N228" i="3"/>
  <c r="Q228" i="3"/>
  <c r="P228" i="3"/>
  <c r="W228" i="3" s="1"/>
  <c r="V228" i="3" l="1"/>
  <c r="U228" i="3"/>
  <c r="J229" i="3"/>
  <c r="K229" i="3" s="1"/>
  <c r="O228" i="3"/>
  <c r="I294" i="22"/>
  <c r="E294" i="22"/>
  <c r="F294" i="22"/>
  <c r="G294" i="22" s="1"/>
  <c r="M293" i="22"/>
  <c r="K293" i="22"/>
  <c r="N293" i="22" l="1"/>
  <c r="O293" i="22" s="1"/>
  <c r="C283" i="3" s="1"/>
  <c r="L229" i="3"/>
  <c r="M229" i="3" s="1"/>
  <c r="J294" i="22"/>
  <c r="L294" i="22" s="1"/>
  <c r="H294" i="22"/>
  <c r="F295" i="22" l="1"/>
  <c r="E295" i="22"/>
  <c r="M294" i="22"/>
  <c r="K294" i="22"/>
  <c r="N229" i="3"/>
  <c r="Q229" i="3"/>
  <c r="P229" i="3"/>
  <c r="W229" i="3" s="1"/>
  <c r="G295" i="22" l="1"/>
  <c r="V229" i="3"/>
  <c r="U229" i="3"/>
  <c r="J230" i="3"/>
  <c r="K230" i="3" s="1"/>
  <c r="O229" i="3"/>
  <c r="N294" i="22"/>
  <c r="O294" i="22" s="1"/>
  <c r="C284" i="3" s="1"/>
  <c r="L230" i="3" l="1"/>
  <c r="M230" i="3" s="1"/>
  <c r="J295" i="22"/>
  <c r="L295" i="22" s="1"/>
  <c r="H295" i="22"/>
  <c r="I295" i="22"/>
  <c r="M295" i="22" l="1"/>
  <c r="E296" i="22"/>
  <c r="F296" i="22"/>
  <c r="G296" i="22" s="1"/>
  <c r="K295" i="22"/>
  <c r="P230" i="3"/>
  <c r="W230" i="3" s="1"/>
  <c r="N230" i="3"/>
  <c r="Q230" i="3"/>
  <c r="J296" i="22" l="1"/>
  <c r="L296" i="22" s="1"/>
  <c r="I296" i="22"/>
  <c r="H296" i="22"/>
  <c r="V230" i="3"/>
  <c r="U230" i="3"/>
  <c r="N295" i="22"/>
  <c r="O295" i="22" s="1"/>
  <c r="C285" i="3" s="1"/>
  <c r="J231" i="3"/>
  <c r="K231" i="3" s="1"/>
  <c r="O230" i="3"/>
  <c r="E297" i="22" l="1"/>
  <c r="F297" i="22"/>
  <c r="G297" i="22" s="1"/>
  <c r="M296" i="22"/>
  <c r="K296" i="22"/>
  <c r="L231" i="3"/>
  <c r="M231" i="3" s="1"/>
  <c r="N296" i="22" l="1"/>
  <c r="O296" i="22" s="1"/>
  <c r="C286" i="3" s="1"/>
  <c r="J297" i="22"/>
  <c r="L297" i="22" s="1"/>
  <c r="H297" i="22"/>
  <c r="Q231" i="3"/>
  <c r="N231" i="3"/>
  <c r="P231" i="3"/>
  <c r="W231" i="3" s="1"/>
  <c r="I297" i="22"/>
  <c r="J232" i="3" l="1"/>
  <c r="K232" i="3" s="1"/>
  <c r="O231" i="3"/>
  <c r="V231" i="3"/>
  <c r="U231" i="3"/>
  <c r="F298" i="22"/>
  <c r="G298" i="22" s="1"/>
  <c r="E298" i="22"/>
  <c r="M297" i="22"/>
  <c r="K297" i="22"/>
  <c r="J298" i="22" l="1"/>
  <c r="L298" i="22" s="1"/>
  <c r="I298" i="22"/>
  <c r="H298" i="22"/>
  <c r="N297" i="22"/>
  <c r="O297" i="22" s="1"/>
  <c r="C287" i="3" s="1"/>
  <c r="L232" i="3"/>
  <c r="M232" i="3" s="1"/>
  <c r="P232" i="3" l="1"/>
  <c r="W232" i="3" s="1"/>
  <c r="Q232" i="3"/>
  <c r="N232" i="3"/>
  <c r="F299" i="22"/>
  <c r="G299" i="22" s="1"/>
  <c r="E299" i="22"/>
  <c r="M298" i="22"/>
  <c r="K298" i="22"/>
  <c r="J299" i="22" l="1"/>
  <c r="L299" i="22" s="1"/>
  <c r="J233" i="3"/>
  <c r="K233" i="3" s="1"/>
  <c r="O232" i="3"/>
  <c r="H299" i="22"/>
  <c r="I299" i="22"/>
  <c r="N298" i="22"/>
  <c r="O298" i="22" s="1"/>
  <c r="C288" i="3" s="1"/>
  <c r="V232" i="3"/>
  <c r="U232" i="3"/>
  <c r="E300" i="22" l="1"/>
  <c r="F300" i="22"/>
  <c r="G300" i="22" s="1"/>
  <c r="L233" i="3"/>
  <c r="M233" i="3" s="1"/>
  <c r="M299" i="22"/>
  <c r="K299" i="22"/>
  <c r="Q233" i="3" l="1"/>
  <c r="N233" i="3"/>
  <c r="P233" i="3"/>
  <c r="W233" i="3" s="1"/>
  <c r="J300" i="22"/>
  <c r="L300" i="22" s="1"/>
  <c r="K300" i="22"/>
  <c r="I300" i="22"/>
  <c r="H300" i="22"/>
  <c r="N299" i="22"/>
  <c r="O299" i="22" s="1"/>
  <c r="C289" i="3" s="1"/>
  <c r="F301" i="22" l="1"/>
  <c r="E301" i="22"/>
  <c r="M300" i="22"/>
  <c r="N300" i="22" s="1"/>
  <c r="O300" i="22" s="1"/>
  <c r="C290" i="3" s="1"/>
  <c r="J234" i="3"/>
  <c r="K234" i="3" s="1"/>
  <c r="O233" i="3"/>
  <c r="V233" i="3"/>
  <c r="U233" i="3"/>
  <c r="G301" i="22" l="1"/>
  <c r="L234" i="3"/>
  <c r="M234" i="3" s="1"/>
  <c r="Q234" i="3" l="1"/>
  <c r="N234" i="3"/>
  <c r="P234" i="3"/>
  <c r="W234" i="3" s="1"/>
  <c r="J301" i="22"/>
  <c r="L301" i="22" s="1"/>
  <c r="I301" i="22"/>
  <c r="H301" i="22"/>
  <c r="E302" i="22" l="1"/>
  <c r="F302" i="22"/>
  <c r="G302" i="22" s="1"/>
  <c r="M301" i="22"/>
  <c r="K301" i="22"/>
  <c r="J235" i="3"/>
  <c r="K235" i="3" s="1"/>
  <c r="O234" i="3"/>
  <c r="V234" i="3"/>
  <c r="U234" i="3"/>
  <c r="J302" i="22" l="1"/>
  <c r="L302" i="22" s="1"/>
  <c r="L235" i="3"/>
  <c r="M235" i="3" s="1"/>
  <c r="I302" i="22"/>
  <c r="H302" i="22"/>
  <c r="N301" i="22"/>
  <c r="O301" i="22" s="1"/>
  <c r="C291" i="3" s="1"/>
  <c r="E303" i="22" l="1"/>
  <c r="F303" i="22"/>
  <c r="G303" i="22" s="1"/>
  <c r="Q235" i="3"/>
  <c r="N235" i="3"/>
  <c r="P235" i="3"/>
  <c r="W235" i="3" s="1"/>
  <c r="M302" i="22"/>
  <c r="K302" i="22"/>
  <c r="J236" i="3" l="1"/>
  <c r="K236" i="3" s="1"/>
  <c r="O235" i="3"/>
  <c r="V235" i="3"/>
  <c r="U235" i="3"/>
  <c r="J303" i="22"/>
  <c r="L303" i="22" s="1"/>
  <c r="N302" i="22"/>
  <c r="O302" i="22" s="1"/>
  <c r="C292" i="3" s="1"/>
  <c r="I303" i="22"/>
  <c r="H303" i="22"/>
  <c r="M303" i="22" l="1"/>
  <c r="K303" i="22"/>
  <c r="F304" i="22"/>
  <c r="G304" i="22" s="1"/>
  <c r="E304" i="22"/>
  <c r="L236" i="3"/>
  <c r="M236" i="3" s="1"/>
  <c r="J304" i="22" l="1"/>
  <c r="L304" i="22" s="1"/>
  <c r="I304" i="22"/>
  <c r="H304" i="22"/>
  <c r="N303" i="22"/>
  <c r="O303" i="22" s="1"/>
  <c r="C293" i="3" s="1"/>
  <c r="N236" i="3"/>
  <c r="Q236" i="3"/>
  <c r="P236" i="3"/>
  <c r="W236" i="3" s="1"/>
  <c r="J237" i="3" l="1"/>
  <c r="K237" i="3" s="1"/>
  <c r="O236" i="3"/>
  <c r="E305" i="22"/>
  <c r="F305" i="22"/>
  <c r="G305" i="22" s="1"/>
  <c r="M304" i="22"/>
  <c r="K304" i="22"/>
  <c r="V236" i="3"/>
  <c r="U236" i="3"/>
  <c r="J305" i="22" l="1"/>
  <c r="L305" i="22" s="1"/>
  <c r="K305" i="22"/>
  <c r="I305" i="22"/>
  <c r="H305" i="22"/>
  <c r="N304" i="22"/>
  <c r="O304" i="22" s="1"/>
  <c r="C294" i="3" s="1"/>
  <c r="L237" i="3"/>
  <c r="M237" i="3" s="1"/>
  <c r="N237" i="3" l="1"/>
  <c r="Q237" i="3"/>
  <c r="P237" i="3"/>
  <c r="W237" i="3" s="1"/>
  <c r="F306" i="22"/>
  <c r="E306" i="22"/>
  <c r="M305" i="22"/>
  <c r="N305" i="22" s="1"/>
  <c r="O305" i="22" s="1"/>
  <c r="C295" i="3" s="1"/>
  <c r="G306" i="22" l="1"/>
  <c r="V237" i="3"/>
  <c r="U237" i="3"/>
  <c r="J238" i="3"/>
  <c r="K238" i="3" s="1"/>
  <c r="O237" i="3"/>
  <c r="L238" i="3" l="1"/>
  <c r="M238" i="3" s="1"/>
  <c r="J306" i="22"/>
  <c r="L306" i="22" s="1"/>
  <c r="H306" i="22"/>
  <c r="I306" i="22"/>
  <c r="F307" i="22" l="1"/>
  <c r="E307" i="22"/>
  <c r="M306" i="22"/>
  <c r="K306" i="22"/>
  <c r="Q238" i="3"/>
  <c r="P238" i="3"/>
  <c r="W238" i="3" s="1"/>
  <c r="N238" i="3"/>
  <c r="N306" i="22" l="1"/>
  <c r="O306" i="22" s="1"/>
  <c r="C296" i="3" s="1"/>
  <c r="J239" i="3"/>
  <c r="K239" i="3" s="1"/>
  <c r="O238" i="3"/>
  <c r="G307" i="22"/>
  <c r="V238" i="3"/>
  <c r="U238" i="3"/>
  <c r="J307" i="22" l="1"/>
  <c r="L307" i="22" s="1"/>
  <c r="K307" i="22"/>
  <c r="I307" i="22"/>
  <c r="H307" i="22"/>
  <c r="L239" i="3"/>
  <c r="M239" i="3" s="1"/>
  <c r="N239" i="3" l="1"/>
  <c r="P239" i="3"/>
  <c r="W239" i="3" s="1"/>
  <c r="Q239" i="3"/>
  <c r="E308" i="22"/>
  <c r="F308" i="22"/>
  <c r="G308" i="22" s="1"/>
  <c r="M307" i="22"/>
  <c r="N307" i="22" s="1"/>
  <c r="O307" i="22" s="1"/>
  <c r="C297" i="3" s="1"/>
  <c r="J308" i="22" l="1"/>
  <c r="L308" i="22" s="1"/>
  <c r="I308" i="22"/>
  <c r="H308" i="22"/>
  <c r="V239" i="3"/>
  <c r="U239" i="3"/>
  <c r="J240" i="3"/>
  <c r="K240" i="3" s="1"/>
  <c r="O239" i="3"/>
  <c r="E309" i="22" l="1"/>
  <c r="F309" i="22"/>
  <c r="G309" i="22" s="1"/>
  <c r="M308" i="22"/>
  <c r="N308" i="22" s="1"/>
  <c r="O308" i="22" s="1"/>
  <c r="C298" i="3" s="1"/>
  <c r="K308" i="22"/>
  <c r="L240" i="3"/>
  <c r="M240" i="3" s="1"/>
  <c r="J309" i="22" l="1"/>
  <c r="L309" i="22" s="1"/>
  <c r="K309" i="22"/>
  <c r="H309" i="22"/>
  <c r="Q240" i="3"/>
  <c r="N240" i="3"/>
  <c r="P240" i="3"/>
  <c r="W240" i="3" s="1"/>
  <c r="I309" i="22"/>
  <c r="F310" i="22" l="1"/>
  <c r="E310" i="22"/>
  <c r="J241" i="3"/>
  <c r="K241" i="3" s="1"/>
  <c r="O240" i="3"/>
  <c r="V240" i="3"/>
  <c r="U240" i="3"/>
  <c r="M309" i="22"/>
  <c r="N309" i="22" s="1"/>
  <c r="O309" i="22" s="1"/>
  <c r="C299" i="3" s="1"/>
  <c r="L241" i="3" l="1"/>
  <c r="M241" i="3" s="1"/>
  <c r="G310" i="22"/>
  <c r="J310" i="22" l="1"/>
  <c r="L310" i="22" s="1"/>
  <c r="H310" i="22"/>
  <c r="I310" i="22"/>
  <c r="Q241" i="3"/>
  <c r="P241" i="3"/>
  <c r="W241" i="3" s="1"/>
  <c r="N241" i="3"/>
  <c r="J242" i="3" l="1"/>
  <c r="K242" i="3" s="1"/>
  <c r="O241" i="3"/>
  <c r="V241" i="3"/>
  <c r="U241" i="3"/>
  <c r="E311" i="22"/>
  <c r="F311" i="22"/>
  <c r="K310" i="22"/>
  <c r="M310" i="22"/>
  <c r="N310" i="22" s="1"/>
  <c r="O310" i="22" s="1"/>
  <c r="C300" i="3" s="1"/>
  <c r="L242" i="3" l="1"/>
  <c r="M242" i="3" s="1"/>
  <c r="G311" i="22"/>
  <c r="J311" i="22" l="1"/>
  <c r="L311" i="22" s="1"/>
  <c r="I311" i="22"/>
  <c r="H311" i="22"/>
  <c r="Q242" i="3"/>
  <c r="N242" i="3"/>
  <c r="P242" i="3"/>
  <c r="W242" i="3" s="1"/>
  <c r="J243" i="3" l="1"/>
  <c r="K243" i="3" s="1"/>
  <c r="O242" i="3"/>
  <c r="E312" i="22"/>
  <c r="F312" i="22"/>
  <c r="G312" i="22" s="1"/>
  <c r="K311" i="22"/>
  <c r="V242" i="3"/>
  <c r="U242" i="3"/>
  <c r="M311" i="22"/>
  <c r="J312" i="22" l="1"/>
  <c r="L312" i="22" s="1"/>
  <c r="N311" i="22"/>
  <c r="O311" i="22" s="1"/>
  <c r="C301" i="3" s="1"/>
  <c r="H312" i="22"/>
  <c r="I312" i="22"/>
  <c r="L243" i="3"/>
  <c r="M243" i="3" s="1"/>
  <c r="Q243" i="3" l="1"/>
  <c r="N243" i="3"/>
  <c r="P243" i="3"/>
  <c r="W243" i="3" s="1"/>
  <c r="F313" i="22"/>
  <c r="E313" i="22"/>
  <c r="M312" i="22"/>
  <c r="K312" i="22"/>
  <c r="G313" i="22" l="1"/>
  <c r="N312" i="22"/>
  <c r="O312" i="22" s="1"/>
  <c r="C302" i="3" s="1"/>
  <c r="J244" i="3"/>
  <c r="K244" i="3" s="1"/>
  <c r="O243" i="3"/>
  <c r="V243" i="3"/>
  <c r="U243" i="3"/>
  <c r="L244" i="3" l="1"/>
  <c r="M244" i="3" s="1"/>
  <c r="J313" i="22"/>
  <c r="L313" i="22" s="1"/>
  <c r="I313" i="22"/>
  <c r="H313" i="22"/>
  <c r="F314" i="22" l="1"/>
  <c r="E314" i="22"/>
  <c r="M313" i="22"/>
  <c r="K313" i="22"/>
  <c r="N244" i="3"/>
  <c r="Q244" i="3"/>
  <c r="P244" i="3"/>
  <c r="W244" i="3" s="1"/>
  <c r="G314" i="22" l="1"/>
  <c r="V244" i="3"/>
  <c r="U244" i="3"/>
  <c r="J245" i="3"/>
  <c r="K245" i="3" s="1"/>
  <c r="O244" i="3"/>
  <c r="N313" i="22"/>
  <c r="O313" i="22" s="1"/>
  <c r="C303" i="3" s="1"/>
  <c r="L245" i="3" l="1"/>
  <c r="M245" i="3" s="1"/>
  <c r="J314" i="22"/>
  <c r="L314" i="22" s="1"/>
  <c r="H314" i="22"/>
  <c r="I314" i="22"/>
  <c r="E315" i="22" l="1"/>
  <c r="F315" i="22"/>
  <c r="G315" i="22" s="1"/>
  <c r="M314" i="22"/>
  <c r="K314" i="22"/>
  <c r="N245" i="3"/>
  <c r="P245" i="3"/>
  <c r="W245" i="3" s="1"/>
  <c r="Q245" i="3"/>
  <c r="N314" i="22" l="1"/>
  <c r="O314" i="22" s="1"/>
  <c r="C304" i="3" s="1"/>
  <c r="J315" i="22"/>
  <c r="L315" i="22" s="1"/>
  <c r="V245" i="3"/>
  <c r="U245" i="3"/>
  <c r="I315" i="22"/>
  <c r="J246" i="3"/>
  <c r="K246" i="3" s="1"/>
  <c r="O245" i="3"/>
  <c r="H315" i="22"/>
  <c r="M315" i="22" l="1"/>
  <c r="E316" i="22"/>
  <c r="F316" i="22"/>
  <c r="G316" i="22" s="1"/>
  <c r="K315" i="22"/>
  <c r="L246" i="3"/>
  <c r="M246" i="3" s="1"/>
  <c r="J316" i="22" l="1"/>
  <c r="L316" i="22" s="1"/>
  <c r="H316" i="22"/>
  <c r="I316" i="22"/>
  <c r="N315" i="22"/>
  <c r="O315" i="22" s="1"/>
  <c r="C305" i="3" s="1"/>
  <c r="N246" i="3"/>
  <c r="P246" i="3"/>
  <c r="W246" i="3" s="1"/>
  <c r="Q246" i="3"/>
  <c r="J247" i="3" l="1"/>
  <c r="K247" i="3" s="1"/>
  <c r="O246" i="3"/>
  <c r="E317" i="22"/>
  <c r="F317" i="22"/>
  <c r="G317" i="22" s="1"/>
  <c r="M316" i="22"/>
  <c r="K316" i="22"/>
  <c r="V246" i="3"/>
  <c r="U246" i="3"/>
  <c r="J317" i="22" l="1"/>
  <c r="L317" i="22" s="1"/>
  <c r="I317" i="22"/>
  <c r="H317" i="22"/>
  <c r="N316" i="22"/>
  <c r="O316" i="22" s="1"/>
  <c r="C306" i="3" s="1"/>
  <c r="L247" i="3"/>
  <c r="M247" i="3" s="1"/>
  <c r="Q247" i="3" l="1"/>
  <c r="N247" i="3"/>
  <c r="P247" i="3"/>
  <c r="W247" i="3" s="1"/>
  <c r="E318" i="22"/>
  <c r="F318" i="22"/>
  <c r="M317" i="22"/>
  <c r="K317" i="22"/>
  <c r="N317" i="22" l="1"/>
  <c r="O317" i="22" s="1"/>
  <c r="C307" i="3" s="1"/>
  <c r="J248" i="3"/>
  <c r="K248" i="3" s="1"/>
  <c r="O247" i="3"/>
  <c r="V247" i="3"/>
  <c r="U247" i="3"/>
  <c r="G318" i="22"/>
  <c r="J318" i="22" l="1"/>
  <c r="L318" i="22" s="1"/>
  <c r="K318" i="22"/>
  <c r="H318" i="22"/>
  <c r="I318" i="22"/>
  <c r="L248" i="3"/>
  <c r="M248" i="3" s="1"/>
  <c r="Q248" i="3" l="1"/>
  <c r="N248" i="3"/>
  <c r="P248" i="3"/>
  <c r="W248" i="3" s="1"/>
  <c r="F319" i="22"/>
  <c r="G319" i="22" s="1"/>
  <c r="E319" i="22"/>
  <c r="M318" i="22"/>
  <c r="N318" i="22" s="1"/>
  <c r="O318" i="22" s="1"/>
  <c r="C308" i="3" s="1"/>
  <c r="J319" i="22" l="1"/>
  <c r="L319" i="22" s="1"/>
  <c r="I319" i="22"/>
  <c r="H319" i="22"/>
  <c r="J249" i="3"/>
  <c r="K249" i="3" s="1"/>
  <c r="O248" i="3"/>
  <c r="V248" i="3"/>
  <c r="U248" i="3"/>
  <c r="L249" i="3" l="1"/>
  <c r="M249" i="3" s="1"/>
  <c r="F320" i="22"/>
  <c r="E320" i="22"/>
  <c r="M319" i="22"/>
  <c r="N319" i="22" s="1"/>
  <c r="O319" i="22" s="1"/>
  <c r="C309" i="3" s="1"/>
  <c r="K319" i="22"/>
  <c r="G320" i="22" l="1"/>
  <c r="Q249" i="3"/>
  <c r="N249" i="3"/>
  <c r="P249" i="3"/>
  <c r="W249" i="3" s="1"/>
  <c r="J250" i="3" l="1"/>
  <c r="K250" i="3" s="1"/>
  <c r="O249" i="3"/>
  <c r="V249" i="3"/>
  <c r="U249" i="3"/>
  <c r="J320" i="22"/>
  <c r="L320" i="22" s="1"/>
  <c r="I320" i="22"/>
  <c r="H320" i="22"/>
  <c r="M320" i="22" l="1"/>
  <c r="K320" i="22"/>
  <c r="L250" i="3"/>
  <c r="M250" i="3" s="1"/>
  <c r="F321" i="22"/>
  <c r="E321" i="22"/>
  <c r="Q250" i="3" l="1"/>
  <c r="N250" i="3"/>
  <c r="P250" i="3"/>
  <c r="W250" i="3" s="1"/>
  <c r="N320" i="22"/>
  <c r="O320" i="22" s="1"/>
  <c r="C310" i="3" s="1"/>
  <c r="G321" i="22"/>
  <c r="J321" i="22" l="1"/>
  <c r="L321" i="22" s="1"/>
  <c r="H321" i="22"/>
  <c r="I321" i="22"/>
  <c r="J251" i="3"/>
  <c r="K251" i="3" s="1"/>
  <c r="O250" i="3"/>
  <c r="V250" i="3"/>
  <c r="U250" i="3"/>
  <c r="L251" i="3" l="1"/>
  <c r="M251" i="3" s="1"/>
  <c r="Q251" i="3" s="1"/>
  <c r="P251" i="3"/>
  <c r="W251" i="3" s="1"/>
  <c r="E322" i="22"/>
  <c r="F322" i="22"/>
  <c r="G322" i="22" s="1"/>
  <c r="M321" i="22"/>
  <c r="K321" i="22"/>
  <c r="N251" i="3" l="1"/>
  <c r="J322" i="22"/>
  <c r="L322" i="22" s="1"/>
  <c r="I322" i="22"/>
  <c r="H322" i="22"/>
  <c r="N321" i="22"/>
  <c r="O321" i="22" s="1"/>
  <c r="C311" i="3" s="1"/>
  <c r="J252" i="3"/>
  <c r="K252" i="3" s="1"/>
  <c r="O251" i="3"/>
  <c r="V251" i="3"/>
  <c r="U251" i="3"/>
  <c r="L252" i="3" l="1"/>
  <c r="M252" i="3" s="1"/>
  <c r="N252" i="3" s="1"/>
  <c r="F323" i="22"/>
  <c r="E323" i="22"/>
  <c r="M322" i="22"/>
  <c r="K322" i="22"/>
  <c r="P252" i="3"/>
  <c r="W252" i="3" s="1"/>
  <c r="Q252" i="3" l="1"/>
  <c r="N322" i="22"/>
  <c r="O322" i="22" s="1"/>
  <c r="C312" i="3" s="1"/>
  <c r="G323" i="22"/>
  <c r="V252" i="3"/>
  <c r="U252" i="3"/>
  <c r="J253" i="3"/>
  <c r="K253" i="3" s="1"/>
  <c r="O252" i="3"/>
  <c r="L253" i="3" l="1"/>
  <c r="M253" i="3" s="1"/>
  <c r="J323" i="22"/>
  <c r="L323" i="22" s="1"/>
  <c r="K323" i="22"/>
  <c r="I323" i="22"/>
  <c r="H323" i="22"/>
  <c r="F324" i="22" l="1"/>
  <c r="E324" i="22"/>
  <c r="M323" i="22"/>
  <c r="N323" i="22" s="1"/>
  <c r="O323" i="22" s="1"/>
  <c r="C313" i="3" s="1"/>
  <c r="N253" i="3"/>
  <c r="Q253" i="3"/>
  <c r="P253" i="3"/>
  <c r="W253" i="3" s="1"/>
  <c r="G324" i="22" l="1"/>
  <c r="V253" i="3"/>
  <c r="U253" i="3"/>
  <c r="J254" i="3"/>
  <c r="K254" i="3" s="1"/>
  <c r="O253" i="3"/>
  <c r="L254" i="3" l="1"/>
  <c r="M254" i="3" s="1"/>
  <c r="J324" i="22"/>
  <c r="L324" i="22" s="1"/>
  <c r="H324" i="22"/>
  <c r="I324" i="22"/>
  <c r="F325" i="22" l="1"/>
  <c r="E325" i="22"/>
  <c r="M324" i="22"/>
  <c r="K324" i="22"/>
  <c r="Q254" i="3"/>
  <c r="P254" i="3"/>
  <c r="W254" i="3" s="1"/>
  <c r="N254" i="3"/>
  <c r="G325" i="22" l="1"/>
  <c r="N324" i="22"/>
  <c r="O324" i="22" s="1"/>
  <c r="C314" i="3" s="1"/>
  <c r="J255" i="3"/>
  <c r="K255" i="3" s="1"/>
  <c r="O254" i="3"/>
  <c r="V254" i="3"/>
  <c r="U254" i="3"/>
  <c r="L255" i="3" l="1"/>
  <c r="M255" i="3" s="1"/>
  <c r="J325" i="22"/>
  <c r="L325" i="22" s="1"/>
  <c r="I325" i="22"/>
  <c r="H325" i="22"/>
  <c r="M325" i="22" l="1"/>
  <c r="F326" i="22"/>
  <c r="E326" i="22"/>
  <c r="K325" i="22"/>
  <c r="P255" i="3"/>
  <c r="W255" i="3" s="1"/>
  <c r="N255" i="3"/>
  <c r="Q255" i="3"/>
  <c r="G326" i="22" l="1"/>
  <c r="V255" i="3"/>
  <c r="U255" i="3"/>
  <c r="N325" i="22"/>
  <c r="O325" i="22" s="1"/>
  <c r="C315" i="3" s="1"/>
  <c r="J256" i="3"/>
  <c r="K256" i="3" s="1"/>
  <c r="O255" i="3"/>
  <c r="L256" i="3" l="1"/>
  <c r="M256" i="3" s="1"/>
  <c r="Q256" i="3"/>
  <c r="N256" i="3"/>
  <c r="P256" i="3"/>
  <c r="W256" i="3" s="1"/>
  <c r="J326" i="22"/>
  <c r="L326" i="22" s="1"/>
  <c r="K326" i="22"/>
  <c r="I326" i="22"/>
  <c r="H326" i="22"/>
  <c r="F327" i="22" l="1"/>
  <c r="E327" i="22"/>
  <c r="M326" i="22"/>
  <c r="N326" i="22" s="1"/>
  <c r="O326" i="22" s="1"/>
  <c r="C316" i="3" s="1"/>
  <c r="J257" i="3"/>
  <c r="K257" i="3" s="1"/>
  <c r="O256" i="3"/>
  <c r="V256" i="3"/>
  <c r="U256" i="3"/>
  <c r="G327" i="22" l="1"/>
  <c r="L257" i="3"/>
  <c r="M257" i="3" s="1"/>
  <c r="Q257" i="3" l="1"/>
  <c r="P257" i="3"/>
  <c r="W257" i="3" s="1"/>
  <c r="N257" i="3"/>
  <c r="J327" i="22"/>
  <c r="L327" i="22" s="1"/>
  <c r="H327" i="22"/>
  <c r="I327" i="22"/>
  <c r="E328" i="22" l="1"/>
  <c r="F328" i="22"/>
  <c r="G328" i="22" s="1"/>
  <c r="M327" i="22"/>
  <c r="K327" i="22"/>
  <c r="J258" i="3"/>
  <c r="K258" i="3" s="1"/>
  <c r="O257" i="3"/>
  <c r="V257" i="3"/>
  <c r="U257" i="3"/>
  <c r="N327" i="22" l="1"/>
  <c r="O327" i="22" s="1"/>
  <c r="C317" i="3" s="1"/>
  <c r="J328" i="22"/>
  <c r="L328" i="22" s="1"/>
  <c r="L258" i="3"/>
  <c r="M258" i="3" s="1"/>
  <c r="I328" i="22"/>
  <c r="H328" i="22"/>
  <c r="E329" i="22" l="1"/>
  <c r="F329" i="22"/>
  <c r="G329" i="22" s="1"/>
  <c r="Q258" i="3"/>
  <c r="N258" i="3"/>
  <c r="P258" i="3"/>
  <c r="W258" i="3" s="1"/>
  <c r="M328" i="22"/>
  <c r="K328" i="22"/>
  <c r="J259" i="3" l="1"/>
  <c r="K259" i="3" s="1"/>
  <c r="O258" i="3"/>
  <c r="V258" i="3"/>
  <c r="U258" i="3"/>
  <c r="K329" i="22"/>
  <c r="J329" i="22"/>
  <c r="L329" i="22" s="1"/>
  <c r="N328" i="22"/>
  <c r="O328" i="22" s="1"/>
  <c r="C318" i="3" s="1"/>
  <c r="H329" i="22"/>
  <c r="I329" i="22"/>
  <c r="L259" i="3" l="1"/>
  <c r="M259" i="3" s="1"/>
  <c r="F330" i="22"/>
  <c r="E330" i="22"/>
  <c r="M329" i="22"/>
  <c r="N329" i="22" s="1"/>
  <c r="O329" i="22" s="1"/>
  <c r="C319" i="3" s="1"/>
  <c r="G330" i="22" l="1"/>
  <c r="Q259" i="3"/>
  <c r="N259" i="3"/>
  <c r="P259" i="3"/>
  <c r="W259" i="3" s="1"/>
  <c r="J260" i="3" l="1"/>
  <c r="K260" i="3" s="1"/>
  <c r="O259" i="3"/>
  <c r="V259" i="3"/>
  <c r="U259" i="3"/>
  <c r="J330" i="22"/>
  <c r="L330" i="22" s="1"/>
  <c r="H330" i="22"/>
  <c r="I330" i="22"/>
  <c r="M330" i="22" l="1"/>
  <c r="K330" i="22"/>
  <c r="L260" i="3"/>
  <c r="M260" i="3" s="1"/>
  <c r="F331" i="22"/>
  <c r="G331" i="22" s="1"/>
  <c r="E331" i="22"/>
  <c r="J331" i="22" l="1"/>
  <c r="L331" i="22" s="1"/>
  <c r="K331" i="22"/>
  <c r="H331" i="22"/>
  <c r="I331" i="22"/>
  <c r="N330" i="22"/>
  <c r="O330" i="22" s="1"/>
  <c r="C320" i="3" s="1"/>
  <c r="N260" i="3"/>
  <c r="Q260" i="3"/>
  <c r="P260" i="3"/>
  <c r="W260" i="3" s="1"/>
  <c r="V260" i="3" l="1"/>
  <c r="U260" i="3"/>
  <c r="J261" i="3"/>
  <c r="K261" i="3" s="1"/>
  <c r="O260" i="3"/>
  <c r="F332" i="22"/>
  <c r="E332" i="22"/>
  <c r="M331" i="22"/>
  <c r="N331" i="22" s="1"/>
  <c r="O331" i="22" s="1"/>
  <c r="C321" i="3" s="1"/>
  <c r="L261" i="3" l="1"/>
  <c r="M261" i="3" s="1"/>
  <c r="G332" i="22"/>
  <c r="J332" i="22" l="1"/>
  <c r="L332" i="22" s="1"/>
  <c r="K332" i="22"/>
  <c r="I332" i="22"/>
  <c r="H332" i="22"/>
  <c r="N261" i="3"/>
  <c r="P261" i="3"/>
  <c r="W261" i="3" s="1"/>
  <c r="Q261" i="3"/>
  <c r="J262" i="3" l="1"/>
  <c r="K262" i="3" s="1"/>
  <c r="O261" i="3"/>
  <c r="F333" i="22"/>
  <c r="E333" i="22"/>
  <c r="M332" i="22"/>
  <c r="N332" i="22" s="1"/>
  <c r="O332" i="22" s="1"/>
  <c r="C322" i="3" s="1"/>
  <c r="V261" i="3"/>
  <c r="U261" i="3"/>
  <c r="G333" i="22" l="1"/>
  <c r="L262" i="3"/>
  <c r="M262" i="3" s="1"/>
  <c r="P262" i="3" l="1"/>
  <c r="W262" i="3" s="1"/>
  <c r="N262" i="3"/>
  <c r="Q262" i="3"/>
  <c r="J333" i="22"/>
  <c r="L333" i="22" s="1"/>
  <c r="K333" i="22"/>
  <c r="H333" i="22"/>
  <c r="I333" i="22"/>
  <c r="F334" i="22" l="1"/>
  <c r="E334" i="22"/>
  <c r="M333" i="22"/>
  <c r="N333" i="22" s="1"/>
  <c r="O333" i="22" s="1"/>
  <c r="C323" i="3" s="1"/>
  <c r="V262" i="3"/>
  <c r="U262" i="3"/>
  <c r="J263" i="3"/>
  <c r="K263" i="3" s="1"/>
  <c r="O262" i="3"/>
  <c r="G334" i="22" l="1"/>
  <c r="L263" i="3"/>
  <c r="M263" i="3" s="1"/>
  <c r="Q263" i="3" l="1"/>
  <c r="N263" i="3"/>
  <c r="P263" i="3"/>
  <c r="W263" i="3" s="1"/>
  <c r="J334" i="22"/>
  <c r="L334" i="22" s="1"/>
  <c r="H334" i="22"/>
  <c r="I334" i="22"/>
  <c r="F335" i="22" l="1"/>
  <c r="E335" i="22"/>
  <c r="M334" i="22"/>
  <c r="N334" i="22" s="1"/>
  <c r="O334" i="22" s="1"/>
  <c r="C324" i="3" s="1"/>
  <c r="K334" i="22"/>
  <c r="J264" i="3"/>
  <c r="K264" i="3" s="1"/>
  <c r="O263" i="3"/>
  <c r="V263" i="3"/>
  <c r="U263" i="3"/>
  <c r="G335" i="22" l="1"/>
  <c r="L264" i="3"/>
  <c r="M264" i="3" s="1"/>
  <c r="P264" i="3" l="1"/>
  <c r="W264" i="3" s="1"/>
  <c r="Q264" i="3"/>
  <c r="N264" i="3"/>
  <c r="J335" i="22"/>
  <c r="L335" i="22" s="1"/>
  <c r="K335" i="22"/>
  <c r="H335" i="22"/>
  <c r="I335" i="22"/>
  <c r="E336" i="22" l="1"/>
  <c r="F336" i="22"/>
  <c r="M335" i="22"/>
  <c r="N335" i="22" s="1"/>
  <c r="O335" i="22" s="1"/>
  <c r="C325" i="3" s="1"/>
  <c r="J265" i="3"/>
  <c r="K265" i="3" s="1"/>
  <c r="O264" i="3"/>
  <c r="V264" i="3"/>
  <c r="U264" i="3"/>
  <c r="G336" i="22" l="1"/>
  <c r="L265" i="3"/>
  <c r="M265" i="3" s="1"/>
  <c r="Q265" i="3" l="1"/>
  <c r="N265" i="3"/>
  <c r="P265" i="3"/>
  <c r="W265" i="3" s="1"/>
  <c r="J336" i="22"/>
  <c r="L336" i="22" s="1"/>
  <c r="I336" i="22"/>
  <c r="H336" i="22"/>
  <c r="M336" i="22" l="1"/>
  <c r="K336" i="22"/>
  <c r="J266" i="3"/>
  <c r="K266" i="3" s="1"/>
  <c r="O265" i="3"/>
  <c r="V265" i="3"/>
  <c r="U265" i="3"/>
  <c r="E337" i="22"/>
  <c r="F337" i="22"/>
  <c r="G337" i="22" s="1"/>
  <c r="H337" i="22" s="1"/>
  <c r="L266" i="3" l="1"/>
  <c r="M266" i="3" s="1"/>
  <c r="E338" i="22"/>
  <c r="F338" i="22"/>
  <c r="G338" i="22" s="1"/>
  <c r="Q266" i="3"/>
  <c r="N266" i="3"/>
  <c r="P266" i="3"/>
  <c r="W266" i="3" s="1"/>
  <c r="J337" i="22"/>
  <c r="L337" i="22" s="1"/>
  <c r="K337" i="22"/>
  <c r="I337" i="22"/>
  <c r="N336" i="22"/>
  <c r="O336" i="22" s="1"/>
  <c r="C326" i="3" s="1"/>
  <c r="J267" i="3" l="1"/>
  <c r="K267" i="3" s="1"/>
  <c r="O266" i="3"/>
  <c r="V266" i="3"/>
  <c r="U266" i="3"/>
  <c r="K338" i="22"/>
  <c r="J338" i="22"/>
  <c r="H338" i="22"/>
  <c r="I338" i="22"/>
  <c r="L338" i="22"/>
  <c r="M338" i="22"/>
  <c r="M337" i="22"/>
  <c r="N337" i="22" s="1"/>
  <c r="O337" i="22" s="1"/>
  <c r="C327" i="3" s="1"/>
  <c r="N338" i="22" l="1"/>
  <c r="O338" i="22" s="1"/>
  <c r="C328" i="3" s="1"/>
  <c r="L267" i="3"/>
  <c r="M267" i="3" s="1"/>
  <c r="F339" i="22"/>
  <c r="G339" i="22" s="1"/>
  <c r="E339" i="22"/>
  <c r="J339" i="22" l="1"/>
  <c r="L339" i="22" s="1"/>
  <c r="K339" i="22"/>
  <c r="I339" i="22"/>
  <c r="H339" i="22"/>
  <c r="Q267" i="3"/>
  <c r="N267" i="3"/>
  <c r="P267" i="3"/>
  <c r="W267" i="3" s="1"/>
  <c r="J268" i="3" l="1"/>
  <c r="K268" i="3" s="1"/>
  <c r="O267" i="3"/>
  <c r="V267" i="3"/>
  <c r="U267" i="3"/>
  <c r="F340" i="22"/>
  <c r="G340" i="22" s="1"/>
  <c r="H340" i="22" s="1"/>
  <c r="E340" i="22"/>
  <c r="M339" i="22"/>
  <c r="N339" i="22" s="1"/>
  <c r="O339" i="22" s="1"/>
  <c r="C329" i="3" s="1"/>
  <c r="F341" i="22" l="1"/>
  <c r="E341" i="22"/>
  <c r="I340" i="22"/>
  <c r="J340" i="22"/>
  <c r="L340" i="22" s="1"/>
  <c r="K340" i="22"/>
  <c r="L268" i="3"/>
  <c r="M268" i="3" s="1"/>
  <c r="M340" i="22" l="1"/>
  <c r="N340" i="22" s="1"/>
  <c r="O340" i="22" s="1"/>
  <c r="C330" i="3" s="1"/>
  <c r="G341" i="22"/>
  <c r="N268" i="3"/>
  <c r="Q268" i="3"/>
  <c r="P268" i="3"/>
  <c r="W268" i="3" s="1"/>
  <c r="V268" i="3" l="1"/>
  <c r="U268" i="3"/>
  <c r="J269" i="3"/>
  <c r="K269" i="3" s="1"/>
  <c r="O268" i="3"/>
  <c r="J341" i="22"/>
  <c r="L341" i="22" s="1"/>
  <c r="H341" i="22"/>
  <c r="I341" i="22"/>
  <c r="L269" i="3" l="1"/>
  <c r="M269" i="3" s="1"/>
  <c r="N269" i="3"/>
  <c r="Q269" i="3"/>
  <c r="P269" i="3"/>
  <c r="W269" i="3" s="1"/>
  <c r="M341" i="22"/>
  <c r="K341" i="22"/>
  <c r="F342" i="22"/>
  <c r="E342" i="22"/>
  <c r="N341" i="22" l="1"/>
  <c r="O341" i="22" s="1"/>
  <c r="C331" i="3" s="1"/>
  <c r="G342" i="22"/>
  <c r="V269" i="3"/>
  <c r="U269" i="3"/>
  <c r="J270" i="3"/>
  <c r="K270" i="3" s="1"/>
  <c r="O269" i="3"/>
  <c r="J342" i="22" l="1"/>
  <c r="L342" i="22" s="1"/>
  <c r="K342" i="22"/>
  <c r="I342" i="22"/>
  <c r="H342" i="22"/>
  <c r="L270" i="3"/>
  <c r="M270" i="3" s="1"/>
  <c r="Q270" i="3" l="1"/>
  <c r="P270" i="3"/>
  <c r="W270" i="3" s="1"/>
  <c r="N270" i="3"/>
  <c r="F343" i="22"/>
  <c r="G343" i="22" s="1"/>
  <c r="E343" i="22"/>
  <c r="M342" i="22"/>
  <c r="N342" i="22" s="1"/>
  <c r="O342" i="22" s="1"/>
  <c r="C332" i="3" s="1"/>
  <c r="J343" i="22" l="1"/>
  <c r="L343" i="22" s="1"/>
  <c r="K343" i="22"/>
  <c r="H343" i="22"/>
  <c r="I343" i="22"/>
  <c r="J271" i="3"/>
  <c r="K271" i="3" s="1"/>
  <c r="O270" i="3"/>
  <c r="V270" i="3"/>
  <c r="U270" i="3"/>
  <c r="L271" i="3" l="1"/>
  <c r="M271" i="3" s="1"/>
  <c r="E344" i="22"/>
  <c r="F344" i="22"/>
  <c r="G344" i="22" s="1"/>
  <c r="M343" i="22"/>
  <c r="N343" i="22" s="1"/>
  <c r="O343" i="22" s="1"/>
  <c r="C333" i="3" s="1"/>
  <c r="J344" i="22" l="1"/>
  <c r="L344" i="22" s="1"/>
  <c r="H344" i="22"/>
  <c r="I344" i="22"/>
  <c r="N271" i="3"/>
  <c r="P271" i="3"/>
  <c r="W271" i="3" s="1"/>
  <c r="Q271" i="3"/>
  <c r="J272" i="3" l="1"/>
  <c r="K272" i="3" s="1"/>
  <c r="O271" i="3"/>
  <c r="E345" i="22"/>
  <c r="F345" i="22"/>
  <c r="G345" i="22" s="1"/>
  <c r="K344" i="22"/>
  <c r="V271" i="3"/>
  <c r="U271" i="3"/>
  <c r="M344" i="22"/>
  <c r="J345" i="22" l="1"/>
  <c r="L345" i="22" s="1"/>
  <c r="N344" i="22"/>
  <c r="O344" i="22" s="1"/>
  <c r="C334" i="3" s="1"/>
  <c r="H345" i="22"/>
  <c r="I345" i="22"/>
  <c r="L272" i="3"/>
  <c r="M272" i="3" s="1"/>
  <c r="Q272" i="3" l="1"/>
  <c r="N272" i="3"/>
  <c r="P272" i="3"/>
  <c r="W272" i="3" s="1"/>
  <c r="F346" i="22"/>
  <c r="E346" i="22"/>
  <c r="M345" i="22"/>
  <c r="K345" i="22"/>
  <c r="G346" i="22" l="1"/>
  <c r="N345" i="22"/>
  <c r="O345" i="22" s="1"/>
  <c r="C335" i="3" s="1"/>
  <c r="J273" i="3"/>
  <c r="K273" i="3" s="1"/>
  <c r="O272" i="3"/>
  <c r="V272" i="3"/>
  <c r="U272" i="3"/>
  <c r="L273" i="3" l="1"/>
  <c r="M273" i="3" s="1"/>
  <c r="J346" i="22"/>
  <c r="L346" i="22" s="1"/>
  <c r="K346" i="22"/>
  <c r="I346" i="22"/>
  <c r="H346" i="22"/>
  <c r="E347" i="22" l="1"/>
  <c r="F347" i="22"/>
  <c r="G347" i="22" s="1"/>
  <c r="M346" i="22"/>
  <c r="N346" i="22" s="1"/>
  <c r="O346" i="22" s="1"/>
  <c r="C336" i="3" s="1"/>
  <c r="Q273" i="3"/>
  <c r="N273" i="3"/>
  <c r="P273" i="3"/>
  <c r="W273" i="3" s="1"/>
  <c r="V273" i="3" l="1"/>
  <c r="U273" i="3"/>
  <c r="J347" i="22"/>
  <c r="L347" i="22" s="1"/>
  <c r="I347" i="22"/>
  <c r="J274" i="3"/>
  <c r="K274" i="3" s="1"/>
  <c r="O273" i="3"/>
  <c r="H347" i="22"/>
  <c r="M347" i="22" l="1"/>
  <c r="K347" i="22"/>
  <c r="E348" i="22"/>
  <c r="F348" i="22"/>
  <c r="L274" i="3"/>
  <c r="M274" i="3" s="1"/>
  <c r="N347" i="22" l="1"/>
  <c r="O347" i="22" s="1"/>
  <c r="C337" i="3" s="1"/>
  <c r="Q274" i="3"/>
  <c r="N274" i="3"/>
  <c r="P274" i="3"/>
  <c r="W274" i="3" s="1"/>
  <c r="G348" i="22"/>
  <c r="J348" i="22" l="1"/>
  <c r="L348" i="22" s="1"/>
  <c r="I348" i="22"/>
  <c r="H348" i="22"/>
  <c r="J275" i="3"/>
  <c r="K275" i="3" s="1"/>
  <c r="O274" i="3"/>
  <c r="V274" i="3"/>
  <c r="U274" i="3"/>
  <c r="L275" i="3" l="1"/>
  <c r="M275" i="3" s="1"/>
  <c r="F349" i="22"/>
  <c r="E349" i="22"/>
  <c r="M348" i="22"/>
  <c r="K348" i="22"/>
  <c r="G349" i="22" l="1"/>
  <c r="Q275" i="3"/>
  <c r="N275" i="3"/>
  <c r="P275" i="3"/>
  <c r="W275" i="3" s="1"/>
  <c r="N348" i="22"/>
  <c r="O348" i="22" s="1"/>
  <c r="C338" i="3" s="1"/>
  <c r="J276" i="3" l="1"/>
  <c r="K276" i="3" s="1"/>
  <c r="O275" i="3"/>
  <c r="V275" i="3"/>
  <c r="U275" i="3"/>
  <c r="J349" i="22"/>
  <c r="L349" i="22" s="1"/>
  <c r="I349" i="22"/>
  <c r="H349" i="22"/>
  <c r="M349" i="22" l="1"/>
  <c r="K349" i="22"/>
  <c r="E350" i="22"/>
  <c r="F350" i="22"/>
  <c r="G350" i="22" s="1"/>
  <c r="L276" i="3"/>
  <c r="M276" i="3" s="1"/>
  <c r="J350" i="22" l="1"/>
  <c r="L350" i="22" s="1"/>
  <c r="K350" i="22"/>
  <c r="I350" i="22"/>
  <c r="H350" i="22"/>
  <c r="N349" i="22"/>
  <c r="O349" i="22" s="1"/>
  <c r="C339" i="3" s="1"/>
  <c r="N276" i="3"/>
  <c r="Q276" i="3"/>
  <c r="P276" i="3"/>
  <c r="W276" i="3" s="1"/>
  <c r="J277" i="3" l="1"/>
  <c r="K277" i="3" s="1"/>
  <c r="O276" i="3"/>
  <c r="F351" i="22"/>
  <c r="E351" i="22"/>
  <c r="M350" i="22"/>
  <c r="N350" i="22" s="1"/>
  <c r="O350" i="22" s="1"/>
  <c r="C340" i="3" s="1"/>
  <c r="V276" i="3"/>
  <c r="U276" i="3"/>
  <c r="G351" i="22" l="1"/>
  <c r="L277" i="3"/>
  <c r="M277" i="3" s="1"/>
  <c r="N277" i="3" l="1"/>
  <c r="P277" i="3"/>
  <c r="W277" i="3" s="1"/>
  <c r="Q277" i="3"/>
  <c r="J351" i="22"/>
  <c r="L351" i="22" s="1"/>
  <c r="K351" i="22"/>
  <c r="I351" i="22"/>
  <c r="H351" i="22"/>
  <c r="E352" i="22" l="1"/>
  <c r="F352" i="22"/>
  <c r="G352" i="22" s="1"/>
  <c r="M351" i="22"/>
  <c r="N351" i="22" s="1"/>
  <c r="O351" i="22" s="1"/>
  <c r="C341" i="3" s="1"/>
  <c r="V277" i="3"/>
  <c r="U277" i="3"/>
  <c r="J278" i="3"/>
  <c r="K278" i="3" s="1"/>
  <c r="O277" i="3"/>
  <c r="J352" i="22" l="1"/>
  <c r="L352" i="22" s="1"/>
  <c r="K352" i="22"/>
  <c r="L278" i="3"/>
  <c r="M278" i="3" s="1"/>
  <c r="H352" i="22"/>
  <c r="I352" i="22"/>
  <c r="F353" i="22" l="1"/>
  <c r="E353" i="22"/>
  <c r="P278" i="3"/>
  <c r="W278" i="3" s="1"/>
  <c r="N278" i="3"/>
  <c r="Q278" i="3"/>
  <c r="M352" i="22"/>
  <c r="N352" i="22" s="1"/>
  <c r="O352" i="22" s="1"/>
  <c r="C342" i="3" s="1"/>
  <c r="V278" i="3" l="1"/>
  <c r="U278" i="3"/>
  <c r="J279" i="3"/>
  <c r="K279" i="3" s="1"/>
  <c r="O278" i="3"/>
  <c r="G353" i="22"/>
  <c r="J353" i="22" l="1"/>
  <c r="L353" i="22" s="1"/>
  <c r="H353" i="22"/>
  <c r="I353" i="22"/>
  <c r="L279" i="3"/>
  <c r="M279" i="3" s="1"/>
  <c r="Q279" i="3" l="1"/>
  <c r="N279" i="3"/>
  <c r="P279" i="3"/>
  <c r="W279" i="3" s="1"/>
  <c r="F354" i="22"/>
  <c r="E354" i="22"/>
  <c r="M353" i="22"/>
  <c r="K353" i="22"/>
  <c r="G354" i="22" l="1"/>
  <c r="N353" i="22"/>
  <c r="O353" i="22" s="1"/>
  <c r="C343" i="3" s="1"/>
  <c r="J280" i="3"/>
  <c r="K280" i="3" s="1"/>
  <c r="O279" i="3"/>
  <c r="V279" i="3"/>
  <c r="U279" i="3"/>
  <c r="L280" i="3" l="1"/>
  <c r="M280" i="3" s="1"/>
  <c r="J354" i="22"/>
  <c r="L354" i="22" s="1"/>
  <c r="H354" i="22"/>
  <c r="I354" i="22"/>
  <c r="F355" i="22" l="1"/>
  <c r="E355" i="22"/>
  <c r="M354" i="22"/>
  <c r="K354" i="22"/>
  <c r="P280" i="3"/>
  <c r="W280" i="3" s="1"/>
  <c r="Q280" i="3"/>
  <c r="N280" i="3"/>
  <c r="N354" i="22" l="1"/>
  <c r="O354" i="22" s="1"/>
  <c r="C344" i="3" s="1"/>
  <c r="J281" i="3"/>
  <c r="K281" i="3" s="1"/>
  <c r="O280" i="3"/>
  <c r="G355" i="22"/>
  <c r="V280" i="3"/>
  <c r="U280" i="3"/>
  <c r="J355" i="22" l="1"/>
  <c r="L355" i="22" s="1"/>
  <c r="I355" i="22"/>
  <c r="H355" i="22"/>
  <c r="L281" i="3"/>
  <c r="M281" i="3" s="1"/>
  <c r="Q281" i="3" l="1"/>
  <c r="N281" i="3"/>
  <c r="P281" i="3"/>
  <c r="W281" i="3" s="1"/>
  <c r="E356" i="22"/>
  <c r="F356" i="22"/>
  <c r="G356" i="22" s="1"/>
  <c r="M355" i="22"/>
  <c r="K355" i="22"/>
  <c r="J356" i="22" l="1"/>
  <c r="L356" i="22" s="1"/>
  <c r="I356" i="22"/>
  <c r="H356" i="22"/>
  <c r="N355" i="22"/>
  <c r="O355" i="22" s="1"/>
  <c r="C345" i="3" s="1"/>
  <c r="J282" i="3"/>
  <c r="K282" i="3" s="1"/>
  <c r="O281" i="3"/>
  <c r="V281" i="3"/>
  <c r="U281" i="3"/>
  <c r="L282" i="3" l="1"/>
  <c r="M282" i="3" s="1"/>
  <c r="Q282" i="3" s="1"/>
  <c r="P282" i="3"/>
  <c r="W282" i="3" s="1"/>
  <c r="N282" i="3"/>
  <c r="M356" i="22"/>
  <c r="N356" i="22" s="1"/>
  <c r="O356" i="22" s="1"/>
  <c r="C346" i="3" s="1"/>
  <c r="I357" i="22"/>
  <c r="H357" i="22"/>
  <c r="E357" i="22"/>
  <c r="F357" i="22"/>
  <c r="G357" i="22" s="1"/>
  <c r="K356" i="22"/>
  <c r="F358" i="22" l="1"/>
  <c r="E358" i="22"/>
  <c r="J357" i="22"/>
  <c r="L357" i="22" s="1"/>
  <c r="J283" i="3"/>
  <c r="K283" i="3" s="1"/>
  <c r="O282" i="3"/>
  <c r="V282" i="3"/>
  <c r="U282" i="3"/>
  <c r="L283" i="3" l="1"/>
  <c r="M283" i="3" s="1"/>
  <c r="Q283" i="3"/>
  <c r="N283" i="3"/>
  <c r="P283" i="3"/>
  <c r="W283" i="3" s="1"/>
  <c r="M357" i="22"/>
  <c r="N357" i="22" s="1"/>
  <c r="O357" i="22" s="1"/>
  <c r="C347" i="3" s="1"/>
  <c r="K357" i="22"/>
  <c r="G358" i="22"/>
  <c r="J284" i="3" l="1"/>
  <c r="K284" i="3" s="1"/>
  <c r="O283" i="3"/>
  <c r="V283" i="3"/>
  <c r="U283" i="3"/>
  <c r="J358" i="22"/>
  <c r="L358" i="22" s="1"/>
  <c r="K358" i="22"/>
  <c r="I358" i="22"/>
  <c r="H358" i="22"/>
  <c r="M358" i="22" l="1"/>
  <c r="N358" i="22" s="1"/>
  <c r="O358" i="22" s="1"/>
  <c r="C348" i="3" s="1"/>
  <c r="F359" i="22"/>
  <c r="G359" i="22" s="1"/>
  <c r="H359" i="22" s="1"/>
  <c r="E359" i="22"/>
  <c r="L284" i="3"/>
  <c r="M284" i="3" s="1"/>
  <c r="E360" i="22" l="1"/>
  <c r="F360" i="22"/>
  <c r="G360" i="22" s="1"/>
  <c r="N284" i="3"/>
  <c r="Q284" i="3"/>
  <c r="P284" i="3"/>
  <c r="W284" i="3" s="1"/>
  <c r="J359" i="22"/>
  <c r="L359" i="22" s="1"/>
  <c r="I359" i="22"/>
  <c r="M359" i="22" l="1"/>
  <c r="V284" i="3"/>
  <c r="U284" i="3"/>
  <c r="J285" i="3"/>
  <c r="K285" i="3" s="1"/>
  <c r="O284" i="3"/>
  <c r="J360" i="22"/>
  <c r="K360" i="22" s="1"/>
  <c r="H360" i="22"/>
  <c r="K359" i="22"/>
  <c r="I360" i="22"/>
  <c r="L285" i="3" l="1"/>
  <c r="M285" i="3" s="1"/>
  <c r="N285" i="3" s="1"/>
  <c r="Q285" i="3"/>
  <c r="P285" i="3"/>
  <c r="W285" i="3" s="1"/>
  <c r="E361" i="22"/>
  <c r="F361" i="22"/>
  <c r="G361" i="22" s="1"/>
  <c r="N359" i="22"/>
  <c r="O359" i="22" s="1"/>
  <c r="C349" i="3" s="1"/>
  <c r="L360" i="22"/>
  <c r="J361" i="22" l="1"/>
  <c r="L361" i="22" s="1"/>
  <c r="K361" i="22"/>
  <c r="H361" i="22"/>
  <c r="I361" i="22"/>
  <c r="V285" i="3"/>
  <c r="U285" i="3"/>
  <c r="M360" i="22"/>
  <c r="N360" i="22" s="1"/>
  <c r="O360" i="22" s="1"/>
  <c r="C350" i="3" s="1"/>
  <c r="J286" i="3"/>
  <c r="K286" i="3" s="1"/>
  <c r="O285" i="3"/>
  <c r="M361" i="22" l="1"/>
  <c r="N361" i="22" s="1"/>
  <c r="O361" i="22" s="1"/>
  <c r="C351" i="3" s="1"/>
  <c r="E362" i="22"/>
  <c r="F362" i="22"/>
  <c r="G362" i="22" s="1"/>
  <c r="L286" i="3"/>
  <c r="M286" i="3" s="1"/>
  <c r="P286" i="3" l="1"/>
  <c r="W286" i="3" s="1"/>
  <c r="N286" i="3"/>
  <c r="Q286" i="3"/>
  <c r="J362" i="22"/>
  <c r="L362" i="22" s="1"/>
  <c r="H362" i="22"/>
  <c r="I362" i="22"/>
  <c r="V286" i="3" l="1"/>
  <c r="U286" i="3"/>
  <c r="E363" i="22"/>
  <c r="F363" i="22"/>
  <c r="G363" i="22" s="1"/>
  <c r="K362" i="22"/>
  <c r="J287" i="3"/>
  <c r="K287" i="3" s="1"/>
  <c r="O286" i="3"/>
  <c r="M362" i="22"/>
  <c r="L287" i="3" l="1"/>
  <c r="M287" i="3" s="1"/>
  <c r="Q287" i="3"/>
  <c r="N287" i="3"/>
  <c r="P287" i="3"/>
  <c r="W287" i="3" s="1"/>
  <c r="J363" i="22"/>
  <c r="L363" i="22" s="1"/>
  <c r="N362" i="22"/>
  <c r="O362" i="22" s="1"/>
  <c r="C352" i="3" s="1"/>
  <c r="I363" i="22"/>
  <c r="H363" i="22"/>
  <c r="M363" i="22" l="1"/>
  <c r="K363" i="22"/>
  <c r="J288" i="3"/>
  <c r="K288" i="3" s="1"/>
  <c r="O287" i="3"/>
  <c r="V287" i="3"/>
  <c r="U287" i="3"/>
  <c r="E364" i="22"/>
  <c r="F364" i="22"/>
  <c r="G364" i="22" s="1"/>
  <c r="J364" i="22" l="1"/>
  <c r="L364" i="22" s="1"/>
  <c r="H364" i="22"/>
  <c r="N363" i="22"/>
  <c r="O363" i="22" s="1"/>
  <c r="C353" i="3" s="1"/>
  <c r="I364" i="22"/>
  <c r="L288" i="3"/>
  <c r="M288" i="3" s="1"/>
  <c r="P288" i="3" l="1"/>
  <c r="W288" i="3" s="1"/>
  <c r="N288" i="3"/>
  <c r="Q288" i="3"/>
  <c r="F365" i="22"/>
  <c r="G365" i="22" s="1"/>
  <c r="E365" i="22"/>
  <c r="M364" i="22"/>
  <c r="K364" i="22"/>
  <c r="J365" i="22" l="1"/>
  <c r="L365" i="22" s="1"/>
  <c r="K365" i="22"/>
  <c r="H365" i="22"/>
  <c r="I365" i="22"/>
  <c r="V288" i="3"/>
  <c r="U288" i="3"/>
  <c r="N364" i="22"/>
  <c r="O364" i="22" s="1"/>
  <c r="C354" i="3" s="1"/>
  <c r="J289" i="3"/>
  <c r="K289" i="3" s="1"/>
  <c r="O288" i="3"/>
  <c r="F366" i="22" l="1"/>
  <c r="E366" i="22"/>
  <c r="L289" i="3"/>
  <c r="M289" i="3" s="1"/>
  <c r="M365" i="22"/>
  <c r="N365" i="22" s="1"/>
  <c r="O365" i="22" s="1"/>
  <c r="C355" i="3" s="1"/>
  <c r="Q289" i="3" l="1"/>
  <c r="N289" i="3"/>
  <c r="P289" i="3"/>
  <c r="W289" i="3" s="1"/>
  <c r="G366" i="22"/>
  <c r="J366" i="22" l="1"/>
  <c r="L366" i="22" s="1"/>
  <c r="I366" i="22"/>
  <c r="H366" i="22"/>
  <c r="J290" i="3"/>
  <c r="K290" i="3" s="1"/>
  <c r="O289" i="3"/>
  <c r="V289" i="3"/>
  <c r="U289" i="3"/>
  <c r="L290" i="3" l="1"/>
  <c r="M290" i="3" s="1"/>
  <c r="E367" i="22"/>
  <c r="F367" i="22"/>
  <c r="G367" i="22" s="1"/>
  <c r="M366" i="22"/>
  <c r="N366" i="22" s="1"/>
  <c r="O366" i="22" s="1"/>
  <c r="C356" i="3" s="1"/>
  <c r="K366" i="22"/>
  <c r="J367" i="22" l="1"/>
  <c r="L367" i="22" s="1"/>
  <c r="K367" i="22"/>
  <c r="I367" i="22"/>
  <c r="H367" i="22"/>
  <c r="Q290" i="3"/>
  <c r="P290" i="3"/>
  <c r="W290" i="3" s="1"/>
  <c r="N290" i="3"/>
  <c r="V290" i="3" l="1"/>
  <c r="U290" i="3"/>
  <c r="F368" i="22"/>
  <c r="E368" i="22"/>
  <c r="M367" i="22"/>
  <c r="N367" i="22" s="1"/>
  <c r="O367" i="22" s="1"/>
  <c r="C357" i="3" s="1"/>
  <c r="J291" i="3"/>
  <c r="K291" i="3" s="1"/>
  <c r="O290" i="3"/>
  <c r="G368" i="22" l="1"/>
  <c r="L291" i="3"/>
  <c r="M291" i="3" s="1"/>
  <c r="Q291" i="3" l="1"/>
  <c r="N291" i="3"/>
  <c r="P291" i="3"/>
  <c r="W291" i="3" s="1"/>
  <c r="J368" i="22"/>
  <c r="L368" i="22" s="1"/>
  <c r="H368" i="22"/>
  <c r="I368" i="22"/>
  <c r="F369" i="22" l="1"/>
  <c r="E369" i="22"/>
  <c r="M368" i="22"/>
  <c r="N368" i="22" s="1"/>
  <c r="O368" i="22" s="1"/>
  <c r="C358" i="3" s="1"/>
  <c r="K368" i="22"/>
  <c r="J292" i="3"/>
  <c r="K292" i="3" s="1"/>
  <c r="O291" i="3"/>
  <c r="V291" i="3"/>
  <c r="U291" i="3"/>
  <c r="G369" i="22" l="1"/>
  <c r="L292" i="3"/>
  <c r="M292" i="3" s="1"/>
  <c r="N292" i="3" l="1"/>
  <c r="Q292" i="3"/>
  <c r="P292" i="3"/>
  <c r="W292" i="3" s="1"/>
  <c r="J369" i="22"/>
  <c r="L369" i="22" s="1"/>
  <c r="H369" i="22"/>
  <c r="I369" i="22"/>
  <c r="E370" i="22" l="1"/>
  <c r="F370" i="22"/>
  <c r="G370" i="22" s="1"/>
  <c r="M369" i="22"/>
  <c r="K369" i="22"/>
  <c r="V292" i="3"/>
  <c r="U292" i="3"/>
  <c r="J293" i="3"/>
  <c r="K293" i="3" s="1"/>
  <c r="O292" i="3"/>
  <c r="K370" i="22" l="1"/>
  <c r="J370" i="22"/>
  <c r="L370" i="22" s="1"/>
  <c r="L293" i="3"/>
  <c r="M293" i="3" s="1"/>
  <c r="I370" i="22"/>
  <c r="H370" i="22"/>
  <c r="N369" i="22"/>
  <c r="O369" i="22" s="1"/>
  <c r="C359" i="3" s="1"/>
  <c r="N293" i="3" l="1"/>
  <c r="P293" i="3"/>
  <c r="W293" i="3" s="1"/>
  <c r="Q293" i="3"/>
  <c r="M370" i="22"/>
  <c r="N370" i="22" s="1"/>
  <c r="O370" i="22" s="1"/>
  <c r="C360" i="3" s="1"/>
  <c r="I371" i="22"/>
  <c r="H371" i="22"/>
  <c r="E371" i="22"/>
  <c r="F371" i="22"/>
  <c r="G371" i="22" s="1"/>
  <c r="E372" i="22" l="1"/>
  <c r="F372" i="22"/>
  <c r="G372" i="22" s="1"/>
  <c r="V293" i="3"/>
  <c r="U293" i="3"/>
  <c r="J371" i="22"/>
  <c r="L371" i="22" s="1"/>
  <c r="J294" i="3"/>
  <c r="K294" i="3" s="1"/>
  <c r="O293" i="3"/>
  <c r="M371" i="22" l="1"/>
  <c r="K371" i="22"/>
  <c r="J372" i="22"/>
  <c r="L372" i="22" s="1"/>
  <c r="K372" i="22"/>
  <c r="I372" i="22"/>
  <c r="L294" i="3"/>
  <c r="M294" i="3" s="1"/>
  <c r="H372" i="22"/>
  <c r="M372" i="22" l="1"/>
  <c r="N372" i="22" s="1"/>
  <c r="O372" i="22" s="1"/>
  <c r="C362" i="3" s="1"/>
  <c r="N371" i="22"/>
  <c r="O371" i="22" s="1"/>
  <c r="C361" i="3" s="1"/>
  <c r="E373" i="22"/>
  <c r="F373" i="22"/>
  <c r="Q294" i="3"/>
  <c r="N294" i="3"/>
  <c r="P294" i="3"/>
  <c r="W294" i="3" s="1"/>
  <c r="J295" i="3" l="1"/>
  <c r="K295" i="3" s="1"/>
  <c r="O294" i="3"/>
  <c r="V294" i="3"/>
  <c r="U294" i="3"/>
  <c r="G373" i="22"/>
  <c r="J373" i="22" l="1"/>
  <c r="L373" i="22" s="1"/>
  <c r="K373" i="22"/>
  <c r="H373" i="22"/>
  <c r="I373" i="22"/>
  <c r="L295" i="3"/>
  <c r="M295" i="3" s="1"/>
  <c r="N295" i="3" l="1"/>
  <c r="P295" i="3"/>
  <c r="W295" i="3" s="1"/>
  <c r="Q295" i="3"/>
  <c r="F374" i="22"/>
  <c r="E374" i="22"/>
  <c r="M373" i="22"/>
  <c r="N373" i="22" s="1"/>
  <c r="O373" i="22" s="1"/>
  <c r="C363" i="3" s="1"/>
  <c r="G374" i="22" l="1"/>
  <c r="V295" i="3"/>
  <c r="U295" i="3"/>
  <c r="J296" i="3"/>
  <c r="K296" i="3" s="1"/>
  <c r="O295" i="3"/>
  <c r="L296" i="3" l="1"/>
  <c r="M296" i="3" s="1"/>
  <c r="J374" i="22"/>
  <c r="L374" i="22" s="1"/>
  <c r="H374" i="22"/>
  <c r="I374" i="22"/>
  <c r="F375" i="22" l="1"/>
  <c r="E375" i="22"/>
  <c r="M374" i="22"/>
  <c r="K374" i="22"/>
  <c r="Q296" i="3"/>
  <c r="N296" i="3"/>
  <c r="P296" i="3"/>
  <c r="W296" i="3" s="1"/>
  <c r="N374" i="22" l="1"/>
  <c r="O374" i="22" s="1"/>
  <c r="C364" i="3" s="1"/>
  <c r="G375" i="22"/>
  <c r="J297" i="3"/>
  <c r="K297" i="3" s="1"/>
  <c r="O296" i="3"/>
  <c r="V296" i="3"/>
  <c r="U296" i="3"/>
  <c r="L297" i="3" l="1"/>
  <c r="M297" i="3" s="1"/>
  <c r="J375" i="22"/>
  <c r="L375" i="22" s="1"/>
  <c r="K375" i="22"/>
  <c r="H375" i="22"/>
  <c r="I375" i="22"/>
  <c r="F376" i="22" l="1"/>
  <c r="E376" i="22"/>
  <c r="M375" i="22"/>
  <c r="N375" i="22" s="1"/>
  <c r="O375" i="22" s="1"/>
  <c r="C365" i="3" s="1"/>
  <c r="P297" i="3"/>
  <c r="W297" i="3" s="1"/>
  <c r="N297" i="3"/>
  <c r="Q297" i="3"/>
  <c r="G376" i="22" l="1"/>
  <c r="V297" i="3"/>
  <c r="U297" i="3"/>
  <c r="J298" i="3"/>
  <c r="K298" i="3" s="1"/>
  <c r="O297" i="3"/>
  <c r="L298" i="3" l="1"/>
  <c r="M298" i="3" s="1"/>
  <c r="J376" i="22"/>
  <c r="L376" i="22" s="1"/>
  <c r="I376" i="22"/>
  <c r="H376" i="22"/>
  <c r="F377" i="22" l="1"/>
  <c r="E377" i="22"/>
  <c r="M376" i="22"/>
  <c r="K376" i="22"/>
  <c r="Q298" i="3"/>
  <c r="N298" i="3"/>
  <c r="P298" i="3"/>
  <c r="W298" i="3" s="1"/>
  <c r="G377" i="22" l="1"/>
  <c r="N376" i="22"/>
  <c r="O376" i="22" s="1"/>
  <c r="C366" i="3" s="1"/>
  <c r="J299" i="3"/>
  <c r="K299" i="3" s="1"/>
  <c r="O298" i="3"/>
  <c r="V298" i="3"/>
  <c r="U298" i="3"/>
  <c r="L299" i="3" l="1"/>
  <c r="M299" i="3" s="1"/>
  <c r="J377" i="22"/>
  <c r="L377" i="22" s="1"/>
  <c r="M377" i="22" s="1"/>
  <c r="K377" i="22"/>
  <c r="I377" i="22"/>
  <c r="H377" i="22"/>
  <c r="N377" i="22" l="1"/>
  <c r="O377" i="22" s="1"/>
  <c r="Q299" i="3"/>
  <c r="N299" i="3"/>
  <c r="P299" i="3"/>
  <c r="W299" i="3" s="1"/>
  <c r="J300" i="3" l="1"/>
  <c r="K300" i="3" s="1"/>
  <c r="O299" i="3"/>
  <c r="V299" i="3"/>
  <c r="U299" i="3"/>
  <c r="C367" i="3"/>
  <c r="K9" i="1"/>
  <c r="C23" i="8"/>
  <c r="C26" i="8" s="1"/>
  <c r="H22" i="15" l="1"/>
  <c r="D16" i="15" s="1"/>
  <c r="F35" i="15"/>
  <c r="O12" i="15"/>
  <c r="K14" i="15" s="1"/>
  <c r="L300" i="3"/>
  <c r="M300" i="3" s="1"/>
  <c r="N300" i="3" l="1"/>
  <c r="Q300" i="3"/>
  <c r="P300" i="3"/>
  <c r="W300" i="3" s="1"/>
  <c r="V300" i="3" l="1"/>
  <c r="U300" i="3"/>
  <c r="J301" i="3"/>
  <c r="K301" i="3" s="1"/>
  <c r="O300" i="3"/>
  <c r="L301" i="3" l="1"/>
  <c r="M301" i="3" s="1"/>
  <c r="N301" i="3" l="1"/>
  <c r="P301" i="3"/>
  <c r="W301" i="3" s="1"/>
  <c r="Q301" i="3"/>
  <c r="V301" i="3" l="1"/>
  <c r="U301" i="3"/>
  <c r="J302" i="3"/>
  <c r="K302" i="3" s="1"/>
  <c r="O301" i="3"/>
  <c r="L302" i="3" l="1"/>
  <c r="M302" i="3" s="1"/>
  <c r="Q302" i="3" s="1"/>
  <c r="N302" i="3"/>
  <c r="P302" i="3"/>
  <c r="W302" i="3" s="1"/>
  <c r="J303" i="3" l="1"/>
  <c r="K303" i="3" s="1"/>
  <c r="O302" i="3"/>
  <c r="V302" i="3"/>
  <c r="U302" i="3"/>
  <c r="L303" i="3" l="1"/>
  <c r="M303" i="3" s="1"/>
  <c r="N303" i="3" l="1"/>
  <c r="P303" i="3"/>
  <c r="W303" i="3" s="1"/>
  <c r="Q303" i="3"/>
  <c r="V303" i="3" l="1"/>
  <c r="U303" i="3"/>
  <c r="J304" i="3"/>
  <c r="K304" i="3" s="1"/>
  <c r="O303" i="3"/>
  <c r="L304" i="3" l="1"/>
  <c r="M304" i="3" s="1"/>
  <c r="P304" i="3" l="1"/>
  <c r="W304" i="3" s="1"/>
  <c r="N304" i="3"/>
  <c r="Q304" i="3"/>
  <c r="V304" i="3" l="1"/>
  <c r="U304" i="3"/>
  <c r="J305" i="3"/>
  <c r="K305" i="3" s="1"/>
  <c r="O304" i="3"/>
  <c r="L305" i="3" l="1"/>
  <c r="M305" i="3" s="1"/>
  <c r="Q305" i="3" l="1"/>
  <c r="N305" i="3"/>
  <c r="P305" i="3"/>
  <c r="W305" i="3" s="1"/>
  <c r="J306" i="3" l="1"/>
  <c r="K306" i="3" s="1"/>
  <c r="O305" i="3"/>
  <c r="V305" i="3"/>
  <c r="U305" i="3"/>
  <c r="L306" i="3" l="1"/>
  <c r="M306" i="3" s="1"/>
  <c r="Q306" i="3" l="1"/>
  <c r="N306" i="3"/>
  <c r="P306" i="3"/>
  <c r="W306" i="3" s="1"/>
  <c r="J307" i="3" l="1"/>
  <c r="K307" i="3" s="1"/>
  <c r="O306" i="3"/>
  <c r="V306" i="3"/>
  <c r="U306" i="3"/>
  <c r="L307" i="3" l="1"/>
  <c r="M307" i="3" s="1"/>
  <c r="Q307" i="3" l="1"/>
  <c r="N307" i="3"/>
  <c r="P307" i="3"/>
  <c r="W307" i="3" s="1"/>
  <c r="J308" i="3" l="1"/>
  <c r="K308" i="3" s="1"/>
  <c r="O307" i="3"/>
  <c r="V307" i="3"/>
  <c r="U307" i="3"/>
  <c r="L308" i="3" l="1"/>
  <c r="M308" i="3" s="1"/>
  <c r="N308" i="3" l="1"/>
  <c r="Q308" i="3"/>
  <c r="P308" i="3"/>
  <c r="W308" i="3" s="1"/>
  <c r="V308" i="3" l="1"/>
  <c r="U308" i="3"/>
  <c r="J309" i="3"/>
  <c r="K309" i="3" s="1"/>
  <c r="O308" i="3"/>
  <c r="L309" i="3" l="1"/>
  <c r="M309" i="3" s="1"/>
  <c r="N309" i="3" l="1"/>
  <c r="Q309" i="3"/>
  <c r="P309" i="3"/>
  <c r="W309" i="3" s="1"/>
  <c r="V309" i="3" l="1"/>
  <c r="U309" i="3"/>
  <c r="J310" i="3"/>
  <c r="K310" i="3" s="1"/>
  <c r="O309" i="3"/>
  <c r="L310" i="3" l="1"/>
  <c r="M310" i="3" s="1"/>
  <c r="Q310" i="3" l="1"/>
  <c r="N310" i="3"/>
  <c r="P310" i="3"/>
  <c r="W310" i="3" s="1"/>
  <c r="J311" i="3" l="1"/>
  <c r="K311" i="3" s="1"/>
  <c r="O310" i="3"/>
  <c r="V310" i="3"/>
  <c r="U310" i="3"/>
  <c r="L311" i="3" l="1"/>
  <c r="M311" i="3" s="1"/>
  <c r="Q311" i="3" l="1"/>
  <c r="N311" i="3"/>
  <c r="P311" i="3"/>
  <c r="W311" i="3" s="1"/>
  <c r="J312" i="3" l="1"/>
  <c r="K312" i="3" s="1"/>
  <c r="O311" i="3"/>
  <c r="V311" i="3"/>
  <c r="U311" i="3"/>
  <c r="L312" i="3" l="1"/>
  <c r="M312" i="3" s="1"/>
  <c r="P312" i="3" l="1"/>
  <c r="W312" i="3" s="1"/>
  <c r="Q312" i="3"/>
  <c r="N312" i="3"/>
  <c r="J313" i="3" l="1"/>
  <c r="K313" i="3" s="1"/>
  <c r="O312" i="3"/>
  <c r="V312" i="3"/>
  <c r="U312" i="3"/>
  <c r="L313" i="3" l="1"/>
  <c r="M313" i="3" s="1"/>
  <c r="Q313" i="3" l="1"/>
  <c r="P313" i="3"/>
  <c r="W313" i="3" s="1"/>
  <c r="N313" i="3"/>
  <c r="J314" i="3" l="1"/>
  <c r="K314" i="3" s="1"/>
  <c r="O313" i="3"/>
  <c r="V313" i="3"/>
  <c r="U313" i="3"/>
  <c r="L314" i="3" l="1"/>
  <c r="M314" i="3" s="1"/>
  <c r="Q314" i="3" l="1"/>
  <c r="N314" i="3"/>
  <c r="P314" i="3"/>
  <c r="W314" i="3" s="1"/>
  <c r="J315" i="3" l="1"/>
  <c r="K315" i="3" s="1"/>
  <c r="O314" i="3"/>
  <c r="V314" i="3"/>
  <c r="U314" i="3"/>
  <c r="L315" i="3" l="1"/>
  <c r="M315" i="3" s="1"/>
  <c r="Q315" i="3" l="1"/>
  <c r="N315" i="3"/>
  <c r="P315" i="3"/>
  <c r="W315" i="3" s="1"/>
  <c r="J316" i="3" l="1"/>
  <c r="K316" i="3" s="1"/>
  <c r="O315" i="3"/>
  <c r="V315" i="3"/>
  <c r="U315" i="3"/>
  <c r="L316" i="3" l="1"/>
  <c r="M316" i="3" s="1"/>
  <c r="N316" i="3" l="1"/>
  <c r="P316" i="3"/>
  <c r="W316" i="3" s="1"/>
  <c r="Q316" i="3"/>
  <c r="V316" i="3" l="1"/>
  <c r="U316" i="3"/>
  <c r="J317" i="3"/>
  <c r="K317" i="3" s="1"/>
  <c r="O316" i="3"/>
  <c r="L317" i="3" l="1"/>
  <c r="M317" i="3" s="1"/>
  <c r="Q317" i="3" l="1"/>
  <c r="N317" i="3"/>
  <c r="P317" i="3"/>
  <c r="W317" i="3" s="1"/>
  <c r="J318" i="3" l="1"/>
  <c r="K318" i="3" s="1"/>
  <c r="O317" i="3"/>
  <c r="V317" i="3"/>
  <c r="U317" i="3"/>
  <c r="L318" i="3" l="1"/>
  <c r="M318" i="3" s="1"/>
  <c r="N318" i="3" l="1"/>
  <c r="Q318" i="3"/>
  <c r="P318" i="3"/>
  <c r="W318" i="3" s="1"/>
  <c r="V318" i="3" l="1"/>
  <c r="U318" i="3"/>
  <c r="J319" i="3"/>
  <c r="K319" i="3" s="1"/>
  <c r="O318" i="3"/>
  <c r="L319" i="3" l="1"/>
  <c r="M319" i="3" s="1"/>
  <c r="Q319" i="3"/>
  <c r="P319" i="3"/>
  <c r="W319" i="3" s="1"/>
  <c r="N319" i="3"/>
  <c r="J320" i="3" l="1"/>
  <c r="K320" i="3" s="1"/>
  <c r="O319" i="3"/>
  <c r="V319" i="3"/>
  <c r="U319" i="3"/>
  <c r="L320" i="3" l="1"/>
  <c r="M320" i="3" s="1"/>
  <c r="N320" i="3" l="1"/>
  <c r="Q320" i="3"/>
  <c r="P320" i="3"/>
  <c r="W320" i="3" s="1"/>
  <c r="V320" i="3" l="1"/>
  <c r="U320" i="3"/>
  <c r="J321" i="3"/>
  <c r="K321" i="3" s="1"/>
  <c r="O320" i="3"/>
  <c r="L321" i="3" l="1"/>
  <c r="M321" i="3" s="1"/>
  <c r="P321" i="3" l="1"/>
  <c r="W321" i="3" s="1"/>
  <c r="Q321" i="3"/>
  <c r="N321" i="3"/>
  <c r="J322" i="3" l="1"/>
  <c r="K322" i="3" s="1"/>
  <c r="O321" i="3"/>
  <c r="V321" i="3"/>
  <c r="U321" i="3"/>
  <c r="L322" i="3" l="1"/>
  <c r="M322" i="3" s="1"/>
  <c r="Q322" i="3" l="1"/>
  <c r="N322" i="3"/>
  <c r="P322" i="3"/>
  <c r="W322" i="3" s="1"/>
  <c r="J323" i="3" l="1"/>
  <c r="K323" i="3" s="1"/>
  <c r="O322" i="3"/>
  <c r="V322" i="3"/>
  <c r="U322" i="3"/>
  <c r="L323" i="3" l="1"/>
  <c r="M323" i="3" s="1"/>
  <c r="Q323" i="3" l="1"/>
  <c r="N323" i="3"/>
  <c r="P323" i="3"/>
  <c r="W323" i="3" s="1"/>
  <c r="J324" i="3" l="1"/>
  <c r="K324" i="3" s="1"/>
  <c r="O323" i="3"/>
  <c r="V323" i="3"/>
  <c r="U323" i="3"/>
  <c r="L324" i="3" l="1"/>
  <c r="M324" i="3" s="1"/>
  <c r="N324" i="3" l="1"/>
  <c r="P324" i="3"/>
  <c r="W324" i="3" s="1"/>
  <c r="Q324" i="3"/>
  <c r="V324" i="3" l="1"/>
  <c r="U324" i="3"/>
  <c r="J325" i="3"/>
  <c r="K325" i="3" s="1"/>
  <c r="O324" i="3"/>
  <c r="L325" i="3" l="1"/>
  <c r="M325" i="3" s="1"/>
  <c r="Q325" i="3" l="1"/>
  <c r="N325" i="3"/>
  <c r="P325" i="3"/>
  <c r="W325" i="3" s="1"/>
  <c r="J326" i="3" l="1"/>
  <c r="K326" i="3" s="1"/>
  <c r="O325" i="3"/>
  <c r="V325" i="3"/>
  <c r="U325" i="3"/>
  <c r="L326" i="3" l="1"/>
  <c r="M326" i="3" s="1"/>
  <c r="N326" i="3" l="1"/>
  <c r="Q326" i="3"/>
  <c r="P326" i="3"/>
  <c r="W326" i="3" s="1"/>
  <c r="V326" i="3" l="1"/>
  <c r="U326" i="3"/>
  <c r="J327" i="3"/>
  <c r="K327" i="3" s="1"/>
  <c r="O326" i="3"/>
  <c r="L327" i="3" l="1"/>
  <c r="M327" i="3" s="1"/>
  <c r="N327" i="3" l="1"/>
  <c r="Q327" i="3"/>
  <c r="P327" i="3"/>
  <c r="W327" i="3" s="1"/>
  <c r="V327" i="3" l="1"/>
  <c r="U327" i="3"/>
  <c r="J328" i="3"/>
  <c r="K328" i="3" s="1"/>
  <c r="O327" i="3"/>
  <c r="L328" i="3" l="1"/>
  <c r="M328" i="3" s="1"/>
  <c r="Q328" i="3" l="1"/>
  <c r="N328" i="3"/>
  <c r="P328" i="3"/>
  <c r="W328" i="3" s="1"/>
  <c r="J329" i="3" l="1"/>
  <c r="K329" i="3" s="1"/>
  <c r="O328" i="3"/>
  <c r="V328" i="3"/>
  <c r="U328" i="3"/>
  <c r="L329" i="3" l="1"/>
  <c r="M329" i="3" s="1"/>
  <c r="N329" i="3" l="1"/>
  <c r="Q329" i="3"/>
  <c r="P329" i="3"/>
  <c r="W329" i="3" s="1"/>
  <c r="V329" i="3" l="1"/>
  <c r="U329" i="3"/>
  <c r="J330" i="3"/>
  <c r="K330" i="3" s="1"/>
  <c r="O329" i="3"/>
  <c r="L330" i="3" l="1"/>
  <c r="M330" i="3" s="1"/>
  <c r="Q330" i="3" l="1"/>
  <c r="N330" i="3"/>
  <c r="P330" i="3"/>
  <c r="W330" i="3" s="1"/>
  <c r="J331" i="3" l="1"/>
  <c r="K331" i="3" s="1"/>
  <c r="O330" i="3"/>
  <c r="V330" i="3"/>
  <c r="U330" i="3"/>
  <c r="L331" i="3" l="1"/>
  <c r="M331" i="3" s="1"/>
  <c r="Q331" i="3" l="1"/>
  <c r="N331" i="3"/>
  <c r="P331" i="3"/>
  <c r="W331" i="3" s="1"/>
  <c r="J332" i="3" l="1"/>
  <c r="K332" i="3" s="1"/>
  <c r="O331" i="3"/>
  <c r="V331" i="3"/>
  <c r="U331" i="3"/>
  <c r="L332" i="3" l="1"/>
  <c r="M332" i="3" s="1"/>
  <c r="N332" i="3" l="1"/>
  <c r="Q332" i="3"/>
  <c r="P332" i="3"/>
  <c r="W332" i="3" s="1"/>
  <c r="V332" i="3" l="1"/>
  <c r="U332" i="3"/>
  <c r="J333" i="3"/>
  <c r="K333" i="3" s="1"/>
  <c r="O332" i="3"/>
  <c r="L333" i="3" l="1"/>
  <c r="M333" i="3" s="1"/>
  <c r="N333" i="3" l="1"/>
  <c r="Q333" i="3"/>
  <c r="P333" i="3"/>
  <c r="W333" i="3" s="1"/>
  <c r="V333" i="3" l="1"/>
  <c r="U333" i="3"/>
  <c r="J334" i="3"/>
  <c r="K334" i="3" s="1"/>
  <c r="O333" i="3"/>
  <c r="L334" i="3" l="1"/>
  <c r="M334" i="3" s="1"/>
  <c r="Q334" i="3" l="1"/>
  <c r="N334" i="3"/>
  <c r="P334" i="3"/>
  <c r="W334" i="3" s="1"/>
  <c r="J335" i="3" l="1"/>
  <c r="K335" i="3" s="1"/>
  <c r="O334" i="3"/>
  <c r="V334" i="3"/>
  <c r="U334" i="3"/>
  <c r="L335" i="3" l="1"/>
  <c r="M335" i="3" s="1"/>
  <c r="N335" i="3" l="1"/>
  <c r="Q335" i="3"/>
  <c r="P335" i="3"/>
  <c r="W335" i="3" s="1"/>
  <c r="V335" i="3" l="1"/>
  <c r="U335" i="3"/>
  <c r="J336" i="3"/>
  <c r="K336" i="3" s="1"/>
  <c r="O335" i="3"/>
  <c r="L336" i="3" l="1"/>
  <c r="M336" i="3" s="1"/>
  <c r="P336" i="3" l="1"/>
  <c r="W336" i="3" s="1"/>
  <c r="Q336" i="3"/>
  <c r="N336" i="3"/>
  <c r="J337" i="3" l="1"/>
  <c r="K337" i="3" s="1"/>
  <c r="O336" i="3"/>
  <c r="V336" i="3"/>
  <c r="U336" i="3"/>
  <c r="L337" i="3" l="1"/>
  <c r="M337" i="3" s="1"/>
  <c r="Q337" i="3"/>
  <c r="N337" i="3"/>
  <c r="P337" i="3"/>
  <c r="W337" i="3" s="1"/>
  <c r="J338" i="3" l="1"/>
  <c r="K338" i="3" s="1"/>
  <c r="O337" i="3"/>
  <c r="V337" i="3"/>
  <c r="U337" i="3"/>
  <c r="L338" i="3" l="1"/>
  <c r="M338" i="3" s="1"/>
  <c r="N338" i="3" l="1"/>
  <c r="Q338" i="3"/>
  <c r="P338" i="3"/>
  <c r="W338" i="3" s="1"/>
  <c r="V338" i="3" l="1"/>
  <c r="U338" i="3"/>
  <c r="J339" i="3"/>
  <c r="K339" i="3" s="1"/>
  <c r="O338" i="3"/>
  <c r="L339" i="3" l="1"/>
  <c r="M339" i="3" s="1"/>
  <c r="Q339" i="3" l="1"/>
  <c r="P339" i="3"/>
  <c r="W339" i="3" s="1"/>
  <c r="N339" i="3"/>
  <c r="J340" i="3" l="1"/>
  <c r="K340" i="3" s="1"/>
  <c r="O339" i="3"/>
  <c r="V339" i="3"/>
  <c r="U339" i="3"/>
  <c r="L340" i="3" l="1"/>
  <c r="M340" i="3" s="1"/>
  <c r="N340" i="3" l="1"/>
  <c r="P340" i="3"/>
  <c r="W340" i="3" s="1"/>
  <c r="Q340" i="3"/>
  <c r="V340" i="3" l="1"/>
  <c r="U340" i="3"/>
  <c r="J341" i="3"/>
  <c r="K341" i="3" s="1"/>
  <c r="O340" i="3"/>
  <c r="L341" i="3" l="1"/>
  <c r="M341" i="3" s="1"/>
  <c r="Q341" i="3" l="1"/>
  <c r="N341" i="3"/>
  <c r="P341" i="3"/>
  <c r="W341" i="3" s="1"/>
  <c r="J342" i="3" l="1"/>
  <c r="K342" i="3" s="1"/>
  <c r="O341" i="3"/>
  <c r="V341" i="3"/>
  <c r="U341" i="3"/>
  <c r="L342" i="3" l="1"/>
  <c r="M342" i="3" s="1"/>
  <c r="Q342" i="3" l="1"/>
  <c r="N342" i="3"/>
  <c r="P342" i="3"/>
  <c r="W342" i="3" s="1"/>
  <c r="J343" i="3" l="1"/>
  <c r="K343" i="3" s="1"/>
  <c r="O342" i="3"/>
  <c r="V342" i="3"/>
  <c r="U342" i="3"/>
  <c r="L343" i="3" l="1"/>
  <c r="M343" i="3" s="1"/>
  <c r="N343" i="3" l="1"/>
  <c r="Q343" i="3"/>
  <c r="P343" i="3"/>
  <c r="W343" i="3" s="1"/>
  <c r="V343" i="3" l="1"/>
  <c r="U343" i="3"/>
  <c r="J344" i="3"/>
  <c r="K344" i="3" s="1"/>
  <c r="O343" i="3"/>
  <c r="L344" i="3" l="1"/>
  <c r="M344" i="3" s="1"/>
  <c r="P344" i="3" l="1"/>
  <c r="W344" i="3" s="1"/>
  <c r="Q344" i="3"/>
  <c r="N344" i="3"/>
  <c r="J345" i="3" l="1"/>
  <c r="K345" i="3" s="1"/>
  <c r="O344" i="3"/>
  <c r="V344" i="3"/>
  <c r="U344" i="3"/>
  <c r="L345" i="3" l="1"/>
  <c r="M345" i="3" s="1"/>
  <c r="Q345" i="3" l="1"/>
  <c r="P345" i="3"/>
  <c r="W345" i="3" s="1"/>
  <c r="N345" i="3"/>
  <c r="J346" i="3" l="1"/>
  <c r="K346" i="3" s="1"/>
  <c r="O345" i="3"/>
  <c r="V345" i="3"/>
  <c r="U345" i="3"/>
  <c r="L346" i="3" l="1"/>
  <c r="M346" i="3" s="1"/>
  <c r="Q346" i="3" l="1"/>
  <c r="N346" i="3"/>
  <c r="P346" i="3"/>
  <c r="W346" i="3" s="1"/>
  <c r="J347" i="3" l="1"/>
  <c r="K347" i="3" s="1"/>
  <c r="O346" i="3"/>
  <c r="V346" i="3"/>
  <c r="U346" i="3"/>
  <c r="L347" i="3" l="1"/>
  <c r="M347" i="3" s="1"/>
  <c r="Q347" i="3" l="1"/>
  <c r="N347" i="3"/>
  <c r="P347" i="3"/>
  <c r="W347" i="3" s="1"/>
  <c r="J348" i="3" l="1"/>
  <c r="K348" i="3" s="1"/>
  <c r="O347" i="3"/>
  <c r="V347" i="3"/>
  <c r="U347" i="3"/>
  <c r="L348" i="3" l="1"/>
  <c r="M348" i="3" s="1"/>
  <c r="N348" i="3" l="1"/>
  <c r="P348" i="3"/>
  <c r="W348" i="3" s="1"/>
  <c r="Q348" i="3"/>
  <c r="V348" i="3" l="1"/>
  <c r="U348" i="3"/>
  <c r="J349" i="3"/>
  <c r="K349" i="3" s="1"/>
  <c r="O348" i="3"/>
  <c r="L349" i="3" l="1"/>
  <c r="M349" i="3" s="1"/>
  <c r="Q349" i="3" l="1"/>
  <c r="N349" i="3"/>
  <c r="P349" i="3"/>
  <c r="W349" i="3" s="1"/>
  <c r="J350" i="3" l="1"/>
  <c r="K350" i="3" s="1"/>
  <c r="O349" i="3"/>
  <c r="V349" i="3"/>
  <c r="U349" i="3"/>
  <c r="L350" i="3" l="1"/>
  <c r="M350" i="3" s="1"/>
  <c r="Q350" i="3" l="1"/>
  <c r="N350" i="3"/>
  <c r="P350" i="3"/>
  <c r="W350" i="3" s="1"/>
  <c r="J351" i="3" l="1"/>
  <c r="K351" i="3" s="1"/>
  <c r="O350" i="3"/>
  <c r="V350" i="3"/>
  <c r="U350" i="3"/>
  <c r="L351" i="3" l="1"/>
  <c r="M351" i="3" s="1"/>
  <c r="N351" i="3" l="1"/>
  <c r="Q351" i="3"/>
  <c r="P351" i="3"/>
  <c r="W351" i="3" s="1"/>
  <c r="V351" i="3" l="1"/>
  <c r="U351" i="3"/>
  <c r="J352" i="3"/>
  <c r="K352" i="3" s="1"/>
  <c r="O351" i="3"/>
  <c r="L352" i="3" l="1"/>
  <c r="M352" i="3" s="1"/>
  <c r="P352" i="3" l="1"/>
  <c r="W352" i="3" s="1"/>
  <c r="Q352" i="3"/>
  <c r="N352" i="3"/>
  <c r="J353" i="3" l="1"/>
  <c r="K353" i="3" s="1"/>
  <c r="O352" i="3"/>
  <c r="V352" i="3"/>
  <c r="U352" i="3"/>
  <c r="L353" i="3" l="1"/>
  <c r="M353" i="3" s="1"/>
  <c r="P353" i="3" s="1"/>
  <c r="W353" i="3" s="1"/>
  <c r="Q353" i="3"/>
  <c r="N353" i="3"/>
  <c r="J354" i="3" l="1"/>
  <c r="K354" i="3" s="1"/>
  <c r="O353" i="3"/>
  <c r="V353" i="3"/>
  <c r="U353" i="3"/>
  <c r="L354" i="3" l="1"/>
  <c r="M354" i="3" s="1"/>
  <c r="Q354" i="3" l="1"/>
  <c r="N354" i="3"/>
  <c r="P354" i="3"/>
  <c r="W354" i="3" s="1"/>
  <c r="J355" i="3" l="1"/>
  <c r="K355" i="3" s="1"/>
  <c r="O354" i="3"/>
  <c r="V354" i="3"/>
  <c r="U354" i="3"/>
  <c r="L355" i="3" l="1"/>
  <c r="M355" i="3" s="1"/>
  <c r="Q355" i="3" l="1"/>
  <c r="N355" i="3"/>
  <c r="P355" i="3"/>
  <c r="W355" i="3" s="1"/>
  <c r="J356" i="3" l="1"/>
  <c r="K356" i="3" s="1"/>
  <c r="O355" i="3"/>
  <c r="V355" i="3"/>
  <c r="U355" i="3"/>
  <c r="L356" i="3" l="1"/>
  <c r="M356" i="3" s="1"/>
  <c r="N356" i="3" l="1"/>
  <c r="Q356" i="3"/>
  <c r="P356" i="3"/>
  <c r="W356" i="3" s="1"/>
  <c r="V356" i="3" l="1"/>
  <c r="U356" i="3"/>
  <c r="J357" i="3"/>
  <c r="K357" i="3" s="1"/>
  <c r="O356" i="3"/>
  <c r="L357" i="3" l="1"/>
  <c r="M357" i="3" s="1"/>
  <c r="Q357" i="3" l="1"/>
  <c r="N357" i="3"/>
  <c r="P357" i="3"/>
  <c r="W357" i="3" s="1"/>
  <c r="J358" i="3" l="1"/>
  <c r="K358" i="3" s="1"/>
  <c r="O357" i="3"/>
  <c r="V357" i="3"/>
  <c r="U357" i="3"/>
  <c r="L358" i="3" l="1"/>
  <c r="M358" i="3" s="1"/>
  <c r="Q358" i="3" l="1"/>
  <c r="N358" i="3"/>
  <c r="P358" i="3"/>
  <c r="W358" i="3" s="1"/>
  <c r="J359" i="3" l="1"/>
  <c r="K359" i="3" s="1"/>
  <c r="O358" i="3"/>
  <c r="V358" i="3"/>
  <c r="U358" i="3"/>
  <c r="L359" i="3" l="1"/>
  <c r="M359" i="3" s="1"/>
  <c r="Q359" i="3" l="1"/>
  <c r="N359" i="3"/>
  <c r="P359" i="3"/>
  <c r="W359" i="3" s="1"/>
  <c r="J360" i="3" l="1"/>
  <c r="K360" i="3" s="1"/>
  <c r="O359" i="3"/>
  <c r="V359" i="3"/>
  <c r="U359" i="3"/>
  <c r="L360" i="3" l="1"/>
  <c r="M360" i="3" s="1"/>
  <c r="N360" i="3" l="1"/>
  <c r="P360" i="3"/>
  <c r="W360" i="3" s="1"/>
  <c r="Q360" i="3"/>
  <c r="V360" i="3" l="1"/>
  <c r="U360" i="3"/>
  <c r="J361" i="3"/>
  <c r="K361" i="3" s="1"/>
  <c r="O360" i="3"/>
  <c r="L361" i="3" l="1"/>
  <c r="M361" i="3" s="1"/>
  <c r="P361" i="3" l="1"/>
  <c r="W361" i="3" s="1"/>
  <c r="Q361" i="3"/>
  <c r="N361" i="3"/>
  <c r="J362" i="3" l="1"/>
  <c r="K362" i="3" s="1"/>
  <c r="O361" i="3"/>
  <c r="V361" i="3"/>
  <c r="U361" i="3"/>
  <c r="L362" i="3" l="1"/>
  <c r="M362" i="3" s="1"/>
  <c r="Q362" i="3" l="1"/>
  <c r="N362" i="3"/>
  <c r="P362" i="3"/>
  <c r="W362" i="3" s="1"/>
  <c r="J363" i="3" l="1"/>
  <c r="K363" i="3" s="1"/>
  <c r="O362" i="3"/>
  <c r="V362" i="3"/>
  <c r="U362" i="3"/>
  <c r="L363" i="3" l="1"/>
  <c r="M363" i="3" s="1"/>
  <c r="Q363" i="3" l="1"/>
  <c r="N363" i="3"/>
  <c r="P363" i="3"/>
  <c r="W363" i="3" s="1"/>
  <c r="J364" i="3" l="1"/>
  <c r="K364" i="3" s="1"/>
  <c r="O363" i="3"/>
  <c r="V363" i="3"/>
  <c r="U363" i="3"/>
  <c r="L364" i="3" l="1"/>
  <c r="M364" i="3" s="1"/>
  <c r="N364" i="3" l="1"/>
  <c r="Q364" i="3"/>
  <c r="P364" i="3"/>
  <c r="W364" i="3" s="1"/>
  <c r="V364" i="3" l="1"/>
  <c r="U364" i="3"/>
  <c r="J365" i="3"/>
  <c r="K365" i="3" s="1"/>
  <c r="O364" i="3"/>
  <c r="L365" i="3" l="1"/>
  <c r="M365" i="3" s="1"/>
  <c r="Q365" i="3" l="1"/>
  <c r="P365" i="3"/>
  <c r="W365" i="3" s="1"/>
  <c r="N365" i="3"/>
  <c r="J366" i="3" l="1"/>
  <c r="K366" i="3" s="1"/>
  <c r="O365" i="3"/>
  <c r="V365" i="3"/>
  <c r="U365" i="3"/>
  <c r="L366" i="3" l="1"/>
  <c r="M366" i="3" s="1"/>
  <c r="Q366" i="3" l="1"/>
  <c r="P366" i="3"/>
  <c r="W366" i="3" s="1"/>
  <c r="N366" i="3"/>
  <c r="J367" i="3" l="1"/>
  <c r="K367" i="3" s="1"/>
  <c r="O366" i="3"/>
  <c r="V366" i="3"/>
  <c r="U366" i="3"/>
  <c r="L367" i="3" l="1"/>
  <c r="M367" i="3" s="1"/>
  <c r="Q367" i="3" l="1"/>
  <c r="N367" i="3"/>
  <c r="O367" i="3" s="1"/>
  <c r="P367" i="3"/>
  <c r="W367" i="3" s="1"/>
  <c r="V367" i="3" l="1"/>
  <c r="P3" i="3"/>
  <c r="D24" i="15" s="1"/>
  <c r="U367" i="3"/>
  <c r="D33" i="15" l="1"/>
  <c r="D39" i="15"/>
  <c r="D37" i="15"/>
  <c r="D34" i="15"/>
  <c r="D38" i="15"/>
  <c r="D35" i="15"/>
  <c r="D36" i="15"/>
  <c r="D40" i="15"/>
</calcChain>
</file>

<file path=xl/sharedStrings.xml><?xml version="1.0" encoding="utf-8"?>
<sst xmlns="http://schemas.openxmlformats.org/spreadsheetml/2006/main" count="1556" uniqueCount="776">
  <si>
    <t>Coeficientes de Distribución de la Evapotranspiración media mensual (según A.4)</t>
  </si>
  <si>
    <r>
      <t>C</t>
    </r>
    <r>
      <rPr>
        <b/>
        <vertAlign val="subscript"/>
        <sz val="11"/>
        <color indexed="9"/>
        <rFont val="Calibri"/>
        <family val="2"/>
      </rPr>
      <t>AD</t>
    </r>
  </si>
  <si>
    <t>Parámetro de proporcionalidad del Agua Disponible en el suelo:</t>
  </si>
  <si>
    <t>Volumen de almacenamiento resultante:</t>
  </si>
  <si>
    <t>Volumen de Escurrimiento medio anual de la cuenca:</t>
  </si>
  <si>
    <t>Estación de Tanque Evaporímetro más cercana:</t>
  </si>
  <si>
    <t>Mes i</t>
  </si>
  <si>
    <t>ETPi</t>
  </si>
  <si>
    <t>Ene</t>
  </si>
  <si>
    <t>Feb</t>
  </si>
  <si>
    <t>Mar</t>
  </si>
  <si>
    <t>Abr</t>
  </si>
  <si>
    <t>May</t>
  </si>
  <si>
    <t>Jun</t>
  </si>
  <si>
    <t>Jul</t>
  </si>
  <si>
    <t>Ago</t>
  </si>
  <si>
    <t>Sep</t>
  </si>
  <si>
    <t>Oct</t>
  </si>
  <si>
    <t>Nov</t>
  </si>
  <si>
    <t>Dic</t>
  </si>
  <si>
    <t>Año</t>
  </si>
  <si>
    <t>Precip</t>
  </si>
  <si>
    <t>δi</t>
  </si>
  <si>
    <t>Poi</t>
  </si>
  <si>
    <t>Ti</t>
  </si>
  <si>
    <t>Hi</t>
  </si>
  <si>
    <t>ETRi</t>
  </si>
  <si>
    <t>Ii</t>
  </si>
  <si>
    <t>V</t>
  </si>
  <si>
    <t>A</t>
  </si>
  <si>
    <t>i</t>
  </si>
  <si>
    <t>mes</t>
  </si>
  <si>
    <t>CP.o</t>
  </si>
  <si>
    <t>Imax</t>
  </si>
  <si>
    <t>α</t>
  </si>
  <si>
    <t>I</t>
  </si>
  <si>
    <t>II</t>
  </si>
  <si>
    <t>III</t>
  </si>
  <si>
    <t>IV</t>
  </si>
  <si>
    <t>VI</t>
  </si>
  <si>
    <t>VII</t>
  </si>
  <si>
    <t>VIII</t>
  </si>
  <si>
    <t>IX</t>
  </si>
  <si>
    <t>X</t>
  </si>
  <si>
    <t>XI</t>
  </si>
  <si>
    <t>XII</t>
  </si>
  <si>
    <t>XIII</t>
  </si>
  <si>
    <t>mm</t>
  </si>
  <si>
    <t>Hm3</t>
  </si>
  <si>
    <t>m</t>
  </si>
  <si>
    <t>Hás</t>
  </si>
  <si>
    <t>(Hm3)</t>
  </si>
  <si>
    <t>(Ha)</t>
  </si>
  <si>
    <t>Vsi</t>
  </si>
  <si>
    <t>Ht</t>
  </si>
  <si>
    <t>Hv</t>
  </si>
  <si>
    <t>año</t>
  </si>
  <si>
    <t>Prec.</t>
  </si>
  <si>
    <t>Evap.</t>
  </si>
  <si>
    <t>Dem.</t>
  </si>
  <si>
    <t>(mm)</t>
  </si>
  <si>
    <t>AÑO</t>
  </si>
  <si>
    <t>Ln(Alturas)</t>
  </si>
  <si>
    <t>Ln(Áreas)</t>
  </si>
  <si>
    <t>Introducir SOLO AQUELLAS ÁREAS MEDIDAS ENTRE LAS COTAS DE TOMA Y CORONAMIENTO  APROX</t>
  </si>
  <si>
    <t>Cotas     (msnm)</t>
  </si>
  <si>
    <t>Área medida (Há)</t>
  </si>
  <si>
    <t>Raíz (Área)</t>
  </si>
  <si>
    <t>Artigas</t>
  </si>
  <si>
    <t>Ai</t>
  </si>
  <si>
    <t>Bi</t>
  </si>
  <si>
    <t>Vdi</t>
  </si>
  <si>
    <t>Vesci</t>
  </si>
  <si>
    <t>mes i</t>
  </si>
  <si>
    <t>Pi-Evi</t>
  </si>
  <si>
    <t>(Hm3)/Há</t>
  </si>
  <si>
    <t>CURVAS COTA-VOLUMEN-ÁREA ÚTIL DEL VASO DEL EMBALSE</t>
  </si>
  <si>
    <t>D</t>
  </si>
  <si>
    <t>Acumulado mensual de precipitaciones, en mm. Valores mayores a 0,1mm</t>
  </si>
  <si>
    <t>Nombre</t>
  </si>
  <si>
    <t>Salto</t>
  </si>
  <si>
    <t>Paysandú</t>
  </si>
  <si>
    <t>Rivera</t>
  </si>
  <si>
    <t>Mercedes</t>
  </si>
  <si>
    <t>Lago de los Patos</t>
  </si>
  <si>
    <t>Rocha</t>
  </si>
  <si>
    <t>Treinta y Tres</t>
  </si>
  <si>
    <t>Tacuarembó</t>
  </si>
  <si>
    <t>Melo</t>
  </si>
  <si>
    <t>Prado</t>
  </si>
  <si>
    <t>Bernabé Rivera</t>
  </si>
  <si>
    <t>Tomás Gomensoro</t>
  </si>
  <si>
    <t>Sequeira</t>
  </si>
  <si>
    <t>Cuchilla del Carmen</t>
  </si>
  <si>
    <t>José Pedro Varela</t>
  </si>
  <si>
    <t>El Chuy</t>
  </si>
  <si>
    <t>Casupá</t>
  </si>
  <si>
    <t>Aiguá</t>
  </si>
  <si>
    <t>Valentín (Pueblo Bazzini)</t>
  </si>
  <si>
    <t>Quebracho</t>
  </si>
  <si>
    <t>Queguay Chico</t>
  </si>
  <si>
    <t>Fraile Muerto</t>
  </si>
  <si>
    <t>Arroyo Malo</t>
  </si>
  <si>
    <t>Molles (Carlos Reyles)</t>
  </si>
  <si>
    <t>Cerro Chato</t>
  </si>
  <si>
    <t>Egaña</t>
  </si>
  <si>
    <t>Puntas de Maciel</t>
  </si>
  <si>
    <t>Pintos (San Gregorio)</t>
  </si>
  <si>
    <t>Barriga Negra (Polanco)</t>
  </si>
  <si>
    <t>Tranqueras</t>
  </si>
  <si>
    <t>Conchillas</t>
  </si>
  <si>
    <t>Moriones</t>
  </si>
  <si>
    <t>Vichadero</t>
  </si>
  <si>
    <t>Cuchilla de Navarro</t>
  </si>
  <si>
    <t>Código</t>
  </si>
  <si>
    <t>2272A</t>
  </si>
  <si>
    <t>2061A</t>
  </si>
  <si>
    <t>2073A</t>
  </si>
  <si>
    <t>2337A</t>
  </si>
  <si>
    <t>Depto</t>
  </si>
  <si>
    <t>Soriano</t>
  </si>
  <si>
    <t>Colonia</t>
  </si>
  <si>
    <t>Cerro Largo</t>
  </si>
  <si>
    <t>Montevideo</t>
  </si>
  <si>
    <t>Lavalleja</t>
  </si>
  <si>
    <t>Florida</t>
  </si>
  <si>
    <t>Maldonado</t>
  </si>
  <si>
    <t>Carro Largo</t>
  </si>
  <si>
    <t>Durazno</t>
  </si>
  <si>
    <t>Flores</t>
  </si>
  <si>
    <t>Río Negro</t>
  </si>
  <si>
    <t>ENE</t>
  </si>
  <si>
    <t>FEB</t>
  </si>
  <si>
    <t>MAR</t>
  </si>
  <si>
    <t>ABR</t>
  </si>
  <si>
    <t>MAY</t>
  </si>
  <si>
    <t>JUN</t>
  </si>
  <si>
    <t>JUL</t>
  </si>
  <si>
    <t>AGO</t>
  </si>
  <si>
    <t>SEP</t>
  </si>
  <si>
    <t>OCT</t>
  </si>
  <si>
    <t>NOV</t>
  </si>
  <si>
    <t>s/dato</t>
  </si>
  <si>
    <t>DIC</t>
  </si>
  <si>
    <t>f/servicio</t>
  </si>
  <si>
    <t>Vol Esci</t>
  </si>
  <si>
    <t>Asubi</t>
  </si>
  <si>
    <t>Asupi</t>
  </si>
  <si>
    <t>Valor</t>
  </si>
  <si>
    <t>Unidad</t>
  </si>
  <si>
    <t xml:space="preserve"> X</t>
  </si>
  <si>
    <t>Y</t>
  </si>
  <si>
    <t>BALANCE HÍDRICO EN EL EMBALSE ENTRE LA OFERTA Y DEMANDA DE AGUA</t>
  </si>
  <si>
    <t xml:space="preserve">Unidad Cartográfica de Suelos </t>
  </si>
  <si>
    <t>Cuchilla de Haedo – Paso de Los Toros</t>
  </si>
  <si>
    <t>Masoller</t>
  </si>
  <si>
    <t>q</t>
  </si>
  <si>
    <t>v</t>
  </si>
  <si>
    <t>Estación</t>
  </si>
  <si>
    <t>ARTIGAS</t>
  </si>
  <si>
    <t>BELLA UNION</t>
  </si>
  <si>
    <t>LIBERTAD</t>
  </si>
  <si>
    <t>MERCEDES</t>
  </si>
  <si>
    <t>MELO</t>
  </si>
  <si>
    <t>PAYSANDU</t>
  </si>
  <si>
    <t>P. DE LOS TOROS</t>
  </si>
  <si>
    <t>PRADO</t>
  </si>
  <si>
    <t>ROCHA</t>
  </si>
  <si>
    <t>SALTO</t>
  </si>
  <si>
    <t>TACUAREMBO</t>
  </si>
  <si>
    <t>TREINTA Y TRES</t>
  </si>
  <si>
    <t>TRINIDAD</t>
  </si>
  <si>
    <t>YOUNG</t>
  </si>
  <si>
    <t>%</t>
  </si>
  <si>
    <t>Determinación de la Avenida de Proyecto</t>
  </si>
  <si>
    <t>NRCS</t>
  </si>
  <si>
    <t>C</t>
  </si>
  <si>
    <t>m3/s, = Caudal máximo de la avenida extraordinaria</t>
  </si>
  <si>
    <t>E</t>
  </si>
  <si>
    <t>VL</t>
  </si>
  <si>
    <t>Qvmax</t>
  </si>
  <si>
    <t>k</t>
  </si>
  <si>
    <t>B</t>
  </si>
  <si>
    <t>(m)</t>
  </si>
  <si>
    <t>(m3/s)</t>
  </si>
  <si>
    <t>m/s</t>
  </si>
  <si>
    <t>m3/s/m</t>
  </si>
  <si>
    <t>Cubierta Vegetal</t>
  </si>
  <si>
    <t>Velocidad (m/s)</t>
  </si>
  <si>
    <t>Escasa</t>
  </si>
  <si>
    <t>Menor a 1.0</t>
  </si>
  <si>
    <t>Por siembra</t>
  </si>
  <si>
    <t>1.0 a 1.2</t>
  </si>
  <si>
    <t>Variable</t>
  </si>
  <si>
    <t>1.2 a 1.5</t>
  </si>
  <si>
    <t>Bien establecida</t>
  </si>
  <si>
    <t>1.5 a 1.8</t>
  </si>
  <si>
    <t>Condiciones muy especiales</t>
  </si>
  <si>
    <t>1.8 a 2.1</t>
  </si>
  <si>
    <t>Tabla 3.5  Velocidades máximas en suelos empastados</t>
  </si>
  <si>
    <t>Fuente: Hidráulica de Canales Abiertos, R.H. French, pp. 321 y 323</t>
  </si>
  <si>
    <t>Cota de Toma</t>
  </si>
  <si>
    <t>Cota Vertedero</t>
  </si>
  <si>
    <t>Tc &gt; 20 min</t>
  </si>
  <si>
    <t>Tc &lt; 20 min</t>
  </si>
  <si>
    <t>Ac &lt; 400 hás</t>
  </si>
  <si>
    <t>Ac &gt; 400 hás</t>
  </si>
  <si>
    <t>M. Racional</t>
  </si>
  <si>
    <t>Ambos</t>
  </si>
  <si>
    <t>Corresponde:</t>
  </si>
  <si>
    <t>Por el método del NRCS:</t>
  </si>
  <si>
    <t>Período de Retorno seleccionado para la Avenida de Proyecto</t>
  </si>
  <si>
    <t>hs = Tiempo de Concentración (por Kirpich, válido solamente si la mayor parte del caudal es concentrado)</t>
  </si>
  <si>
    <t xml:space="preserve">=  parametro S/n2 </t>
  </si>
  <si>
    <t>1/mes</t>
  </si>
  <si>
    <t>Columna</t>
  </si>
  <si>
    <t>Parámetro de la precipitación mínima para que exista escurrimiento:</t>
  </si>
  <si>
    <t>Parámetro de descarga de infiltración máxima:</t>
  </si>
  <si>
    <t>Parámetros de descarga del almacenamiento subterráneo:</t>
  </si>
  <si>
    <t>Tiempo de Concentración</t>
  </si>
  <si>
    <t>Precipitación máxima</t>
  </si>
  <si>
    <t>Por el Método Racional:</t>
  </si>
  <si>
    <t>Laminado de la Crecida Extraordinaria - Cálculo simplificado</t>
  </si>
  <si>
    <t>Caudal específico del vertedero</t>
  </si>
  <si>
    <t>Determinación del ancho del vertedero</t>
  </si>
  <si>
    <t>Grupo (s/Tabla 3.4 o Mapa 3.2)</t>
  </si>
  <si>
    <t>Número de Curva NRCS (s/Tabla 3.3)</t>
  </si>
  <si>
    <t>Cota de Vertedero</t>
  </si>
  <si>
    <t>Velocidad media del flujo en el vertedero</t>
  </si>
  <si>
    <t>Vel</t>
  </si>
  <si>
    <t>Espesor de la lámina de vertido</t>
  </si>
  <si>
    <t>L</t>
  </si>
  <si>
    <r>
      <t>∆</t>
    </r>
    <r>
      <rPr>
        <sz val="13.2"/>
        <color indexed="8"/>
        <rFont val="Calibri"/>
        <family val="2"/>
      </rPr>
      <t>H</t>
    </r>
  </si>
  <si>
    <r>
      <t>t</t>
    </r>
    <r>
      <rPr>
        <vertAlign val="subscript"/>
        <sz val="11"/>
        <color indexed="8"/>
        <rFont val="Calibri"/>
        <family val="2"/>
      </rPr>
      <t>c</t>
    </r>
  </si>
  <si>
    <r>
      <t>P</t>
    </r>
    <r>
      <rPr>
        <vertAlign val="subscript"/>
        <sz val="11"/>
        <color indexed="8"/>
        <rFont val="Calibri"/>
        <family val="2"/>
      </rPr>
      <t>(d=3,Tr=10)</t>
    </r>
  </si>
  <si>
    <t xml:space="preserve"> Tr</t>
  </si>
  <si>
    <r>
      <t>CT</t>
    </r>
    <r>
      <rPr>
        <vertAlign val="subscript"/>
        <sz val="11"/>
        <color indexed="8"/>
        <rFont val="Calibri"/>
        <family val="2"/>
      </rPr>
      <t>(Tr)</t>
    </r>
  </si>
  <si>
    <t>d=tc</t>
  </si>
  <si>
    <t>d=12 tc / 7</t>
  </si>
  <si>
    <t>Para el cálculo del volumen de la crecida extraordinaria:</t>
  </si>
  <si>
    <t>m3/s/mm/Ha, Caudal unitario específico de la avenida extraordinaria</t>
  </si>
  <si>
    <t>LCN</t>
  </si>
  <si>
    <t>DH</t>
  </si>
  <si>
    <t>Pend</t>
  </si>
  <si>
    <t>(km)</t>
  </si>
  <si>
    <t>Hm3, Volumen de la Avenida Extraordinaria</t>
  </si>
  <si>
    <t>m3/s, Caudal máximo de la avenida extraordinaria</t>
  </si>
  <si>
    <t>Coeficiente de escorrentía (de Tabla 3.2)</t>
  </si>
  <si>
    <t>mm, retención en el suelo al inicio del escurrimiento</t>
  </si>
  <si>
    <t>Coeficiente de corrección según Período de Retorno (Figura 3.3)</t>
  </si>
  <si>
    <t>Coeficiente de corrección según Duración (Figura 3.4)</t>
  </si>
  <si>
    <t>Coeficiente de corrección según superficie de la cuenca (Figura 3.5)</t>
  </si>
  <si>
    <t>hs, Duración = Tiempo de concentración</t>
  </si>
  <si>
    <t>hs, Duración = 12*(Tiempo de concentración)/7</t>
  </si>
  <si>
    <t>m  = Diferencia de cotas en el cauce principal</t>
  </si>
  <si>
    <t>km  = Longitud del Cauce Principal</t>
  </si>
  <si>
    <r>
      <t>mm, = P</t>
    </r>
    <r>
      <rPr>
        <vertAlign val="subscript"/>
        <sz val="10"/>
        <color indexed="8"/>
        <rFont val="Calibri"/>
        <family val="2"/>
      </rPr>
      <t>(d=3,Tr=10)</t>
    </r>
    <r>
      <rPr>
        <sz val="10"/>
        <color indexed="8"/>
        <rFont val="Calibri"/>
        <family val="2"/>
      </rPr>
      <t xml:space="preserve"> * CT</t>
    </r>
    <r>
      <rPr>
        <vertAlign val="subscript"/>
        <sz val="10"/>
        <color indexed="8"/>
        <rFont val="Calibri"/>
        <family val="2"/>
      </rPr>
      <t>(Tr)</t>
    </r>
    <r>
      <rPr>
        <sz val="10"/>
        <color indexed="8"/>
        <rFont val="Calibri"/>
        <family val="2"/>
      </rPr>
      <t xml:space="preserve"> * CD</t>
    </r>
    <r>
      <rPr>
        <vertAlign val="subscript"/>
        <sz val="10"/>
        <color indexed="8"/>
        <rFont val="Calibri"/>
        <family val="2"/>
      </rPr>
      <t>(12tc/7)</t>
    </r>
    <r>
      <rPr>
        <sz val="10"/>
        <color indexed="8"/>
        <rFont val="Calibri"/>
        <family val="2"/>
      </rPr>
      <t xml:space="preserve"> * CA</t>
    </r>
    <r>
      <rPr>
        <vertAlign val="subscript"/>
        <sz val="10"/>
        <color indexed="8"/>
        <rFont val="Calibri"/>
        <family val="2"/>
      </rPr>
      <t>(Ac, 12tc/7)</t>
    </r>
  </si>
  <si>
    <t>Para el cálculo del caudal máximo de la crecida extraordinaria:</t>
  </si>
  <si>
    <t>Area ocupada Hás</t>
  </si>
  <si>
    <t>msnm</t>
  </si>
  <si>
    <t>(km), Suma de longitudes de curvas de nivel en la cuenca</t>
  </si>
  <si>
    <t>(m), Equidistancia entre las curvas de nivel</t>
  </si>
  <si>
    <t>%, Pendiente media de la cuenca</t>
  </si>
  <si>
    <t>Diseño básico del Aliviadero-Canal</t>
  </si>
  <si>
    <t>Caracterización del terreno donde se implantará el aliviadero-canal:</t>
  </si>
  <si>
    <t>= pendiente S del canal</t>
  </si>
  <si>
    <t>= coeficiente "n" de Manning (considerando la cobertura final)</t>
  </si>
  <si>
    <t>con una velocidad de escurrimiento de v=</t>
  </si>
  <si>
    <t>que está dentro de los límites admitidos para la cubierta vegetal prevista</t>
  </si>
  <si>
    <t>que genera un espesor de lámina de vertido de E=</t>
  </si>
  <si>
    <t>Graficación de los valores seleccionados</t>
  </si>
  <si>
    <t>Graficación de los Valores Máximos de Suelos Empastados (según Tabla 3.5)</t>
  </si>
  <si>
    <t>Condic. muy espec.</t>
  </si>
  <si>
    <t>Tablas auxiliares para formación del gráfico:</t>
  </si>
  <si>
    <t>Manual de diseño y construcción de pequeñas presas</t>
  </si>
  <si>
    <t>Volumen 1 - Diseño Hidrológico e Hidráulico</t>
  </si>
  <si>
    <t>DIMENSIONADO DEL VOLUMEN DE EMBALSE</t>
  </si>
  <si>
    <t xml:space="preserve">VOLUMEN DE ESCURRIMIENTO DE LA CUENCA DE APORTE </t>
  </si>
  <si>
    <t>Avenida Proy</t>
  </si>
  <si>
    <t>Diseño Aliv-Canal</t>
  </si>
  <si>
    <t>INFORMACIÓN BÁSICA</t>
  </si>
  <si>
    <t>Evap Tanque</t>
  </si>
  <si>
    <t>Precip 1981-2010</t>
  </si>
  <si>
    <t>DIMENSIONADO DE LAS OBRAS NECESARIAS</t>
  </si>
  <si>
    <t>El color:</t>
  </si>
  <si>
    <t>Área total de la cuenca</t>
  </si>
  <si>
    <t>Há</t>
  </si>
  <si>
    <t xml:space="preserve">Unidad Cartográfica seg/Carta de Recon. Suelos del Uruguay </t>
  </si>
  <si>
    <t>Area ocupada</t>
  </si>
  <si>
    <t>Fetch</t>
  </si>
  <si>
    <t>&lt;1,6</t>
  </si>
  <si>
    <t>E=</t>
  </si>
  <si>
    <t>Fetch=</t>
  </si>
  <si>
    <t>Hv=</t>
  </si>
  <si>
    <t>DESCRIPCIÓN DE LAS HOJAS DE LA PLANILLA</t>
  </si>
  <si>
    <t>Valores acumulados mensuales de precipitaciones, en mm. Valores mayores a 0,1mm. Fuente: DNM.</t>
  </si>
  <si>
    <t>AD ponderada:</t>
  </si>
  <si>
    <t xml:space="preserve">Área </t>
  </si>
  <si>
    <t>AD *</t>
  </si>
  <si>
    <t>* Agua Disponible s/Cuadro 2.1 o Mapa 2.2</t>
  </si>
  <si>
    <t>Hpresa</t>
  </si>
  <si>
    <r>
      <t>Q</t>
    </r>
    <r>
      <rPr>
        <b/>
        <vertAlign val="subscript"/>
        <sz val="10"/>
        <color indexed="8"/>
        <rFont val="Calibri"/>
        <family val="2"/>
      </rPr>
      <t>max</t>
    </r>
  </si>
  <si>
    <r>
      <t>V</t>
    </r>
    <r>
      <rPr>
        <b/>
        <vertAlign val="subscript"/>
        <sz val="10"/>
        <color indexed="8"/>
        <rFont val="Calibri"/>
        <family val="2"/>
      </rPr>
      <t>esc</t>
    </r>
  </si>
  <si>
    <r>
      <t xml:space="preserve">CD </t>
    </r>
    <r>
      <rPr>
        <vertAlign val="subscript"/>
        <sz val="10"/>
        <color indexed="8"/>
        <rFont val="Calibri"/>
        <family val="2"/>
      </rPr>
      <t>(tc)</t>
    </r>
  </si>
  <si>
    <r>
      <t>CA</t>
    </r>
    <r>
      <rPr>
        <vertAlign val="subscript"/>
        <sz val="10"/>
        <color indexed="8"/>
        <rFont val="Calibri"/>
        <family val="2"/>
      </rPr>
      <t>(Ac,Tc)</t>
    </r>
  </si>
  <si>
    <r>
      <t>P</t>
    </r>
    <r>
      <rPr>
        <vertAlign val="subscript"/>
        <sz val="10"/>
        <color indexed="8"/>
        <rFont val="Calibri"/>
        <family val="2"/>
      </rPr>
      <t>(tc,Tr,Ac)</t>
    </r>
  </si>
  <si>
    <r>
      <t xml:space="preserve">CD </t>
    </r>
    <r>
      <rPr>
        <vertAlign val="subscript"/>
        <sz val="10"/>
        <color indexed="8"/>
        <rFont val="Calibri"/>
        <family val="2"/>
      </rPr>
      <t>(12 tc /7)</t>
    </r>
  </si>
  <si>
    <r>
      <t>CA</t>
    </r>
    <r>
      <rPr>
        <vertAlign val="subscript"/>
        <sz val="10"/>
        <color indexed="8"/>
        <rFont val="Calibri"/>
        <family val="2"/>
      </rPr>
      <t>(Ac, 12tc/7)</t>
    </r>
  </si>
  <si>
    <r>
      <t>P</t>
    </r>
    <r>
      <rPr>
        <vertAlign val="subscript"/>
        <sz val="10"/>
        <color indexed="8"/>
        <rFont val="Calibri"/>
        <family val="2"/>
      </rPr>
      <t>(12tc/7,Tr,Ac)</t>
    </r>
  </si>
  <si>
    <r>
      <t>I</t>
    </r>
    <r>
      <rPr>
        <vertAlign val="subscript"/>
        <sz val="10"/>
        <color indexed="8"/>
        <rFont val="Calibri"/>
        <family val="2"/>
      </rPr>
      <t>a</t>
    </r>
  </si>
  <si>
    <r>
      <t>q</t>
    </r>
    <r>
      <rPr>
        <vertAlign val="subscript"/>
        <sz val="10"/>
        <color indexed="8"/>
        <rFont val="Calibri"/>
        <family val="2"/>
      </rPr>
      <t>max</t>
    </r>
  </si>
  <si>
    <t>Resultado:</t>
  </si>
  <si>
    <t>Hm3, Volumen de la avenida extraordinaria</t>
  </si>
  <si>
    <t>Alturas           h = (Hi-H*)</t>
  </si>
  <si>
    <r>
      <t>Area = F</t>
    </r>
    <r>
      <rPr>
        <b/>
        <vertAlign val="subscript"/>
        <sz val="11"/>
        <color indexed="8"/>
        <rFont val="Calibri"/>
        <family val="2"/>
      </rPr>
      <t>1</t>
    </r>
    <r>
      <rPr>
        <b/>
        <sz val="11"/>
        <color indexed="8"/>
        <rFont val="Calibri"/>
        <family val="2"/>
      </rPr>
      <t>(cota)</t>
    </r>
  </si>
  <si>
    <r>
      <t>Cota =F</t>
    </r>
    <r>
      <rPr>
        <b/>
        <vertAlign val="subscript"/>
        <sz val="11"/>
        <color indexed="8"/>
        <rFont val="Calibri"/>
        <family val="2"/>
      </rPr>
      <t>3</t>
    </r>
    <r>
      <rPr>
        <b/>
        <sz val="11"/>
        <color indexed="8"/>
        <rFont val="Calibri"/>
        <family val="2"/>
      </rPr>
      <t>(Volumen)</t>
    </r>
  </si>
  <si>
    <r>
      <t>Área= F</t>
    </r>
    <r>
      <rPr>
        <b/>
        <vertAlign val="subscript"/>
        <sz val="11"/>
        <color indexed="8"/>
        <rFont val="Calibri"/>
        <family val="2"/>
      </rPr>
      <t>4</t>
    </r>
    <r>
      <rPr>
        <b/>
        <sz val="11"/>
        <color indexed="8"/>
        <rFont val="Calibri"/>
        <family val="2"/>
      </rPr>
      <t>(Volumen)</t>
    </r>
  </si>
  <si>
    <r>
      <t>por integración de F</t>
    </r>
    <r>
      <rPr>
        <vertAlign val="subscript"/>
        <sz val="10"/>
        <color indexed="8"/>
        <rFont val="Calibri"/>
        <family val="2"/>
      </rPr>
      <t>1</t>
    </r>
  </si>
  <si>
    <r>
      <t>función inversa de F</t>
    </r>
    <r>
      <rPr>
        <vertAlign val="subscript"/>
        <sz val="10"/>
        <color indexed="8"/>
        <rFont val="Calibri"/>
        <family val="2"/>
      </rPr>
      <t>2</t>
    </r>
  </si>
  <si>
    <r>
      <t>como F</t>
    </r>
    <r>
      <rPr>
        <vertAlign val="subscript"/>
        <sz val="10"/>
        <color indexed="8"/>
        <rFont val="Calibri"/>
        <family val="2"/>
      </rPr>
      <t>1</t>
    </r>
    <r>
      <rPr>
        <sz val="10"/>
        <color indexed="8"/>
        <rFont val="Calibri"/>
        <family val="2"/>
      </rPr>
      <t>(F</t>
    </r>
    <r>
      <rPr>
        <vertAlign val="subscript"/>
        <sz val="10"/>
        <color indexed="8"/>
        <rFont val="Calibri"/>
        <family val="2"/>
      </rPr>
      <t>3</t>
    </r>
    <r>
      <rPr>
        <sz val="10"/>
        <color indexed="8"/>
        <rFont val="Calibri"/>
        <family val="2"/>
      </rPr>
      <t>(Vol))</t>
    </r>
  </si>
  <si>
    <t>Vembauxi</t>
  </si>
  <si>
    <t>Aembaux</t>
  </si>
  <si>
    <t>Vembi</t>
  </si>
  <si>
    <t>Aembi</t>
  </si>
  <si>
    <t>Vvi</t>
  </si>
  <si>
    <t>Vri</t>
  </si>
  <si>
    <t>km</t>
  </si>
  <si>
    <r>
      <t>H</t>
    </r>
    <r>
      <rPr>
        <vertAlign val="subscript"/>
        <sz val="12"/>
        <color indexed="8"/>
        <rFont val="Arial"/>
        <family val="2"/>
      </rPr>
      <t>revancha =</t>
    </r>
  </si>
  <si>
    <r>
      <t>H</t>
    </r>
    <r>
      <rPr>
        <vertAlign val="subscript"/>
        <sz val="12"/>
        <color indexed="8"/>
        <rFont val="Arial"/>
        <family val="2"/>
      </rPr>
      <t>revancha M</t>
    </r>
    <r>
      <rPr>
        <sz val="12"/>
        <color indexed="8"/>
        <rFont val="Arial"/>
        <family val="2"/>
      </rPr>
      <t xml:space="preserve"> = E + BL</t>
    </r>
    <r>
      <rPr>
        <vertAlign val="subscript"/>
        <sz val="12"/>
        <color indexed="8"/>
        <rFont val="Arial"/>
        <family val="2"/>
      </rPr>
      <t>Mínimo =</t>
    </r>
  </si>
  <si>
    <t>Tabla 3.6 Borde libre normal y mínimo según Fetch</t>
  </si>
  <si>
    <t>(Bureau of Reclamation, 1987)</t>
  </si>
  <si>
    <t>BLNormal</t>
  </si>
  <si>
    <t>BLMínimo</t>
  </si>
  <si>
    <t>Determinación de la Cota de Coronamiento de la Presa</t>
  </si>
  <si>
    <t>según 3.2.1</t>
  </si>
  <si>
    <t>Cota de Coronamiento: Hpresa=</t>
  </si>
  <si>
    <t>según 3.1.2; 3.1.3; y 3.1.4</t>
  </si>
  <si>
    <t>según 3.1.1</t>
  </si>
  <si>
    <t>según 2.2</t>
  </si>
  <si>
    <t>Nombre Estación</t>
  </si>
  <si>
    <t>Clasificación</t>
  </si>
  <si>
    <t>Meteorológica</t>
  </si>
  <si>
    <t>Pluviométrica</t>
  </si>
  <si>
    <t>Coordenadas Gauss-Kruger (m)</t>
  </si>
  <si>
    <t>Departamento</t>
  </si>
  <si>
    <t>MES</t>
  </si>
  <si>
    <t>Mapa Est. Pluviom</t>
  </si>
  <si>
    <t>según 2.1.1</t>
  </si>
  <si>
    <t>MODELO PRECIPITACIÓN ESCURRIMIENTO (TEMEZ 1977)</t>
  </si>
  <si>
    <t>según A.6</t>
  </si>
  <si>
    <t xml:space="preserve"> Hm3 </t>
  </si>
  <si>
    <t>Volumen de almacenamiento</t>
  </si>
  <si>
    <t xml:space="preserve"> Hm3</t>
  </si>
  <si>
    <t>Capacidad de Laminación de Crecidas (Qvmax/Qmax)</t>
  </si>
  <si>
    <t>Volumen de Escurrimiento Anual</t>
  </si>
  <si>
    <t>Resultados del Diseño General:</t>
  </si>
  <si>
    <t>Descripción</t>
  </si>
  <si>
    <t>Símbolo</t>
  </si>
  <si>
    <t>INFORMACIÓN GENERAL DEL PROYECTO</t>
  </si>
  <si>
    <t>Datos Básicos de Entrada del Proyecto</t>
  </si>
  <si>
    <t>Según 2.2</t>
  </si>
  <si>
    <t>Info Gral</t>
  </si>
  <si>
    <t>Úbicación de las Estaciones Pluviométricas</t>
  </si>
  <si>
    <t>ASPECTOS IMPORTANTES A TENER EN CUENTA</t>
  </si>
  <si>
    <t>El ámbito de aplicación apropiado para las metodologías utilizadas y sus limitaciones está detalladamente descripto en el Manual.</t>
  </si>
  <si>
    <t>De ninguna manera esta planilla pretende reemplazar el uso del criterio profesional para la aplicación de las metodologías mencionadas en el Manual</t>
  </si>
  <si>
    <t>Solapa</t>
  </si>
  <si>
    <t>Descripción del contenido de la hoja</t>
  </si>
  <si>
    <t>PRESA</t>
  </si>
  <si>
    <t>ALIVIADERO-CANAL</t>
  </si>
  <si>
    <t>C de Coronam</t>
  </si>
  <si>
    <t>Mapa de ubicación de las Estaciones Pluviométricas</t>
  </si>
  <si>
    <t>“Evaporación mensual de tanque A” en el periodo 1985-99 en el Uruguay. Fuente: DNM.</t>
  </si>
  <si>
    <t>Coordenadas Gauss Kruger</t>
  </si>
  <si>
    <t>Ancho del Vertedero</t>
  </si>
  <si>
    <t>Caudal de diseño del vertedero</t>
  </si>
  <si>
    <t>Caudal máximo de la crecida de proyecto</t>
  </si>
  <si>
    <t>Qmax</t>
  </si>
  <si>
    <t>con una caudal de diseño de Qvmax=</t>
  </si>
  <si>
    <t>m3/s</t>
  </si>
  <si>
    <t>Altura de la Presa</t>
  </si>
  <si>
    <t>Cota de Coronamiento de la Presa</t>
  </si>
  <si>
    <t>H</t>
  </si>
  <si>
    <r>
      <t>H</t>
    </r>
    <r>
      <rPr>
        <vertAlign val="subscript"/>
        <sz val="12"/>
        <color indexed="8"/>
        <rFont val="Arial"/>
        <family val="2"/>
      </rPr>
      <t>presa</t>
    </r>
    <r>
      <rPr>
        <sz val="12"/>
        <color indexed="8"/>
        <rFont val="Arial"/>
        <family val="2"/>
      </rPr>
      <t xml:space="preserve"> = </t>
    </r>
  </si>
  <si>
    <t>Cota más baja de la fundación de la presa =</t>
  </si>
  <si>
    <t>Valmac.</t>
  </si>
  <si>
    <t>Vesc anual</t>
  </si>
  <si>
    <t>MODELO DE TEMEZ</t>
  </si>
  <si>
    <r>
      <t>mm, = P</t>
    </r>
    <r>
      <rPr>
        <vertAlign val="subscript"/>
        <sz val="10"/>
        <color indexed="8"/>
        <rFont val="Calibri"/>
        <family val="2"/>
      </rPr>
      <t>(d=3,Tr=10)</t>
    </r>
    <r>
      <rPr>
        <sz val="10"/>
        <color indexed="8"/>
        <rFont val="Calibri"/>
        <family val="2"/>
      </rPr>
      <t xml:space="preserve"> * CT</t>
    </r>
    <r>
      <rPr>
        <vertAlign val="subscript"/>
        <sz val="10"/>
        <color indexed="8"/>
        <rFont val="Calibri"/>
        <family val="2"/>
      </rPr>
      <t>(Tr)</t>
    </r>
    <r>
      <rPr>
        <sz val="10"/>
        <color indexed="8"/>
        <rFont val="Calibri"/>
        <family val="2"/>
      </rPr>
      <t xml:space="preserve"> * CD</t>
    </r>
    <r>
      <rPr>
        <vertAlign val="subscript"/>
        <sz val="10"/>
        <color indexed="8"/>
        <rFont val="Calibri"/>
        <family val="2"/>
      </rPr>
      <t>(tc)</t>
    </r>
    <r>
      <rPr>
        <sz val="10"/>
        <color indexed="8"/>
        <rFont val="Calibri"/>
        <family val="2"/>
      </rPr>
      <t xml:space="preserve"> * CA</t>
    </r>
    <r>
      <rPr>
        <vertAlign val="subscript"/>
        <sz val="10"/>
        <color indexed="8"/>
        <rFont val="Calibri"/>
        <family val="2"/>
      </rPr>
      <t>(Ac, Tc)</t>
    </r>
  </si>
  <si>
    <t>tc =</t>
  </si>
  <si>
    <t>Ac =</t>
  </si>
  <si>
    <t>A  aplicar</t>
  </si>
  <si>
    <t>min</t>
  </si>
  <si>
    <t>Valores de q para E=</t>
  </si>
  <si>
    <t>Valores de q para v=</t>
  </si>
  <si>
    <t>S/n2</t>
  </si>
  <si>
    <t>s/n2</t>
  </si>
  <si>
    <t>Límite</t>
  </si>
  <si>
    <t>Valores para graficar el punto:</t>
  </si>
  <si>
    <t>Evaporación media mensual de tanque A (mm/mes)</t>
  </si>
  <si>
    <t>que reduce la crecida de diseño de</t>
  </si>
  <si>
    <t>en un</t>
  </si>
  <si>
    <t>Luego de este análisis, se adopta para el vertedero canal:</t>
  </si>
  <si>
    <t>un ancho B=</t>
  </si>
  <si>
    <t>Cota de vertido del vertedero-canal   Hv:</t>
  </si>
  <si>
    <t>Cota de la obra de toma   Ht:</t>
  </si>
  <si>
    <t>Presa del Ejemplo del Manual</t>
  </si>
  <si>
    <t>Nombre de la presa:</t>
  </si>
  <si>
    <r>
      <t>H</t>
    </r>
    <r>
      <rPr>
        <vertAlign val="subscript"/>
        <sz val="12"/>
        <color indexed="8"/>
        <rFont val="Arial"/>
        <family val="2"/>
      </rPr>
      <t>revancha N</t>
    </r>
    <r>
      <rPr>
        <sz val="12"/>
        <color indexed="8"/>
        <rFont val="Arial"/>
        <family val="2"/>
      </rPr>
      <t xml:space="preserve"> = BL</t>
    </r>
    <r>
      <rPr>
        <vertAlign val="subscript"/>
        <sz val="12"/>
        <color indexed="8"/>
        <rFont val="Arial"/>
        <family val="2"/>
      </rPr>
      <t>Normal</t>
    </r>
    <r>
      <rPr>
        <sz val="12"/>
        <color indexed="8"/>
        <rFont val="Arial"/>
        <family val="2"/>
      </rPr>
      <t xml:space="preserve">  =</t>
    </r>
  </si>
  <si>
    <r>
      <t>BL</t>
    </r>
    <r>
      <rPr>
        <vertAlign val="subscript"/>
        <sz val="12"/>
        <color indexed="8"/>
        <rFont val="Arial"/>
        <family val="2"/>
      </rPr>
      <t>Mínimo</t>
    </r>
    <r>
      <rPr>
        <sz val="12"/>
        <color indexed="8"/>
        <rFont val="Arial"/>
        <family val="2"/>
      </rPr>
      <t xml:space="preserve"> =</t>
    </r>
  </si>
  <si>
    <t>Déficit Vri-Vdi</t>
  </si>
  <si>
    <t>Vol entreg. para riego Vri</t>
  </si>
  <si>
    <t>Volumen vertido Vvi</t>
  </si>
  <si>
    <t>Escala gráfica:</t>
  </si>
  <si>
    <t>Características del flujo en el vertedero-canal con las dimensiones seleccionadas</t>
  </si>
  <si>
    <t>=&gt; Altura de la Presa =</t>
  </si>
  <si>
    <r>
      <t>H*i</t>
    </r>
    <r>
      <rPr>
        <sz val="9"/>
        <rFont val="Calibri"/>
        <family val="2"/>
      </rPr>
      <t xml:space="preserve">                   para mejor ajuste</t>
    </r>
  </si>
  <si>
    <t>Tabla auxiliar para incorporar los datos de Toma y Vertedero en el gráfico de Áreas y Volúmenes vs Cotas</t>
  </si>
  <si>
    <t>Cota  Toma</t>
  </si>
  <si>
    <t>Coeficientes de las curvas ajustadas</t>
  </si>
  <si>
    <t>CÁLCULO DEL VOLUMEN DE ESCURRIMIENTO</t>
  </si>
  <si>
    <t>Dimensionado del Volumen a Embalsar</t>
  </si>
  <si>
    <t>Dimensionado del Vertedero</t>
  </si>
  <si>
    <t>Dimensionado de la Presa</t>
  </si>
  <si>
    <t>Período de Retorno de la Avenida de Proyecto</t>
  </si>
  <si>
    <t>Tr</t>
  </si>
  <si>
    <t>años</t>
  </si>
  <si>
    <r>
      <t xml:space="preserve">Capacidad de Regulac. Interanual </t>
    </r>
    <r>
      <rPr>
        <sz val="9"/>
        <color indexed="8"/>
        <rFont val="Calibri"/>
        <family val="2"/>
      </rPr>
      <t>(Vol almac. / Vesc Anual)</t>
    </r>
  </si>
  <si>
    <t>Calc. Escurrimiento</t>
  </si>
  <si>
    <t>ANEXOS DE CÁLCULO</t>
  </si>
  <si>
    <t>Anexo Escurrimiento</t>
  </si>
  <si>
    <t>Anexo Geom Emb</t>
  </si>
  <si>
    <t>Anexo Bal Hídrico</t>
  </si>
  <si>
    <t>HOJAS AUXILIARES</t>
  </si>
  <si>
    <t>Definición de las Cotas a Adoptar y Volumen de Almacenamiento</t>
  </si>
  <si>
    <r>
      <t>Q</t>
    </r>
    <r>
      <rPr>
        <b/>
        <vertAlign val="subscript"/>
        <sz val="14"/>
        <color indexed="8"/>
        <rFont val="Calibri"/>
        <family val="2"/>
      </rPr>
      <t>max</t>
    </r>
  </si>
  <si>
    <r>
      <t>V</t>
    </r>
    <r>
      <rPr>
        <b/>
        <vertAlign val="subscript"/>
        <sz val="14"/>
        <color indexed="8"/>
        <rFont val="Calibri"/>
        <family val="2"/>
      </rPr>
      <t>esc</t>
    </r>
  </si>
  <si>
    <r>
      <t>Selección del Método para el cálculo del Q</t>
    </r>
    <r>
      <rPr>
        <b/>
        <u/>
        <vertAlign val="subscript"/>
        <sz val="11"/>
        <color indexed="8"/>
        <rFont val="Calibri"/>
        <family val="2"/>
      </rPr>
      <t>máx</t>
    </r>
    <r>
      <rPr>
        <b/>
        <u/>
        <sz val="11"/>
        <color indexed="8"/>
        <rFont val="Calibri"/>
        <family val="2"/>
      </rPr>
      <t xml:space="preserve"> y el Vol</t>
    </r>
    <r>
      <rPr>
        <b/>
        <u/>
        <vertAlign val="subscript"/>
        <sz val="11"/>
        <color indexed="8"/>
        <rFont val="Calibri"/>
        <family val="2"/>
      </rPr>
      <t>máx</t>
    </r>
  </si>
  <si>
    <t>Ht - Hv - Volumen</t>
  </si>
  <si>
    <t>DEFINICIÓN DE LAS COTAS PRINCIPALES Y VOLUMEN DE ALMACENAMIENTO</t>
  </si>
  <si>
    <t>Estación pluviométrica más cercana (s/coord):</t>
  </si>
  <si>
    <r>
      <t>Vol = F</t>
    </r>
    <r>
      <rPr>
        <b/>
        <vertAlign val="subscript"/>
        <sz val="11"/>
        <color indexed="8"/>
        <rFont val="Calibri"/>
        <family val="2"/>
      </rPr>
      <t>2</t>
    </r>
    <r>
      <rPr>
        <b/>
        <sz val="11"/>
        <color indexed="8"/>
        <rFont val="Calibri"/>
        <family val="2"/>
      </rPr>
      <t>(cota)</t>
    </r>
  </si>
  <si>
    <t>por mínimos cuadrados de los logaritmos</t>
  </si>
  <si>
    <r>
      <t>A [Há] = a.(H-H*)</t>
    </r>
    <r>
      <rPr>
        <b/>
        <vertAlign val="superscript"/>
        <sz val="10"/>
        <color indexed="8"/>
        <rFont val="Calibri"/>
        <family val="2"/>
      </rPr>
      <t>b</t>
    </r>
  </si>
  <si>
    <r>
      <t>Vol [Hm3]= c.(H-H*)</t>
    </r>
    <r>
      <rPr>
        <b/>
        <vertAlign val="superscript"/>
        <sz val="10"/>
        <color indexed="8"/>
        <rFont val="Calibri"/>
        <family val="2"/>
      </rPr>
      <t>d</t>
    </r>
  </si>
  <si>
    <t>a</t>
  </si>
  <si>
    <t>b</t>
  </si>
  <si>
    <t>c</t>
  </si>
  <si>
    <t>d</t>
  </si>
  <si>
    <r>
      <t>H[msnm] = H* + e.(Vol)</t>
    </r>
    <r>
      <rPr>
        <b/>
        <vertAlign val="superscript"/>
        <sz val="10"/>
        <color indexed="8"/>
        <rFont val="Calibri"/>
        <family val="2"/>
      </rPr>
      <t>f</t>
    </r>
  </si>
  <si>
    <r>
      <t>A [Há] = g.(Vol)</t>
    </r>
    <r>
      <rPr>
        <b/>
        <vertAlign val="superscript"/>
        <sz val="10"/>
        <color indexed="8"/>
        <rFont val="Calibri"/>
        <family val="2"/>
      </rPr>
      <t>h</t>
    </r>
  </si>
  <si>
    <t>e</t>
  </si>
  <si>
    <t>f</t>
  </si>
  <si>
    <t>g</t>
  </si>
  <si>
    <t>h</t>
  </si>
  <si>
    <t>Coeficientes ajustados de otras curvas auxiliares</t>
  </si>
  <si>
    <r>
      <t>Área (Há) = F</t>
    </r>
    <r>
      <rPr>
        <vertAlign val="subscript"/>
        <sz val="11"/>
        <color indexed="8"/>
        <rFont val="Calibri"/>
        <family val="2"/>
      </rPr>
      <t>1</t>
    </r>
    <r>
      <rPr>
        <sz val="11"/>
        <color indexed="8"/>
        <rFont val="Calibri"/>
        <family val="2"/>
      </rPr>
      <t>(Cota)</t>
    </r>
  </si>
  <si>
    <t>Vol (Hm3) = F2(Cota)</t>
  </si>
  <si>
    <t>Valores según curvas ajustadas</t>
  </si>
  <si>
    <t>= Cantidad de Áreas medidas</t>
  </si>
  <si>
    <t>=  H* [msnm].    Cota virtual para ajuste de los coeficientes en la zona de almacenamiento útil</t>
  </si>
  <si>
    <t>Del relevamiento de campo</t>
  </si>
  <si>
    <t>Áreas (Há)</t>
  </si>
  <si>
    <t>Proceso para ajuste de la curva áreas-cotas</t>
  </si>
  <si>
    <t>Coefic. Dist</t>
  </si>
  <si>
    <t>mm = Precipitación con d=3hs y Tr=10 años (según las IDF del Mapa 3.1)</t>
  </si>
  <si>
    <t>Se introduce la información básica de la cuenca. Resume los resultados principales del diseño después de que el usuario completó todo el proceso.</t>
  </si>
  <si>
    <t>Se introducen los datos de la cuenca y la recurrencia asumida para la Tormenta de Proyecto, y se obtiene Qmáx y Vesc de la Avenida Extraordinaria.</t>
  </si>
  <si>
    <t>Para distintos espesores de lámina vertiente calcula la velocidad del flujo, para definir un ancho de vertedero suficiente para que no se erosione.</t>
  </si>
  <si>
    <t>Calcula la revancha necesaria en función del Fetch y calcula la Cota de Coronamiento de la Presa. Con la cota de fundación, calcula la altura de la presa.</t>
  </si>
  <si>
    <t>Procesa la serie de precipitaciones y obtiene la serie de escurrimientos, aplicando el Modelo de Temez</t>
  </si>
  <si>
    <t>Calcula los coeficientes de las curvas Área-Altura y Volumen-Altura en función de las mediciones del terreno</t>
  </si>
  <si>
    <t>Distancia desde el punto de cierre (km):</t>
  </si>
  <si>
    <t xml:space="preserve">En el gráfico siguiente, se recomienda ajustar las escalas. Para ello se debe desproteger la hoja. </t>
  </si>
  <si>
    <r>
      <t xml:space="preserve">Esta planilla complementa el </t>
    </r>
    <r>
      <rPr>
        <b/>
        <i/>
        <sz val="11"/>
        <color indexed="8"/>
        <rFont val="Arial"/>
        <family val="2"/>
      </rPr>
      <t>Manual de diseño y construcción de pequeñas presas</t>
    </r>
    <r>
      <rPr>
        <b/>
        <sz val="11"/>
        <color indexed="8"/>
        <rFont val="Arial"/>
        <family val="2"/>
      </rPr>
      <t xml:space="preserve"> editado para el Uruguay por la DINAGUA (MVOTMA) en marzo de 2011.</t>
    </r>
  </si>
  <si>
    <t>Las hojas de la planilla están protegidas para evitar errores accidentales, estando desbloqueadas las celdas suficientes para introducir toda la información necesaria.</t>
  </si>
  <si>
    <t>Se muestran tablas resumen y gráficos que requieren que se complete todo el proceso para que la información que muestran sea correcta.</t>
  </si>
  <si>
    <r>
      <t>Coeficiente de correlación de F1,   R</t>
    </r>
    <r>
      <rPr>
        <vertAlign val="superscript"/>
        <sz val="11"/>
        <color indexed="8"/>
        <rFont val="Calibri"/>
        <family val="2"/>
      </rPr>
      <t>2</t>
    </r>
    <r>
      <rPr>
        <sz val="11"/>
        <color indexed="8"/>
        <rFont val="Calibri"/>
        <family val="2"/>
      </rPr>
      <t>=</t>
    </r>
  </si>
  <si>
    <t>Determinación del Escurrimiento medio anual de la cuenca</t>
  </si>
  <si>
    <t>Revancha adoptada</t>
  </si>
  <si>
    <r>
      <t>H</t>
    </r>
    <r>
      <rPr>
        <vertAlign val="subscript"/>
        <sz val="12"/>
        <color indexed="8"/>
        <rFont val="Arial"/>
        <family val="2"/>
      </rPr>
      <t>revancha</t>
    </r>
  </si>
  <si>
    <t>Cantidad actual de valores NO válidos:</t>
  </si>
  <si>
    <t>Cantidad original de valores "s/dato":</t>
  </si>
  <si>
    <t>Para ciertos meses la Dirección Nacional de Meteorología informa un valor "s/dato", lo que no permite la consideración de la serie completa de precipitaciones para la Estación. El proyectista podrá optar por cambiar de Estación, o por adoptar algún criterio y asignar valores de precipitación a dichos meses (Las celdas "s/dato" están desbloqueadas).</t>
  </si>
  <si>
    <t>RELEVAMIENTO TOPOGRÁFICO DEL VASO DEL EMBALSE</t>
  </si>
  <si>
    <t>Asegúrese que esta es la última versión disponible. Acceda al sitio</t>
  </si>
  <si>
    <t>1.-</t>
  </si>
  <si>
    <t>2.-</t>
  </si>
  <si>
    <t>3.-</t>
  </si>
  <si>
    <t>4.-</t>
  </si>
  <si>
    <t>5.-</t>
  </si>
  <si>
    <t>6.-</t>
  </si>
  <si>
    <t>Obtiene los volúmenes regados y vertidos en función del escurrimiento, las precipitaciones, la evaporación y la demanda, para cada conjunto de Ht, Hv y Ar.</t>
  </si>
  <si>
    <t>Hm3, =Volumen de la avenida extraordinaria</t>
  </si>
  <si>
    <t>Valores del coeficiente de rugosidad “n” de Manning</t>
  </si>
  <si>
    <t>Superficie del canal</t>
  </si>
  <si>
    <t>Condición de las paredes</t>
  </si>
  <si>
    <t>Buena</t>
  </si>
  <si>
    <t>Regular</t>
  </si>
  <si>
    <t>Mala</t>
  </si>
  <si>
    <t>En tierra, rectos y uniformes</t>
  </si>
  <si>
    <t>0,025 *</t>
  </si>
  <si>
    <t>En roca, lisos y uniformes</t>
  </si>
  <si>
    <t>0,033 *</t>
  </si>
  <si>
    <t>En roca, con salientes, sinuosos</t>
  </si>
  <si>
    <t>Sinuosos de escurrimiento lento</t>
  </si>
  <si>
    <t>Dragados en tierra</t>
  </si>
  <si>
    <t>0,0275 *</t>
  </si>
  <si>
    <t>0,035 *</t>
  </si>
  <si>
    <t>Plantilla de tierra, taludes ásperos</t>
  </si>
  <si>
    <t>* Valores corrientemente usados en la práctica</t>
  </si>
  <si>
    <t>Tablas auxiliares</t>
  </si>
  <si>
    <t xml:space="preserve">Lecho pedregoso, bordes tierra y maleza </t>
  </si>
  <si>
    <t>ESTIMACIÓN DEL VOLUMEN DE ESCURRIMIENTO DE LA CUENCA DE APORTE</t>
  </si>
  <si>
    <t>Unidad Cartográfica de Suelos (escala1:1000000)</t>
  </si>
  <si>
    <t>Agua Disponible (mm)</t>
  </si>
  <si>
    <t>Grupo Hidrológico</t>
  </si>
  <si>
    <t>Alférez</t>
  </si>
  <si>
    <t>AF</t>
  </si>
  <si>
    <t>Algorta</t>
  </si>
  <si>
    <t>Al</t>
  </si>
  <si>
    <t>C/D</t>
  </si>
  <si>
    <t>Andresito</t>
  </si>
  <si>
    <t>An</t>
  </si>
  <si>
    <t>Angostura</t>
  </si>
  <si>
    <t>Ag</t>
  </si>
  <si>
    <t>A/D</t>
  </si>
  <si>
    <t>Aparicio Saravia</t>
  </si>
  <si>
    <t>AS</t>
  </si>
  <si>
    <t>Arapey</t>
  </si>
  <si>
    <t>Ay</t>
  </si>
  <si>
    <t>Arroyo Blanco</t>
  </si>
  <si>
    <t>AB</t>
  </si>
  <si>
    <t>101.0</t>
  </si>
  <si>
    <t>Arroyo Hospital</t>
  </si>
  <si>
    <t>AH</t>
  </si>
  <si>
    <t>Bacacuá</t>
  </si>
  <si>
    <t>Ba</t>
  </si>
  <si>
    <t>Balneario Jaureguiberry</t>
  </si>
  <si>
    <t>BJ</t>
  </si>
  <si>
    <t>Bañado de Farrapos</t>
  </si>
  <si>
    <t>BF</t>
  </si>
  <si>
    <t>Bañado de Oro</t>
  </si>
  <si>
    <t>BO</t>
  </si>
  <si>
    <t>89.0</t>
  </si>
  <si>
    <t>Baygorria</t>
  </si>
  <si>
    <t>By</t>
  </si>
  <si>
    <t>Bellaco</t>
  </si>
  <si>
    <t>Bc</t>
  </si>
  <si>
    <t>Bequeló</t>
  </si>
  <si>
    <t>Bq</t>
  </si>
  <si>
    <t>Blanquillo</t>
  </si>
  <si>
    <t>Bl</t>
  </si>
  <si>
    <t>Cañada Nieto</t>
  </si>
  <si>
    <t>CñN</t>
  </si>
  <si>
    <t>Capilla de Farruco</t>
  </si>
  <si>
    <t>CF</t>
  </si>
  <si>
    <t>B/D</t>
  </si>
  <si>
    <t>Carapé</t>
  </si>
  <si>
    <t>Ca</t>
  </si>
  <si>
    <t>Carpintería</t>
  </si>
  <si>
    <t>Cpt</t>
  </si>
  <si>
    <t>139.0</t>
  </si>
  <si>
    <t>Cebollatí</t>
  </si>
  <si>
    <t>Cb</t>
  </si>
  <si>
    <t>CCh</t>
  </si>
  <si>
    <t>Chapicuy</t>
  </si>
  <si>
    <t>CP</t>
  </si>
  <si>
    <t>Colonia Palma</t>
  </si>
  <si>
    <t>Ct</t>
  </si>
  <si>
    <t>Constitución</t>
  </si>
  <si>
    <t>Cr</t>
  </si>
  <si>
    <t>Cuaró</t>
  </si>
  <si>
    <t>CCa</t>
  </si>
  <si>
    <t>Cuchilla Caraguatá</t>
  </si>
  <si>
    <t>CCo</t>
  </si>
  <si>
    <t>Cuchilla Corrales</t>
  </si>
  <si>
    <t>CC</t>
  </si>
  <si>
    <t>CH-PT</t>
  </si>
  <si>
    <t>Cuchilla del Corralito</t>
  </si>
  <si>
    <t>CM</t>
  </si>
  <si>
    <t>Cuchilla Mangueras</t>
  </si>
  <si>
    <t>CSA</t>
  </si>
  <si>
    <t>Cuchilla Santa Ana</t>
  </si>
  <si>
    <t>Cu</t>
  </si>
  <si>
    <t>Curtina</t>
  </si>
  <si>
    <t>Ch</t>
  </si>
  <si>
    <t>Ecilda Paullier - Las Brujas</t>
  </si>
  <si>
    <t>EP-LB</t>
  </si>
  <si>
    <t>El Ceibo</t>
  </si>
  <si>
    <t>EC</t>
  </si>
  <si>
    <t>El Palmito</t>
  </si>
  <si>
    <t>EPa</t>
  </si>
  <si>
    <t>Espinillar</t>
  </si>
  <si>
    <t>Ep</t>
  </si>
  <si>
    <t>141.0</t>
  </si>
  <si>
    <t>FM</t>
  </si>
  <si>
    <t>Fray Bentos</t>
  </si>
  <si>
    <t>FB</t>
  </si>
  <si>
    <t>India Muerta</t>
  </si>
  <si>
    <t>IMu</t>
  </si>
  <si>
    <t>Isla Mala</t>
  </si>
  <si>
    <t>IM</t>
  </si>
  <si>
    <t>Islas del Uruguay</t>
  </si>
  <si>
    <t>IU</t>
  </si>
  <si>
    <t>183.0</t>
  </si>
  <si>
    <t>Itapebí -Tres Arboles</t>
  </si>
  <si>
    <t>I-TA</t>
  </si>
  <si>
    <t>JPV</t>
  </si>
  <si>
    <t>Kiyú</t>
  </si>
  <si>
    <t>Ky</t>
  </si>
  <si>
    <t>La Carolina</t>
  </si>
  <si>
    <t>LC</t>
  </si>
  <si>
    <t>La Charqueada</t>
  </si>
  <si>
    <t>LCh</t>
  </si>
  <si>
    <t>Laguna Merín</t>
  </si>
  <si>
    <t>LMe</t>
  </si>
  <si>
    <t>Las Toscas</t>
  </si>
  <si>
    <t>LT</t>
  </si>
  <si>
    <t>Lascano</t>
  </si>
  <si>
    <t>La</t>
  </si>
  <si>
    <t>Lechiguana</t>
  </si>
  <si>
    <t>Le</t>
  </si>
  <si>
    <t>Libertad</t>
  </si>
  <si>
    <t>Li</t>
  </si>
  <si>
    <t>Los Mimbres</t>
  </si>
  <si>
    <t>LM</t>
  </si>
  <si>
    <t>Manuel Oribe</t>
  </si>
  <si>
    <t>MO</t>
  </si>
  <si>
    <t>Ma</t>
  </si>
  <si>
    <t>Montecoral</t>
  </si>
  <si>
    <t>Mc</t>
  </si>
  <si>
    <t>Palleros</t>
  </si>
  <si>
    <t>Pll</t>
  </si>
  <si>
    <t>Paso Cohelo</t>
  </si>
  <si>
    <t>PC</t>
  </si>
  <si>
    <t>Paso Palmar</t>
  </si>
  <si>
    <t>PP</t>
  </si>
  <si>
    <t>Pueblo del Barro</t>
  </si>
  <si>
    <t>PB</t>
  </si>
  <si>
    <t>Puntas de Herrera</t>
  </si>
  <si>
    <t>PdH</t>
  </si>
  <si>
    <t>QCh</t>
  </si>
  <si>
    <t>Rincón de la Urbana</t>
  </si>
  <si>
    <t>RU</t>
  </si>
  <si>
    <t>Rincón de Ramirez</t>
  </si>
  <si>
    <t>RR</t>
  </si>
  <si>
    <t>Rincón de Zamora</t>
  </si>
  <si>
    <t>RZ</t>
  </si>
  <si>
    <t>B/C</t>
  </si>
  <si>
    <t>Río Branco</t>
  </si>
  <si>
    <t>RB</t>
  </si>
  <si>
    <t>102.0</t>
  </si>
  <si>
    <t>Río Tacuarembó</t>
  </si>
  <si>
    <t>RT</t>
  </si>
  <si>
    <t>161.0</t>
  </si>
  <si>
    <t>Risso</t>
  </si>
  <si>
    <t>Ri</t>
  </si>
  <si>
    <t>Rv</t>
  </si>
  <si>
    <t>St</t>
  </si>
  <si>
    <t>San Carlos</t>
  </si>
  <si>
    <t>SC</t>
  </si>
  <si>
    <t>78.0</t>
  </si>
  <si>
    <t>San Gabriel - Guaycurú</t>
  </si>
  <si>
    <t>SG-G</t>
  </si>
  <si>
    <t>San Jacinto</t>
  </si>
  <si>
    <t>SJc</t>
  </si>
  <si>
    <t>San Jorge</t>
  </si>
  <si>
    <t>SJo</t>
  </si>
  <si>
    <t>San Luis</t>
  </si>
  <si>
    <t>SL</t>
  </si>
  <si>
    <t>San Manuel</t>
  </si>
  <si>
    <t>SM</t>
  </si>
  <si>
    <t>San Ramón</t>
  </si>
  <si>
    <t>SR</t>
  </si>
  <si>
    <t>Santa Clara</t>
  </si>
  <si>
    <t>SCl</t>
  </si>
  <si>
    <t>Sarandí de Tejera</t>
  </si>
  <si>
    <t>SdT</t>
  </si>
  <si>
    <t>50.0</t>
  </si>
  <si>
    <t>Sierra de Aiguá</t>
  </si>
  <si>
    <t>SAg</t>
  </si>
  <si>
    <t>Sierra de Ánimas</t>
  </si>
  <si>
    <t>SA</t>
  </si>
  <si>
    <t>Sierra de Mahoma</t>
  </si>
  <si>
    <t>SMh</t>
  </si>
  <si>
    <t>Sierra Polanco</t>
  </si>
  <si>
    <t>SP</t>
  </si>
  <si>
    <t>73.0</t>
  </si>
  <si>
    <t>Ta</t>
  </si>
  <si>
    <t>Tala - Rodríguez</t>
  </si>
  <si>
    <t>Tl-Rd</t>
  </si>
  <si>
    <t>Toledo</t>
  </si>
  <si>
    <t>Tol</t>
  </si>
  <si>
    <t>Tres Bocas</t>
  </si>
  <si>
    <t>TB</t>
  </si>
  <si>
    <t>Tres Cerros</t>
  </si>
  <si>
    <t>TC</t>
  </si>
  <si>
    <t>Tres Islas</t>
  </si>
  <si>
    <t>TI</t>
  </si>
  <si>
    <t>Tres Puentes</t>
  </si>
  <si>
    <t>TP</t>
  </si>
  <si>
    <t>Trinidad</t>
  </si>
  <si>
    <t>Valle Aiguá</t>
  </si>
  <si>
    <t>VA</t>
  </si>
  <si>
    <t>Valle Fuentes</t>
  </si>
  <si>
    <t>VF</t>
  </si>
  <si>
    <t>Vergara</t>
  </si>
  <si>
    <t>Ve</t>
  </si>
  <si>
    <t>Villa Soriano</t>
  </si>
  <si>
    <t>VS</t>
  </si>
  <si>
    <t>Yí</t>
  </si>
  <si>
    <t>Yi</t>
  </si>
  <si>
    <t>71.0</t>
  </si>
  <si>
    <t>Young</t>
  </si>
  <si>
    <t>Yg</t>
  </si>
  <si>
    <t>145.0</t>
  </si>
  <si>
    <t>Zapallar</t>
  </si>
  <si>
    <t>Zp</t>
  </si>
  <si>
    <t>Zapicán</t>
  </si>
  <si>
    <t>Za</t>
  </si>
  <si>
    <t>Agua Disponible según las Unidades de Suelos de la cuenca y sus áreas:</t>
  </si>
  <si>
    <t>PARÁMETROS FIJOS PARA EL MODELO DE TEMEZ</t>
  </si>
  <si>
    <t>Parámetros propios del modelo, calibrados para pequeñas cuencas del Uruguay (Según A.1)</t>
  </si>
  <si>
    <t>Evapotranspiración media anual en el baricentro de la cuenca ETPm:</t>
  </si>
  <si>
    <t>NC ponderado:</t>
  </si>
  <si>
    <t>Con la selección realizada para el valor de la ETPm, el Agua Disponible según las Unidades de Suelo de la cuenca y sus áreas y los 30 años de precipitaciones medidos la Estación más cercana de la cuenca, de la aplicación del modelo de Temez en el "Anexo Escurrimiento" se tiene el siguiente resultado:</t>
  </si>
  <si>
    <t>AGUA DISPONIBLE Y GRUPO HIDROLÓGICO SEGÚN LA UNIDAD DE SUELO</t>
  </si>
  <si>
    <t>CRSU-AD-GH</t>
  </si>
  <si>
    <t>Valores de Agua Disponible y Grupo Hidrológico de los Suelos del Uruguay según la Unidad de Suelo.-</t>
  </si>
  <si>
    <t>Se muestra el resultado de la aplicación del modelo de Temez en función de los datos generales ingresados para la cuenca</t>
  </si>
  <si>
    <t>Análisis de la Satisfacción de la Demanda</t>
  </si>
  <si>
    <t>Cuadro Resumen de ISD calculados por la "macro" para valores de Ar y Hv</t>
  </si>
  <si>
    <t>Cota de la obra de Toma Ht:</t>
  </si>
  <si>
    <t>Cod. Verificación de macro:</t>
  </si>
  <si>
    <t>VolHt</t>
  </si>
  <si>
    <t>VolHv</t>
  </si>
  <si>
    <t>Ar</t>
  </si>
  <si>
    <t>ISD Índice de Satisfacción de la Demanda</t>
  </si>
  <si>
    <t>para graf</t>
  </si>
  <si>
    <t>Cotas de vertedero</t>
  </si>
  <si>
    <r>
      <t>Hv + H</t>
    </r>
    <r>
      <rPr>
        <vertAlign val="subscript"/>
        <sz val="12"/>
        <color indexed="8"/>
        <rFont val="Calibri"/>
        <family val="2"/>
      </rPr>
      <t xml:space="preserve">revancha </t>
    </r>
  </si>
  <si>
    <t>7,-</t>
  </si>
  <si>
    <t>Intro</t>
  </si>
  <si>
    <t>Esta hoja</t>
  </si>
  <si>
    <t>A partir del análisis del gráfico del ISD para un entorno de los valores seleccionados de Ht, Hv y Ar, para el diseño de las obras necesarias se adoptan los siguientes valores de cota de las obras de toma y del vertedero. Queda definido así el volumen de almacenamiento por el que se solicitará el otorgamiento de derechos de uso:</t>
  </si>
  <si>
    <t>Para cada valor de Ht, el gráfico de "Análisis de Satisfacción de la demanda" muestra el ISD calculado según el capítulo 2.2 del Manual para un entorno de los valores de Hv y Ar seleccionados.</t>
  </si>
  <si>
    <t>En la hoja de "Anexo Bal Hídrico" se pueden apreciar los volúmenes de déficit,  riego y  vertido con paso mensual, para los valores de Ht, Ar y Hv  medios seleccionados, como columnas gráficas de la planilla.</t>
  </si>
  <si>
    <t>Gráfico auxiliar de los volúmenes de déficit, entregados, y vertidos.</t>
  </si>
  <si>
    <t>Con el balance hídrico se definió una cota de vertedero  Hv=</t>
  </si>
  <si>
    <t>para obtener un volumen de almacenamiento que satisface suficientemente la demanda.</t>
  </si>
  <si>
    <t>Aquí se procede al cálculo integrado de:</t>
  </si>
  <si>
    <t>Estimar cuatro valores de "E" e introducirlos ordenados, para que el gráfico de abajo se vea razonable.</t>
  </si>
  <si>
    <r>
      <t xml:space="preserve">El valor "V" </t>
    </r>
    <r>
      <rPr>
        <u/>
        <sz val="10"/>
        <color indexed="8"/>
        <rFont val="Calibri"/>
        <family val="2"/>
      </rPr>
      <t xml:space="preserve">resultante </t>
    </r>
    <r>
      <rPr>
        <sz val="10"/>
        <color indexed="8"/>
        <rFont val="Calibri"/>
        <family val="2"/>
      </rPr>
      <t>se grafica junto con los valores del cuadro de velocidades máximas de suelos empastados</t>
    </r>
  </si>
  <si>
    <t>indica las celdas desbloqueadas donde el usuario ingresa información que se utiliza en los cálculos</t>
  </si>
  <si>
    <t>Sin embargo la protección de las hojas está implementada SIN contraseña, para dejar al usuario la libertad y responsabilidad de efectuar cualquier modificación.</t>
  </si>
  <si>
    <t>Conjunto activo</t>
  </si>
  <si>
    <t>x</t>
  </si>
  <si>
    <t>Marcar</t>
  </si>
  <si>
    <t>ISD var</t>
  </si>
  <si>
    <t>ISD fijo</t>
  </si>
  <si>
    <t>copiar ISD var y 'pegar valores' a ISD fijo</t>
  </si>
  <si>
    <t>Para cada valor de Ht , Hv y Ar una macro calcula el ISD, permitiendo decidir el Volumen de Almacenamiento. Se introducen los valores de Ht y Hv adoptados</t>
  </si>
  <si>
    <t>(Para que funcione el cálculo automático del gráfico se debe "habilitar macros"</t>
  </si>
  <si>
    <t>Cota de vertido Hv:</t>
  </si>
  <si>
    <t>vd i (mm)</t>
  </si>
  <si>
    <t>Ciclo anual de demanda en la presa (inc. pérdidas en el sist. de riego)</t>
  </si>
  <si>
    <t>Planilla complementaria, versión 1,0</t>
  </si>
  <si>
    <t>Montevideo, 8 de abril de 2011</t>
  </si>
  <si>
    <t>en un entorno de</t>
  </si>
  <si>
    <t>m en más y en menos</t>
  </si>
  <si>
    <t xml:space="preserve">en un entorno de un </t>
  </si>
  <si>
    <t>% en más y en menos</t>
  </si>
  <si>
    <t>Los siguientes son los valores medios y los entornos a analizar:</t>
  </si>
  <si>
    <t>Área (Ar) c/demanda unitaria vdi:</t>
  </si>
  <si>
    <t>Cod. Verificación de valores on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</si>
</sst>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0"/>
    <numFmt numFmtId="179" formatCode="0.000"/>
    <numFmt numFmtId="180" formatCode="0.0000"/>
    <numFmt numFmtId="181" formatCode="0.000000"/>
    <numFmt numFmtId="182" formatCode="0.00000"/>
  </numFmts>
  <fonts count="86">
    <font>
      <sz val="11"/>
      <color theme="1"/>
      <name val="Calibri"/>
      <family val="2"/>
      <scheme val="minor"/>
    </font>
    <font>
      <sz val="11"/>
      <color indexed="8"/>
      <name val="Calibri"/>
      <family val="2"/>
    </font>
    <font>
      <sz val="11"/>
      <color indexed="8"/>
      <name val="Calibri"/>
      <family val="2"/>
    </font>
    <font>
      <sz val="11"/>
      <color indexed="8"/>
      <name val="Arial"/>
      <family val="2"/>
    </font>
    <font>
      <sz val="10"/>
      <name val="Arial"/>
      <family val="2"/>
    </font>
    <font>
      <b/>
      <vertAlign val="superscript"/>
      <sz val="10"/>
      <color indexed="8"/>
      <name val="Calibri"/>
      <family val="2"/>
    </font>
    <font>
      <sz val="11"/>
      <color indexed="8"/>
      <name val="Calibri"/>
      <family val="2"/>
    </font>
    <font>
      <b/>
      <sz val="11"/>
      <color indexed="8"/>
      <name val="Calibri"/>
      <family val="2"/>
    </font>
    <font>
      <sz val="10"/>
      <color indexed="8"/>
      <name val="Arial"/>
      <family val="2"/>
    </font>
    <font>
      <sz val="11"/>
      <color indexed="8"/>
      <name val="Arial"/>
      <family val="2"/>
    </font>
    <font>
      <sz val="10"/>
      <color indexed="8"/>
      <name val="Calibri"/>
      <family val="2"/>
    </font>
    <font>
      <b/>
      <sz val="10"/>
      <color indexed="8"/>
      <name val="Calibri"/>
      <family val="2"/>
    </font>
    <font>
      <b/>
      <sz val="12"/>
      <color indexed="8"/>
      <name val="Calibri"/>
      <family val="2"/>
    </font>
    <font>
      <b/>
      <sz val="14"/>
      <color indexed="8"/>
      <name val="Calibri"/>
      <family val="2"/>
    </font>
    <font>
      <sz val="14"/>
      <color indexed="8"/>
      <name val="Calibri"/>
      <family val="2"/>
    </font>
    <font>
      <sz val="8"/>
      <name val="Calibri"/>
      <family val="2"/>
    </font>
    <font>
      <sz val="8"/>
      <color indexed="8"/>
      <name val="Calibri"/>
      <family val="2"/>
    </font>
    <font>
      <sz val="9"/>
      <name val="Arial"/>
      <family val="2"/>
    </font>
    <font>
      <b/>
      <sz val="9"/>
      <name val="Arial"/>
      <family val="2"/>
    </font>
    <font>
      <b/>
      <sz val="10"/>
      <name val="Arial"/>
      <family val="2"/>
    </font>
    <font>
      <sz val="12"/>
      <color indexed="8"/>
      <name val="Calibri"/>
      <family val="2"/>
    </font>
    <font>
      <b/>
      <vertAlign val="subscript"/>
      <sz val="11"/>
      <color indexed="8"/>
      <name val="Calibri"/>
      <family val="2"/>
    </font>
    <font>
      <vertAlign val="subscript"/>
      <sz val="11"/>
      <color indexed="8"/>
      <name val="Calibri"/>
      <family val="2"/>
    </font>
    <font>
      <sz val="11"/>
      <color indexed="8"/>
      <name val="Calibri"/>
      <family val="2"/>
    </font>
    <font>
      <sz val="11"/>
      <color indexed="9"/>
      <name val="Calibri"/>
      <family val="2"/>
    </font>
    <font>
      <b/>
      <sz val="11"/>
      <color indexed="9"/>
      <name val="Calibri"/>
      <family val="2"/>
    </font>
    <font>
      <sz val="8"/>
      <color indexed="8"/>
      <name val="Arial"/>
      <family val="2"/>
    </font>
    <font>
      <sz val="12"/>
      <color indexed="8"/>
      <name val="Arial"/>
      <family val="2"/>
    </font>
    <font>
      <sz val="12"/>
      <color indexed="8"/>
      <name val="Calibri"/>
      <family val="2"/>
    </font>
    <font>
      <sz val="11"/>
      <color indexed="8"/>
      <name val="Arial"/>
      <family val="2"/>
    </font>
    <font>
      <b/>
      <u/>
      <sz val="11"/>
      <color indexed="8"/>
      <name val="Calibri"/>
      <family val="2"/>
    </font>
    <font>
      <b/>
      <sz val="10"/>
      <color indexed="8"/>
      <name val="Arial"/>
      <family val="2"/>
    </font>
    <font>
      <b/>
      <sz val="11"/>
      <color indexed="8"/>
      <name val="Arial"/>
      <family val="2"/>
    </font>
    <font>
      <sz val="11"/>
      <color indexed="8"/>
      <name val="Calibri"/>
      <family val="2"/>
    </font>
    <font>
      <u/>
      <sz val="11"/>
      <color indexed="8"/>
      <name val="Calibri"/>
      <family val="2"/>
    </font>
    <font>
      <sz val="11"/>
      <color indexed="8"/>
      <name val="Arial"/>
      <family val="2"/>
    </font>
    <font>
      <sz val="13.2"/>
      <color indexed="8"/>
      <name val="Calibri"/>
      <family val="2"/>
    </font>
    <font>
      <vertAlign val="subscript"/>
      <sz val="10"/>
      <color indexed="8"/>
      <name val="Calibri"/>
      <family val="2"/>
    </font>
    <font>
      <b/>
      <sz val="8"/>
      <color indexed="9"/>
      <name val="Arial"/>
      <family val="2"/>
    </font>
    <font>
      <b/>
      <sz val="11"/>
      <color indexed="9"/>
      <name val="Arial"/>
      <family val="2"/>
    </font>
    <font>
      <vertAlign val="subscript"/>
      <sz val="12"/>
      <color indexed="8"/>
      <name val="Arial"/>
      <family val="2"/>
    </font>
    <font>
      <b/>
      <u/>
      <sz val="12"/>
      <color indexed="8"/>
      <name val="Arial"/>
      <family val="2"/>
    </font>
    <font>
      <b/>
      <u/>
      <sz val="10"/>
      <color indexed="8"/>
      <name val="Arial"/>
      <family val="2"/>
    </font>
    <font>
      <b/>
      <sz val="12"/>
      <color indexed="9"/>
      <name val="Arial"/>
      <family val="2"/>
    </font>
    <font>
      <sz val="12"/>
      <color indexed="9"/>
      <name val="Arial"/>
      <family val="2"/>
    </font>
    <font>
      <b/>
      <sz val="10"/>
      <color indexed="9"/>
      <name val="Arial"/>
      <family val="2"/>
    </font>
    <font>
      <b/>
      <sz val="16"/>
      <color indexed="9"/>
      <name val="Arial"/>
      <family val="2"/>
    </font>
    <font>
      <b/>
      <vertAlign val="subscript"/>
      <sz val="10"/>
      <color indexed="8"/>
      <name val="Calibri"/>
      <family val="2"/>
    </font>
    <font>
      <b/>
      <sz val="12"/>
      <color indexed="9"/>
      <name val="Calibri"/>
      <family val="2"/>
    </font>
    <font>
      <b/>
      <sz val="10"/>
      <color indexed="9"/>
      <name val="Calibri"/>
      <family val="2"/>
    </font>
    <font>
      <b/>
      <sz val="16"/>
      <color indexed="9"/>
      <name val="Calibri"/>
      <family val="2"/>
    </font>
    <font>
      <sz val="10"/>
      <color indexed="9"/>
      <name val="Arial"/>
      <family val="2"/>
    </font>
    <font>
      <b/>
      <sz val="14"/>
      <color indexed="9"/>
      <name val="Calibri"/>
      <family val="2"/>
    </font>
    <font>
      <b/>
      <sz val="9"/>
      <color indexed="9"/>
      <name val="Arial"/>
      <family val="2"/>
    </font>
    <font>
      <sz val="9"/>
      <color indexed="8"/>
      <name val="Calibri"/>
      <family val="2"/>
    </font>
    <font>
      <b/>
      <sz val="11"/>
      <color indexed="8"/>
      <name val="Calibri"/>
      <family val="2"/>
    </font>
    <font>
      <b/>
      <sz val="11"/>
      <color indexed="10"/>
      <name val="Calibri"/>
      <family val="2"/>
    </font>
    <font>
      <u/>
      <sz val="10"/>
      <color indexed="8"/>
      <name val="Calibri"/>
      <family val="2"/>
    </font>
    <font>
      <sz val="6"/>
      <name val="Arial"/>
      <family val="2"/>
    </font>
    <font>
      <b/>
      <vertAlign val="subscript"/>
      <sz val="11"/>
      <color indexed="9"/>
      <name val="Calibri"/>
      <family val="2"/>
    </font>
    <font>
      <b/>
      <sz val="11"/>
      <name val="Calibri"/>
      <family val="2"/>
    </font>
    <font>
      <sz val="11"/>
      <name val="Calibri"/>
      <family val="2"/>
    </font>
    <font>
      <sz val="9"/>
      <name val="Calibri"/>
      <family val="2"/>
    </font>
    <font>
      <b/>
      <sz val="14"/>
      <name val="Calibri"/>
      <family val="2"/>
    </font>
    <font>
      <b/>
      <i/>
      <sz val="11"/>
      <color indexed="8"/>
      <name val="Arial"/>
      <family val="2"/>
    </font>
    <font>
      <b/>
      <vertAlign val="subscript"/>
      <sz val="14"/>
      <color indexed="8"/>
      <name val="Calibri"/>
      <family val="2"/>
    </font>
    <font>
      <b/>
      <u/>
      <sz val="14"/>
      <color indexed="8"/>
      <name val="Calibri"/>
      <family val="2"/>
    </font>
    <font>
      <b/>
      <u/>
      <vertAlign val="subscript"/>
      <sz val="11"/>
      <color indexed="8"/>
      <name val="Calibri"/>
      <family val="2"/>
    </font>
    <font>
      <b/>
      <u/>
      <sz val="11"/>
      <color indexed="8"/>
      <name val="Arial"/>
      <family val="2"/>
    </font>
    <font>
      <b/>
      <i/>
      <sz val="11"/>
      <color indexed="10"/>
      <name val="Calibri"/>
      <family val="2"/>
    </font>
    <font>
      <b/>
      <sz val="9"/>
      <color indexed="10"/>
      <name val="Calibri"/>
      <family val="2"/>
    </font>
    <font>
      <vertAlign val="superscript"/>
      <sz val="11"/>
      <color indexed="8"/>
      <name val="Calibri"/>
      <family val="2"/>
    </font>
    <font>
      <sz val="9"/>
      <color indexed="8"/>
      <name val="Arial"/>
      <family val="2"/>
    </font>
    <font>
      <b/>
      <sz val="9"/>
      <color indexed="8"/>
      <name val="Arial"/>
      <family val="2"/>
    </font>
    <font>
      <b/>
      <sz val="12"/>
      <color indexed="8"/>
      <name val="Arial"/>
      <family val="2"/>
    </font>
    <font>
      <sz val="14"/>
      <color indexed="8"/>
      <name val="Calibri"/>
      <family val="2"/>
    </font>
    <font>
      <b/>
      <sz val="11"/>
      <name val="Arial"/>
      <family val="2"/>
    </font>
    <font>
      <b/>
      <u/>
      <sz val="12"/>
      <color indexed="8"/>
      <name val="Calibri"/>
      <family val="2"/>
    </font>
    <font>
      <sz val="10"/>
      <name val="Calibri"/>
      <family val="2"/>
    </font>
    <font>
      <sz val="10"/>
      <color indexed="9"/>
      <name val="Calibri"/>
      <family val="2"/>
    </font>
    <font>
      <b/>
      <sz val="10"/>
      <name val="Calibri"/>
      <family val="2"/>
    </font>
    <font>
      <sz val="6"/>
      <color indexed="8"/>
      <name val="Calibri"/>
      <family val="2"/>
    </font>
    <font>
      <vertAlign val="subscript"/>
      <sz val="12"/>
      <color indexed="8"/>
      <name val="Calibri"/>
      <family val="2"/>
    </font>
    <font>
      <u/>
      <sz val="11"/>
      <color indexed="12"/>
      <name val="Calibri"/>
      <family val="2"/>
    </font>
    <font>
      <sz val="8"/>
      <color indexed="8"/>
      <name val="Calibri"/>
      <family val="2"/>
    </font>
    <font>
      <b/>
      <sz val="16"/>
      <color indexed="16"/>
      <name val="Calibri"/>
      <family val="2"/>
    </font>
  </fonts>
  <fills count="12">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indexed="16"/>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s>
  <borders count="95">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9"/>
      </top>
      <bottom style="thin">
        <color indexed="64"/>
      </bottom>
      <diagonal/>
    </border>
    <border>
      <left style="thin">
        <color indexed="9"/>
      </left>
      <right style="thin">
        <color indexed="64"/>
      </right>
      <top style="thin">
        <color indexed="9"/>
      </top>
      <bottom/>
      <diagonal/>
    </border>
    <border>
      <left style="medium">
        <color indexed="9"/>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9"/>
      </right>
      <top style="medium">
        <color indexed="64"/>
      </top>
      <bottom/>
      <diagonal/>
    </border>
    <border>
      <left style="thin">
        <color indexed="9"/>
      </left>
      <right style="thin">
        <color indexed="64"/>
      </right>
      <top style="medium">
        <color indexed="64"/>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9"/>
      </left>
      <right style="medium">
        <color indexed="9"/>
      </right>
      <top style="medium">
        <color indexed="9"/>
      </top>
      <bottom style="thin">
        <color indexed="64"/>
      </bottom>
      <diagonal/>
    </border>
    <border>
      <left style="medium">
        <color indexed="9"/>
      </left>
      <right style="medium">
        <color indexed="64"/>
      </right>
      <top style="medium">
        <color indexed="9"/>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medium">
        <color indexed="9"/>
      </left>
      <right style="medium">
        <color indexed="64"/>
      </right>
      <top style="medium">
        <color indexed="64"/>
      </top>
      <bottom style="medium">
        <color indexed="64"/>
      </bottom>
      <diagonal/>
    </border>
    <border>
      <left style="medium">
        <color indexed="9"/>
      </left>
      <right style="medium">
        <color indexed="9"/>
      </right>
      <top style="medium">
        <color indexed="64"/>
      </top>
      <bottom style="medium">
        <color indexed="64"/>
      </bottom>
      <diagonal/>
    </border>
    <border>
      <left/>
      <right/>
      <top/>
      <bottom style="thin">
        <color indexed="9"/>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9"/>
      </right>
      <top/>
      <bottom style="medium">
        <color indexed="64"/>
      </bottom>
      <diagonal/>
    </border>
    <border>
      <left style="thin">
        <color indexed="9"/>
      </left>
      <right style="thin">
        <color indexed="9"/>
      </right>
      <top style="medium">
        <color indexed="64"/>
      </top>
      <bottom/>
      <diagonal/>
    </border>
    <border>
      <left style="thin">
        <color indexed="9"/>
      </left>
      <right style="thin">
        <color indexed="9"/>
      </right>
      <top/>
      <bottom style="medium">
        <color indexed="64"/>
      </bottom>
      <diagonal/>
    </border>
    <border>
      <left style="thin">
        <color indexed="9"/>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9"/>
      </left>
      <right/>
      <top/>
      <bottom style="medium">
        <color indexed="64"/>
      </bottom>
      <diagonal/>
    </border>
    <border>
      <left/>
      <right style="medium">
        <color indexed="9"/>
      </right>
      <top/>
      <bottom/>
      <diagonal/>
    </border>
    <border>
      <left/>
      <right style="medium">
        <color indexed="64"/>
      </right>
      <top style="thin">
        <color indexed="64"/>
      </top>
      <bottom style="medium">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diagonal/>
    </border>
    <border>
      <left style="medium">
        <color indexed="64"/>
      </left>
      <right style="medium">
        <color indexed="9"/>
      </right>
      <top style="medium">
        <color indexed="64"/>
      </top>
      <bottom style="medium">
        <color indexed="9"/>
      </bottom>
      <diagonal/>
    </border>
    <border>
      <left style="medium">
        <color indexed="64"/>
      </left>
      <right style="medium">
        <color indexed="9"/>
      </right>
      <top style="medium">
        <color indexed="9"/>
      </top>
      <bottom style="thin">
        <color indexed="64"/>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thin">
        <color indexed="9"/>
      </left>
      <right style="thin">
        <color indexed="64"/>
      </right>
      <top style="medium">
        <color indexed="64"/>
      </top>
      <bottom style="thin">
        <color indexed="64"/>
      </bottom>
      <diagonal/>
    </border>
    <border>
      <left style="thin">
        <color indexed="9"/>
      </left>
      <right/>
      <top/>
      <bottom/>
      <diagonal/>
    </border>
    <border>
      <left/>
      <right style="thin">
        <color indexed="9"/>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9"/>
      </right>
      <top style="thin">
        <color indexed="9"/>
      </top>
      <bottom/>
      <diagonal/>
    </border>
    <border>
      <left/>
      <right style="thin">
        <color indexed="9"/>
      </right>
      <top/>
      <bottom style="thin">
        <color indexed="9"/>
      </bottom>
      <diagonal/>
    </border>
  </borders>
  <cellStyleXfs count="4">
    <xf numFmtId="0" fontId="0" fillId="0" borderId="0"/>
    <xf numFmtId="0" fontId="8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cellStyleXfs>
  <cellXfs count="551">
    <xf numFmtId="0" fontId="0" fillId="0" borderId="0" xfId="0"/>
    <xf numFmtId="0" fontId="0" fillId="0" borderId="0" xfId="0" applyAlignment="1">
      <alignment horizontal="center" vertical="center"/>
    </xf>
    <xf numFmtId="0" fontId="0" fillId="0" borderId="0" xfId="0" applyAlignment="1">
      <alignment horizontal="center"/>
    </xf>
    <xf numFmtId="2" fontId="0" fillId="0" borderId="0" xfId="0" applyNumberFormat="1"/>
    <xf numFmtId="0" fontId="10" fillId="0" borderId="0" xfId="0" applyFont="1"/>
    <xf numFmtId="0" fontId="4" fillId="0" borderId="0" xfId="2"/>
    <xf numFmtId="0" fontId="4" fillId="0" borderId="0" xfId="2" applyAlignment="1">
      <alignment horizontal="center"/>
    </xf>
    <xf numFmtId="0" fontId="4" fillId="0" borderId="0" xfId="2" applyFont="1" applyAlignment="1">
      <alignment horizontal="center" vertical="center" wrapText="1"/>
    </xf>
    <xf numFmtId="0" fontId="4" fillId="0" borderId="0" xfId="2" applyNumberFormat="1" applyBorder="1"/>
    <xf numFmtId="0" fontId="4" fillId="0" borderId="0" xfId="2" applyFont="1"/>
    <xf numFmtId="0" fontId="4" fillId="0" borderId="0" xfId="2" applyNumberFormat="1" applyFont="1" applyBorder="1" applyAlignment="1">
      <alignment horizontal="center"/>
    </xf>
    <xf numFmtId="0" fontId="4" fillId="0" borderId="0" xfId="2" applyNumberFormat="1" applyBorder="1" applyAlignment="1">
      <alignment horizontal="center"/>
    </xf>
    <xf numFmtId="0" fontId="4" fillId="0" borderId="0" xfId="2" applyNumberFormat="1"/>
    <xf numFmtId="0" fontId="4" fillId="0" borderId="0" xfId="2" applyNumberFormat="1" applyAlignment="1">
      <alignment horizontal="center"/>
    </xf>
    <xf numFmtId="0" fontId="4" fillId="0" borderId="0" xfId="2" applyFill="1" applyAlignment="1">
      <alignment horizontal="center"/>
    </xf>
    <xf numFmtId="0" fontId="26" fillId="0" borderId="1" xfId="0" applyFont="1" applyBorder="1" applyAlignment="1">
      <alignment horizontal="center" wrapText="1"/>
    </xf>
    <xf numFmtId="0" fontId="12" fillId="0" borderId="0" xfId="0" applyFont="1" applyFill="1" applyBorder="1" applyAlignment="1">
      <alignment horizontal="right"/>
    </xf>
    <xf numFmtId="0" fontId="12" fillId="0" borderId="0" xfId="0" applyFont="1" applyFill="1" applyBorder="1"/>
    <xf numFmtId="2" fontId="27" fillId="0" borderId="2" xfId="0" applyNumberFormat="1" applyFont="1" applyBorder="1" applyAlignment="1">
      <alignment horizontal="center" wrapText="1"/>
    </xf>
    <xf numFmtId="1" fontId="27" fillId="0" borderId="2" xfId="0" applyNumberFormat="1" applyFont="1" applyBorder="1" applyAlignment="1">
      <alignment horizontal="center" wrapText="1"/>
    </xf>
    <xf numFmtId="0" fontId="28" fillId="0" borderId="0" xfId="0" quotePrefix="1" applyFont="1" applyAlignment="1">
      <alignment vertical="center"/>
    </xf>
    <xf numFmtId="178" fontId="27" fillId="0" borderId="2" xfId="0" applyNumberFormat="1" applyFont="1" applyBorder="1" applyAlignment="1">
      <alignment horizontal="center" wrapText="1"/>
    </xf>
    <xf numFmtId="0" fontId="23" fillId="0" borderId="0" xfId="0" applyFont="1" applyAlignment="1" applyProtection="1">
      <alignment horizontal="right" vertical="center" wrapText="1"/>
    </xf>
    <xf numFmtId="0" fontId="23" fillId="0" borderId="0" xfId="0" applyFont="1" applyAlignment="1" applyProtection="1">
      <alignment horizontal="center" vertical="center" wrapText="1"/>
    </xf>
    <xf numFmtId="0" fontId="10" fillId="0" borderId="0" xfId="0" applyFont="1" applyAlignment="1" applyProtection="1">
      <alignment vertical="center" wrapText="1"/>
    </xf>
    <xf numFmtId="0" fontId="23" fillId="0" borderId="0" xfId="0" applyFont="1" applyAlignment="1" applyProtection="1">
      <alignment vertical="center" wrapText="1"/>
    </xf>
    <xf numFmtId="0" fontId="23" fillId="0" borderId="2" xfId="0" applyFont="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33" fillId="0" borderId="0" xfId="0" applyFont="1" applyAlignment="1" applyProtection="1">
      <alignment vertical="center" wrapText="1"/>
    </xf>
    <xf numFmtId="0" fontId="6" fillId="0" borderId="0" xfId="0" applyFont="1" applyAlignment="1" applyProtection="1">
      <alignment vertical="center" wrapText="1"/>
    </xf>
    <xf numFmtId="0" fontId="32" fillId="0" borderId="0" xfId="0" applyFont="1" applyBorder="1" applyAlignment="1" applyProtection="1">
      <alignment wrapText="1"/>
    </xf>
    <xf numFmtId="0" fontId="3" fillId="0" borderId="0" xfId="0" applyFont="1" applyBorder="1" applyAlignment="1" applyProtection="1">
      <alignment horizontal="center" vertical="top" wrapText="1"/>
    </xf>
    <xf numFmtId="178" fontId="32" fillId="0" borderId="0" xfId="0" applyNumberFormat="1" applyFont="1" applyBorder="1" applyAlignment="1" applyProtection="1">
      <alignment horizontal="center" wrapText="1"/>
    </xf>
    <xf numFmtId="0" fontId="33" fillId="0" borderId="0" xfId="0" applyFont="1" applyAlignment="1" applyProtection="1">
      <alignment horizontal="center" vertical="center" wrapText="1"/>
    </xf>
    <xf numFmtId="178" fontId="29" fillId="0" borderId="2" xfId="0" applyNumberFormat="1" applyFont="1" applyBorder="1" applyAlignment="1" applyProtection="1">
      <alignment horizontal="center" wrapText="1"/>
    </xf>
    <xf numFmtId="0" fontId="8" fillId="0" borderId="0" xfId="0" applyFont="1" applyBorder="1" applyAlignment="1" applyProtection="1">
      <alignment wrapText="1"/>
    </xf>
    <xf numFmtId="0" fontId="23" fillId="0" borderId="0" xfId="0" applyFont="1" applyBorder="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right"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2" xfId="0" applyFill="1" applyBorder="1" applyAlignment="1" applyProtection="1">
      <alignment horizontal="center" vertical="center"/>
    </xf>
    <xf numFmtId="0" fontId="34" fillId="0" borderId="0" xfId="0" applyFont="1"/>
    <xf numFmtId="0" fontId="23" fillId="0" borderId="0" xfId="0" applyFont="1"/>
    <xf numFmtId="0" fontId="33" fillId="0" borderId="0" xfId="0" applyFont="1"/>
    <xf numFmtId="0" fontId="26" fillId="0" borderId="0" xfId="0" applyFont="1"/>
    <xf numFmtId="178" fontId="3" fillId="0" borderId="0" xfId="0" applyNumberFormat="1" applyFont="1" applyAlignment="1">
      <alignment horizontal="left"/>
    </xf>
    <xf numFmtId="0" fontId="0" fillId="0" borderId="0" xfId="0" applyAlignment="1">
      <alignment horizontal="right"/>
    </xf>
    <xf numFmtId="0" fontId="0" fillId="2" borderId="2" xfId="0" applyFill="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1" fontId="0" fillId="0" borderId="2" xfId="0" applyNumberFormat="1" applyBorder="1" applyAlignment="1">
      <alignment horizontal="center" vertical="center"/>
    </xf>
    <xf numFmtId="0" fontId="38" fillId="3" borderId="5" xfId="0" applyFont="1" applyFill="1" applyBorder="1" applyAlignment="1">
      <alignment wrapText="1"/>
    </xf>
    <xf numFmtId="0" fontId="39" fillId="3" borderId="1" xfId="0" applyFont="1" applyFill="1" applyBorder="1" applyAlignment="1">
      <alignment horizontal="center" wrapText="1"/>
    </xf>
    <xf numFmtId="0" fontId="3" fillId="0" borderId="0" xfId="0" applyFont="1"/>
    <xf numFmtId="0" fontId="27" fillId="0" borderId="0" xfId="0" applyFont="1"/>
    <xf numFmtId="0" fontId="27" fillId="0" borderId="0" xfId="0" applyFont="1" applyAlignment="1">
      <alignment horizontal="right"/>
    </xf>
    <xf numFmtId="0" fontId="41" fillId="0" borderId="0" xfId="0" applyFont="1"/>
    <xf numFmtId="0" fontId="32" fillId="0" borderId="0" xfId="0" applyFont="1"/>
    <xf numFmtId="0" fontId="42" fillId="0" borderId="0" xfId="0" applyFont="1"/>
    <xf numFmtId="0" fontId="0" fillId="0" borderId="2" xfId="0" applyBorder="1" applyAlignment="1" applyProtection="1">
      <alignment horizontal="center" vertical="center"/>
    </xf>
    <xf numFmtId="0" fontId="29" fillId="0" borderId="2" xfId="0" applyFont="1" applyFill="1" applyBorder="1" applyAlignment="1" applyProtection="1">
      <alignment horizontal="center" vertical="top" wrapText="1"/>
    </xf>
    <xf numFmtId="0" fontId="27" fillId="0" borderId="2" xfId="0" applyFont="1" applyBorder="1" applyAlignment="1">
      <alignment horizontal="center" vertical="top" wrapText="1"/>
    </xf>
    <xf numFmtId="0" fontId="83" fillId="0" borderId="0" xfId="1" applyAlignment="1" applyProtection="1"/>
    <xf numFmtId="0" fontId="43" fillId="4" borderId="0" xfId="0" applyFont="1" applyFill="1"/>
    <xf numFmtId="0" fontId="44" fillId="4" borderId="0" xfId="0" applyFont="1" applyFill="1"/>
    <xf numFmtId="0" fontId="45" fillId="4" borderId="0" xfId="0" applyFont="1" applyFill="1"/>
    <xf numFmtId="0" fontId="46" fillId="4" borderId="0" xfId="0" applyFont="1" applyFill="1"/>
    <xf numFmtId="0" fontId="39" fillId="4" borderId="2" xfId="0" applyFont="1" applyFill="1" applyBorder="1" applyAlignment="1">
      <alignment horizontal="center" vertical="top" wrapText="1"/>
    </xf>
    <xf numFmtId="0" fontId="13" fillId="0" borderId="0" xfId="0" applyFont="1" applyAlignment="1">
      <alignment horizontal="right"/>
    </xf>
    <xf numFmtId="2" fontId="13" fillId="0" borderId="0" xfId="0" applyNumberFormat="1" applyFont="1"/>
    <xf numFmtId="0" fontId="13" fillId="0" borderId="0" xfId="0" applyFont="1"/>
    <xf numFmtId="0" fontId="50" fillId="4" borderId="0" xfId="0" applyFont="1" applyFill="1" applyAlignment="1">
      <alignment horizontal="left" vertical="center"/>
    </xf>
    <xf numFmtId="2" fontId="23" fillId="0" borderId="2" xfId="0" applyNumberFormat="1" applyFont="1" applyBorder="1" applyAlignment="1" applyProtection="1">
      <alignment horizontal="center" vertical="center" wrapText="1"/>
    </xf>
    <xf numFmtId="0" fontId="4" fillId="0" borderId="0" xfId="2" applyFont="1" applyFill="1" applyAlignment="1">
      <alignment horizontal="center" vertical="center" wrapText="1"/>
    </xf>
    <xf numFmtId="0" fontId="4" fillId="0" borderId="0" xfId="2" applyNumberFormat="1" applyFont="1" applyFill="1" applyBorder="1" applyAlignment="1">
      <alignment horizontal="center"/>
    </xf>
    <xf numFmtId="0" fontId="4" fillId="0" borderId="0" xfId="2" applyNumberFormat="1" applyFill="1" applyAlignment="1">
      <alignment horizontal="center"/>
    </xf>
    <xf numFmtId="0" fontId="10" fillId="0" borderId="0" xfId="0" applyFont="1" applyAlignment="1" applyProtection="1">
      <alignment horizontal="left" vertical="center"/>
    </xf>
    <xf numFmtId="0" fontId="50" fillId="4" borderId="0" xfId="0" applyFont="1" applyFill="1" applyProtection="1"/>
    <xf numFmtId="0" fontId="10" fillId="0" borderId="0" xfId="0" applyFont="1" applyAlignment="1" applyProtection="1">
      <alignment horizontal="center"/>
    </xf>
    <xf numFmtId="0" fontId="0" fillId="0" borderId="0" xfId="0" applyProtection="1"/>
    <xf numFmtId="0" fontId="0" fillId="0" borderId="0" xfId="0" applyAlignment="1" applyProtection="1">
      <alignment vertical="center"/>
    </xf>
    <xf numFmtId="0" fontId="0" fillId="0" borderId="0" xfId="0" applyFill="1" applyBorder="1" applyAlignment="1" applyProtection="1">
      <alignment horizontal="center" vertical="center"/>
    </xf>
    <xf numFmtId="0" fontId="10" fillId="0" borderId="0" xfId="0" applyFont="1" applyAlignment="1" applyProtection="1">
      <alignment horizontal="right"/>
    </xf>
    <xf numFmtId="0" fontId="0" fillId="0" borderId="0" xfId="0" applyAlignment="1" applyProtection="1">
      <alignment horizontal="center" vertical="center" wrapText="1"/>
    </xf>
    <xf numFmtId="179" fontId="10" fillId="0" borderId="6" xfId="0" applyNumberFormat="1" applyFont="1" applyBorder="1" applyAlignment="1" applyProtection="1">
      <alignment horizontal="center" vertical="center" wrapText="1"/>
    </xf>
    <xf numFmtId="0" fontId="10" fillId="0" borderId="0" xfId="0" applyFont="1" applyBorder="1" applyAlignment="1" applyProtection="1">
      <alignment horizontal="center"/>
    </xf>
    <xf numFmtId="0" fontId="11" fillId="0" borderId="0" xfId="0" applyFont="1" applyBorder="1" applyAlignment="1" applyProtection="1">
      <alignment horizontal="center"/>
    </xf>
    <xf numFmtId="181" fontId="10" fillId="0" borderId="0" xfId="0" applyNumberFormat="1" applyFont="1" applyBorder="1" applyAlignment="1" applyProtection="1">
      <alignment horizontal="center"/>
    </xf>
    <xf numFmtId="0" fontId="23" fillId="0" borderId="0" xfId="0" applyFont="1" applyAlignment="1" applyProtection="1">
      <alignment horizontal="right" vertical="center"/>
    </xf>
    <xf numFmtId="0" fontId="25" fillId="4" borderId="7" xfId="0" applyFont="1" applyFill="1" applyBorder="1" applyAlignment="1" applyProtection="1">
      <alignment horizontal="right" vertical="center" wrapText="1"/>
    </xf>
    <xf numFmtId="0" fontId="25" fillId="4" borderId="7" xfId="0" applyFont="1" applyFill="1" applyBorder="1" applyAlignment="1" applyProtection="1">
      <alignment horizontal="center" vertical="center" wrapText="1"/>
    </xf>
    <xf numFmtId="0" fontId="23" fillId="0" borderId="0" xfId="0" applyFont="1" applyBorder="1" applyAlignment="1" applyProtection="1">
      <alignment horizontal="center" vertical="center" wrapText="1"/>
    </xf>
    <xf numFmtId="2" fontId="23" fillId="0" borderId="0" xfId="0" applyNumberFormat="1" applyFont="1" applyBorder="1" applyAlignment="1" applyProtection="1">
      <alignment horizontal="center" vertical="center" wrapText="1"/>
    </xf>
    <xf numFmtId="0" fontId="30" fillId="0" borderId="0" xfId="0" applyFont="1" applyProtection="1"/>
    <xf numFmtId="0" fontId="0" fillId="0" borderId="0" xfId="0" applyAlignment="1" applyProtection="1">
      <alignment horizontal="center"/>
    </xf>
    <xf numFmtId="0" fontId="10" fillId="0" borderId="0" xfId="0" applyFont="1" applyProtection="1"/>
    <xf numFmtId="0" fontId="35" fillId="0" borderId="0" xfId="0" applyFont="1" applyAlignment="1" applyProtection="1">
      <alignment horizontal="center"/>
    </xf>
    <xf numFmtId="2" fontId="0" fillId="0" borderId="0" xfId="0" applyNumberFormat="1" applyProtection="1"/>
    <xf numFmtId="2" fontId="30" fillId="0" borderId="0" xfId="0" applyNumberFormat="1" applyFont="1" applyProtection="1"/>
    <xf numFmtId="0" fontId="0" fillId="0" borderId="0" xfId="0" applyFill="1" applyAlignment="1" applyProtection="1">
      <alignment horizontal="center"/>
    </xf>
    <xf numFmtId="0" fontId="2" fillId="0" borderId="0" xfId="0" applyFont="1" applyProtection="1"/>
    <xf numFmtId="0" fontId="0" fillId="0" borderId="0" xfId="0" applyFill="1" applyProtection="1"/>
    <xf numFmtId="2" fontId="2" fillId="0" borderId="0" xfId="0" applyNumberFormat="1" applyFont="1" applyProtection="1"/>
    <xf numFmtId="0" fontId="0" fillId="0" borderId="0" xfId="0" applyBorder="1" applyAlignment="1" applyProtection="1">
      <alignment horizontal="center"/>
    </xf>
    <xf numFmtId="2" fontId="2" fillId="0" borderId="0" xfId="0" applyNumberFormat="1" applyFont="1" applyBorder="1" applyProtection="1"/>
    <xf numFmtId="0" fontId="10" fillId="0" borderId="0" xfId="0" applyFont="1" applyBorder="1" applyProtection="1"/>
    <xf numFmtId="0" fontId="2" fillId="0" borderId="0" xfId="0" applyFont="1" applyBorder="1" applyProtection="1"/>
    <xf numFmtId="0" fontId="0" fillId="0" borderId="0" xfId="0" applyBorder="1" applyProtection="1"/>
    <xf numFmtId="0" fontId="34" fillId="0" borderId="0" xfId="0" applyFont="1" applyBorder="1" applyAlignment="1" applyProtection="1">
      <alignment horizontal="left"/>
    </xf>
    <xf numFmtId="2" fontId="10" fillId="0" borderId="0" xfId="0" applyNumberFormat="1" applyFont="1" applyBorder="1" applyProtection="1"/>
    <xf numFmtId="179" fontId="10" fillId="0" borderId="0" xfId="0" applyNumberFormat="1" applyFont="1" applyBorder="1" applyProtection="1"/>
    <xf numFmtId="179" fontId="10" fillId="0" borderId="0" xfId="0" applyNumberFormat="1" applyFont="1" applyFill="1" applyBorder="1" applyProtection="1"/>
    <xf numFmtId="178" fontId="10" fillId="0" borderId="0" xfId="0" applyNumberFormat="1" applyFont="1" applyBorder="1" applyProtection="1"/>
    <xf numFmtId="0" fontId="2" fillId="0" borderId="0" xfId="0" applyFont="1" applyBorder="1" applyAlignment="1" applyProtection="1">
      <alignment horizontal="center"/>
    </xf>
    <xf numFmtId="178" fontId="2" fillId="0" borderId="0" xfId="0" applyNumberFormat="1" applyFont="1" applyBorder="1" applyProtection="1"/>
    <xf numFmtId="2" fontId="10" fillId="0" borderId="0" xfId="0" applyNumberFormat="1" applyFont="1" applyAlignment="1" applyProtection="1">
      <alignment horizontal="right" vertical="center"/>
    </xf>
    <xf numFmtId="2" fontId="10" fillId="0" borderId="0" xfId="0" applyNumberFormat="1" applyFont="1" applyAlignment="1" applyProtection="1">
      <alignment vertical="center" wrapText="1"/>
    </xf>
    <xf numFmtId="0" fontId="10" fillId="0" borderId="2"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2" fontId="10" fillId="0" borderId="0" xfId="0" applyNumberFormat="1" applyFont="1" applyBorder="1" applyAlignment="1" applyProtection="1">
      <alignment vertical="center" wrapText="1"/>
    </xf>
    <xf numFmtId="0" fontId="28" fillId="0" borderId="0" xfId="0" applyFont="1" applyFill="1" applyBorder="1" applyProtection="1"/>
    <xf numFmtId="0" fontId="0" fillId="0" borderId="0" xfId="0" applyFill="1" applyBorder="1" applyProtection="1"/>
    <xf numFmtId="0" fontId="10" fillId="0" borderId="0" xfId="0" quotePrefix="1" applyFont="1" applyFill="1" applyBorder="1" applyProtection="1"/>
    <xf numFmtId="0" fontId="10" fillId="0" borderId="0" xfId="0" applyFont="1" applyFill="1" applyBorder="1" applyProtection="1"/>
    <xf numFmtId="0" fontId="11" fillId="0" borderId="0" xfId="0" applyFont="1" applyFill="1" applyBorder="1" applyProtection="1"/>
    <xf numFmtId="0" fontId="10" fillId="0" borderId="2" xfId="0" applyFont="1" applyFill="1" applyBorder="1" applyAlignment="1" applyProtection="1">
      <alignment horizontal="center" vertical="center" wrapText="1"/>
    </xf>
    <xf numFmtId="0" fontId="27" fillId="0" borderId="0" xfId="0" applyFont="1" applyAlignment="1" applyProtection="1">
      <alignment horizontal="left"/>
    </xf>
    <xf numFmtId="178" fontId="10" fillId="0" borderId="0" xfId="0" applyNumberFormat="1" applyFont="1" applyProtection="1"/>
    <xf numFmtId="179" fontId="10" fillId="0" borderId="0" xfId="0" applyNumberFormat="1" applyFont="1" applyProtection="1"/>
    <xf numFmtId="0" fontId="11" fillId="0" borderId="0" xfId="0" applyFont="1" applyAlignment="1" applyProtection="1">
      <alignment horizontal="center"/>
    </xf>
    <xf numFmtId="178" fontId="11" fillId="0" borderId="0" xfId="0" applyNumberFormat="1" applyFont="1" applyProtection="1"/>
    <xf numFmtId="0" fontId="11" fillId="0" borderId="0" xfId="0" applyFont="1" applyProtection="1"/>
    <xf numFmtId="2" fontId="11" fillId="0" borderId="0" xfId="0" applyNumberFormat="1" applyFont="1" applyProtection="1"/>
    <xf numFmtId="2" fontId="10" fillId="0" borderId="0" xfId="0" applyNumberFormat="1" applyFont="1" applyProtection="1"/>
    <xf numFmtId="179" fontId="0" fillId="0" borderId="0" xfId="0" applyNumberFormat="1"/>
    <xf numFmtId="1" fontId="0" fillId="0" borderId="0" xfId="0" applyNumberFormat="1"/>
    <xf numFmtId="1" fontId="23" fillId="0" borderId="2" xfId="0" applyNumberFormat="1"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0" fillId="0" borderId="0" xfId="0" applyAlignment="1">
      <alignment horizontal="right" vertical="center"/>
    </xf>
    <xf numFmtId="1" fontId="20" fillId="0" borderId="2" xfId="3" applyNumberFormat="1" applyFont="1" applyBorder="1" applyAlignment="1" applyProtection="1">
      <alignment horizontal="center" vertical="center"/>
    </xf>
    <xf numFmtId="0" fontId="20" fillId="0" borderId="2" xfId="0" applyFont="1" applyBorder="1" applyAlignment="1" applyProtection="1">
      <alignment horizontal="center" vertical="center"/>
    </xf>
    <xf numFmtId="0" fontId="0" fillId="0" borderId="8" xfId="0" applyBorder="1" applyAlignment="1" applyProtection="1">
      <alignment horizontal="center" vertical="center"/>
    </xf>
    <xf numFmtId="0" fontId="8" fillId="0" borderId="0" xfId="0" applyFont="1" applyBorder="1" applyAlignment="1" applyProtection="1">
      <alignment horizontal="left"/>
    </xf>
    <xf numFmtId="0" fontId="25" fillId="4" borderId="9"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55" fillId="0" borderId="0" xfId="0" applyFont="1"/>
    <xf numFmtId="1" fontId="10" fillId="0" borderId="0" xfId="0" applyNumberFormat="1" applyFont="1" applyAlignment="1" applyProtection="1">
      <alignment horizontal="center"/>
    </xf>
    <xf numFmtId="178" fontId="10" fillId="0" borderId="0" xfId="3" applyNumberFormat="1" applyFont="1" applyFill="1" applyBorder="1" applyProtection="1"/>
    <xf numFmtId="178" fontId="31" fillId="0" borderId="0" xfId="0" applyNumberFormat="1" applyFont="1" applyFill="1" applyBorder="1" applyAlignment="1" applyProtection="1">
      <alignment horizontal="right"/>
    </xf>
    <xf numFmtId="0" fontId="0" fillId="0" borderId="0" xfId="0" applyNumberFormat="1"/>
    <xf numFmtId="0" fontId="0" fillId="0" borderId="0" xfId="0" applyNumberFormat="1" applyAlignment="1">
      <alignment horizontal="right"/>
    </xf>
    <xf numFmtId="0" fontId="56" fillId="0" borderId="0" xfId="0" applyFont="1" applyAlignment="1">
      <alignment horizontal="center"/>
    </xf>
    <xf numFmtId="2" fontId="0" fillId="0" borderId="0" xfId="0" applyNumberFormat="1" applyAlignment="1">
      <alignment horizontal="left"/>
    </xf>
    <xf numFmtId="0" fontId="0" fillId="0" borderId="0" xfId="0" applyAlignment="1">
      <alignment horizontal="left"/>
    </xf>
    <xf numFmtId="2" fontId="0" fillId="0" borderId="0" xfId="0" applyNumberFormat="1" applyFill="1" applyBorder="1" applyProtection="1"/>
    <xf numFmtId="179" fontId="23" fillId="0" borderId="2" xfId="0" applyNumberFormat="1" applyFont="1" applyBorder="1" applyAlignment="1" applyProtection="1">
      <alignment horizontal="center" vertical="center" wrapText="1"/>
    </xf>
    <xf numFmtId="0" fontId="2" fillId="0" borderId="0" xfId="0" applyFont="1" applyAlignment="1" applyProtection="1">
      <alignment horizontal="right" vertical="center" wrapText="1"/>
    </xf>
    <xf numFmtId="0" fontId="27" fillId="5" borderId="2" xfId="0" applyFont="1" applyFill="1" applyBorder="1" applyAlignment="1">
      <alignment horizontal="center" wrapText="1"/>
    </xf>
    <xf numFmtId="0" fontId="43" fillId="4" borderId="10" xfId="0" applyFont="1" applyFill="1" applyBorder="1" applyAlignment="1">
      <alignment horizontal="center" vertical="center"/>
    </xf>
    <xf numFmtId="0" fontId="43" fillId="4" borderId="9" xfId="0" applyFont="1" applyFill="1" applyBorder="1" applyAlignment="1">
      <alignment horizontal="center" vertical="center"/>
    </xf>
    <xf numFmtId="0" fontId="43" fillId="4" borderId="11" xfId="0" applyFont="1" applyFill="1" applyBorder="1" applyAlignment="1">
      <alignment horizontal="center" vertical="center"/>
    </xf>
    <xf numFmtId="0" fontId="9" fillId="6" borderId="2" xfId="0" applyFont="1" applyFill="1" applyBorder="1" applyAlignment="1" applyProtection="1">
      <alignment horizontal="center" wrapText="1"/>
      <protection locked="0"/>
    </xf>
    <xf numFmtId="0" fontId="27" fillId="6" borderId="2" xfId="0" applyFont="1" applyFill="1" applyBorder="1"/>
    <xf numFmtId="0" fontId="23" fillId="6" borderId="2" xfId="0" applyFont="1" applyFill="1" applyBorder="1" applyAlignment="1" applyProtection="1">
      <alignment horizontal="center" vertical="center" wrapText="1"/>
      <protection locked="0"/>
    </xf>
    <xf numFmtId="0" fontId="29" fillId="6" borderId="2" xfId="0" applyFont="1" applyFill="1" applyBorder="1" applyAlignment="1" applyProtection="1">
      <alignment horizontal="center" vertical="top" wrapText="1"/>
      <protection locked="0"/>
    </xf>
    <xf numFmtId="0" fontId="0" fillId="6" borderId="2" xfId="0" applyFill="1" applyBorder="1" applyAlignment="1" applyProtection="1">
      <alignment horizontal="center" vertical="center"/>
      <protection locked="0"/>
    </xf>
    <xf numFmtId="0" fontId="0" fillId="6" borderId="2" xfId="0" applyFill="1" applyBorder="1" applyProtection="1">
      <protection locked="0"/>
    </xf>
    <xf numFmtId="0" fontId="2" fillId="6" borderId="2" xfId="0" applyFont="1" applyFill="1" applyBorder="1" applyProtection="1">
      <protection locked="0"/>
    </xf>
    <xf numFmtId="0" fontId="8" fillId="6" borderId="2" xfId="0" applyNumberFormat="1" applyFont="1" applyFill="1" applyBorder="1" applyAlignment="1" applyProtection="1">
      <alignment horizontal="right" vertical="center"/>
      <protection locked="0"/>
    </xf>
    <xf numFmtId="2" fontId="8" fillId="6" borderId="2" xfId="0" applyNumberFormat="1" applyFont="1" applyFill="1" applyBorder="1" applyAlignment="1" applyProtection="1">
      <alignment horizontal="right" vertical="center"/>
      <protection locked="0"/>
    </xf>
    <xf numFmtId="0" fontId="10" fillId="6" borderId="2" xfId="0" applyFont="1" applyFill="1" applyBorder="1" applyAlignment="1" applyProtection="1">
      <alignment horizontal="center" vertical="center" wrapText="1"/>
      <protection locked="0"/>
    </xf>
    <xf numFmtId="2" fontId="27" fillId="6" borderId="2" xfId="0" applyNumberFormat="1" applyFont="1" applyFill="1" applyBorder="1" applyAlignment="1" applyProtection="1">
      <alignment horizontal="right" vertical="center"/>
      <protection locked="0"/>
    </xf>
    <xf numFmtId="179" fontId="27" fillId="6" borderId="2" xfId="0" applyNumberFormat="1" applyFont="1" applyFill="1" applyBorder="1" applyAlignment="1" applyProtection="1">
      <alignment horizontal="right" vertical="center"/>
      <protection locked="0"/>
    </xf>
    <xf numFmtId="0" fontId="28" fillId="6" borderId="2" xfId="0" applyFont="1" applyFill="1" applyBorder="1" applyAlignment="1" applyProtection="1">
      <alignment horizontal="center"/>
      <protection locked="0"/>
    </xf>
    <xf numFmtId="0" fontId="4" fillId="0" borderId="0" xfId="2" applyNumberFormat="1" applyFill="1" applyBorder="1" applyAlignment="1">
      <alignment horizontal="center"/>
    </xf>
    <xf numFmtId="0" fontId="41" fillId="0" borderId="0" xfId="0" applyFont="1" applyAlignment="1">
      <alignment horizontal="center"/>
    </xf>
    <xf numFmtId="178" fontId="0" fillId="0" borderId="2" xfId="0" applyNumberFormat="1" applyFill="1" applyBorder="1" applyAlignment="1" applyProtection="1">
      <alignment horizontal="center" vertical="center"/>
    </xf>
    <xf numFmtId="0" fontId="0" fillId="0" borderId="0" xfId="0" applyAlignment="1" applyProtection="1">
      <alignment horizontal="left" vertical="center"/>
    </xf>
    <xf numFmtId="0" fontId="0" fillId="0" borderId="12" xfId="0" applyBorder="1" applyAlignment="1" applyProtection="1">
      <alignment horizontal="center" vertical="center"/>
    </xf>
    <xf numFmtId="0" fontId="58" fillId="0" borderId="13" xfId="0" applyFont="1" applyFill="1" applyBorder="1" applyAlignment="1" applyProtection="1">
      <alignment horizontal="center" vertical="center" wrapText="1"/>
    </xf>
    <xf numFmtId="0" fontId="53" fillId="4" borderId="14" xfId="0" applyFont="1" applyFill="1" applyBorder="1" applyAlignment="1" applyProtection="1">
      <alignment horizontal="center" vertical="center" wrapText="1"/>
    </xf>
    <xf numFmtId="2" fontId="0" fillId="0" borderId="2" xfId="0" applyNumberFormat="1" applyFill="1" applyBorder="1" applyAlignment="1" applyProtection="1">
      <alignment horizontal="center" vertical="center"/>
    </xf>
    <xf numFmtId="2" fontId="0" fillId="0" borderId="2" xfId="0" applyNumberFormat="1" applyBorder="1" applyAlignment="1" applyProtection="1">
      <alignment horizontal="center" vertical="center"/>
    </xf>
    <xf numFmtId="180" fontId="0" fillId="0" borderId="4" xfId="0" applyNumberFormat="1" applyBorder="1" applyAlignment="1" applyProtection="1">
      <alignment horizontal="center" vertical="center"/>
    </xf>
    <xf numFmtId="0" fontId="25" fillId="4" borderId="15" xfId="0" applyFont="1" applyFill="1" applyBorder="1" applyAlignment="1" applyProtection="1">
      <alignment horizontal="center" vertical="center" wrapText="1"/>
    </xf>
    <xf numFmtId="0" fontId="60" fillId="0" borderId="2" xfId="0" applyFont="1" applyFill="1" applyBorder="1" applyAlignment="1" applyProtection="1">
      <alignment horizontal="center" vertical="center" wrapText="1"/>
    </xf>
    <xf numFmtId="0" fontId="24" fillId="4" borderId="2" xfId="0" applyFont="1" applyFill="1" applyBorder="1" applyAlignment="1">
      <alignment horizontal="center" vertical="center"/>
    </xf>
    <xf numFmtId="0" fontId="0" fillId="7" borderId="4" xfId="0" applyFill="1" applyBorder="1"/>
    <xf numFmtId="0" fontId="0" fillId="7" borderId="16" xfId="0" applyFill="1" applyBorder="1"/>
    <xf numFmtId="0" fontId="12" fillId="7" borderId="3" xfId="0" applyFont="1" applyFill="1" applyBorder="1"/>
    <xf numFmtId="0" fontId="9" fillId="0" borderId="13" xfId="0" applyFont="1" applyFill="1" applyBorder="1" applyAlignment="1" applyProtection="1">
      <alignment horizontal="center" wrapText="1"/>
    </xf>
    <xf numFmtId="0" fontId="0" fillId="0" borderId="0" xfId="0" applyFont="1" applyProtection="1"/>
    <xf numFmtId="0" fontId="12" fillId="0" borderId="0" xfId="0" applyFont="1" applyFill="1" applyBorder="1" applyProtection="1"/>
    <xf numFmtId="0" fontId="16" fillId="0" borderId="0" xfId="0" applyFont="1" applyAlignment="1" applyProtection="1">
      <alignment vertical="center"/>
    </xf>
    <xf numFmtId="0" fontId="0" fillId="0" borderId="0" xfId="0" applyFont="1" applyAlignment="1" applyProtection="1">
      <alignment vertical="center"/>
    </xf>
    <xf numFmtId="0" fontId="16" fillId="0" borderId="0" xfId="0" applyFont="1" applyAlignment="1" applyProtection="1">
      <alignment horizontal="right" vertical="center"/>
    </xf>
    <xf numFmtId="0" fontId="53" fillId="4" borderId="17" xfId="0" applyFont="1" applyFill="1" applyBorder="1" applyAlignment="1" applyProtection="1">
      <alignment horizontal="center" vertical="center"/>
    </xf>
    <xf numFmtId="0" fontId="53" fillId="4" borderId="18" xfId="0" applyFont="1" applyFill="1" applyBorder="1" applyAlignment="1" applyProtection="1">
      <alignment horizontal="center" vertical="center"/>
    </xf>
    <xf numFmtId="0" fontId="0" fillId="0" borderId="0" xfId="0" applyFont="1" applyAlignment="1" applyProtection="1"/>
    <xf numFmtId="0" fontId="39" fillId="4" borderId="19" xfId="0" applyFont="1" applyFill="1" applyBorder="1" applyAlignment="1" applyProtection="1">
      <alignment horizontal="center" vertical="center"/>
    </xf>
    <xf numFmtId="0" fontId="39" fillId="4" borderId="20" xfId="0" applyFont="1" applyFill="1" applyBorder="1" applyAlignment="1" applyProtection="1">
      <alignment horizontal="center" vertical="center"/>
    </xf>
    <xf numFmtId="0" fontId="39" fillId="4" borderId="20" xfId="0" applyNumberFormat="1" applyFont="1" applyFill="1" applyBorder="1" applyAlignment="1" applyProtection="1">
      <alignment horizontal="center" vertical="center"/>
    </xf>
    <xf numFmtId="0" fontId="39" fillId="4" borderId="21" xfId="0" applyFont="1" applyFill="1" applyBorder="1" applyAlignment="1" applyProtection="1">
      <alignment horizontal="center" vertical="center"/>
    </xf>
    <xf numFmtId="0" fontId="9" fillId="0" borderId="13" xfId="0" applyFont="1" applyBorder="1" applyAlignment="1" applyProtection="1">
      <alignment horizontal="center" wrapText="1"/>
    </xf>
    <xf numFmtId="2" fontId="9" fillId="0" borderId="13" xfId="0" applyNumberFormat="1" applyFont="1" applyBorder="1" applyAlignment="1" applyProtection="1">
      <alignment horizontal="center" wrapText="1"/>
    </xf>
    <xf numFmtId="180" fontId="9" fillId="0" borderId="13" xfId="0" applyNumberFormat="1" applyFont="1" applyBorder="1" applyAlignment="1" applyProtection="1">
      <alignment horizontal="center" wrapText="1"/>
    </xf>
    <xf numFmtId="0" fontId="9" fillId="0" borderId="13" xfId="0" applyNumberFormat="1" applyFont="1" applyBorder="1" applyAlignment="1" applyProtection="1">
      <alignment horizontal="center" wrapText="1"/>
    </xf>
    <xf numFmtId="180" fontId="9" fillId="0" borderId="2" xfId="0" applyNumberFormat="1" applyFont="1" applyBorder="1" applyAlignment="1" applyProtection="1">
      <alignment horizontal="center" wrapText="1"/>
    </xf>
    <xf numFmtId="0" fontId="9" fillId="0" borderId="2" xfId="0" applyNumberFormat="1" applyFont="1" applyBorder="1" applyAlignment="1" applyProtection="1">
      <alignment horizontal="center" wrapText="1"/>
    </xf>
    <xf numFmtId="0" fontId="9" fillId="0" borderId="2" xfId="0" applyFont="1" applyBorder="1" applyAlignment="1" applyProtection="1">
      <alignment horizontal="center" wrapText="1"/>
    </xf>
    <xf numFmtId="178" fontId="9" fillId="0" borderId="2" xfId="0" applyNumberFormat="1" applyFont="1" applyBorder="1" applyAlignment="1" applyProtection="1">
      <alignment horizontal="center" wrapText="1"/>
    </xf>
    <xf numFmtId="0" fontId="3" fillId="6" borderId="2" xfId="0" applyFont="1" applyFill="1" applyBorder="1" applyAlignment="1" applyProtection="1">
      <alignment horizontal="center" vertical="center" wrapText="1"/>
      <protection locked="0"/>
    </xf>
    <xf numFmtId="0" fontId="23" fillId="0" borderId="0" xfId="0" applyFont="1" applyAlignment="1" applyProtection="1">
      <alignment vertical="center"/>
    </xf>
    <xf numFmtId="0" fontId="61" fillId="0" borderId="0" xfId="0" applyFont="1" applyFill="1" applyProtection="1"/>
    <xf numFmtId="0" fontId="2" fillId="0" borderId="2" xfId="0" applyFont="1" applyFill="1" applyBorder="1" applyAlignment="1" applyProtection="1">
      <alignment horizontal="center" vertical="center" wrapText="1"/>
    </xf>
    <xf numFmtId="178" fontId="0" fillId="0" borderId="2" xfId="0" applyNumberFormat="1" applyBorder="1" applyAlignment="1" applyProtection="1">
      <alignment horizontal="center" vertical="center"/>
    </xf>
    <xf numFmtId="0" fontId="61" fillId="0" borderId="0" xfId="0" applyFont="1" applyFill="1" applyAlignment="1" applyProtection="1">
      <alignment horizontal="center"/>
    </xf>
    <xf numFmtId="0" fontId="10" fillId="0" borderId="2" xfId="0" applyFont="1" applyBorder="1" applyAlignment="1" applyProtection="1">
      <alignment horizontal="center"/>
    </xf>
    <xf numFmtId="178" fontId="10" fillId="0" borderId="2" xfId="0" applyNumberFormat="1" applyFont="1" applyBorder="1" applyAlignment="1" applyProtection="1">
      <alignment horizontal="center"/>
    </xf>
    <xf numFmtId="0" fontId="10" fillId="2" borderId="2" xfId="0" applyFont="1" applyFill="1" applyBorder="1" applyAlignment="1" applyProtection="1">
      <alignment horizontal="center"/>
    </xf>
    <xf numFmtId="0" fontId="63" fillId="0" borderId="2" xfId="0" applyNumberFormat="1" applyFont="1" applyFill="1" applyBorder="1" applyAlignment="1" applyProtection="1">
      <alignment horizontal="center" vertical="center" wrapText="1"/>
    </xf>
    <xf numFmtId="2" fontId="61" fillId="0" borderId="2" xfId="0" applyNumberFormat="1" applyFont="1" applyFill="1" applyBorder="1" applyAlignment="1" applyProtection="1">
      <alignment horizontal="center"/>
    </xf>
    <xf numFmtId="0" fontId="61" fillId="0" borderId="2" xfId="0" applyFont="1" applyFill="1" applyBorder="1" applyAlignment="1" applyProtection="1">
      <alignment horizontal="center"/>
    </xf>
    <xf numFmtId="179" fontId="61" fillId="0" borderId="2" xfId="0" applyNumberFormat="1" applyFont="1" applyFill="1" applyBorder="1" applyAlignment="1" applyProtection="1">
      <alignment horizontal="center"/>
    </xf>
    <xf numFmtId="178" fontId="0" fillId="0" borderId="2" xfId="0" applyNumberFormat="1" applyBorder="1" applyAlignment="1" applyProtection="1">
      <alignment horizontal="center"/>
    </xf>
    <xf numFmtId="0" fontId="6" fillId="0" borderId="0" xfId="0" applyFont="1" applyBorder="1" applyAlignment="1" applyProtection="1">
      <alignment horizontal="right" vertical="center"/>
    </xf>
    <xf numFmtId="2" fontId="0" fillId="6" borderId="2" xfId="0" applyNumberFormat="1" applyFill="1" applyBorder="1" applyProtection="1">
      <protection locked="0"/>
    </xf>
    <xf numFmtId="0" fontId="30" fillId="0" borderId="2" xfId="0" applyFont="1" applyBorder="1" applyAlignment="1" applyProtection="1">
      <alignment horizontal="left" vertical="center" wrapText="1"/>
    </xf>
    <xf numFmtId="0" fontId="23" fillId="7" borderId="2" xfId="0" applyFont="1" applyFill="1" applyBorder="1" applyAlignment="1" applyProtection="1">
      <alignment horizontal="right" vertical="center" wrapText="1"/>
    </xf>
    <xf numFmtId="0" fontId="2" fillId="7" borderId="2" xfId="0" applyFont="1" applyFill="1" applyBorder="1" applyAlignment="1" applyProtection="1">
      <alignment horizontal="right" vertical="center" wrapText="1"/>
    </xf>
    <xf numFmtId="0" fontId="30" fillId="0" borderId="2" xfId="0"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wrapText="1"/>
    </xf>
    <xf numFmtId="0" fontId="25" fillId="4" borderId="22" xfId="0" applyFont="1" applyFill="1" applyBorder="1" applyAlignment="1" applyProtection="1">
      <alignment horizontal="center" vertical="center" wrapText="1"/>
    </xf>
    <xf numFmtId="0" fontId="25" fillId="4" borderId="23" xfId="0" applyFont="1" applyFill="1" applyBorder="1" applyAlignment="1" applyProtection="1">
      <alignment horizontal="center" vertical="center" wrapText="1"/>
    </xf>
    <xf numFmtId="0" fontId="25" fillId="4" borderId="24"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0" fontId="61" fillId="0" borderId="0" xfId="0" applyFont="1" applyFill="1" applyAlignment="1" applyProtection="1">
      <alignment horizontal="center" vertical="center"/>
    </xf>
    <xf numFmtId="0" fontId="50" fillId="4" borderId="25" xfId="0" applyFont="1" applyFill="1" applyBorder="1" applyAlignment="1">
      <alignment horizontal="left" vertical="center"/>
    </xf>
    <xf numFmtId="0" fontId="14" fillId="0" borderId="0" xfId="0" applyFont="1" applyFill="1" applyBorder="1" applyAlignment="1">
      <alignment horizontal="right"/>
    </xf>
    <xf numFmtId="1" fontId="14" fillId="0" borderId="0" xfId="0" applyNumberFormat="1" applyFont="1"/>
    <xf numFmtId="0" fontId="14" fillId="0" borderId="0" xfId="0" applyFont="1"/>
    <xf numFmtId="0" fontId="13" fillId="0" borderId="26" xfId="0" applyFont="1" applyBorder="1" applyAlignment="1" applyProtection="1">
      <alignment horizontal="center"/>
    </xf>
    <xf numFmtId="178" fontId="13" fillId="0" borderId="14" xfId="0" applyNumberFormat="1" applyFont="1" applyBorder="1" applyProtection="1"/>
    <xf numFmtId="0" fontId="13" fillId="0" borderId="17" xfId="0" applyFont="1" applyBorder="1" applyAlignment="1" applyProtection="1">
      <alignment horizontal="center"/>
    </xf>
    <xf numFmtId="2" fontId="13" fillId="0" borderId="18" xfId="0" applyNumberFormat="1" applyFont="1" applyBorder="1" applyProtection="1"/>
    <xf numFmtId="0" fontId="66" fillId="0" borderId="0" xfId="0" applyFont="1" applyAlignment="1" applyProtection="1">
      <alignment horizontal="left"/>
    </xf>
    <xf numFmtId="2" fontId="30" fillId="0" borderId="0" xfId="0" applyNumberFormat="1" applyFont="1" applyFill="1" applyProtection="1"/>
    <xf numFmtId="0" fontId="68" fillId="0" borderId="0" xfId="0" applyFont="1" applyFill="1" applyBorder="1" applyAlignment="1" applyProtection="1">
      <alignment horizontal="left"/>
    </xf>
    <xf numFmtId="0" fontId="68" fillId="0" borderId="0" xfId="0" applyFont="1" applyAlignment="1" applyProtection="1">
      <alignment horizontal="left"/>
    </xf>
    <xf numFmtId="0" fontId="3" fillId="6" borderId="4" xfId="0" applyFont="1" applyFill="1" applyBorder="1" applyAlignment="1" applyProtection="1">
      <alignment horizontal="center" vertical="center" wrapText="1"/>
      <protection locked="0"/>
    </xf>
    <xf numFmtId="0" fontId="14" fillId="0" borderId="13"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179" fontId="10" fillId="0" borderId="27" xfId="0" applyNumberFormat="1"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180" fontId="10" fillId="0" borderId="27" xfId="0" applyNumberFormat="1" applyFont="1" applyBorder="1" applyAlignment="1" applyProtection="1">
      <alignment horizontal="center" vertical="center" wrapText="1"/>
    </xf>
    <xf numFmtId="0" fontId="3" fillId="6" borderId="13"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7" fillId="0" borderId="29" xfId="0" applyFont="1" applyBorder="1" applyAlignment="1" applyProtection="1">
      <alignment horizontal="center" vertical="center" wrapText="1"/>
    </xf>
    <xf numFmtId="179" fontId="10" fillId="0" borderId="30" xfId="0" applyNumberFormat="1" applyFont="1" applyBorder="1" applyAlignment="1" applyProtection="1">
      <alignment horizontal="center" vertical="center" wrapText="1"/>
    </xf>
    <xf numFmtId="0" fontId="49" fillId="4" borderId="31" xfId="0" applyFont="1" applyFill="1" applyBorder="1" applyAlignment="1" applyProtection="1">
      <alignment horizontal="center" vertical="center" wrapText="1"/>
    </xf>
    <xf numFmtId="0" fontId="0" fillId="0" borderId="2" xfId="0" applyBorder="1" applyAlignment="1" applyProtection="1">
      <alignment horizontal="center"/>
    </xf>
    <xf numFmtId="0" fontId="0" fillId="0" borderId="0" xfId="0" quotePrefix="1" applyFill="1" applyBorder="1" applyAlignment="1" applyProtection="1">
      <alignment horizontal="left" vertical="center"/>
    </xf>
    <xf numFmtId="0" fontId="49" fillId="4" borderId="32" xfId="0" applyFont="1" applyFill="1" applyBorder="1" applyAlignment="1" applyProtection="1">
      <alignment horizontal="center" vertical="center" wrapText="1"/>
    </xf>
    <xf numFmtId="0" fontId="14" fillId="0" borderId="0" xfId="0" applyFont="1" applyAlignment="1">
      <alignment horizontal="right"/>
    </xf>
    <xf numFmtId="0" fontId="14" fillId="0" borderId="0" xfId="0" applyFont="1" applyAlignment="1" applyProtection="1">
      <alignment horizontal="right" vertical="center"/>
    </xf>
    <xf numFmtId="0" fontId="14" fillId="0" borderId="0" xfId="0" applyFont="1" applyAlignment="1" applyProtection="1">
      <alignment horizontal="right"/>
    </xf>
    <xf numFmtId="0" fontId="33"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182" fontId="10" fillId="0" borderId="0" xfId="0" applyNumberFormat="1" applyFont="1" applyBorder="1" applyAlignment="1" applyProtection="1">
      <alignment horizontal="left" vertical="center" wrapText="1"/>
    </xf>
    <xf numFmtId="2" fontId="23" fillId="0" borderId="2" xfId="0" applyNumberFormat="1" applyFont="1" applyFill="1" applyBorder="1" applyAlignment="1" applyProtection="1">
      <alignment horizontal="center" vertical="center" wrapText="1"/>
    </xf>
    <xf numFmtId="0" fontId="27" fillId="0" borderId="2" xfId="0" applyFont="1" applyBorder="1"/>
    <xf numFmtId="1" fontId="3" fillId="0" borderId="2" xfId="3" applyNumberFormat="1" applyFont="1" applyBorder="1" applyAlignment="1" applyProtection="1">
      <alignment horizontal="center" vertical="center" wrapText="1"/>
    </xf>
    <xf numFmtId="0" fontId="4" fillId="0" borderId="0" xfId="2" applyFont="1" applyFill="1"/>
    <xf numFmtId="0" fontId="19"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0" xfId="2" applyAlignment="1" applyProtection="1">
      <alignment horizontal="center"/>
    </xf>
    <xf numFmtId="0" fontId="4" fillId="0" borderId="0" xfId="2" applyProtection="1"/>
    <xf numFmtId="0" fontId="4" fillId="0" borderId="0" xfId="2" applyFont="1" applyAlignment="1" applyProtection="1">
      <alignment horizontal="right"/>
    </xf>
    <xf numFmtId="1" fontId="17" fillId="0" borderId="2" xfId="2" applyNumberFormat="1" applyFont="1" applyBorder="1" applyAlignment="1" applyProtection="1">
      <alignment horizontal="center"/>
    </xf>
    <xf numFmtId="0" fontId="4" fillId="0" borderId="0" xfId="2" applyFont="1" applyFill="1" applyAlignment="1" applyProtection="1">
      <alignment horizontal="right"/>
    </xf>
    <xf numFmtId="1" fontId="17" fillId="0" borderId="0" xfId="2" applyNumberFormat="1" applyFont="1" applyBorder="1" applyAlignment="1" applyProtection="1">
      <alignment horizontal="center"/>
    </xf>
    <xf numFmtId="0" fontId="4" fillId="0" borderId="0" xfId="2" applyFont="1" applyProtection="1"/>
    <xf numFmtId="0" fontId="45" fillId="4" borderId="33" xfId="2" applyFont="1" applyFill="1" applyBorder="1" applyAlignment="1" applyProtection="1">
      <alignment horizontal="center" vertical="center" wrapText="1"/>
    </xf>
    <xf numFmtId="0" fontId="45" fillId="4" borderId="34" xfId="2" applyFont="1" applyFill="1" applyBorder="1" applyAlignment="1" applyProtection="1">
      <alignment horizontal="center" vertical="center" wrapText="1"/>
    </xf>
    <xf numFmtId="0" fontId="51" fillId="4" borderId="35" xfId="2" applyFont="1" applyFill="1" applyBorder="1" applyAlignment="1" applyProtection="1">
      <alignment horizontal="center" vertical="center" wrapText="1"/>
    </xf>
    <xf numFmtId="0" fontId="51" fillId="4" borderId="36" xfId="2" applyFont="1" applyFill="1" applyBorder="1" applyAlignment="1" applyProtection="1">
      <alignment horizontal="center" vertical="center" wrapText="1"/>
    </xf>
    <xf numFmtId="0" fontId="45" fillId="4" borderId="35" xfId="2" applyFont="1" applyFill="1" applyBorder="1" applyAlignment="1" applyProtection="1">
      <alignment horizontal="center" vertical="center" wrapText="1"/>
    </xf>
    <xf numFmtId="1" fontId="45" fillId="4" borderId="35" xfId="2" applyNumberFormat="1" applyFont="1" applyFill="1" applyBorder="1" applyAlignment="1" applyProtection="1">
      <alignment horizontal="center" vertical="center" wrapText="1"/>
    </xf>
    <xf numFmtId="0" fontId="45" fillId="4" borderId="36" xfId="2" applyFont="1" applyFill="1" applyBorder="1" applyAlignment="1" applyProtection="1">
      <alignment horizontal="center" vertical="center" wrapText="1"/>
    </xf>
    <xf numFmtId="0" fontId="45" fillId="4" borderId="15" xfId="2" applyFont="1" applyFill="1" applyBorder="1" applyAlignment="1" applyProtection="1">
      <alignment horizontal="center" vertical="center" wrapText="1"/>
    </xf>
    <xf numFmtId="0" fontId="45" fillId="4" borderId="37" xfId="2" applyFont="1" applyFill="1" applyBorder="1" applyAlignment="1" applyProtection="1">
      <alignment horizontal="center" vertical="center" wrapText="1"/>
    </xf>
    <xf numFmtId="0" fontId="12" fillId="0" borderId="0" xfId="0" applyFont="1" applyAlignment="1" applyProtection="1">
      <alignment horizontal="left" vertical="center"/>
    </xf>
    <xf numFmtId="0" fontId="75" fillId="0" borderId="0" xfId="0" applyFont="1" applyAlignment="1" applyProtection="1">
      <alignment horizontal="right" vertical="center"/>
    </xf>
    <xf numFmtId="0" fontId="32" fillId="0" borderId="0" xfId="0" applyFont="1" applyAlignment="1">
      <alignment horizontal="right"/>
    </xf>
    <xf numFmtId="0" fontId="0" fillId="0" borderId="38" xfId="0" applyBorder="1" applyAlignment="1">
      <alignment horizontal="left"/>
    </xf>
    <xf numFmtId="179" fontId="0" fillId="0" borderId="2" xfId="0" applyNumberFormat="1" applyBorder="1" applyAlignment="1">
      <alignment horizontal="center"/>
    </xf>
    <xf numFmtId="179" fontId="0" fillId="0" borderId="39" xfId="0" applyNumberFormat="1" applyBorder="1" applyAlignment="1">
      <alignment horizontal="center"/>
    </xf>
    <xf numFmtId="0" fontId="0" fillId="0" borderId="17" xfId="0" applyBorder="1" applyAlignment="1">
      <alignment horizontal="left"/>
    </xf>
    <xf numFmtId="179" fontId="0" fillId="0" borderId="18" xfId="0" applyNumberFormat="1" applyBorder="1" applyAlignment="1">
      <alignment horizontal="center"/>
    </xf>
    <xf numFmtId="179" fontId="0" fillId="0" borderId="6" xfId="0" applyNumberFormat="1" applyBorder="1" applyAlignment="1">
      <alignment horizontal="center"/>
    </xf>
    <xf numFmtId="0" fontId="39" fillId="4"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2" fillId="0" borderId="0" xfId="0" applyFont="1" applyAlignment="1">
      <alignment horizontal="left"/>
    </xf>
    <xf numFmtId="0" fontId="76" fillId="0" borderId="0" xfId="0" applyFont="1"/>
    <xf numFmtId="0" fontId="52" fillId="4" borderId="43" xfId="0" applyFont="1" applyFill="1" applyBorder="1" applyAlignment="1">
      <alignment horizontal="center"/>
    </xf>
    <xf numFmtId="0" fontId="52" fillId="4" borderId="44" xfId="0" applyFont="1" applyFill="1" applyBorder="1" applyAlignment="1">
      <alignment horizontal="center"/>
    </xf>
    <xf numFmtId="0" fontId="0" fillId="0" borderId="0" xfId="0" applyAlignment="1"/>
    <xf numFmtId="0" fontId="72" fillId="0" borderId="45" xfId="0" applyFont="1" applyBorder="1" applyAlignment="1">
      <alignment horizontal="center"/>
    </xf>
    <xf numFmtId="0" fontId="72" fillId="0" borderId="1" xfId="0" applyFont="1" applyBorder="1" applyAlignment="1">
      <alignment horizontal="center"/>
    </xf>
    <xf numFmtId="0" fontId="73" fillId="0" borderId="1" xfId="0" applyFont="1" applyBorder="1" applyAlignment="1">
      <alignment horizontal="center"/>
    </xf>
    <xf numFmtId="0" fontId="72" fillId="0" borderId="5" xfId="0" applyFont="1" applyBorder="1" applyAlignment="1"/>
    <xf numFmtId="0" fontId="72" fillId="0" borderId="1" xfId="0" applyFont="1" applyBorder="1" applyAlignment="1"/>
    <xf numFmtId="0" fontId="3" fillId="0" borderId="13" xfId="0" applyFont="1" applyFill="1" applyBorder="1" applyAlignment="1" applyProtection="1">
      <alignment horizontal="center" wrapText="1"/>
    </xf>
    <xf numFmtId="0" fontId="66" fillId="0" borderId="0" xfId="0" applyFont="1" applyAlignment="1" applyProtection="1">
      <alignment horizontal="left" vertical="center"/>
    </xf>
    <xf numFmtId="0" fontId="77" fillId="0" borderId="0" xfId="0" applyFont="1" applyAlignment="1" applyProtection="1">
      <alignment horizontal="left" vertical="center"/>
    </xf>
    <xf numFmtId="0" fontId="78" fillId="6" borderId="2" xfId="1"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xf>
    <xf numFmtId="0" fontId="79" fillId="4" borderId="46" xfId="0" applyFont="1" applyFill="1" applyBorder="1" applyAlignment="1" applyProtection="1">
      <alignment horizontal="center" vertical="center" wrapText="1"/>
    </xf>
    <xf numFmtId="0" fontId="79" fillId="4" borderId="47" xfId="0" applyFont="1" applyFill="1" applyBorder="1" applyAlignment="1" applyProtection="1">
      <alignment vertical="center" wrapText="1"/>
    </xf>
    <xf numFmtId="0" fontId="79" fillId="4" borderId="48" xfId="0" applyFont="1" applyFill="1" applyBorder="1" applyAlignment="1" applyProtection="1">
      <alignment vertical="center" wrapText="1"/>
    </xf>
    <xf numFmtId="0" fontId="79" fillId="4" borderId="10" xfId="0" applyFont="1" applyFill="1" applyBorder="1" applyAlignment="1" applyProtection="1">
      <alignment horizontal="center" vertical="center" wrapText="1"/>
    </xf>
    <xf numFmtId="0" fontId="79" fillId="4" borderId="11" xfId="0" applyFont="1" applyFill="1" applyBorder="1" applyAlignment="1" applyProtection="1">
      <alignment horizontal="center" vertical="center" wrapText="1"/>
    </xf>
    <xf numFmtId="0" fontId="49" fillId="4" borderId="9" xfId="0" applyFont="1" applyFill="1" applyBorder="1" applyAlignment="1" applyProtection="1">
      <alignment horizontal="center" vertical="center" wrapText="1"/>
    </xf>
    <xf numFmtId="0" fontId="49" fillId="4" borderId="11" xfId="0" applyFont="1" applyFill="1" applyBorder="1" applyAlignment="1" applyProtection="1">
      <alignment horizontal="center" vertical="center" wrapText="1"/>
    </xf>
    <xf numFmtId="178" fontId="32" fillId="0" borderId="2" xfId="0" applyNumberFormat="1" applyFont="1" applyBorder="1" applyAlignment="1" applyProtection="1">
      <alignment horizontal="center" wrapText="1"/>
    </xf>
    <xf numFmtId="0" fontId="11" fillId="0" borderId="2" xfId="0" applyFont="1" applyFill="1" applyBorder="1" applyAlignment="1" applyProtection="1">
      <alignment vertical="center"/>
    </xf>
    <xf numFmtId="2" fontId="14" fillId="0" borderId="0" xfId="0" applyNumberFormat="1" applyFont="1" applyBorder="1" applyAlignment="1" applyProtection="1">
      <alignment horizontal="center" vertical="center"/>
    </xf>
    <xf numFmtId="0" fontId="53" fillId="4" borderId="49" xfId="0" applyFont="1" applyFill="1" applyBorder="1" applyAlignment="1">
      <alignment horizontal="center" vertical="center"/>
    </xf>
    <xf numFmtId="0" fontId="53" fillId="4" borderId="50" xfId="0" applyFont="1" applyFill="1" applyBorder="1" applyAlignment="1">
      <alignment horizontal="center" vertical="center"/>
    </xf>
    <xf numFmtId="0" fontId="13" fillId="7" borderId="16" xfId="0" applyFont="1" applyFill="1" applyBorder="1" applyAlignment="1">
      <alignment horizontal="right" vertical="center"/>
    </xf>
    <xf numFmtId="0" fontId="0" fillId="0" borderId="0" xfId="0" applyAlignment="1">
      <alignment vertical="center"/>
    </xf>
    <xf numFmtId="0" fontId="81" fillId="0" borderId="0" xfId="0" applyFont="1"/>
    <xf numFmtId="0" fontId="0" fillId="0" borderId="0" xfId="0" applyAlignment="1">
      <alignment vertical="center" wrapText="1"/>
    </xf>
    <xf numFmtId="0" fontId="81" fillId="0" borderId="0" xfId="0" applyFont="1" applyFill="1" applyProtection="1"/>
    <xf numFmtId="0" fontId="53" fillId="4" borderId="13" xfId="0" applyFont="1" applyFill="1" applyBorder="1" applyAlignment="1" applyProtection="1">
      <alignment horizontal="center" vertical="center" wrapText="1"/>
    </xf>
    <xf numFmtId="178" fontId="11" fillId="0" borderId="2" xfId="0" applyNumberFormat="1" applyFont="1" applyFill="1" applyBorder="1" applyAlignment="1" applyProtection="1">
      <alignment horizontal="center"/>
    </xf>
    <xf numFmtId="0" fontId="11" fillId="0" borderId="2" xfId="0" applyFont="1" applyFill="1" applyBorder="1" applyAlignment="1" applyProtection="1">
      <alignment horizontal="center"/>
    </xf>
    <xf numFmtId="0" fontId="81" fillId="0" borderId="0" xfId="0" applyFont="1" applyFill="1" applyBorder="1" applyAlignment="1" applyProtection="1">
      <alignment horizontal="right"/>
    </xf>
    <xf numFmtId="2" fontId="11" fillId="0" borderId="2" xfId="0" applyNumberFormat="1" applyFont="1" applyFill="1" applyBorder="1" applyAlignment="1" applyProtection="1">
      <alignment horizontal="center"/>
    </xf>
    <xf numFmtId="0" fontId="12" fillId="0" borderId="2" xfId="0" applyFont="1" applyFill="1" applyBorder="1" applyProtection="1"/>
    <xf numFmtId="178" fontId="12" fillId="0" borderId="4" xfId="0" applyNumberFormat="1" applyFont="1" applyFill="1" applyBorder="1" applyAlignment="1" applyProtection="1"/>
    <xf numFmtId="179" fontId="12" fillId="7" borderId="16" xfId="0" applyNumberFormat="1" applyFont="1" applyFill="1" applyBorder="1"/>
    <xf numFmtId="178" fontId="74" fillId="6" borderId="2" xfId="0" applyNumberFormat="1" applyFont="1" applyFill="1" applyBorder="1" applyProtection="1">
      <protection locked="0"/>
    </xf>
    <xf numFmtId="0" fontId="20" fillId="0" borderId="0" xfId="0" applyFont="1" applyAlignment="1">
      <alignment horizontal="right"/>
    </xf>
    <xf numFmtId="2" fontId="20" fillId="0" borderId="0" xfId="0" applyNumberFormat="1" applyFont="1"/>
    <xf numFmtId="0" fontId="20" fillId="0" borderId="0" xfId="0" applyFont="1"/>
    <xf numFmtId="2" fontId="20" fillId="0" borderId="0" xfId="0" applyNumberFormat="1" applyFont="1" applyAlignment="1">
      <alignment horizontal="center"/>
    </xf>
    <xf numFmtId="0" fontId="20" fillId="6" borderId="2" xfId="0" applyNumberFormat="1" applyFont="1" applyFill="1" applyBorder="1" applyAlignment="1" applyProtection="1">
      <alignment horizontal="center"/>
      <protection locked="0"/>
    </xf>
    <xf numFmtId="0" fontId="20" fillId="0" borderId="0" xfId="0" applyFont="1" applyAlignment="1">
      <alignment horizontal="right" vertical="center"/>
    </xf>
    <xf numFmtId="0" fontId="39" fillId="4" borderId="51" xfId="0" applyFont="1" applyFill="1" applyBorder="1" applyAlignment="1">
      <alignment horizontal="center"/>
    </xf>
    <xf numFmtId="0" fontId="39" fillId="4" borderId="0" xfId="0" applyFont="1" applyFill="1" applyAlignment="1">
      <alignment horizontal="center"/>
    </xf>
    <xf numFmtId="0" fontId="27" fillId="0" borderId="0" xfId="0" applyFont="1" applyAlignment="1">
      <alignment horizontal="center"/>
    </xf>
    <xf numFmtId="0" fontId="3" fillId="0" borderId="0" xfId="0" applyFont="1" applyAlignment="1">
      <alignment horizontal="center"/>
    </xf>
    <xf numFmtId="0" fontId="3" fillId="8" borderId="2" xfId="0" applyFont="1" applyFill="1" applyBorder="1" applyAlignment="1">
      <alignment horizontal="center"/>
    </xf>
    <xf numFmtId="0" fontId="3" fillId="6" borderId="2" xfId="0" applyFont="1" applyFill="1" applyBorder="1" applyAlignment="1">
      <alignment horizontal="center"/>
    </xf>
    <xf numFmtId="0" fontId="3" fillId="7" borderId="2" xfId="0" applyFont="1" applyFill="1" applyBorder="1" applyAlignment="1">
      <alignment horizontal="center"/>
    </xf>
    <xf numFmtId="0" fontId="3" fillId="9" borderId="2" xfId="0" applyFont="1" applyFill="1" applyBorder="1" applyAlignment="1">
      <alignment horizontal="center"/>
    </xf>
    <xf numFmtId="0" fontId="39" fillId="10" borderId="2" xfId="0" applyFont="1" applyFill="1" applyBorder="1" applyAlignment="1">
      <alignment horizontal="center"/>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81" fillId="0" borderId="0" xfId="0" applyFont="1" applyFill="1" applyProtection="1">
      <protection locked="0"/>
    </xf>
    <xf numFmtId="0" fontId="20" fillId="6" borderId="2" xfId="0" applyFont="1" applyFill="1" applyBorder="1" applyAlignment="1" applyProtection="1">
      <alignment horizontal="center" vertical="center"/>
      <protection locked="0"/>
    </xf>
    <xf numFmtId="0" fontId="4" fillId="6" borderId="0" xfId="2" applyFill="1" applyAlignment="1" applyProtection="1">
      <alignment horizontal="center"/>
      <protection locked="0"/>
    </xf>
    <xf numFmtId="0" fontId="4" fillId="6" borderId="0" xfId="2" applyNumberFormat="1" applyFont="1" applyFill="1" applyBorder="1" applyAlignment="1" applyProtection="1">
      <alignment horizontal="center"/>
      <protection locked="0"/>
    </xf>
    <xf numFmtId="0" fontId="4" fillId="6" borderId="0" xfId="2" applyFont="1" applyFill="1" applyAlignment="1" applyProtection="1">
      <alignment horizontal="center" vertical="center" wrapText="1"/>
      <protection locked="0"/>
    </xf>
    <xf numFmtId="0" fontId="53" fillId="4" borderId="53" xfId="0" applyFont="1" applyFill="1" applyBorder="1" applyAlignment="1" applyProtection="1">
      <alignment horizontal="center" vertical="center"/>
    </xf>
    <xf numFmtId="0" fontId="20" fillId="6" borderId="7" xfId="0" applyFont="1" applyFill="1" applyBorder="1" applyAlignment="1" applyProtection="1">
      <alignment horizontal="center"/>
      <protection locked="0"/>
    </xf>
    <xf numFmtId="0" fontId="7" fillId="7" borderId="1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0" fillId="0" borderId="0" xfId="0" applyFont="1" applyFill="1" applyBorder="1" applyProtection="1"/>
    <xf numFmtId="0" fontId="53"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16" fillId="0" borderId="54" xfId="0" applyFont="1" applyBorder="1" applyAlignment="1" applyProtection="1">
      <alignment vertical="center"/>
    </xf>
    <xf numFmtId="0" fontId="16" fillId="0" borderId="55" xfId="0" applyFont="1" applyBorder="1" applyAlignment="1" applyProtection="1">
      <alignment vertical="center"/>
    </xf>
    <xf numFmtId="0" fontId="9" fillId="0" borderId="55" xfId="0" applyNumberFormat="1" applyFont="1" applyFill="1" applyBorder="1" applyAlignment="1" applyProtection="1">
      <alignment horizontal="center" wrapText="1"/>
    </xf>
    <xf numFmtId="0" fontId="0" fillId="0" borderId="16" xfId="0" applyNumberFormat="1" applyFill="1" applyBorder="1" applyAlignment="1" applyProtection="1">
      <alignment vertical="center"/>
      <protection locked="0"/>
    </xf>
    <xf numFmtId="0" fontId="0" fillId="0" borderId="56" xfId="0" applyNumberFormat="1" applyFill="1" applyBorder="1" applyAlignment="1" applyProtection="1">
      <alignment vertical="center"/>
      <protection locked="0"/>
    </xf>
    <xf numFmtId="0" fontId="16" fillId="0" borderId="2" xfId="0" applyFont="1" applyBorder="1" applyAlignment="1" applyProtection="1">
      <alignment horizontal="center" vertical="center"/>
    </xf>
    <xf numFmtId="0" fontId="16" fillId="0" borderId="39" xfId="0" applyFont="1" applyBorder="1" applyAlignment="1" applyProtection="1">
      <alignment horizontal="center" vertical="center"/>
    </xf>
    <xf numFmtId="0" fontId="0" fillId="0" borderId="4" xfId="0" applyNumberFormat="1" applyFill="1" applyBorder="1" applyAlignment="1" applyProtection="1">
      <alignment vertical="center"/>
    </xf>
    <xf numFmtId="0" fontId="0" fillId="0" borderId="7" xfId="0" applyBorder="1" applyAlignment="1">
      <alignment horizontal="center" vertical="center" textRotation="90"/>
    </xf>
    <xf numFmtId="0" fontId="0" fillId="0" borderId="2" xfId="0" applyNumberFormat="1" applyFill="1" applyBorder="1" applyAlignment="1" applyProtection="1">
      <alignment horizontal="center" vertical="center"/>
    </xf>
    <xf numFmtId="0" fontId="7" fillId="7" borderId="17" xfId="0" applyFont="1" applyFill="1" applyBorder="1" applyAlignment="1" applyProtection="1">
      <alignment horizontal="center" vertical="center" wrapText="1"/>
    </xf>
    <xf numFmtId="0" fontId="0" fillId="0" borderId="0" xfId="0" applyAlignment="1">
      <alignment horizontal="left" vertical="center"/>
    </xf>
    <xf numFmtId="0" fontId="20" fillId="6" borderId="2" xfId="0" applyNumberFormat="1" applyFont="1" applyFill="1" applyBorder="1" applyAlignment="1" applyProtection="1">
      <alignment horizontal="center" vertical="center"/>
      <protection locked="0"/>
    </xf>
    <xf numFmtId="0" fontId="0" fillId="0" borderId="0" xfId="0" applyBorder="1" applyAlignment="1" applyProtection="1">
      <alignment horizontal="left" vertical="center"/>
    </xf>
    <xf numFmtId="0" fontId="3" fillId="0" borderId="0" xfId="0" applyFont="1" applyAlignment="1">
      <alignment horizontal="left" wrapText="1"/>
    </xf>
    <xf numFmtId="0" fontId="3" fillId="6" borderId="2" xfId="0" applyFont="1" applyFill="1" applyBorder="1" applyAlignment="1" applyProtection="1">
      <alignment horizontal="right" wrapText="1"/>
      <protection locked="0"/>
    </xf>
    <xf numFmtId="0" fontId="3" fillId="0" borderId="2" xfId="0" applyFont="1" applyBorder="1" applyAlignment="1" applyProtection="1">
      <alignment horizontal="right" wrapText="1"/>
    </xf>
    <xf numFmtId="0" fontId="7" fillId="6" borderId="4"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xf>
    <xf numFmtId="0" fontId="25" fillId="4" borderId="2" xfId="0" applyFont="1" applyFill="1" applyBorder="1" applyAlignment="1" applyProtection="1">
      <alignment horizontal="right" vertical="center" wrapText="1"/>
    </xf>
    <xf numFmtId="0" fontId="2" fillId="0" borderId="7" xfId="0" applyFont="1" applyBorder="1" applyAlignment="1" applyProtection="1">
      <alignment horizontal="right" vertical="center" wrapText="1"/>
    </xf>
    <xf numFmtId="0" fontId="23" fillId="0" borderId="13" xfId="0" applyFont="1" applyBorder="1" applyAlignment="1" applyProtection="1">
      <alignment horizontal="right" vertical="center" wrapText="1"/>
    </xf>
    <xf numFmtId="0" fontId="23" fillId="0" borderId="57" xfId="0" applyFont="1" applyBorder="1" applyAlignment="1" applyProtection="1">
      <alignment horizontal="right" vertical="center" wrapText="1"/>
    </xf>
    <xf numFmtId="0" fontId="23" fillId="0" borderId="58" xfId="0" applyFont="1" applyBorder="1" applyAlignment="1" applyProtection="1">
      <alignment horizontal="right" vertical="center" wrapText="1"/>
    </xf>
    <xf numFmtId="0" fontId="50" fillId="4" borderId="0" xfId="0" applyFont="1" applyFill="1" applyAlignment="1" applyProtection="1">
      <alignment horizontal="center" vertical="center"/>
    </xf>
    <xf numFmtId="0" fontId="49" fillId="4" borderId="31" xfId="0" applyFont="1" applyFill="1" applyBorder="1" applyAlignment="1" applyProtection="1">
      <alignment horizontal="center" vertical="center" wrapText="1"/>
    </xf>
    <xf numFmtId="0" fontId="49" fillId="4" borderId="59" xfId="0" applyFont="1" applyFill="1" applyBorder="1" applyAlignment="1" applyProtection="1">
      <alignment horizontal="center" vertical="center" wrapText="1"/>
    </xf>
    <xf numFmtId="0" fontId="49" fillId="4" borderId="60" xfId="0" applyFont="1" applyFill="1" applyBorder="1" applyAlignment="1" applyProtection="1">
      <alignment horizontal="center" vertical="center" wrapText="1"/>
    </xf>
    <xf numFmtId="0" fontId="49" fillId="4" borderId="61" xfId="0" applyFont="1" applyFill="1" applyBorder="1" applyAlignment="1" applyProtection="1">
      <alignment horizontal="center" vertical="center" wrapText="1"/>
    </xf>
    <xf numFmtId="0" fontId="25" fillId="4" borderId="62" xfId="0" applyFont="1" applyFill="1" applyBorder="1" applyAlignment="1" applyProtection="1">
      <alignment horizontal="center" vertical="center" wrapText="1"/>
    </xf>
    <xf numFmtId="0" fontId="25" fillId="4" borderId="63" xfId="0" applyFont="1" applyFill="1" applyBorder="1" applyAlignment="1" applyProtection="1">
      <alignment horizontal="center" vertical="center" wrapText="1"/>
    </xf>
    <xf numFmtId="0" fontId="25" fillId="4" borderId="64" xfId="0" applyFont="1" applyFill="1" applyBorder="1" applyAlignment="1" applyProtection="1">
      <alignment horizontal="center" vertical="center" wrapText="1"/>
    </xf>
    <xf numFmtId="0" fontId="25" fillId="4" borderId="65" xfId="0" applyFont="1" applyFill="1" applyBorder="1" applyAlignment="1" applyProtection="1">
      <alignment horizontal="center" vertical="center" wrapText="1"/>
    </xf>
    <xf numFmtId="0" fontId="25" fillId="4" borderId="45"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50" fillId="4" borderId="55" xfId="0" applyFont="1" applyFill="1" applyBorder="1" applyAlignment="1" applyProtection="1">
      <alignment horizontal="center" vertical="center" wrapText="1"/>
    </xf>
    <xf numFmtId="0" fontId="50" fillId="4" borderId="0"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1" fillId="0" borderId="7" xfId="0" applyFont="1" applyFill="1" applyBorder="1" applyAlignment="1" applyProtection="1">
      <alignment horizontal="center" vertical="top" wrapText="1"/>
    </xf>
    <xf numFmtId="0" fontId="1" fillId="0" borderId="13" xfId="0" applyFont="1" applyFill="1" applyBorder="1" applyAlignment="1" applyProtection="1">
      <alignment horizontal="center" vertical="top" wrapText="1"/>
    </xf>
    <xf numFmtId="0" fontId="10" fillId="0" borderId="14"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23" fillId="0" borderId="4" xfId="0" applyFont="1" applyBorder="1" applyAlignment="1" applyProtection="1">
      <alignment horizontal="right" vertical="center" wrapText="1"/>
    </xf>
    <xf numFmtId="0" fontId="23" fillId="0" borderId="3" xfId="0" applyFont="1" applyBorder="1" applyAlignment="1" applyProtection="1">
      <alignment horizontal="right" vertical="center" wrapText="1"/>
    </xf>
    <xf numFmtId="0" fontId="69" fillId="0" borderId="28" xfId="0" applyFont="1" applyBorder="1" applyAlignment="1" applyProtection="1">
      <alignment horizontal="center" vertical="center" wrapText="1"/>
    </xf>
    <xf numFmtId="0" fontId="69" fillId="0" borderId="8" xfId="0" applyFont="1" applyBorder="1" applyAlignment="1" applyProtection="1">
      <alignment horizontal="center" vertical="center" wrapText="1"/>
    </xf>
    <xf numFmtId="0" fontId="70" fillId="0" borderId="2" xfId="0" applyFont="1" applyFill="1" applyBorder="1" applyAlignment="1" applyProtection="1">
      <alignment horizontal="center" vertical="center" wrapText="1"/>
    </xf>
    <xf numFmtId="0" fontId="52" fillId="4" borderId="0" xfId="0" applyFont="1" applyFill="1" applyAlignment="1" applyProtection="1">
      <alignment horizontal="center" vertical="center"/>
    </xf>
    <xf numFmtId="0" fontId="0" fillId="0" borderId="0" xfId="0" applyAlignment="1" applyProtection="1">
      <alignment horizontal="center" vertical="center" wrapText="1"/>
    </xf>
    <xf numFmtId="0" fontId="50" fillId="4" borderId="0" xfId="0" applyFont="1" applyFill="1" applyAlignment="1">
      <alignment horizontal="center" vertical="center"/>
    </xf>
    <xf numFmtId="0" fontId="50" fillId="4" borderId="66" xfId="0" applyFont="1" applyFill="1" applyBorder="1" applyAlignment="1">
      <alignment horizontal="center" vertical="center"/>
    </xf>
    <xf numFmtId="0" fontId="0" fillId="0" borderId="7" xfId="0" applyBorder="1" applyAlignment="1">
      <alignment horizontal="center" textRotation="90"/>
    </xf>
    <xf numFmtId="0" fontId="0" fillId="0" borderId="13" xfId="0" applyBorder="1" applyAlignment="1">
      <alignment horizontal="center" textRotation="90"/>
    </xf>
    <xf numFmtId="0" fontId="84" fillId="0" borderId="55" xfId="0" applyFont="1" applyBorder="1" applyAlignment="1">
      <alignment horizontal="center" vertical="center" wrapText="1"/>
    </xf>
    <xf numFmtId="0" fontId="84" fillId="0" borderId="28" xfId="0" applyFont="1" applyBorder="1" applyAlignment="1">
      <alignment horizontal="center" vertical="center" wrapText="1"/>
    </xf>
    <xf numFmtId="0" fontId="0" fillId="0" borderId="55" xfId="0" applyBorder="1" applyAlignment="1">
      <alignment horizontal="center" wrapText="1"/>
    </xf>
    <xf numFmtId="0" fontId="0" fillId="0" borderId="0" xfId="0" applyAlignment="1">
      <alignment horizontal="center" wrapText="1"/>
    </xf>
    <xf numFmtId="0" fontId="10" fillId="0" borderId="0" xfId="0" applyFont="1" applyAlignment="1">
      <alignment horizontal="center" vertical="center" wrapText="1"/>
    </xf>
    <xf numFmtId="0" fontId="0" fillId="0" borderId="14" xfId="0" applyBorder="1" applyAlignment="1" applyProtection="1">
      <alignment horizontal="center" vertical="center"/>
    </xf>
    <xf numFmtId="0" fontId="0" fillId="0" borderId="27" xfId="0" applyBorder="1" applyAlignment="1" applyProtection="1">
      <alignment horizontal="center" vertical="center"/>
    </xf>
    <xf numFmtId="0" fontId="49" fillId="4" borderId="0" xfId="0" applyFont="1" applyFill="1" applyBorder="1" applyAlignment="1">
      <alignment horizontal="center" vertical="center" wrapText="1"/>
    </xf>
    <xf numFmtId="0" fontId="49" fillId="4" borderId="12" xfId="0" applyFont="1" applyFill="1" applyBorder="1" applyAlignment="1">
      <alignment horizontal="center" vertical="center" wrapText="1"/>
    </xf>
    <xf numFmtId="0" fontId="0" fillId="0" borderId="2" xfId="0" applyBorder="1" applyAlignment="1">
      <alignment horizontal="center"/>
    </xf>
    <xf numFmtId="0" fontId="56" fillId="0" borderId="5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7" borderId="2" xfId="0" applyFill="1" applyBorder="1" applyAlignment="1">
      <alignment horizont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50" fillId="4" borderId="36" xfId="0" applyFont="1" applyFill="1" applyBorder="1" applyAlignment="1" applyProtection="1">
      <alignment horizontal="center"/>
    </xf>
    <xf numFmtId="0" fontId="50" fillId="4" borderId="68" xfId="0" applyFont="1" applyFill="1" applyBorder="1" applyAlignment="1" applyProtection="1">
      <alignment horizontal="center"/>
    </xf>
    <xf numFmtId="0" fontId="50" fillId="4" borderId="69" xfId="0" applyFont="1" applyFill="1" applyBorder="1" applyAlignment="1" applyProtection="1">
      <alignment horizontal="center"/>
    </xf>
    <xf numFmtId="0" fontId="50" fillId="4" borderId="0" xfId="0" applyFont="1" applyFill="1" applyAlignment="1" applyProtection="1">
      <alignment horizontal="center"/>
    </xf>
    <xf numFmtId="0" fontId="10" fillId="0" borderId="0" xfId="0" applyFont="1" applyAlignment="1" applyProtection="1">
      <alignment vertical="center" wrapText="1"/>
    </xf>
    <xf numFmtId="0" fontId="13" fillId="0" borderId="70" xfId="0" applyFont="1" applyBorder="1" applyAlignment="1" applyProtection="1">
      <alignment horizontal="left"/>
    </xf>
    <xf numFmtId="0" fontId="13" fillId="0" borderId="71" xfId="0" applyFont="1" applyBorder="1" applyAlignment="1" applyProtection="1">
      <alignment horizontal="left"/>
    </xf>
    <xf numFmtId="0" fontId="13" fillId="0" borderId="72" xfId="0" applyFont="1" applyBorder="1" applyAlignment="1" applyProtection="1">
      <alignment horizontal="left"/>
    </xf>
    <xf numFmtId="0" fontId="80" fillId="0" borderId="4" xfId="0" applyFont="1" applyFill="1" applyBorder="1" applyAlignment="1" applyProtection="1">
      <alignment horizontal="right" vertical="center" wrapText="1"/>
    </xf>
    <xf numFmtId="0" fontId="80" fillId="0" borderId="16" xfId="0" applyFont="1" applyFill="1" applyBorder="1" applyAlignment="1" applyProtection="1">
      <alignment horizontal="right" vertical="center" wrapText="1"/>
    </xf>
    <xf numFmtId="0" fontId="80" fillId="0" borderId="3" xfId="0" applyFont="1" applyFill="1" applyBorder="1" applyAlignment="1" applyProtection="1">
      <alignment horizontal="right" vertical="center" wrapText="1"/>
    </xf>
    <xf numFmtId="0" fontId="13" fillId="0" borderId="53" xfId="0" applyFont="1" applyBorder="1" applyAlignment="1" applyProtection="1">
      <alignment horizontal="left"/>
    </xf>
    <xf numFmtId="0" fontId="13" fillId="0" borderId="56" xfId="0" applyFont="1" applyBorder="1" applyAlignment="1" applyProtection="1">
      <alignment horizontal="left"/>
    </xf>
    <xf numFmtId="0" fontId="13" fillId="0" borderId="67" xfId="0" applyFont="1" applyBorder="1" applyAlignment="1" applyProtection="1">
      <alignment horizontal="left"/>
    </xf>
    <xf numFmtId="0" fontId="49" fillId="4" borderId="10" xfId="0" applyFont="1" applyFill="1" applyBorder="1" applyAlignment="1" applyProtection="1">
      <alignment horizontal="center" vertical="center" wrapText="1"/>
    </xf>
    <xf numFmtId="0" fontId="49" fillId="4" borderId="9" xfId="0" applyFont="1" applyFill="1" applyBorder="1" applyAlignment="1" applyProtection="1">
      <alignment horizontal="center" vertical="center" wrapText="1"/>
    </xf>
    <xf numFmtId="0" fontId="10" fillId="0" borderId="2" xfId="0" applyFont="1" applyFill="1" applyBorder="1" applyAlignment="1" applyProtection="1">
      <alignment horizontal="right" vertical="center" wrapText="1"/>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52" fillId="4" borderId="25" xfId="0" applyFont="1" applyFill="1" applyBorder="1" applyAlignment="1">
      <alignment horizontal="center"/>
    </xf>
    <xf numFmtId="0" fontId="52" fillId="4" borderId="0" xfId="0" applyFont="1" applyFill="1" applyBorder="1" applyAlignment="1">
      <alignment horizontal="center"/>
    </xf>
    <xf numFmtId="0" fontId="52" fillId="4" borderId="74" xfId="0" applyFont="1" applyFill="1" applyBorder="1" applyAlignment="1">
      <alignment horizontal="left"/>
    </xf>
    <xf numFmtId="0" fontId="52" fillId="4" borderId="75" xfId="0" applyFont="1" applyFill="1" applyBorder="1" applyAlignment="1">
      <alignment horizontal="left"/>
    </xf>
    <xf numFmtId="0" fontId="52" fillId="4" borderId="76" xfId="0" applyFont="1" applyFill="1" applyBorder="1" applyAlignment="1">
      <alignment horizontal="center"/>
    </xf>
    <xf numFmtId="0" fontId="52" fillId="4" borderId="77" xfId="0" applyFont="1" applyFill="1" applyBorder="1" applyAlignment="1">
      <alignment horizontal="center"/>
    </xf>
    <xf numFmtId="0" fontId="39" fillId="4" borderId="78" xfId="0" applyFont="1" applyFill="1" applyBorder="1" applyAlignment="1">
      <alignment horizontal="center" vertical="center"/>
    </xf>
    <xf numFmtId="0" fontId="39" fillId="4" borderId="27" xfId="0" applyFont="1" applyFill="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lignment horizontal="center" vertical="center" wrapText="1"/>
    </xf>
    <xf numFmtId="0" fontId="3" fillId="0" borderId="39" xfId="0" applyFont="1" applyBorder="1" applyAlignment="1">
      <alignment horizontal="center" vertical="center" wrapText="1"/>
    </xf>
    <xf numFmtId="0" fontId="50" fillId="4" borderId="73" xfId="0" applyFont="1" applyFill="1" applyBorder="1" applyAlignment="1" applyProtection="1">
      <alignment horizontal="center"/>
    </xf>
    <xf numFmtId="0" fontId="12" fillId="0" borderId="0" xfId="0" applyFont="1" applyAlignment="1">
      <alignment horizontal="center"/>
    </xf>
    <xf numFmtId="0" fontId="0" fillId="2" borderId="2" xfId="0" applyFill="1" applyBorder="1" applyAlignment="1">
      <alignment horizontal="center" vertical="center"/>
    </xf>
    <xf numFmtId="0" fontId="0" fillId="2" borderId="2" xfId="0" applyFill="1" applyBorder="1" applyAlignment="1">
      <alignment horizontal="center"/>
    </xf>
    <xf numFmtId="0" fontId="0" fillId="11" borderId="0" xfId="0" applyFill="1" applyAlignment="1">
      <alignment horizontal="center"/>
    </xf>
    <xf numFmtId="0" fontId="0" fillId="0" borderId="10" xfId="0" applyBorder="1" applyAlignment="1" applyProtection="1">
      <alignment horizontal="right" vertical="center"/>
    </xf>
    <xf numFmtId="0" fontId="0" fillId="0" borderId="9" xfId="0" applyBorder="1" applyAlignment="1" applyProtection="1">
      <alignment horizontal="right" vertical="center"/>
    </xf>
    <xf numFmtId="0" fontId="0" fillId="0" borderId="11" xfId="0" applyBorder="1" applyAlignment="1" applyProtection="1">
      <alignment horizontal="right" vertical="center"/>
    </xf>
    <xf numFmtId="0" fontId="53" fillId="4" borderId="82" xfId="0" applyFont="1" applyFill="1" applyBorder="1" applyAlignment="1" applyProtection="1">
      <alignment horizontal="center" vertical="center" wrapText="1"/>
    </xf>
    <xf numFmtId="0" fontId="53" fillId="4" borderId="83" xfId="0" applyFont="1" applyFill="1" applyBorder="1" applyAlignment="1" applyProtection="1">
      <alignment horizontal="center" vertical="center" wrapText="1"/>
    </xf>
    <xf numFmtId="0" fontId="58" fillId="0" borderId="84" xfId="0" applyFont="1" applyFill="1" applyBorder="1" applyAlignment="1" applyProtection="1">
      <alignment horizontal="center" vertical="center" wrapText="1"/>
    </xf>
    <xf numFmtId="0" fontId="58" fillId="0" borderId="85" xfId="0" applyFont="1" applyFill="1" applyBorder="1" applyAlignment="1" applyProtection="1">
      <alignment horizontal="center" vertical="center" wrapText="1"/>
    </xf>
    <xf numFmtId="0" fontId="0" fillId="0" borderId="4" xfId="0" applyBorder="1" applyAlignment="1" applyProtection="1">
      <alignment horizontal="right" vertical="center"/>
    </xf>
    <xf numFmtId="0" fontId="0" fillId="0" borderId="16" xfId="0" applyBorder="1" applyAlignment="1" applyProtection="1">
      <alignment horizontal="right" vertical="center"/>
    </xf>
    <xf numFmtId="0" fontId="0" fillId="0" borderId="3" xfId="0" applyBorder="1" applyAlignment="1" applyProtection="1">
      <alignment horizontal="right" vertical="center"/>
    </xf>
    <xf numFmtId="0" fontId="25" fillId="4" borderId="3" xfId="0" applyFont="1" applyFill="1" applyBorder="1" applyAlignment="1" applyProtection="1">
      <alignment horizontal="center" vertical="center" wrapText="1"/>
    </xf>
    <xf numFmtId="0" fontId="25" fillId="4" borderId="79" xfId="0" applyFont="1" applyFill="1" applyBorder="1" applyAlignment="1" applyProtection="1">
      <alignment horizontal="center" vertical="center"/>
    </xf>
    <xf numFmtId="0" fontId="25" fillId="4" borderId="0" xfId="0" applyFont="1" applyFill="1" applyBorder="1" applyAlignment="1" applyProtection="1">
      <alignment horizontal="center" vertical="center"/>
    </xf>
    <xf numFmtId="0" fontId="25" fillId="4" borderId="80" xfId="0" applyFont="1" applyFill="1" applyBorder="1" applyAlignment="1" applyProtection="1">
      <alignment horizontal="center" vertical="center"/>
    </xf>
    <xf numFmtId="0" fontId="25" fillId="4" borderId="81" xfId="0" applyFont="1" applyFill="1" applyBorder="1" applyAlignment="1" applyProtection="1">
      <alignment horizontal="center" vertical="center"/>
    </xf>
    <xf numFmtId="0" fontId="48" fillId="4" borderId="0" xfId="0" applyFont="1" applyFill="1" applyAlignment="1" applyProtection="1">
      <alignment horizontal="center" vertical="center"/>
    </xf>
    <xf numFmtId="0" fontId="25" fillId="4" borderId="55" xfId="0" applyFont="1" applyFill="1" applyBorder="1" applyAlignment="1" applyProtection="1">
      <alignment horizontal="center" vertical="center"/>
    </xf>
    <xf numFmtId="0" fontId="16" fillId="0" borderId="4"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6" fillId="0" borderId="3" xfId="0" applyFont="1" applyFill="1" applyBorder="1" applyAlignment="1" applyProtection="1">
      <alignment horizontal="right" vertical="center"/>
    </xf>
    <xf numFmtId="0" fontId="7" fillId="7" borderId="40" xfId="0" applyFont="1" applyFill="1" applyBorder="1" applyAlignment="1" applyProtection="1">
      <alignment horizontal="center" vertical="center" wrapText="1"/>
    </xf>
    <xf numFmtId="0" fontId="7" fillId="7" borderId="71" xfId="0" applyFont="1" applyFill="1" applyBorder="1" applyAlignment="1" applyProtection="1">
      <alignment horizontal="center" vertical="center" wrapText="1"/>
    </xf>
    <xf numFmtId="0" fontId="7" fillId="7" borderId="72" xfId="0" applyFont="1" applyFill="1" applyBorder="1" applyAlignment="1" applyProtection="1">
      <alignment horizontal="center" vertical="center" wrapText="1"/>
    </xf>
    <xf numFmtId="0" fontId="25" fillId="4" borderId="87" xfId="0" applyFont="1" applyFill="1" applyBorder="1" applyAlignment="1" applyProtection="1">
      <alignment horizontal="center" wrapText="1"/>
    </xf>
    <xf numFmtId="0" fontId="25" fillId="4" borderId="16" xfId="0" applyFont="1" applyFill="1" applyBorder="1" applyAlignment="1" applyProtection="1">
      <alignment horizontal="center" wrapText="1"/>
    </xf>
    <xf numFmtId="0" fontId="25" fillId="4" borderId="88" xfId="0" applyFont="1" applyFill="1" applyBorder="1" applyAlignment="1" applyProtection="1">
      <alignment horizontal="center" vertical="center" wrapText="1"/>
    </xf>
    <xf numFmtId="0" fontId="25" fillId="4" borderId="89" xfId="0" applyFont="1" applyFill="1" applyBorder="1" applyAlignment="1" applyProtection="1">
      <alignment horizontal="center" vertical="center" wrapText="1"/>
    </xf>
    <xf numFmtId="0" fontId="25" fillId="4" borderId="90" xfId="0" applyFont="1" applyFill="1" applyBorder="1" applyAlignment="1" applyProtection="1">
      <alignment horizontal="center" vertical="center" wrapText="1"/>
    </xf>
    <xf numFmtId="0" fontId="48" fillId="4" borderId="87" xfId="0" applyFont="1" applyFill="1" applyBorder="1" applyAlignment="1" applyProtection="1">
      <alignment horizontal="center" wrapText="1"/>
    </xf>
    <xf numFmtId="0" fontId="48" fillId="4" borderId="16" xfId="0" applyFont="1" applyFill="1" applyBorder="1" applyAlignment="1" applyProtection="1">
      <alignment horizontal="center" wrapText="1"/>
    </xf>
    <xf numFmtId="0" fontId="61" fillId="0" borderId="0" xfId="0" applyFont="1" applyFill="1" applyAlignment="1" applyProtection="1">
      <alignment horizontal="center" wrapText="1"/>
    </xf>
    <xf numFmtId="0" fontId="7" fillId="0" borderId="26"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48" fillId="4" borderId="4" xfId="0" applyFont="1" applyFill="1" applyBorder="1" applyAlignment="1" applyProtection="1">
      <alignment horizontal="center" vertical="center"/>
    </xf>
    <xf numFmtId="0" fontId="48" fillId="4" borderId="16" xfId="0" applyFont="1" applyFill="1" applyBorder="1" applyAlignment="1" applyProtection="1">
      <alignment horizontal="center" vertical="center"/>
    </xf>
    <xf numFmtId="0" fontId="48" fillId="4" borderId="86" xfId="0" applyFont="1" applyFill="1" applyBorder="1" applyAlignment="1" applyProtection="1">
      <alignment horizontal="center" vertical="center"/>
    </xf>
    <xf numFmtId="0" fontId="53" fillId="4" borderId="91" xfId="0" applyFont="1" applyFill="1" applyBorder="1" applyAlignment="1">
      <alignment horizontal="center" vertical="center"/>
    </xf>
    <xf numFmtId="0" fontId="53" fillId="4" borderId="50" xfId="0" applyFont="1" applyFill="1" applyBorder="1" applyAlignment="1">
      <alignment horizontal="center" vertical="center"/>
    </xf>
    <xf numFmtId="0" fontId="25" fillId="4" borderId="0" xfId="0" applyFont="1" applyFill="1" applyAlignment="1">
      <alignment horizontal="center"/>
    </xf>
    <xf numFmtId="0" fontId="39" fillId="3" borderId="92" xfId="0" applyFont="1" applyFill="1" applyBorder="1" applyAlignment="1">
      <alignment vertical="center" wrapText="1"/>
    </xf>
    <xf numFmtId="0" fontId="39" fillId="3" borderId="5" xfId="0" applyFont="1" applyFill="1" applyBorder="1" applyAlignment="1">
      <alignment vertical="center" wrapText="1"/>
    </xf>
    <xf numFmtId="0" fontId="39" fillId="3" borderId="88" xfId="0" applyFont="1" applyFill="1" applyBorder="1" applyAlignment="1">
      <alignment horizontal="center" wrapText="1"/>
    </xf>
    <xf numFmtId="0" fontId="39" fillId="3" borderId="89" xfId="0" applyFont="1" applyFill="1" applyBorder="1" applyAlignment="1">
      <alignment horizontal="center" wrapText="1"/>
    </xf>
    <xf numFmtId="0" fontId="39" fillId="3" borderId="90" xfId="0" applyFont="1" applyFill="1" applyBorder="1" applyAlignment="1">
      <alignment horizontal="center" wrapText="1"/>
    </xf>
    <xf numFmtId="0" fontId="48" fillId="4" borderId="0" xfId="0" applyFont="1" applyFill="1" applyAlignment="1" applyProtection="1">
      <alignment horizontal="center"/>
    </xf>
    <xf numFmtId="0" fontId="0" fillId="0" borderId="0" xfId="0" applyFill="1" applyAlignment="1" applyProtection="1">
      <alignment horizontal="center" vertical="center" wrapText="1"/>
    </xf>
    <xf numFmtId="0" fontId="0" fillId="0" borderId="12" xfId="0" applyFill="1" applyBorder="1" applyAlignment="1" applyProtection="1">
      <alignment horizontal="center" vertical="center" wrapText="1"/>
    </xf>
    <xf numFmtId="0" fontId="45" fillId="4" borderId="93" xfId="2" applyFont="1" applyFill="1" applyBorder="1" applyAlignment="1" applyProtection="1">
      <alignment horizontal="right" vertical="center" wrapText="1"/>
    </xf>
    <xf numFmtId="0" fontId="51" fillId="4" borderId="15" xfId="2" applyFont="1" applyFill="1" applyBorder="1" applyAlignment="1" applyProtection="1">
      <alignment horizontal="right" vertical="center" wrapText="1"/>
    </xf>
    <xf numFmtId="178" fontId="25" fillId="4" borderId="0" xfId="2" applyNumberFormat="1" applyFont="1" applyFill="1" applyAlignment="1" applyProtection="1">
      <alignment horizontal="center" vertical="center" wrapText="1"/>
    </xf>
    <xf numFmtId="0" fontId="45" fillId="4" borderId="69" xfId="2" applyFont="1" applyFill="1" applyBorder="1" applyAlignment="1" applyProtection="1">
      <alignment horizontal="right" vertical="center" wrapText="1"/>
    </xf>
    <xf numFmtId="0" fontId="51" fillId="4" borderId="69" xfId="2" applyFont="1" applyFill="1" applyBorder="1" applyAlignment="1" applyProtection="1">
      <alignment horizontal="right" vertical="center" wrapText="1"/>
    </xf>
    <xf numFmtId="0" fontId="51" fillId="4" borderId="35" xfId="2" applyFont="1" applyFill="1" applyBorder="1" applyAlignment="1" applyProtection="1">
      <alignment horizontal="right" vertical="center" wrapText="1"/>
    </xf>
    <xf numFmtId="0" fontId="45" fillId="4" borderId="94" xfId="2" applyFont="1" applyFill="1" applyBorder="1" applyAlignment="1" applyProtection="1">
      <alignment horizontal="right" vertical="center" wrapText="1"/>
    </xf>
    <xf numFmtId="0" fontId="51" fillId="4" borderId="33" xfId="2" applyFont="1" applyFill="1" applyBorder="1" applyAlignment="1" applyProtection="1">
      <alignment horizontal="right" vertical="center" wrapText="1"/>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Curvas Cota-Área-Volumen del embalse</a:t>
            </a:r>
          </a:p>
        </c:rich>
      </c:tx>
      <c:layout>
        <c:manualLayout>
          <c:xMode val="edge"/>
          <c:yMode val="edge"/>
          <c:x val="0.22534069981583793"/>
          <c:y val="2.5062604879308118E-2"/>
        </c:manualLayout>
      </c:layout>
      <c:overlay val="0"/>
      <c:spPr>
        <a:noFill/>
        <a:ln w="25400">
          <a:noFill/>
        </a:ln>
      </c:spPr>
    </c:title>
    <c:autoTitleDeleted val="0"/>
    <c:plotArea>
      <c:layout>
        <c:manualLayout>
          <c:layoutTarget val="inner"/>
          <c:xMode val="edge"/>
          <c:yMode val="edge"/>
          <c:x val="0.18971641923447402"/>
          <c:y val="0.11872559728046854"/>
          <c:w val="0.69133949382054094"/>
          <c:h val="0.69408810717812375"/>
        </c:manualLayout>
      </c:layout>
      <c:scatterChart>
        <c:scatterStyle val="lineMarker"/>
        <c:varyColors val="0"/>
        <c:ser>
          <c:idx val="0"/>
          <c:order val="1"/>
          <c:tx>
            <c:strRef>
              <c:f>'Info Gral'!$G$5</c:f>
              <c:strCache>
                <c:ptCount val="1"/>
                <c:pt idx="0">
                  <c:v>Área medida (Há)</c:v>
                </c:pt>
              </c:strCache>
            </c:strRef>
          </c:tx>
          <c:spPr>
            <a:ln w="28575">
              <a:noFill/>
            </a:ln>
          </c:spPr>
          <c:marker>
            <c:symbol val="circle"/>
            <c:size val="7"/>
            <c:spPr>
              <a:solidFill>
                <a:srgbClr val="0000FF"/>
              </a:solidFill>
              <a:ln>
                <a:solidFill>
                  <a:srgbClr val="0000FF"/>
                </a:solidFill>
                <a:prstDash val="solid"/>
              </a:ln>
            </c:spPr>
          </c:marker>
          <c:xVal>
            <c:numRef>
              <c:f>'Info Gral'!$F$7:$F$26</c:f>
              <c:numCache>
                <c:formatCode>General</c:formatCode>
                <c:ptCount val="20"/>
                <c:pt idx="0">
                  <c:v>101.2</c:v>
                </c:pt>
                <c:pt idx="1">
                  <c:v>102.2</c:v>
                </c:pt>
                <c:pt idx="2">
                  <c:v>103.2</c:v>
                </c:pt>
                <c:pt idx="3">
                  <c:v>104.2</c:v>
                </c:pt>
                <c:pt idx="4">
                  <c:v>105.2</c:v>
                </c:pt>
                <c:pt idx="5">
                  <c:v>106.2</c:v>
                </c:pt>
              </c:numCache>
            </c:numRef>
          </c:xVal>
          <c:yVal>
            <c:numRef>
              <c:f>'Info Gral'!$G$7:$G$26</c:f>
              <c:numCache>
                <c:formatCode>General</c:formatCode>
                <c:ptCount val="20"/>
                <c:pt idx="0">
                  <c:v>37.700000000000003</c:v>
                </c:pt>
                <c:pt idx="1">
                  <c:v>84.4</c:v>
                </c:pt>
                <c:pt idx="2">
                  <c:v>135.9</c:v>
                </c:pt>
                <c:pt idx="3">
                  <c:v>177</c:v>
                </c:pt>
                <c:pt idx="4">
                  <c:v>224.6</c:v>
                </c:pt>
                <c:pt idx="5">
                  <c:v>300.89999999999998</c:v>
                </c:pt>
              </c:numCache>
            </c:numRef>
          </c:yVal>
          <c:smooth val="0"/>
          <c:extLst>
            <c:ext xmlns:c16="http://schemas.microsoft.com/office/drawing/2014/chart" uri="{C3380CC4-5D6E-409C-BE32-E72D297353CC}">
              <c16:uniqueId val="{00000000-5BF2-C840-AB93-261F85A6F375}"/>
            </c:ext>
          </c:extLst>
        </c:ser>
        <c:ser>
          <c:idx val="1"/>
          <c:order val="2"/>
          <c:tx>
            <c:strRef>
              <c:f>'Anexo Geom Emb'!$H$12</c:f>
              <c:strCache>
                <c:ptCount val="1"/>
                <c:pt idx="0">
                  <c:v>Área (Há) = F1(Cota)</c:v>
                </c:pt>
              </c:strCache>
            </c:strRef>
          </c:tx>
          <c:spPr>
            <a:ln w="38100">
              <a:solidFill>
                <a:srgbClr val="0000FF"/>
              </a:solidFill>
              <a:prstDash val="solid"/>
            </a:ln>
          </c:spPr>
          <c:marker>
            <c:symbol val="none"/>
          </c:marker>
          <c:xVal>
            <c:numRef>
              <c:f>'Info Gral'!$F$7:$F$26</c:f>
              <c:numCache>
                <c:formatCode>General</c:formatCode>
                <c:ptCount val="20"/>
                <c:pt idx="0">
                  <c:v>101.2</c:v>
                </c:pt>
                <c:pt idx="1">
                  <c:v>102.2</c:v>
                </c:pt>
                <c:pt idx="2">
                  <c:v>103.2</c:v>
                </c:pt>
                <c:pt idx="3">
                  <c:v>104.2</c:v>
                </c:pt>
                <c:pt idx="4">
                  <c:v>105.2</c:v>
                </c:pt>
                <c:pt idx="5">
                  <c:v>106.2</c:v>
                </c:pt>
              </c:numCache>
            </c:numRef>
          </c:xVal>
          <c:yVal>
            <c:numRef>
              <c:f>'Anexo Geom Emb'!$H$13:$H$32</c:f>
              <c:numCache>
                <c:formatCode>0.0</c:formatCode>
                <c:ptCount val="20"/>
                <c:pt idx="0">
                  <c:v>41.755781281892666</c:v>
                </c:pt>
                <c:pt idx="1">
                  <c:v>77.320527162992761</c:v>
                </c:pt>
                <c:pt idx="2">
                  <c:v>122.356130295593</c:v>
                </c:pt>
                <c:pt idx="3">
                  <c:v>176.41762040906599</c:v>
                </c:pt>
                <c:pt idx="4">
                  <c:v>239.16691306842282</c:v>
                </c:pt>
                <c:pt idx="5">
                  <c:v>310.33320590390042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extLst>
            <c:ext xmlns:c16="http://schemas.microsoft.com/office/drawing/2014/chart" uri="{C3380CC4-5D6E-409C-BE32-E72D297353CC}">
              <c16:uniqueId val="{00000001-5BF2-C840-AB93-261F85A6F375}"/>
            </c:ext>
          </c:extLst>
        </c:ser>
        <c:dLbls>
          <c:showLegendKey val="0"/>
          <c:showVal val="0"/>
          <c:showCatName val="0"/>
          <c:showSerName val="0"/>
          <c:showPercent val="0"/>
          <c:showBubbleSize val="0"/>
        </c:dLbls>
        <c:axId val="445825936"/>
        <c:axId val="1"/>
      </c:scatterChart>
      <c:scatterChart>
        <c:scatterStyle val="lineMarker"/>
        <c:varyColors val="0"/>
        <c:ser>
          <c:idx val="2"/>
          <c:order val="0"/>
          <c:tx>
            <c:strRef>
              <c:f>'Anexo Geom Emb'!$I$12</c:f>
              <c:strCache>
                <c:ptCount val="1"/>
                <c:pt idx="0">
                  <c:v>Vol (Hm3) = F2(Cota)</c:v>
                </c:pt>
              </c:strCache>
            </c:strRef>
          </c:tx>
          <c:spPr>
            <a:ln w="38100">
              <a:solidFill>
                <a:srgbClr val="FF0000"/>
              </a:solidFill>
              <a:prstDash val="sysDash"/>
            </a:ln>
          </c:spPr>
          <c:marker>
            <c:symbol val="none"/>
          </c:marker>
          <c:xVal>
            <c:numRef>
              <c:f>'Info Gral'!$F$7:$F$26</c:f>
              <c:numCache>
                <c:formatCode>General</c:formatCode>
                <c:ptCount val="20"/>
                <c:pt idx="0">
                  <c:v>101.2</c:v>
                </c:pt>
                <c:pt idx="1">
                  <c:v>102.2</c:v>
                </c:pt>
                <c:pt idx="2">
                  <c:v>103.2</c:v>
                </c:pt>
                <c:pt idx="3">
                  <c:v>104.2</c:v>
                </c:pt>
                <c:pt idx="4">
                  <c:v>105.2</c:v>
                </c:pt>
                <c:pt idx="5">
                  <c:v>106.2</c:v>
                </c:pt>
              </c:numCache>
            </c:numRef>
          </c:xVal>
          <c:yVal>
            <c:numRef>
              <c:f>'Anexo Geom Emb'!$I$13:$I$32</c:f>
              <c:numCache>
                <c:formatCode>0.00</c:formatCode>
                <c:ptCount val="20"/>
                <c:pt idx="0">
                  <c:v>0.36671363125898937</c:v>
                </c:pt>
                <c:pt idx="1">
                  <c:v>0.95397669956504061</c:v>
                </c:pt>
                <c:pt idx="2">
                  <c:v>1.9446737084754979</c:v>
                </c:pt>
                <c:pt idx="3">
                  <c:v>3.4311742378086203</c:v>
                </c:pt>
                <c:pt idx="4">
                  <c:v>5.5019781969633845</c:v>
                </c:pt>
                <c:pt idx="5">
                  <c:v>8.242564153164837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extLst>
            <c:ext xmlns:c16="http://schemas.microsoft.com/office/drawing/2014/chart" uri="{C3380CC4-5D6E-409C-BE32-E72D297353CC}">
              <c16:uniqueId val="{00000002-5BF2-C840-AB93-261F85A6F375}"/>
            </c:ext>
          </c:extLst>
        </c:ser>
        <c:dLbls>
          <c:showLegendKey val="0"/>
          <c:showVal val="0"/>
          <c:showCatName val="0"/>
          <c:showSerName val="0"/>
          <c:showPercent val="0"/>
          <c:showBubbleSize val="0"/>
        </c:dLbls>
        <c:axId val="3"/>
        <c:axId val="4"/>
      </c:scatterChart>
      <c:valAx>
        <c:axId val="445825936"/>
        <c:scaling>
          <c:orientation val="minMax"/>
        </c:scaling>
        <c:delete val="0"/>
        <c:axPos val="b"/>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Cota [msnm]</a:t>
                </a:r>
              </a:p>
            </c:rich>
          </c:tx>
          <c:layout>
            <c:manualLayout>
              <c:xMode val="edge"/>
              <c:yMode val="edge"/>
              <c:x val="0.42678586447412303"/>
              <c:y val="0.9321636762617787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Y"/>
          </a:p>
        </c:txPr>
        <c:crossAx val="1"/>
        <c:crosses val="autoZero"/>
        <c:crossBetween val="midCat"/>
      </c:valAx>
      <c:valAx>
        <c:axId val="1"/>
        <c:scaling>
          <c:orientation val="minMax"/>
          <c:min val="0"/>
        </c:scaling>
        <c:delete val="0"/>
        <c:axPos val="l"/>
        <c:majorGridlines>
          <c:spPr>
            <a:ln w="3175">
              <a:solidFill>
                <a:srgbClr val="969696"/>
              </a:solidFill>
              <a:prstDash val="solid"/>
            </a:ln>
          </c:spPr>
        </c:majorGridlines>
        <c:title>
          <c:tx>
            <c:rich>
              <a:bodyPr/>
              <a:lstStyle/>
              <a:p>
                <a:pPr>
                  <a:defRPr sz="1200" b="1" i="0" u="none" strike="noStrike" baseline="0">
                    <a:solidFill>
                      <a:srgbClr val="0000FF"/>
                    </a:solidFill>
                    <a:latin typeface="Arial"/>
                    <a:ea typeface="Arial"/>
                    <a:cs typeface="Arial"/>
                  </a:defRPr>
                </a:pPr>
                <a:r>
                  <a:rPr lang="en-US"/>
                  <a:t>Área [Hás]</a:t>
                </a:r>
              </a:p>
            </c:rich>
          </c:tx>
          <c:layout>
            <c:manualLayout>
              <c:xMode val="edge"/>
              <c:yMode val="edge"/>
              <c:x val="6.3647568915763978E-3"/>
              <c:y val="0.3831332558839981"/>
            </c:manualLayout>
          </c:layout>
          <c:overlay val="0"/>
          <c:spPr>
            <a:noFill/>
            <a:ln w="25400">
              <a:noFill/>
            </a:ln>
          </c:spPr>
        </c:title>
        <c:numFmt formatCode="General" sourceLinked="0"/>
        <c:majorTickMark val="out"/>
        <c:minorTickMark val="out"/>
        <c:tickLblPos val="nextTo"/>
        <c:spPr>
          <a:ln w="12700">
            <a:solidFill>
              <a:srgbClr val="0000FF"/>
            </a:solidFill>
            <a:prstDash val="solid"/>
          </a:ln>
        </c:spPr>
        <c:txPr>
          <a:bodyPr rot="0" vert="horz"/>
          <a:lstStyle/>
          <a:p>
            <a:pPr>
              <a:defRPr sz="1125" b="1" i="0" u="none" strike="noStrike" baseline="0">
                <a:solidFill>
                  <a:srgbClr val="0000FF"/>
                </a:solidFill>
                <a:latin typeface="Arial"/>
                <a:ea typeface="Arial"/>
                <a:cs typeface="Arial"/>
              </a:defRPr>
            </a:pPr>
            <a:endParaRPr lang="en-UY"/>
          </a:p>
        </c:txPr>
        <c:crossAx val="445825936"/>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min val="0"/>
        </c:scaling>
        <c:delete val="0"/>
        <c:axPos val="r"/>
        <c:title>
          <c:tx>
            <c:rich>
              <a:bodyPr/>
              <a:lstStyle/>
              <a:p>
                <a:pPr>
                  <a:defRPr sz="1200" b="1" i="0" u="none" strike="noStrike" baseline="0">
                    <a:solidFill>
                      <a:srgbClr val="FF0000"/>
                    </a:solidFill>
                    <a:latin typeface="Arial"/>
                    <a:ea typeface="Arial"/>
                    <a:cs typeface="Arial"/>
                  </a:defRPr>
                </a:pPr>
                <a:r>
                  <a:rPr lang="en-US"/>
                  <a:t>Volúmen [Hm3]</a:t>
                </a:r>
              </a:p>
            </c:rich>
          </c:tx>
          <c:layout>
            <c:manualLayout>
              <c:xMode val="edge"/>
              <c:yMode val="edge"/>
              <c:x val="0.93026493235306917"/>
              <c:y val="0.35496510477173959"/>
            </c:manualLayout>
          </c:layout>
          <c:overlay val="0"/>
          <c:spPr>
            <a:noFill/>
            <a:ln w="25400">
              <a:noFill/>
            </a:ln>
          </c:spPr>
        </c:title>
        <c:numFmt formatCode="General" sourceLinked="0"/>
        <c:majorTickMark val="cross"/>
        <c:minorTickMark val="out"/>
        <c:tickLblPos val="nextTo"/>
        <c:spPr>
          <a:ln w="12700">
            <a:solidFill>
              <a:srgbClr val="FF0000"/>
            </a:solidFill>
            <a:prstDash val="solid"/>
          </a:ln>
        </c:spPr>
        <c:txPr>
          <a:bodyPr rot="0" vert="horz"/>
          <a:lstStyle/>
          <a:p>
            <a:pPr>
              <a:defRPr sz="1200" b="1" i="0" u="none" strike="noStrike" baseline="0">
                <a:solidFill>
                  <a:srgbClr val="FF0000"/>
                </a:solidFill>
                <a:latin typeface="Arial"/>
                <a:ea typeface="Arial"/>
                <a:cs typeface="Arial"/>
              </a:defRPr>
            </a:pPr>
            <a:endParaRPr lang="en-UY"/>
          </a:p>
        </c:txPr>
        <c:crossAx val="3"/>
        <c:crosses val="max"/>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Y"/>
    </a:p>
  </c:txPr>
  <c:printSettings>
    <c:headerFooter alignWithMargins="0"/>
    <c:pageMargins b="1" l="0.75000000000000011" r="0.750000000000000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a:t>Escurrimientos acumulados mensuales de la cuenca en el período 1981-2010, según el Modelo de Temez</a:t>
            </a:r>
          </a:p>
        </c:rich>
      </c:tx>
      <c:layout>
        <c:manualLayout>
          <c:xMode val="edge"/>
          <c:yMode val="edge"/>
          <c:x val="0.14418212578806022"/>
          <c:y val="2.131851345881685E-2"/>
        </c:manualLayout>
      </c:layout>
      <c:overlay val="0"/>
      <c:spPr>
        <a:noFill/>
        <a:ln w="25400">
          <a:noFill/>
        </a:ln>
      </c:spPr>
    </c:title>
    <c:autoTitleDeleted val="0"/>
    <c:plotArea>
      <c:layout>
        <c:manualLayout>
          <c:layoutTarget val="inner"/>
          <c:xMode val="edge"/>
          <c:yMode val="edge"/>
          <c:x val="0.12569723786651404"/>
          <c:y val="0.14147740749942089"/>
          <c:w val="0.76157738236770267"/>
          <c:h val="0.77909476458585214"/>
        </c:manualLayout>
      </c:layout>
      <c:barChart>
        <c:barDir val="col"/>
        <c:grouping val="clustered"/>
        <c:varyColors val="0"/>
        <c:ser>
          <c:idx val="3"/>
          <c:order val="0"/>
          <c:spPr>
            <a:solidFill>
              <a:srgbClr val="000080"/>
            </a:solidFill>
            <a:ln w="12700">
              <a:solidFill>
                <a:srgbClr val="000080"/>
              </a:solidFill>
              <a:prstDash val="solid"/>
            </a:ln>
          </c:spPr>
          <c:invertIfNegative val="0"/>
          <c:val>
            <c:numRef>
              <c:f>'Anexo Escurrimiento'!$D$18:$D$377</c:f>
              <c:numCache>
                <c:formatCode>0.0</c:formatCode>
                <c:ptCount val="360"/>
                <c:pt idx="0">
                  <c:v>137.4</c:v>
                </c:pt>
                <c:pt idx="1">
                  <c:v>186.1</c:v>
                </c:pt>
                <c:pt idx="2">
                  <c:v>66</c:v>
                </c:pt>
                <c:pt idx="3">
                  <c:v>48</c:v>
                </c:pt>
                <c:pt idx="4">
                  <c:v>256.39999999999998</c:v>
                </c:pt>
                <c:pt idx="5">
                  <c:v>96.8</c:v>
                </c:pt>
                <c:pt idx="6">
                  <c:v>66.099999999999994</c:v>
                </c:pt>
                <c:pt idx="7">
                  <c:v>48.3</c:v>
                </c:pt>
                <c:pt idx="8">
                  <c:v>95.2</c:v>
                </c:pt>
                <c:pt idx="9">
                  <c:v>55.5</c:v>
                </c:pt>
                <c:pt idx="10">
                  <c:v>121.3</c:v>
                </c:pt>
                <c:pt idx="11">
                  <c:v>135.4</c:v>
                </c:pt>
                <c:pt idx="12">
                  <c:v>70.400000000000006</c:v>
                </c:pt>
                <c:pt idx="13">
                  <c:v>360.8</c:v>
                </c:pt>
                <c:pt idx="14">
                  <c:v>29.1</c:v>
                </c:pt>
                <c:pt idx="15">
                  <c:v>21.4</c:v>
                </c:pt>
                <c:pt idx="16">
                  <c:v>178.5</c:v>
                </c:pt>
                <c:pt idx="17">
                  <c:v>127.1</c:v>
                </c:pt>
                <c:pt idx="18">
                  <c:v>71.3</c:v>
                </c:pt>
                <c:pt idx="19">
                  <c:v>167</c:v>
                </c:pt>
                <c:pt idx="20">
                  <c:v>219.2</c:v>
                </c:pt>
                <c:pt idx="21">
                  <c:v>117.3</c:v>
                </c:pt>
                <c:pt idx="22">
                  <c:v>315.2</c:v>
                </c:pt>
                <c:pt idx="23">
                  <c:v>34.700000000000003</c:v>
                </c:pt>
                <c:pt idx="24">
                  <c:v>162.1</c:v>
                </c:pt>
                <c:pt idx="25">
                  <c:v>427.6</c:v>
                </c:pt>
                <c:pt idx="26">
                  <c:v>91.9</c:v>
                </c:pt>
                <c:pt idx="27">
                  <c:v>80.099999999999994</c:v>
                </c:pt>
                <c:pt idx="28">
                  <c:v>299.2</c:v>
                </c:pt>
                <c:pt idx="29">
                  <c:v>80.2</c:v>
                </c:pt>
                <c:pt idx="30">
                  <c:v>121.5</c:v>
                </c:pt>
                <c:pt idx="31">
                  <c:v>47.8</c:v>
                </c:pt>
                <c:pt idx="32">
                  <c:v>47.7</c:v>
                </c:pt>
                <c:pt idx="33">
                  <c:v>87</c:v>
                </c:pt>
                <c:pt idx="34">
                  <c:v>150.5</c:v>
                </c:pt>
                <c:pt idx="35">
                  <c:v>19.3</c:v>
                </c:pt>
                <c:pt idx="36">
                  <c:v>343.1</c:v>
                </c:pt>
                <c:pt idx="37">
                  <c:v>332.6</c:v>
                </c:pt>
                <c:pt idx="38">
                  <c:v>197.5</c:v>
                </c:pt>
                <c:pt idx="39">
                  <c:v>125.1</c:v>
                </c:pt>
                <c:pt idx="40">
                  <c:v>177.1</c:v>
                </c:pt>
                <c:pt idx="41">
                  <c:v>131.6</c:v>
                </c:pt>
                <c:pt idx="42">
                  <c:v>101.2</c:v>
                </c:pt>
                <c:pt idx="43">
                  <c:v>25.3</c:v>
                </c:pt>
                <c:pt idx="44">
                  <c:v>207.1</c:v>
                </c:pt>
                <c:pt idx="45">
                  <c:v>125.3</c:v>
                </c:pt>
                <c:pt idx="46">
                  <c:v>143.9</c:v>
                </c:pt>
                <c:pt idx="47">
                  <c:v>28.2</c:v>
                </c:pt>
                <c:pt idx="48">
                  <c:v>66.400000000000006</c:v>
                </c:pt>
                <c:pt idx="49">
                  <c:v>102.9</c:v>
                </c:pt>
                <c:pt idx="50">
                  <c:v>261.7</c:v>
                </c:pt>
                <c:pt idx="51">
                  <c:v>115.7</c:v>
                </c:pt>
                <c:pt idx="52">
                  <c:v>150.69999999999999</c:v>
                </c:pt>
                <c:pt idx="53">
                  <c:v>75.3</c:v>
                </c:pt>
                <c:pt idx="54">
                  <c:v>136.80000000000001</c:v>
                </c:pt>
                <c:pt idx="55">
                  <c:v>80</c:v>
                </c:pt>
                <c:pt idx="56">
                  <c:v>106.8</c:v>
                </c:pt>
                <c:pt idx="57">
                  <c:v>110.6</c:v>
                </c:pt>
                <c:pt idx="58">
                  <c:v>3.6</c:v>
                </c:pt>
                <c:pt idx="59">
                  <c:v>28.3</c:v>
                </c:pt>
                <c:pt idx="60">
                  <c:v>216.8</c:v>
                </c:pt>
                <c:pt idx="61">
                  <c:v>76.2</c:v>
                </c:pt>
                <c:pt idx="62">
                  <c:v>319.2</c:v>
                </c:pt>
                <c:pt idx="63">
                  <c:v>310.89999999999998</c:v>
                </c:pt>
                <c:pt idx="64">
                  <c:v>243.1</c:v>
                </c:pt>
                <c:pt idx="65">
                  <c:v>113.5</c:v>
                </c:pt>
                <c:pt idx="66">
                  <c:v>30.6</c:v>
                </c:pt>
                <c:pt idx="67">
                  <c:v>68.5</c:v>
                </c:pt>
                <c:pt idx="68">
                  <c:v>113.4</c:v>
                </c:pt>
                <c:pt idx="69">
                  <c:v>147.9</c:v>
                </c:pt>
                <c:pt idx="70">
                  <c:v>312.39999999999998</c:v>
                </c:pt>
                <c:pt idx="71">
                  <c:v>34.799999999999997</c:v>
                </c:pt>
                <c:pt idx="72">
                  <c:v>149.19999999999999</c:v>
                </c:pt>
                <c:pt idx="73">
                  <c:v>68.8</c:v>
                </c:pt>
                <c:pt idx="74">
                  <c:v>358.6</c:v>
                </c:pt>
                <c:pt idx="75">
                  <c:v>193.2</c:v>
                </c:pt>
                <c:pt idx="76">
                  <c:v>69.8</c:v>
                </c:pt>
                <c:pt idx="77">
                  <c:v>54.3</c:v>
                </c:pt>
                <c:pt idx="78">
                  <c:v>155.30000000000001</c:v>
                </c:pt>
                <c:pt idx="79">
                  <c:v>91.4</c:v>
                </c:pt>
                <c:pt idx="80">
                  <c:v>196.4</c:v>
                </c:pt>
                <c:pt idx="81">
                  <c:v>50.9</c:v>
                </c:pt>
                <c:pt idx="82">
                  <c:v>97.7</c:v>
                </c:pt>
                <c:pt idx="83">
                  <c:v>74.900000000000006</c:v>
                </c:pt>
                <c:pt idx="84">
                  <c:v>381.9</c:v>
                </c:pt>
                <c:pt idx="85">
                  <c:v>78.3</c:v>
                </c:pt>
                <c:pt idx="86">
                  <c:v>51.8</c:v>
                </c:pt>
                <c:pt idx="87">
                  <c:v>36.200000000000003</c:v>
                </c:pt>
                <c:pt idx="88">
                  <c:v>9.6999999999999993</c:v>
                </c:pt>
                <c:pt idx="89">
                  <c:v>68.2</c:v>
                </c:pt>
                <c:pt idx="90">
                  <c:v>33.9</c:v>
                </c:pt>
                <c:pt idx="91">
                  <c:v>65</c:v>
                </c:pt>
                <c:pt idx="92">
                  <c:v>162.4</c:v>
                </c:pt>
                <c:pt idx="93">
                  <c:v>60.9</c:v>
                </c:pt>
                <c:pt idx="94">
                  <c:v>100.9</c:v>
                </c:pt>
                <c:pt idx="95">
                  <c:v>79.400000000000006</c:v>
                </c:pt>
                <c:pt idx="96">
                  <c:v>53.7</c:v>
                </c:pt>
                <c:pt idx="97">
                  <c:v>11.7</c:v>
                </c:pt>
                <c:pt idx="98">
                  <c:v>136.6</c:v>
                </c:pt>
                <c:pt idx="99">
                  <c:v>144.80000000000001</c:v>
                </c:pt>
                <c:pt idx="100">
                  <c:v>16.600000000000001</c:v>
                </c:pt>
                <c:pt idx="101">
                  <c:v>20.5</c:v>
                </c:pt>
                <c:pt idx="102">
                  <c:v>24.9</c:v>
                </c:pt>
                <c:pt idx="103">
                  <c:v>125.5</c:v>
                </c:pt>
                <c:pt idx="104">
                  <c:v>21.4</c:v>
                </c:pt>
                <c:pt idx="105">
                  <c:v>97</c:v>
                </c:pt>
                <c:pt idx="106">
                  <c:v>109.6</c:v>
                </c:pt>
                <c:pt idx="107">
                  <c:v>197.7</c:v>
                </c:pt>
                <c:pt idx="108">
                  <c:v>163.1</c:v>
                </c:pt>
                <c:pt idx="109">
                  <c:v>240.3</c:v>
                </c:pt>
                <c:pt idx="110">
                  <c:v>210.4</c:v>
                </c:pt>
                <c:pt idx="111">
                  <c:v>279.60000000000002</c:v>
                </c:pt>
                <c:pt idx="112">
                  <c:v>72</c:v>
                </c:pt>
                <c:pt idx="113">
                  <c:v>23.4</c:v>
                </c:pt>
                <c:pt idx="114">
                  <c:v>39.5</c:v>
                </c:pt>
                <c:pt idx="115">
                  <c:v>20.9</c:v>
                </c:pt>
                <c:pt idx="116">
                  <c:v>86.4</c:v>
                </c:pt>
                <c:pt idx="117">
                  <c:v>135.1</c:v>
                </c:pt>
                <c:pt idx="118">
                  <c:v>174.7</c:v>
                </c:pt>
                <c:pt idx="119">
                  <c:v>308.39999999999998</c:v>
                </c:pt>
                <c:pt idx="120">
                  <c:v>39.5</c:v>
                </c:pt>
                <c:pt idx="121">
                  <c:v>57.7</c:v>
                </c:pt>
                <c:pt idx="122">
                  <c:v>80.3</c:v>
                </c:pt>
                <c:pt idx="123">
                  <c:v>520.6</c:v>
                </c:pt>
                <c:pt idx="124">
                  <c:v>106.5</c:v>
                </c:pt>
                <c:pt idx="125">
                  <c:v>168.1</c:v>
                </c:pt>
                <c:pt idx="126">
                  <c:v>130.19999999999999</c:v>
                </c:pt>
                <c:pt idx="127">
                  <c:v>35.9</c:v>
                </c:pt>
                <c:pt idx="128">
                  <c:v>40.700000000000003</c:v>
                </c:pt>
                <c:pt idx="129">
                  <c:v>182</c:v>
                </c:pt>
                <c:pt idx="130">
                  <c:v>59.9</c:v>
                </c:pt>
                <c:pt idx="131">
                  <c:v>292.39999999999998</c:v>
                </c:pt>
                <c:pt idx="132">
                  <c:v>63.6</c:v>
                </c:pt>
                <c:pt idx="133">
                  <c:v>238.1</c:v>
                </c:pt>
                <c:pt idx="134">
                  <c:v>165</c:v>
                </c:pt>
                <c:pt idx="135">
                  <c:v>394.7</c:v>
                </c:pt>
                <c:pt idx="136">
                  <c:v>287.2</c:v>
                </c:pt>
                <c:pt idx="137">
                  <c:v>247.9</c:v>
                </c:pt>
                <c:pt idx="138">
                  <c:v>102.5</c:v>
                </c:pt>
                <c:pt idx="139">
                  <c:v>16.2</c:v>
                </c:pt>
                <c:pt idx="140">
                  <c:v>98.6</c:v>
                </c:pt>
                <c:pt idx="141">
                  <c:v>89.1</c:v>
                </c:pt>
                <c:pt idx="142">
                  <c:v>59.4</c:v>
                </c:pt>
                <c:pt idx="143">
                  <c:v>116.8</c:v>
                </c:pt>
                <c:pt idx="144">
                  <c:v>253.3</c:v>
                </c:pt>
                <c:pt idx="145">
                  <c:v>73.599999999999994</c:v>
                </c:pt>
                <c:pt idx="146">
                  <c:v>64.900000000000006</c:v>
                </c:pt>
                <c:pt idx="147">
                  <c:v>119.8</c:v>
                </c:pt>
                <c:pt idx="148">
                  <c:v>367.4</c:v>
                </c:pt>
                <c:pt idx="149">
                  <c:v>72.8</c:v>
                </c:pt>
                <c:pt idx="150">
                  <c:v>51</c:v>
                </c:pt>
                <c:pt idx="151">
                  <c:v>9.5</c:v>
                </c:pt>
                <c:pt idx="152">
                  <c:v>41.9</c:v>
                </c:pt>
                <c:pt idx="153">
                  <c:v>284.3</c:v>
                </c:pt>
                <c:pt idx="154">
                  <c:v>227.5</c:v>
                </c:pt>
                <c:pt idx="155">
                  <c:v>134.4</c:v>
                </c:pt>
                <c:pt idx="156">
                  <c:v>14.4</c:v>
                </c:pt>
                <c:pt idx="157">
                  <c:v>205.4</c:v>
                </c:pt>
                <c:pt idx="158">
                  <c:v>100.6</c:v>
                </c:pt>
                <c:pt idx="159">
                  <c:v>71.599999999999994</c:v>
                </c:pt>
                <c:pt idx="160">
                  <c:v>71.8</c:v>
                </c:pt>
                <c:pt idx="161">
                  <c:v>129.80000000000001</c:v>
                </c:pt>
                <c:pt idx="162">
                  <c:v>60.9</c:v>
                </c:pt>
                <c:pt idx="163">
                  <c:v>63</c:v>
                </c:pt>
                <c:pt idx="164">
                  <c:v>73.099999999999994</c:v>
                </c:pt>
                <c:pt idx="165">
                  <c:v>181.8</c:v>
                </c:pt>
                <c:pt idx="166">
                  <c:v>47.3</c:v>
                </c:pt>
                <c:pt idx="167">
                  <c:v>143.30000000000001</c:v>
                </c:pt>
                <c:pt idx="168">
                  <c:v>50.9</c:v>
                </c:pt>
                <c:pt idx="169">
                  <c:v>188.6</c:v>
                </c:pt>
                <c:pt idx="170">
                  <c:v>133.9</c:v>
                </c:pt>
                <c:pt idx="171">
                  <c:v>62.6</c:v>
                </c:pt>
                <c:pt idx="172">
                  <c:v>58.5</c:v>
                </c:pt>
                <c:pt idx="173">
                  <c:v>74.599999999999994</c:v>
                </c:pt>
                <c:pt idx="174">
                  <c:v>111.8</c:v>
                </c:pt>
                <c:pt idx="175">
                  <c:v>3</c:v>
                </c:pt>
                <c:pt idx="176">
                  <c:v>96.7</c:v>
                </c:pt>
                <c:pt idx="177">
                  <c:v>179.3</c:v>
                </c:pt>
                <c:pt idx="178">
                  <c:v>54.2</c:v>
                </c:pt>
                <c:pt idx="179">
                  <c:v>11</c:v>
                </c:pt>
                <c:pt idx="180">
                  <c:v>358.7</c:v>
                </c:pt>
                <c:pt idx="181">
                  <c:v>91.1</c:v>
                </c:pt>
                <c:pt idx="182">
                  <c:v>98.3</c:v>
                </c:pt>
                <c:pt idx="183">
                  <c:v>300.8</c:v>
                </c:pt>
                <c:pt idx="184">
                  <c:v>10.7</c:v>
                </c:pt>
                <c:pt idx="185">
                  <c:v>20.2</c:v>
                </c:pt>
                <c:pt idx="186">
                  <c:v>23.4</c:v>
                </c:pt>
                <c:pt idx="187">
                  <c:v>35.9</c:v>
                </c:pt>
                <c:pt idx="188">
                  <c:v>79.7</c:v>
                </c:pt>
                <c:pt idx="189">
                  <c:v>120.9</c:v>
                </c:pt>
                <c:pt idx="190">
                  <c:v>108.6</c:v>
                </c:pt>
                <c:pt idx="191">
                  <c:v>93.1</c:v>
                </c:pt>
                <c:pt idx="192">
                  <c:v>78.3</c:v>
                </c:pt>
                <c:pt idx="193">
                  <c:v>245.2</c:v>
                </c:pt>
                <c:pt idx="194">
                  <c:v>43.1</c:v>
                </c:pt>
                <c:pt idx="195">
                  <c:v>96.8</c:v>
                </c:pt>
                <c:pt idx="196">
                  <c:v>122.7</c:v>
                </c:pt>
                <c:pt idx="197">
                  <c:v>65</c:v>
                </c:pt>
                <c:pt idx="198">
                  <c:v>123.7</c:v>
                </c:pt>
                <c:pt idx="199">
                  <c:v>46.4</c:v>
                </c:pt>
                <c:pt idx="200">
                  <c:v>46.6</c:v>
                </c:pt>
                <c:pt idx="201">
                  <c:v>216.2</c:v>
                </c:pt>
                <c:pt idx="202">
                  <c:v>185.7</c:v>
                </c:pt>
                <c:pt idx="203">
                  <c:v>436.9</c:v>
                </c:pt>
                <c:pt idx="204">
                  <c:v>449.7</c:v>
                </c:pt>
                <c:pt idx="205">
                  <c:v>205.7</c:v>
                </c:pt>
                <c:pt idx="206">
                  <c:v>299.2</c:v>
                </c:pt>
                <c:pt idx="207">
                  <c:v>301.2</c:v>
                </c:pt>
                <c:pt idx="208">
                  <c:v>129.30000000000001</c:v>
                </c:pt>
                <c:pt idx="209">
                  <c:v>219.1</c:v>
                </c:pt>
                <c:pt idx="210">
                  <c:v>129.1</c:v>
                </c:pt>
                <c:pt idx="211">
                  <c:v>46.4</c:v>
                </c:pt>
                <c:pt idx="212">
                  <c:v>195.2</c:v>
                </c:pt>
                <c:pt idx="213">
                  <c:v>33.5</c:v>
                </c:pt>
                <c:pt idx="214">
                  <c:v>114.4</c:v>
                </c:pt>
                <c:pt idx="215">
                  <c:v>91.2</c:v>
                </c:pt>
                <c:pt idx="216">
                  <c:v>16.7</c:v>
                </c:pt>
                <c:pt idx="217">
                  <c:v>168.2</c:v>
                </c:pt>
                <c:pt idx="218">
                  <c:v>55.6</c:v>
                </c:pt>
                <c:pt idx="219">
                  <c:v>151</c:v>
                </c:pt>
                <c:pt idx="220">
                  <c:v>59.8</c:v>
                </c:pt>
                <c:pt idx="221">
                  <c:v>71.400000000000006</c:v>
                </c:pt>
                <c:pt idx="222">
                  <c:v>98.3</c:v>
                </c:pt>
                <c:pt idx="223">
                  <c:v>17.899999999999999</c:v>
                </c:pt>
                <c:pt idx="224">
                  <c:v>40.700000000000003</c:v>
                </c:pt>
                <c:pt idx="225">
                  <c:v>82.9</c:v>
                </c:pt>
                <c:pt idx="226">
                  <c:v>3.5</c:v>
                </c:pt>
                <c:pt idx="227">
                  <c:v>37.799999999999997</c:v>
                </c:pt>
                <c:pt idx="228">
                  <c:v>130.4</c:v>
                </c:pt>
                <c:pt idx="229">
                  <c:v>99.6</c:v>
                </c:pt>
                <c:pt idx="230">
                  <c:v>172.6</c:v>
                </c:pt>
                <c:pt idx="231">
                  <c:v>114.7</c:v>
                </c:pt>
                <c:pt idx="232">
                  <c:v>252.9</c:v>
                </c:pt>
                <c:pt idx="233">
                  <c:v>110.7</c:v>
                </c:pt>
                <c:pt idx="234">
                  <c:v>82.8</c:v>
                </c:pt>
                <c:pt idx="235">
                  <c:v>98.6</c:v>
                </c:pt>
                <c:pt idx="236">
                  <c:v>180.9</c:v>
                </c:pt>
                <c:pt idx="237">
                  <c:v>162</c:v>
                </c:pt>
                <c:pt idx="238">
                  <c:v>143.4</c:v>
                </c:pt>
                <c:pt idx="239">
                  <c:v>93</c:v>
                </c:pt>
                <c:pt idx="240">
                  <c:v>143.19999999999999</c:v>
                </c:pt>
                <c:pt idx="241">
                  <c:v>89.1</c:v>
                </c:pt>
                <c:pt idx="242">
                  <c:v>99.9</c:v>
                </c:pt>
                <c:pt idx="243">
                  <c:v>417.4</c:v>
                </c:pt>
                <c:pt idx="244">
                  <c:v>219.9</c:v>
                </c:pt>
                <c:pt idx="245">
                  <c:v>93.3</c:v>
                </c:pt>
                <c:pt idx="246">
                  <c:v>34</c:v>
                </c:pt>
                <c:pt idx="247">
                  <c:v>184.9</c:v>
                </c:pt>
                <c:pt idx="248">
                  <c:v>229.8</c:v>
                </c:pt>
                <c:pt idx="249">
                  <c:v>126.5</c:v>
                </c:pt>
                <c:pt idx="250">
                  <c:v>171.4</c:v>
                </c:pt>
                <c:pt idx="251">
                  <c:v>70.900000000000006</c:v>
                </c:pt>
                <c:pt idx="252">
                  <c:v>115.3</c:v>
                </c:pt>
                <c:pt idx="253">
                  <c:v>115.2</c:v>
                </c:pt>
                <c:pt idx="254">
                  <c:v>363.7</c:v>
                </c:pt>
                <c:pt idx="255">
                  <c:v>382.9</c:v>
                </c:pt>
                <c:pt idx="256">
                  <c:v>128.6</c:v>
                </c:pt>
                <c:pt idx="257">
                  <c:v>71.7</c:v>
                </c:pt>
                <c:pt idx="258">
                  <c:v>193.5</c:v>
                </c:pt>
                <c:pt idx="259">
                  <c:v>74.8</c:v>
                </c:pt>
                <c:pt idx="260">
                  <c:v>283.39999999999998</c:v>
                </c:pt>
                <c:pt idx="261">
                  <c:v>211.9</c:v>
                </c:pt>
                <c:pt idx="262">
                  <c:v>434.5</c:v>
                </c:pt>
                <c:pt idx="263">
                  <c:v>288.3</c:v>
                </c:pt>
                <c:pt idx="264">
                  <c:v>118.3</c:v>
                </c:pt>
                <c:pt idx="265">
                  <c:v>217.7</c:v>
                </c:pt>
                <c:pt idx="266">
                  <c:v>195.4</c:v>
                </c:pt>
                <c:pt idx="267">
                  <c:v>170.5</c:v>
                </c:pt>
                <c:pt idx="268">
                  <c:v>180.9</c:v>
                </c:pt>
                <c:pt idx="269">
                  <c:v>93.7</c:v>
                </c:pt>
                <c:pt idx="270">
                  <c:v>38</c:v>
                </c:pt>
                <c:pt idx="271">
                  <c:v>140.4</c:v>
                </c:pt>
                <c:pt idx="272">
                  <c:v>71.5</c:v>
                </c:pt>
                <c:pt idx="273">
                  <c:v>146.1</c:v>
                </c:pt>
                <c:pt idx="274">
                  <c:v>156.6</c:v>
                </c:pt>
                <c:pt idx="275">
                  <c:v>173.9</c:v>
                </c:pt>
                <c:pt idx="276">
                  <c:v>48.2</c:v>
                </c:pt>
                <c:pt idx="277">
                  <c:v>61.3</c:v>
                </c:pt>
                <c:pt idx="278">
                  <c:v>53.3</c:v>
                </c:pt>
                <c:pt idx="279">
                  <c:v>125</c:v>
                </c:pt>
                <c:pt idx="280">
                  <c:v>29.2</c:v>
                </c:pt>
                <c:pt idx="281">
                  <c:v>82.1</c:v>
                </c:pt>
                <c:pt idx="282">
                  <c:v>30.5</c:v>
                </c:pt>
                <c:pt idx="283">
                  <c:v>18.399999999999999</c:v>
                </c:pt>
                <c:pt idx="284">
                  <c:v>109.2</c:v>
                </c:pt>
                <c:pt idx="285">
                  <c:v>191.5</c:v>
                </c:pt>
                <c:pt idx="286">
                  <c:v>192.4</c:v>
                </c:pt>
                <c:pt idx="287">
                  <c:v>85.4</c:v>
                </c:pt>
                <c:pt idx="288">
                  <c:v>81.3</c:v>
                </c:pt>
                <c:pt idx="289">
                  <c:v>26.7</c:v>
                </c:pt>
                <c:pt idx="290">
                  <c:v>82.3</c:v>
                </c:pt>
                <c:pt idx="291">
                  <c:v>120.2</c:v>
                </c:pt>
                <c:pt idx="292">
                  <c:v>169.4</c:v>
                </c:pt>
                <c:pt idx="293">
                  <c:v>175.3</c:v>
                </c:pt>
                <c:pt idx="294">
                  <c:v>23.5</c:v>
                </c:pt>
                <c:pt idx="295">
                  <c:v>91.3</c:v>
                </c:pt>
                <c:pt idx="296">
                  <c:v>112.8</c:v>
                </c:pt>
                <c:pt idx="297">
                  <c:v>108.5</c:v>
                </c:pt>
                <c:pt idx="298">
                  <c:v>109.8</c:v>
                </c:pt>
                <c:pt idx="299">
                  <c:v>145</c:v>
                </c:pt>
                <c:pt idx="300">
                  <c:v>54.6</c:v>
                </c:pt>
                <c:pt idx="301">
                  <c:v>9.1999999999999993</c:v>
                </c:pt>
                <c:pt idx="302">
                  <c:v>68.3</c:v>
                </c:pt>
                <c:pt idx="303">
                  <c:v>125.8</c:v>
                </c:pt>
                <c:pt idx="304">
                  <c:v>82</c:v>
                </c:pt>
                <c:pt idx="305">
                  <c:v>139.4</c:v>
                </c:pt>
                <c:pt idx="306">
                  <c:v>52.6</c:v>
                </c:pt>
                <c:pt idx="307">
                  <c:v>26.8</c:v>
                </c:pt>
                <c:pt idx="308">
                  <c:v>52.3</c:v>
                </c:pt>
                <c:pt idx="309">
                  <c:v>114.3</c:v>
                </c:pt>
                <c:pt idx="310">
                  <c:v>252.3</c:v>
                </c:pt>
                <c:pt idx="311">
                  <c:v>173.5</c:v>
                </c:pt>
                <c:pt idx="312">
                  <c:v>50.1</c:v>
                </c:pt>
                <c:pt idx="313">
                  <c:v>213.5</c:v>
                </c:pt>
                <c:pt idx="314">
                  <c:v>277.7</c:v>
                </c:pt>
                <c:pt idx="315">
                  <c:v>116.2</c:v>
                </c:pt>
                <c:pt idx="316">
                  <c:v>24.2</c:v>
                </c:pt>
                <c:pt idx="317">
                  <c:v>67.599999999999994</c:v>
                </c:pt>
                <c:pt idx="318">
                  <c:v>40.6</c:v>
                </c:pt>
                <c:pt idx="319">
                  <c:v>109.3</c:v>
                </c:pt>
                <c:pt idx="320">
                  <c:v>116.6</c:v>
                </c:pt>
                <c:pt idx="321">
                  <c:v>238.6</c:v>
                </c:pt>
                <c:pt idx="322">
                  <c:v>29.7</c:v>
                </c:pt>
                <c:pt idx="323">
                  <c:v>68.8</c:v>
                </c:pt>
                <c:pt idx="324">
                  <c:v>61.8</c:v>
                </c:pt>
                <c:pt idx="325">
                  <c:v>82.8</c:v>
                </c:pt>
                <c:pt idx="326">
                  <c:v>75.3</c:v>
                </c:pt>
                <c:pt idx="327">
                  <c:v>128.1</c:v>
                </c:pt>
                <c:pt idx="328">
                  <c:v>52.5</c:v>
                </c:pt>
                <c:pt idx="329">
                  <c:v>107.1</c:v>
                </c:pt>
                <c:pt idx="330">
                  <c:v>127.3</c:v>
                </c:pt>
                <c:pt idx="331">
                  <c:v>83.8</c:v>
                </c:pt>
                <c:pt idx="332">
                  <c:v>70.7</c:v>
                </c:pt>
                <c:pt idx="333">
                  <c:v>205.2</c:v>
                </c:pt>
                <c:pt idx="334">
                  <c:v>18</c:v>
                </c:pt>
                <c:pt idx="335">
                  <c:v>65.2</c:v>
                </c:pt>
                <c:pt idx="336">
                  <c:v>54.9</c:v>
                </c:pt>
                <c:pt idx="337">
                  <c:v>262.60000000000002</c:v>
                </c:pt>
                <c:pt idx="338">
                  <c:v>43.7</c:v>
                </c:pt>
                <c:pt idx="339">
                  <c:v>17.5</c:v>
                </c:pt>
                <c:pt idx="340">
                  <c:v>146</c:v>
                </c:pt>
                <c:pt idx="341">
                  <c:v>14</c:v>
                </c:pt>
                <c:pt idx="342">
                  <c:v>21.2</c:v>
                </c:pt>
                <c:pt idx="343">
                  <c:v>21.8</c:v>
                </c:pt>
                <c:pt idx="344">
                  <c:v>195.7</c:v>
                </c:pt>
                <c:pt idx="345">
                  <c:v>81.099999999999994</c:v>
                </c:pt>
                <c:pt idx="346">
                  <c:v>613.29999999999995</c:v>
                </c:pt>
                <c:pt idx="347">
                  <c:v>272.39999999999998</c:v>
                </c:pt>
                <c:pt idx="348">
                  <c:v>357.5</c:v>
                </c:pt>
                <c:pt idx="349">
                  <c:v>166.2</c:v>
                </c:pt>
                <c:pt idx="350">
                  <c:v>46.7</c:v>
                </c:pt>
                <c:pt idx="351">
                  <c:v>62.9</c:v>
                </c:pt>
                <c:pt idx="352">
                  <c:v>126.8</c:v>
                </c:pt>
                <c:pt idx="353">
                  <c:v>22.4</c:v>
                </c:pt>
                <c:pt idx="354">
                  <c:v>168.5</c:v>
                </c:pt>
                <c:pt idx="355">
                  <c:v>13.6</c:v>
                </c:pt>
                <c:pt idx="356">
                  <c:v>143.9</c:v>
                </c:pt>
                <c:pt idx="357">
                  <c:v>24.4</c:v>
                </c:pt>
                <c:pt idx="358">
                  <c:v>32.700000000000003</c:v>
                </c:pt>
                <c:pt idx="359">
                  <c:v>78.5</c:v>
                </c:pt>
              </c:numCache>
            </c:numRef>
          </c:val>
          <c:extLst>
            <c:ext xmlns:c16="http://schemas.microsoft.com/office/drawing/2014/chart" uri="{C3380CC4-5D6E-409C-BE32-E72D297353CC}">
              <c16:uniqueId val="{00000000-AA51-EF40-B01F-74F3FDB37A28}"/>
            </c:ext>
          </c:extLst>
        </c:ser>
        <c:dLbls>
          <c:showLegendKey val="0"/>
          <c:showVal val="0"/>
          <c:showCatName val="0"/>
          <c:showSerName val="0"/>
          <c:showPercent val="0"/>
          <c:showBubbleSize val="0"/>
        </c:dLbls>
        <c:gapWidth val="150"/>
        <c:axId val="1243031584"/>
        <c:axId val="1"/>
      </c:barChart>
      <c:barChart>
        <c:barDir val="col"/>
        <c:grouping val="clustered"/>
        <c:varyColors val="0"/>
        <c:ser>
          <c:idx val="4"/>
          <c:order val="1"/>
          <c:spPr>
            <a:solidFill>
              <a:srgbClr val="800000"/>
            </a:solidFill>
            <a:ln w="3175">
              <a:solidFill>
                <a:srgbClr val="800000"/>
              </a:solidFill>
              <a:prstDash val="solid"/>
            </a:ln>
          </c:spPr>
          <c:invertIfNegative val="0"/>
          <c:val>
            <c:numRef>
              <c:f>'Anexo Escurrimiento'!$O$18:$O$377</c:f>
              <c:numCache>
                <c:formatCode>0.00</c:formatCode>
                <c:ptCount val="360"/>
                <c:pt idx="0">
                  <c:v>0.97746626122915181</c:v>
                </c:pt>
                <c:pt idx="1">
                  <c:v>2.2079423550386661</c:v>
                </c:pt>
                <c:pt idx="2">
                  <c:v>0.93857414317624599</c:v>
                </c:pt>
                <c:pt idx="3">
                  <c:v>0.43648873501418523</c:v>
                </c:pt>
                <c:pt idx="4">
                  <c:v>4.3519900633041679</c:v>
                </c:pt>
                <c:pt idx="5">
                  <c:v>2.2870331470868153</c:v>
                </c:pt>
                <c:pt idx="6">
                  <c:v>1.2247821853808032</c:v>
                </c:pt>
                <c:pt idx="7">
                  <c:v>0.61304020420748184</c:v>
                </c:pt>
                <c:pt idx="8">
                  <c:v>0.97204477325863348</c:v>
                </c:pt>
                <c:pt idx="9">
                  <c:v>0.5576900814448178</c:v>
                </c:pt>
                <c:pt idx="10">
                  <c:v>1.0336739415844816</c:v>
                </c:pt>
                <c:pt idx="11">
                  <c:v>1.3111676374592658</c:v>
                </c:pt>
                <c:pt idx="12">
                  <c:v>0.65272604576960713</c:v>
                </c:pt>
                <c:pt idx="13">
                  <c:v>5.3329586211753686</c:v>
                </c:pt>
                <c:pt idx="14">
                  <c:v>1.1841798878829288</c:v>
                </c:pt>
                <c:pt idx="15">
                  <c:v>0.17531614809473417</c:v>
                </c:pt>
                <c:pt idx="16">
                  <c:v>2.6169070571409283</c:v>
                </c:pt>
                <c:pt idx="17">
                  <c:v>2.538916221622558</c:v>
                </c:pt>
                <c:pt idx="18">
                  <c:v>1.4227751663943491</c:v>
                </c:pt>
                <c:pt idx="19">
                  <c:v>2.6356080230327152</c:v>
                </c:pt>
                <c:pt idx="20">
                  <c:v>3.7204742959877279</c:v>
                </c:pt>
                <c:pt idx="21">
                  <c:v>1.8504732619204203</c:v>
                </c:pt>
                <c:pt idx="22">
                  <c:v>4.6537826754236651</c:v>
                </c:pt>
                <c:pt idx="23">
                  <c:v>1.0929693897472346</c:v>
                </c:pt>
                <c:pt idx="24">
                  <c:v>1.4301066889817158</c:v>
                </c:pt>
                <c:pt idx="25">
                  <c:v>7.0593676713086255</c:v>
                </c:pt>
                <c:pt idx="26">
                  <c:v>1.932234558992534</c:v>
                </c:pt>
                <c:pt idx="27">
                  <c:v>0.98816565637740317</c:v>
                </c:pt>
                <c:pt idx="28">
                  <c:v>5.4548732982233084</c:v>
                </c:pt>
                <c:pt idx="29">
                  <c:v>2.1381846530826674</c:v>
                </c:pt>
                <c:pt idx="30">
                  <c:v>2.1434527721558672</c:v>
                </c:pt>
                <c:pt idx="31">
                  <c:v>0.90236731693755545</c:v>
                </c:pt>
                <c:pt idx="32">
                  <c:v>0.41927041498801532</c:v>
                </c:pt>
                <c:pt idx="33">
                  <c:v>0.69661277982757164</c:v>
                </c:pt>
                <c:pt idx="34">
                  <c:v>1.5353281145551652</c:v>
                </c:pt>
                <c:pt idx="35">
                  <c:v>0.46523814881150954</c:v>
                </c:pt>
                <c:pt idx="36">
                  <c:v>4.4488209077702319</c:v>
                </c:pt>
                <c:pt idx="37">
                  <c:v>5.6164811013013276</c:v>
                </c:pt>
                <c:pt idx="38">
                  <c:v>3.3736832357075297</c:v>
                </c:pt>
                <c:pt idx="39">
                  <c:v>2.0764758018993188</c:v>
                </c:pt>
                <c:pt idx="40">
                  <c:v>3.0635796809425657</c:v>
                </c:pt>
                <c:pt idx="41">
                  <c:v>2.6675315267237472</c:v>
                </c:pt>
                <c:pt idx="42">
                  <c:v>1.9793418827716363</c:v>
                </c:pt>
                <c:pt idx="43">
                  <c:v>0.59518605992495821</c:v>
                </c:pt>
                <c:pt idx="44">
                  <c:v>2.8662339145583076</c:v>
                </c:pt>
                <c:pt idx="45">
                  <c:v>1.8619081223909717</c:v>
                </c:pt>
                <c:pt idx="46">
                  <c:v>1.659807013965793</c:v>
                </c:pt>
                <c:pt idx="47">
                  <c:v>0.48689531028964028</c:v>
                </c:pt>
                <c:pt idx="48">
                  <c:v>0.31215159541990339</c:v>
                </c:pt>
                <c:pt idx="49">
                  <c:v>0.78676040790645008</c:v>
                </c:pt>
                <c:pt idx="50">
                  <c:v>3.6986915685198305</c:v>
                </c:pt>
                <c:pt idx="51">
                  <c:v>2.0569547254924045</c:v>
                </c:pt>
                <c:pt idx="52">
                  <c:v>2.5117525475714375</c:v>
                </c:pt>
                <c:pt idx="53">
                  <c:v>1.4856496946109377</c:v>
                </c:pt>
                <c:pt idx="54">
                  <c:v>2.2938728831925346</c:v>
                </c:pt>
                <c:pt idx="55">
                  <c:v>1.4007951225875015</c:v>
                </c:pt>
                <c:pt idx="56">
                  <c:v>1.3351291835576042</c:v>
                </c:pt>
                <c:pt idx="57">
                  <c:v>1.2669774209845777</c:v>
                </c:pt>
                <c:pt idx="58">
                  <c:v>0.34773476772142126</c:v>
                </c:pt>
                <c:pt idx="59">
                  <c:v>7.5138381570113835E-2</c:v>
                </c:pt>
                <c:pt idx="60">
                  <c:v>2.1435958332752723</c:v>
                </c:pt>
                <c:pt idx="61">
                  <c:v>1.016533595050382</c:v>
                </c:pt>
                <c:pt idx="62">
                  <c:v>4.8191979634840951</c:v>
                </c:pt>
                <c:pt idx="63">
                  <c:v>6.0688689174704793</c:v>
                </c:pt>
                <c:pt idx="64">
                  <c:v>5.1492603601121818</c:v>
                </c:pt>
                <c:pt idx="65">
                  <c:v>2.6658623830909933</c:v>
                </c:pt>
                <c:pt idx="66">
                  <c:v>0.80857784733267313</c:v>
                </c:pt>
                <c:pt idx="67">
                  <c:v>0.68750832662350281</c:v>
                </c:pt>
                <c:pt idx="68">
                  <c:v>1.3150027866349794</c:v>
                </c:pt>
                <c:pt idx="69">
                  <c:v>1.8402389541538222</c:v>
                </c:pt>
                <c:pt idx="70">
                  <c:v>4.6768426349767269</c:v>
                </c:pt>
                <c:pt idx="71">
                  <c:v>1.0932403688626386</c:v>
                </c:pt>
                <c:pt idx="72">
                  <c:v>1.2563953167350537</c:v>
                </c:pt>
                <c:pt idx="73">
                  <c:v>0.71544185007040983</c:v>
                </c:pt>
                <c:pt idx="74">
                  <c:v>5.6076797468613622</c:v>
                </c:pt>
                <c:pt idx="75">
                  <c:v>3.7131579275384499</c:v>
                </c:pt>
                <c:pt idx="76">
                  <c:v>1.4424435022225457</c:v>
                </c:pt>
                <c:pt idx="77">
                  <c:v>0.776170677251249</c:v>
                </c:pt>
                <c:pt idx="78">
                  <c:v>2.4351401581393484</c:v>
                </c:pt>
                <c:pt idx="79">
                  <c:v>1.626200276731576</c:v>
                </c:pt>
                <c:pt idx="80">
                  <c:v>2.9664817526222409</c:v>
                </c:pt>
                <c:pt idx="81">
                  <c:v>0.96385127403454618</c:v>
                </c:pt>
                <c:pt idx="82">
                  <c:v>0.77396578129949178</c:v>
                </c:pt>
                <c:pt idx="83">
                  <c:v>0.57210372625474881</c:v>
                </c:pt>
                <c:pt idx="84">
                  <c:v>5.3243723446951083</c:v>
                </c:pt>
                <c:pt idx="85">
                  <c:v>1.5362369544855854</c:v>
                </c:pt>
                <c:pt idx="86">
                  <c:v>0.47828727925989312</c:v>
                </c:pt>
                <c:pt idx="87">
                  <c:v>0.24883947992380465</c:v>
                </c:pt>
                <c:pt idx="88">
                  <c:v>7.0021648194232414E-2</c:v>
                </c:pt>
                <c:pt idx="89">
                  <c:v>0.69257865966307652</c:v>
                </c:pt>
                <c:pt idx="90">
                  <c:v>0.44208096174249184</c:v>
                </c:pt>
                <c:pt idx="91">
                  <c:v>0.60164491853797419</c:v>
                </c:pt>
                <c:pt idx="92">
                  <c:v>2.1288756423945916</c:v>
                </c:pt>
                <c:pt idx="93">
                  <c:v>0.90151391774496881</c:v>
                </c:pt>
                <c:pt idx="94">
                  <c:v>0.82924490992781763</c:v>
                </c:pt>
                <c:pt idx="95">
                  <c:v>0.62513822946527597</c:v>
                </c:pt>
                <c:pt idx="96">
                  <c:v>0.33036872686975627</c:v>
                </c:pt>
                <c:pt idx="97">
                  <c:v>8.4743039245574456E-2</c:v>
                </c:pt>
                <c:pt idx="98">
                  <c:v>1.2452626862407248</c:v>
                </c:pt>
                <c:pt idx="99">
                  <c:v>2.0675106188007719</c:v>
                </c:pt>
                <c:pt idx="100">
                  <c:v>0.58445778420664352</c:v>
                </c:pt>
                <c:pt idx="101">
                  <c:v>0.13060266637193654</c:v>
                </c:pt>
                <c:pt idx="102">
                  <c:v>0.12612396158848768</c:v>
                </c:pt>
                <c:pt idx="103">
                  <c:v>1.5024548150498713</c:v>
                </c:pt>
                <c:pt idx="104">
                  <c:v>0.51029773958707625</c:v>
                </c:pt>
                <c:pt idx="105">
                  <c:v>0.77296632702223811</c:v>
                </c:pt>
                <c:pt idx="106">
                  <c:v>1.0190348154765727</c:v>
                </c:pt>
                <c:pt idx="107">
                  <c:v>2.169429384334451</c:v>
                </c:pt>
                <c:pt idx="108">
                  <c:v>1.9117418686128513</c:v>
                </c:pt>
                <c:pt idx="109">
                  <c:v>3.2987880374625029</c:v>
                </c:pt>
                <c:pt idx="110">
                  <c:v>3.2755427124288121</c:v>
                </c:pt>
                <c:pt idx="111">
                  <c:v>5.1031988500854801</c:v>
                </c:pt>
                <c:pt idx="112">
                  <c:v>1.7273007222502474</c:v>
                </c:pt>
                <c:pt idx="113">
                  <c:v>0.43089573194331665</c:v>
                </c:pt>
                <c:pt idx="114">
                  <c:v>0.31522565825328502</c:v>
                </c:pt>
                <c:pt idx="115">
                  <c:v>0.14954038095261399</c:v>
                </c:pt>
                <c:pt idx="116">
                  <c:v>0.72726937618778598</c:v>
                </c:pt>
                <c:pt idx="117">
                  <c:v>1.502943783055201</c:v>
                </c:pt>
                <c:pt idx="118">
                  <c:v>2.1142006927963881</c:v>
                </c:pt>
                <c:pt idx="119">
                  <c:v>4.3775984045470135</c:v>
                </c:pt>
                <c:pt idx="120">
                  <c:v>1.064710329664095</c:v>
                </c:pt>
                <c:pt idx="121">
                  <c:v>0.35954223353442671</c:v>
                </c:pt>
                <c:pt idx="122">
                  <c:v>0.59268656891053217</c:v>
                </c:pt>
                <c:pt idx="123">
                  <c:v>10.055145195650462</c:v>
                </c:pt>
                <c:pt idx="124">
                  <c:v>2.845310997850055</c:v>
                </c:pt>
                <c:pt idx="125">
                  <c:v>3.1772496412462048</c:v>
                </c:pt>
                <c:pt idx="126">
                  <c:v>2.6732909213366023</c:v>
                </c:pt>
                <c:pt idx="127">
                  <c:v>0.85434156071895118</c:v>
                </c:pt>
                <c:pt idx="128">
                  <c:v>0.31559661562587105</c:v>
                </c:pt>
                <c:pt idx="129">
                  <c:v>2.0995902407617644</c:v>
                </c:pt>
                <c:pt idx="130">
                  <c:v>0.85112764119659046</c:v>
                </c:pt>
                <c:pt idx="131">
                  <c:v>3.6672163746130648</c:v>
                </c:pt>
                <c:pt idx="132">
                  <c:v>1.123995307352069</c:v>
                </c:pt>
                <c:pt idx="133">
                  <c:v>2.9485198087141691</c:v>
                </c:pt>
                <c:pt idx="134">
                  <c:v>2.450702405132164</c:v>
                </c:pt>
                <c:pt idx="135">
                  <c:v>7.4961555014323569</c:v>
                </c:pt>
                <c:pt idx="136">
                  <c:v>6.3437471900394513</c:v>
                </c:pt>
                <c:pt idx="137">
                  <c:v>5.7114258684301751</c:v>
                </c:pt>
                <c:pt idx="138">
                  <c:v>2.5595847651183505</c:v>
                </c:pt>
                <c:pt idx="139">
                  <c:v>0.60839622693770046</c:v>
                </c:pt>
                <c:pt idx="140">
                  <c:v>0.94481338279087956</c:v>
                </c:pt>
                <c:pt idx="141">
                  <c:v>0.92435160460304922</c:v>
                </c:pt>
                <c:pt idx="142">
                  <c:v>0.49495101196294117</c:v>
                </c:pt>
                <c:pt idx="143">
                  <c:v>0.87608838647687404</c:v>
                </c:pt>
                <c:pt idx="144">
                  <c:v>3.0157966842199424</c:v>
                </c:pt>
                <c:pt idx="145">
                  <c:v>1.1391347941772403</c:v>
                </c:pt>
                <c:pt idx="146">
                  <c:v>0.54525131074230671</c:v>
                </c:pt>
                <c:pt idx="147">
                  <c:v>1.380005780457698</c:v>
                </c:pt>
                <c:pt idx="148">
                  <c:v>7.1774993841081658</c:v>
                </c:pt>
                <c:pt idx="149">
                  <c:v>2.2085488624040517</c:v>
                </c:pt>
                <c:pt idx="150">
                  <c:v>0.8995147004337436</c:v>
                </c:pt>
                <c:pt idx="151">
                  <c:v>0.21850563953958732</c:v>
                </c:pt>
                <c:pt idx="152">
                  <c:v>0.20359504800048703</c:v>
                </c:pt>
                <c:pt idx="153">
                  <c:v>4.0399405482483672</c:v>
                </c:pt>
                <c:pt idx="154">
                  <c:v>3.5196205700245167</c:v>
                </c:pt>
                <c:pt idx="155">
                  <c:v>1.7754616934199599</c:v>
                </c:pt>
                <c:pt idx="156">
                  <c:v>0.41876719818921965</c:v>
                </c:pt>
                <c:pt idx="157">
                  <c:v>2.2368779178405997</c:v>
                </c:pt>
                <c:pt idx="158">
                  <c:v>1.3738967012974468</c:v>
                </c:pt>
                <c:pt idx="159">
                  <c:v>0.8450054134208721</c:v>
                </c:pt>
                <c:pt idx="160">
                  <c:v>0.8745357486316041</c:v>
                </c:pt>
                <c:pt idx="161">
                  <c:v>2.0541116506810591</c:v>
                </c:pt>
                <c:pt idx="162">
                  <c:v>1.1870659107322468</c:v>
                </c:pt>
                <c:pt idx="163">
                  <c:v>0.76644238197810455</c:v>
                </c:pt>
                <c:pt idx="164">
                  <c:v>0.73081880291737267</c:v>
                </c:pt>
                <c:pt idx="165">
                  <c:v>2.2283668943362724</c:v>
                </c:pt>
                <c:pt idx="166">
                  <c:v>0.77002237604564638</c:v>
                </c:pt>
                <c:pt idx="167">
                  <c:v>1.2067068538325647</c:v>
                </c:pt>
                <c:pt idx="168">
                  <c:v>0.52572956517308989</c:v>
                </c:pt>
                <c:pt idx="169">
                  <c:v>2.0082099557297304</c:v>
                </c:pt>
                <c:pt idx="170">
                  <c:v>1.7798740888773319</c:v>
                </c:pt>
                <c:pt idx="171">
                  <c:v>0.86305963052308188</c:v>
                </c:pt>
                <c:pt idx="172">
                  <c:v>0.65727743455393761</c:v>
                </c:pt>
                <c:pt idx="173">
                  <c:v>0.98094142699067477</c:v>
                </c:pt>
                <c:pt idx="174">
                  <c:v>1.7330227172185215</c:v>
                </c:pt>
                <c:pt idx="175">
                  <c:v>0.48965447857490396</c:v>
                </c:pt>
                <c:pt idx="176">
                  <c:v>0.89281672080141983</c:v>
                </c:pt>
                <c:pt idx="177">
                  <c:v>2.272372124129153</c:v>
                </c:pt>
                <c:pt idx="178">
                  <c:v>0.8178666112538413</c:v>
                </c:pt>
                <c:pt idx="179">
                  <c:v>0.14152461496823857</c:v>
                </c:pt>
                <c:pt idx="180">
                  <c:v>4.721192703338625</c:v>
                </c:pt>
                <c:pt idx="181">
                  <c:v>1.5984929857180759</c:v>
                </c:pt>
                <c:pt idx="182">
                  <c:v>1.0094538423990449</c:v>
                </c:pt>
                <c:pt idx="183">
                  <c:v>5.0738029597072147</c:v>
                </c:pt>
                <c:pt idx="184">
                  <c:v>1.0938720677932481</c:v>
                </c:pt>
                <c:pt idx="185">
                  <c:v>0.17107481196927027</c:v>
                </c:pt>
                <c:pt idx="186">
                  <c:v>0.11672546968216982</c:v>
                </c:pt>
                <c:pt idx="187">
                  <c:v>0.1984378821467927</c:v>
                </c:pt>
                <c:pt idx="188">
                  <c:v>0.67536493750691695</c:v>
                </c:pt>
                <c:pt idx="189">
                  <c:v>1.2664734520006768</c:v>
                </c:pt>
                <c:pt idx="190">
                  <c:v>1.1212041818026688</c:v>
                </c:pt>
                <c:pt idx="191">
                  <c:v>0.80347538058367485</c:v>
                </c:pt>
                <c:pt idx="192">
                  <c:v>0.5637495369989024</c:v>
                </c:pt>
                <c:pt idx="193">
                  <c:v>3.0546624997943197</c:v>
                </c:pt>
                <c:pt idx="194">
                  <c:v>0.93413372951097884</c:v>
                </c:pt>
                <c:pt idx="195">
                  <c:v>1.0063512731512976</c:v>
                </c:pt>
                <c:pt idx="196">
                  <c:v>1.8250709270352528</c:v>
                </c:pt>
                <c:pt idx="197">
                  <c:v>1.1501441087750466</c:v>
                </c:pt>
                <c:pt idx="198">
                  <c:v>1.9253908067903287</c:v>
                </c:pt>
                <c:pt idx="199">
                  <c:v>0.84492966231634103</c:v>
                </c:pt>
                <c:pt idx="200">
                  <c:v>0.39525669827797</c:v>
                </c:pt>
                <c:pt idx="201">
                  <c:v>2.7392752632538877</c:v>
                </c:pt>
                <c:pt idx="202">
                  <c:v>2.588228913195707</c:v>
                </c:pt>
                <c:pt idx="203">
                  <c:v>7.0610983456772765</c:v>
                </c:pt>
                <c:pt idx="204">
                  <c:v>7.8953274343088387</c:v>
                </c:pt>
                <c:pt idx="205">
                  <c:v>3.5880927394766715</c:v>
                </c:pt>
                <c:pt idx="206">
                  <c:v>4.9682294139700245</c:v>
                </c:pt>
                <c:pt idx="207">
                  <c:v>5.8550879681411914</c:v>
                </c:pt>
                <c:pt idx="208">
                  <c:v>2.7954028888846847</c:v>
                </c:pt>
                <c:pt idx="209">
                  <c:v>4.3011689228409962</c:v>
                </c:pt>
                <c:pt idx="210">
                  <c:v>2.8647837656870787</c:v>
                </c:pt>
                <c:pt idx="211">
                  <c:v>0.99571820744324291</c:v>
                </c:pt>
                <c:pt idx="212">
                  <c:v>2.7384022710393836</c:v>
                </c:pt>
                <c:pt idx="213">
                  <c:v>0.81418534234094764</c:v>
                </c:pt>
                <c:pt idx="214">
                  <c:v>0.92347090854610969</c:v>
                </c:pt>
                <c:pt idx="215">
                  <c:v>0.78043345449184931</c:v>
                </c:pt>
                <c:pt idx="216">
                  <c:v>0.21872461701640933</c:v>
                </c:pt>
                <c:pt idx="217">
                  <c:v>1.6106490957828623</c:v>
                </c:pt>
                <c:pt idx="218">
                  <c:v>0.74465444644105538</c:v>
                </c:pt>
                <c:pt idx="219">
                  <c:v>1.9126080506193481</c:v>
                </c:pt>
                <c:pt idx="220">
                  <c:v>1.0319578447879716</c:v>
                </c:pt>
                <c:pt idx="221">
                  <c:v>0.9691423471695223</c:v>
                </c:pt>
                <c:pt idx="222">
                  <c:v>1.4684905011764331</c:v>
                </c:pt>
                <c:pt idx="223">
                  <c:v>0.46056974024328939</c:v>
                </c:pt>
                <c:pt idx="224">
                  <c:v>0.22787781037732352</c:v>
                </c:pt>
                <c:pt idx="225">
                  <c:v>0.61115697884345166</c:v>
                </c:pt>
                <c:pt idx="226">
                  <c:v>0.20629452361074468</c:v>
                </c:pt>
                <c:pt idx="227">
                  <c:v>0.1007997047968858</c:v>
                </c:pt>
                <c:pt idx="228">
                  <c:v>0.92575102317146174</c:v>
                </c:pt>
                <c:pt idx="229">
                  <c:v>0.95798863748833207</c:v>
                </c:pt>
                <c:pt idx="230">
                  <c:v>2.0740148780578176</c:v>
                </c:pt>
                <c:pt idx="231">
                  <c:v>1.7267055424284801</c:v>
                </c:pt>
                <c:pt idx="232">
                  <c:v>4.6014840132756394</c:v>
                </c:pt>
                <c:pt idx="233">
                  <c:v>2.5703306721492472</c:v>
                </c:pt>
                <c:pt idx="234">
                  <c:v>1.5871563469340495</c:v>
                </c:pt>
                <c:pt idx="235">
                  <c:v>1.4603550544234074</c:v>
                </c:pt>
                <c:pt idx="236">
                  <c:v>2.6733544071468862</c:v>
                </c:pt>
                <c:pt idx="237">
                  <c:v>2.3695310803039562</c:v>
                </c:pt>
                <c:pt idx="238">
                  <c:v>1.7948076770134282</c:v>
                </c:pt>
                <c:pt idx="239">
                  <c:v>0.95755534284969701</c:v>
                </c:pt>
                <c:pt idx="240">
                  <c:v>1.2819754554387026</c:v>
                </c:pt>
                <c:pt idx="241">
                  <c:v>0.90588117406010116</c:v>
                </c:pt>
                <c:pt idx="242">
                  <c:v>0.95682222337675293</c:v>
                </c:pt>
                <c:pt idx="243">
                  <c:v>7.7064382341868178</c:v>
                </c:pt>
                <c:pt idx="244">
                  <c:v>4.8932754855399851</c:v>
                </c:pt>
                <c:pt idx="245">
                  <c:v>2.2364626505745342</c:v>
                </c:pt>
                <c:pt idx="246">
                  <c:v>0.73884318577829444</c:v>
                </c:pt>
                <c:pt idx="247">
                  <c:v>2.7279597133596929</c:v>
                </c:pt>
                <c:pt idx="248">
                  <c:v>3.9710575915946498</c:v>
                </c:pt>
                <c:pt idx="249">
                  <c:v>2.0240927628522014</c:v>
                </c:pt>
                <c:pt idx="250">
                  <c:v>2.0906795842913977</c:v>
                </c:pt>
                <c:pt idx="251">
                  <c:v>0.85148496556440167</c:v>
                </c:pt>
                <c:pt idx="252">
                  <c:v>0.88443721663617714</c:v>
                </c:pt>
                <c:pt idx="253">
                  <c:v>1.1068274845559511</c:v>
                </c:pt>
                <c:pt idx="254">
                  <c:v>5.8749144704805207</c:v>
                </c:pt>
                <c:pt idx="255">
                  <c:v>7.8119582626253585</c:v>
                </c:pt>
                <c:pt idx="256">
                  <c:v>3.0426337210146976</c:v>
                </c:pt>
                <c:pt idx="257">
                  <c:v>1.4222617364225363</c:v>
                </c:pt>
                <c:pt idx="258">
                  <c:v>3.4235609137194132</c:v>
                </c:pt>
                <c:pt idx="259">
                  <c:v>1.5680062211930974</c:v>
                </c:pt>
                <c:pt idx="260">
                  <c:v>4.6909854094333454</c:v>
                </c:pt>
                <c:pt idx="261">
                  <c:v>3.5897027212132468</c:v>
                </c:pt>
                <c:pt idx="262">
                  <c:v>7.5571920762610061</c:v>
                </c:pt>
                <c:pt idx="263">
                  <c:v>4.7914892713351875</c:v>
                </c:pt>
                <c:pt idx="264">
                  <c:v>1.7467861542629939</c:v>
                </c:pt>
                <c:pt idx="265">
                  <c:v>2.7716894386007231</c:v>
                </c:pt>
                <c:pt idx="266">
                  <c:v>2.9173207721659389</c:v>
                </c:pt>
                <c:pt idx="267">
                  <c:v>2.8329230836080459</c:v>
                </c:pt>
                <c:pt idx="268">
                  <c:v>3.3266863252435415</c:v>
                </c:pt>
                <c:pt idx="269">
                  <c:v>1.97932387868501</c:v>
                </c:pt>
                <c:pt idx="270">
                  <c:v>0.74961632468732642</c:v>
                </c:pt>
                <c:pt idx="271">
                  <c:v>1.8848015806315648</c:v>
                </c:pt>
                <c:pt idx="272">
                  <c:v>1.0497665829548883</c:v>
                </c:pt>
                <c:pt idx="273">
                  <c:v>1.6602444759439636</c:v>
                </c:pt>
                <c:pt idx="274">
                  <c:v>1.8796665758614439</c:v>
                </c:pt>
                <c:pt idx="275">
                  <c:v>2.0108562422320593</c:v>
                </c:pt>
                <c:pt idx="276">
                  <c:v>0.65972203852961264</c:v>
                </c:pt>
                <c:pt idx="277">
                  <c:v>0.36265994539276752</c:v>
                </c:pt>
                <c:pt idx="278">
                  <c:v>0.33526557877816465</c:v>
                </c:pt>
                <c:pt idx="279">
                  <c:v>1.4170673181873239</c:v>
                </c:pt>
                <c:pt idx="280">
                  <c:v>0.55838175188018624</c:v>
                </c:pt>
                <c:pt idx="281">
                  <c:v>1.0066705492833965</c:v>
                </c:pt>
                <c:pt idx="282">
                  <c:v>0.49435793997549388</c:v>
                </c:pt>
                <c:pt idx="283">
                  <c:v>0.13151231060719321</c:v>
                </c:pt>
                <c:pt idx="284">
                  <c:v>1.0563098211392361</c:v>
                </c:pt>
                <c:pt idx="285">
                  <c:v>2.5393492522562786</c:v>
                </c:pt>
                <c:pt idx="286">
                  <c:v>2.632156243209034</c:v>
                </c:pt>
                <c:pt idx="287">
                  <c:v>1.0774930703727055</c:v>
                </c:pt>
                <c:pt idx="288">
                  <c:v>0.5981599177187934</c:v>
                </c:pt>
                <c:pt idx="289">
                  <c:v>0.20669116545306121</c:v>
                </c:pt>
                <c:pt idx="290">
                  <c:v>0.54578093018758311</c:v>
                </c:pt>
                <c:pt idx="291">
                  <c:v>1.4326718560647225</c:v>
                </c:pt>
                <c:pt idx="292">
                  <c:v>2.8320706384508068</c:v>
                </c:pt>
                <c:pt idx="293">
                  <c:v>3.5164101058204804</c:v>
                </c:pt>
                <c:pt idx="294">
                  <c:v>0.95735409489229106</c:v>
                </c:pt>
                <c:pt idx="295">
                  <c:v>1.0204335546783734</c:v>
                </c:pt>
                <c:pt idx="296">
                  <c:v>1.411841737303356</c:v>
                </c:pt>
                <c:pt idx="297">
                  <c:v>1.2630754926784467</c:v>
                </c:pt>
                <c:pt idx="298">
                  <c:v>1.1014993875748462</c:v>
                </c:pt>
                <c:pt idx="299">
                  <c:v>1.4125770619008062</c:v>
                </c:pt>
                <c:pt idx="300">
                  <c:v>0.57293643675309658</c:v>
                </c:pt>
                <c:pt idx="301">
                  <c:v>0.10776980916110269</c:v>
                </c:pt>
                <c:pt idx="302">
                  <c:v>0.37363712454445791</c:v>
                </c:pt>
                <c:pt idx="303">
                  <c:v>1.4712788458162485</c:v>
                </c:pt>
                <c:pt idx="304">
                  <c:v>1.2551147038154353</c:v>
                </c:pt>
                <c:pt idx="305">
                  <c:v>2.3143495379603469</c:v>
                </c:pt>
                <c:pt idx="306">
                  <c:v>1.1146604626496359</c:v>
                </c:pt>
                <c:pt idx="307">
                  <c:v>0.33147355403424439</c:v>
                </c:pt>
                <c:pt idx="308">
                  <c:v>0.34027186275459198</c:v>
                </c:pt>
                <c:pt idx="309">
                  <c:v>1.0586241636233671</c:v>
                </c:pt>
                <c:pt idx="310">
                  <c:v>3.3528384742299466</c:v>
                </c:pt>
                <c:pt idx="311">
                  <c:v>2.3338028063745155</c:v>
                </c:pt>
                <c:pt idx="312">
                  <c:v>0.70150070953023813</c:v>
                </c:pt>
                <c:pt idx="313">
                  <c:v>2.4448663837919011</c:v>
                </c:pt>
                <c:pt idx="314">
                  <c:v>4.4355083714632766</c:v>
                </c:pt>
                <c:pt idx="315">
                  <c:v>2.1559300385696734</c:v>
                </c:pt>
                <c:pt idx="316">
                  <c:v>0.56471327673362115</c:v>
                </c:pt>
                <c:pt idx="317">
                  <c:v>0.75375936521567566</c:v>
                </c:pt>
                <c:pt idx="318">
                  <c:v>0.52477884448659573</c:v>
                </c:pt>
                <c:pt idx="319">
                  <c:v>1.3117120342468203</c:v>
                </c:pt>
                <c:pt idx="320">
                  <c:v>1.5556878831701981</c:v>
                </c:pt>
                <c:pt idx="321">
                  <c:v>3.4835128703473868</c:v>
                </c:pt>
                <c:pt idx="322">
                  <c:v>0.89744338873678209</c:v>
                </c:pt>
                <c:pt idx="323">
                  <c:v>0.38543698511258301</c:v>
                </c:pt>
                <c:pt idx="324">
                  <c:v>0.33759697609359379</c:v>
                </c:pt>
                <c:pt idx="325">
                  <c:v>0.55685887798099354</c:v>
                </c:pt>
                <c:pt idx="326">
                  <c:v>0.61740377875672092</c:v>
                </c:pt>
                <c:pt idx="327">
                  <c:v>1.5521319418630715</c:v>
                </c:pt>
                <c:pt idx="328">
                  <c:v>0.83967172951887992</c:v>
                </c:pt>
                <c:pt idx="329">
                  <c:v>1.5530036263473679</c:v>
                </c:pt>
                <c:pt idx="330">
                  <c:v>2.2399470660624541</c:v>
                </c:pt>
                <c:pt idx="331">
                  <c:v>1.4351137448071876</c:v>
                </c:pt>
                <c:pt idx="332">
                  <c:v>0.84634856841611517</c:v>
                </c:pt>
                <c:pt idx="333">
                  <c:v>2.6498952698780021</c:v>
                </c:pt>
                <c:pt idx="334">
                  <c:v>0.72084582568108946</c:v>
                </c:pt>
                <c:pt idx="335">
                  <c:v>0.32783713033537853</c:v>
                </c:pt>
                <c:pt idx="336">
                  <c:v>0.2776216617604737</c:v>
                </c:pt>
                <c:pt idx="337">
                  <c:v>3.3026918419001565</c:v>
                </c:pt>
                <c:pt idx="338">
                  <c:v>0.98750866282925387</c:v>
                </c:pt>
                <c:pt idx="339">
                  <c:v>0.16498180994988842</c:v>
                </c:pt>
                <c:pt idx="340">
                  <c:v>1.9679056611099606</c:v>
                </c:pt>
                <c:pt idx="341">
                  <c:v>0.61216802526258307</c:v>
                </c:pt>
                <c:pt idx="342">
                  <c:v>0.13206731052670065</c:v>
                </c:pt>
                <c:pt idx="343">
                  <c:v>8.4454796819812369E-2</c:v>
                </c:pt>
                <c:pt idx="344">
                  <c:v>2.5805411963110343</c:v>
                </c:pt>
                <c:pt idx="345">
                  <c:v>1.2287162213699232</c:v>
                </c:pt>
                <c:pt idx="346">
                  <c:v>11.094163374253856</c:v>
                </c:pt>
                <c:pt idx="347">
                  <c:v>4.7547699096318947</c:v>
                </c:pt>
                <c:pt idx="348">
                  <c:v>5.6569382009131388</c:v>
                </c:pt>
                <c:pt idx="349">
                  <c:v>2.6967714196430803</c:v>
                </c:pt>
                <c:pt idx="350">
                  <c:v>0.77400116822994414</c:v>
                </c:pt>
                <c:pt idx="351">
                  <c:v>0.53890348851404068</c:v>
                </c:pt>
                <c:pt idx="352">
                  <c:v>1.7507974781102629</c:v>
                </c:pt>
                <c:pt idx="353">
                  <c:v>0.59837205000656934</c:v>
                </c:pt>
                <c:pt idx="354">
                  <c:v>2.5804005844467772</c:v>
                </c:pt>
                <c:pt idx="355">
                  <c:v>0.73096378480596391</c:v>
                </c:pt>
                <c:pt idx="356">
                  <c:v>1.6833945615019299</c:v>
                </c:pt>
                <c:pt idx="357">
                  <c:v>0.55195651306105964</c:v>
                </c:pt>
                <c:pt idx="358">
                  <c:v>0.13439598683121523</c:v>
                </c:pt>
                <c:pt idx="359">
                  <c:v>0.39671249245561202</c:v>
                </c:pt>
              </c:numCache>
            </c:numRef>
          </c:val>
          <c:extLst>
            <c:ext xmlns:c16="http://schemas.microsoft.com/office/drawing/2014/chart" uri="{C3380CC4-5D6E-409C-BE32-E72D297353CC}">
              <c16:uniqueId val="{00000001-AA51-EF40-B01F-74F3FDB37A28}"/>
            </c:ext>
          </c:extLst>
        </c:ser>
        <c:dLbls>
          <c:showLegendKey val="0"/>
          <c:showVal val="0"/>
          <c:showCatName val="0"/>
          <c:showSerName val="0"/>
          <c:showPercent val="0"/>
          <c:showBubbleSize val="0"/>
        </c:dLbls>
        <c:gapWidth val="150"/>
        <c:axId val="3"/>
        <c:axId val="4"/>
      </c:barChart>
      <c:catAx>
        <c:axId val="1243031584"/>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US"/>
                  <a:t>1981 - 2010</a:t>
                </a:r>
              </a:p>
            </c:rich>
          </c:tx>
          <c:layout>
            <c:manualLayout>
              <c:xMode val="edge"/>
              <c:yMode val="edge"/>
              <c:x val="0.41221300065047989"/>
              <c:y val="0.94770482557831259"/>
            </c:manualLayout>
          </c:layout>
          <c:overlay val="0"/>
          <c:spPr>
            <a:noFill/>
            <a:ln w="25400">
              <a:noFill/>
            </a:ln>
          </c:spPr>
        </c:title>
        <c:majorTickMark val="out"/>
        <c:minorTickMark val="none"/>
        <c:tickLblPos val="none"/>
        <c:spPr>
          <a:ln w="9525">
            <a:noFill/>
          </a:ln>
        </c:spPr>
        <c:crossAx val="1"/>
        <c:crosses val="autoZero"/>
        <c:auto val="0"/>
        <c:lblAlgn val="ctr"/>
        <c:lblOffset val="100"/>
        <c:tickMarkSkip val="1"/>
        <c:noMultiLvlLbl val="0"/>
      </c:catAx>
      <c:valAx>
        <c:axId val="1"/>
        <c:scaling>
          <c:orientation val="minMax"/>
          <c:max val="700"/>
          <c:min val="-700"/>
        </c:scaling>
        <c:delete val="0"/>
        <c:axPos val="l"/>
        <c:majorGridlines>
          <c:spPr>
            <a:ln w="3175">
              <a:solidFill>
                <a:srgbClr val="339966"/>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Precipitación (mm/mes)</a:t>
                </a:r>
              </a:p>
            </c:rich>
          </c:tx>
          <c:layout>
            <c:manualLayout>
              <c:xMode val="edge"/>
              <c:yMode val="edge"/>
              <c:x val="1.4258012701093751E-2"/>
              <c:y val="0.2220609778428859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Y"/>
          </a:p>
        </c:txPr>
        <c:crossAx val="1243031584"/>
        <c:crosses val="autoZero"/>
        <c:crossBetween val="between"/>
        <c:majorUnit val="100"/>
      </c:valAx>
      <c:catAx>
        <c:axId val="3"/>
        <c:scaling>
          <c:orientation val="minMax"/>
        </c:scaling>
        <c:delete val="0"/>
        <c:axPos val="b"/>
        <c:majorTickMark val="out"/>
        <c:minorTickMark val="none"/>
        <c:tickLblPos val="none"/>
        <c:spPr>
          <a:ln w="3175">
            <a:solidFill>
              <a:srgbClr val="000000"/>
            </a:solidFill>
            <a:prstDash val="solid"/>
          </a:ln>
        </c:spPr>
        <c:crossAx val="4"/>
        <c:crosses val="autoZero"/>
        <c:auto val="0"/>
        <c:lblAlgn val="ctr"/>
        <c:lblOffset val="100"/>
        <c:tickMarkSkip val="12"/>
        <c:noMultiLvlLbl val="0"/>
      </c:catAx>
      <c:valAx>
        <c:axId val="4"/>
        <c:scaling>
          <c:orientation val="minMax"/>
          <c:max val="28"/>
          <c:min val="0"/>
        </c:scaling>
        <c:delete val="0"/>
        <c:axPos val="r"/>
        <c:title>
          <c:tx>
            <c:rich>
              <a:bodyPr/>
              <a:lstStyle/>
              <a:p>
                <a:pPr>
                  <a:defRPr sz="1200" b="0" i="0" u="none" strike="noStrike" baseline="0">
                    <a:solidFill>
                      <a:srgbClr val="000000"/>
                    </a:solidFill>
                    <a:latin typeface="Arial"/>
                    <a:ea typeface="Arial"/>
                    <a:cs typeface="Arial"/>
                  </a:defRPr>
                </a:pPr>
                <a:r>
                  <a:rPr lang="en-US"/>
                  <a:t>Escurrimiento (Hm3/mes) .</a:t>
                </a:r>
              </a:p>
            </c:rich>
          </c:tx>
          <c:layout>
            <c:manualLayout>
              <c:xMode val="edge"/>
              <c:yMode val="edge"/>
              <c:x val="0.94895352591967008"/>
              <c:y val="0.619738753586034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Y"/>
          </a:p>
        </c:txPr>
        <c:crossAx val="3"/>
        <c:crosses val="max"/>
        <c:crossBetween val="between"/>
        <c:majorUnit val="2"/>
      </c:valAx>
      <c:spPr>
        <a:solidFill>
          <a:srgbClr val="FFFFFF"/>
        </a:solid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2000" b="0" i="0" u="none" strike="noStrike" baseline="0">
          <a:solidFill>
            <a:srgbClr val="000000"/>
          </a:solidFill>
          <a:latin typeface="Arial"/>
          <a:ea typeface="Arial"/>
          <a:cs typeface="Arial"/>
        </a:defRPr>
      </a:pPr>
      <a:endParaRPr lang="en-UY"/>
    </a:p>
  </c:txPr>
  <c:printSettings>
    <c:headerFooter/>
    <c:pageMargins b="0.75000000000000011" l="0.70000000000000007" r="0.70000000000000007" t="0.75000000000000011" header="0.30000000000000004" footer="0.300000000000000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US"/>
              <a:t>Análisis de Satisfacción de la demanda</a:t>
            </a:r>
          </a:p>
        </c:rich>
      </c:tx>
      <c:layout>
        <c:manualLayout>
          <c:xMode val="edge"/>
          <c:yMode val="edge"/>
          <c:x val="0.31298691514889126"/>
          <c:y val="1.298742799095323E-2"/>
        </c:manualLayout>
      </c:layout>
      <c:overlay val="0"/>
      <c:spPr>
        <a:noFill/>
        <a:ln w="25400">
          <a:noFill/>
        </a:ln>
      </c:spPr>
    </c:title>
    <c:autoTitleDeleted val="0"/>
    <c:plotArea>
      <c:layout>
        <c:manualLayout>
          <c:layoutTarget val="inner"/>
          <c:xMode val="edge"/>
          <c:yMode val="edge"/>
          <c:x val="0.13931734637725038"/>
          <c:y val="0.19481141986429845"/>
          <c:w val="0.76147426307565624"/>
          <c:h val="0.63313711455897004"/>
        </c:manualLayout>
      </c:layout>
      <c:scatterChart>
        <c:scatterStyle val="smoothMarker"/>
        <c:varyColors val="0"/>
        <c:ser>
          <c:idx val="4"/>
          <c:order val="0"/>
          <c:tx>
            <c:strRef>
              <c:f>'Ht - Hv - Volumen'!$I$2</c:f>
              <c:strCache>
                <c:ptCount val="1"/>
                <c:pt idx="0">
                  <c:v>Presa del Ejemplo del Manual</c:v>
                </c:pt>
              </c:strCache>
            </c:strRef>
          </c:tx>
          <c:spPr>
            <a:ln w="28575">
              <a:noFill/>
            </a:ln>
          </c:spPr>
          <c:marker>
            <c:symbol val="none"/>
          </c:marker>
          <c:dLbls>
            <c:delete val="1"/>
          </c:dLbls>
          <c:yVal>
            <c:numLit>
              <c:formatCode>General</c:formatCode>
              <c:ptCount val="1"/>
              <c:pt idx="0">
                <c:v>1</c:v>
              </c:pt>
            </c:numLit>
          </c:yVal>
          <c:smooth val="1"/>
          <c:extLst>
            <c:ext xmlns:c16="http://schemas.microsoft.com/office/drawing/2014/chart" uri="{C3380CC4-5D6E-409C-BE32-E72D297353CC}">
              <c16:uniqueId val="{00000000-32C4-AF48-A907-C65B639BC11A}"/>
            </c:ext>
          </c:extLst>
        </c:ser>
        <c:ser>
          <c:idx val="5"/>
          <c:order val="1"/>
          <c:tx>
            <c:strRef>
              <c:f>'Ht - Hv - Volumen'!$F$35</c:f>
              <c:strCache>
                <c:ptCount val="1"/>
                <c:pt idx="0">
                  <c:v>Esc. Anual=22,46 Hm3</c:v>
                </c:pt>
              </c:strCache>
            </c:strRef>
          </c:tx>
          <c:spPr>
            <a:ln w="28575">
              <a:noFill/>
            </a:ln>
          </c:spPr>
          <c:marker>
            <c:symbol val="none"/>
          </c:marker>
          <c:dLbls>
            <c:delete val="1"/>
          </c:dLbls>
          <c:yVal>
            <c:numLit>
              <c:formatCode>General</c:formatCode>
              <c:ptCount val="1"/>
              <c:pt idx="0">
                <c:v>1</c:v>
              </c:pt>
            </c:numLit>
          </c:yVal>
          <c:smooth val="1"/>
          <c:extLst>
            <c:ext xmlns:c16="http://schemas.microsoft.com/office/drawing/2014/chart" uri="{C3380CC4-5D6E-409C-BE32-E72D297353CC}">
              <c16:uniqueId val="{00000001-32C4-AF48-A907-C65B639BC11A}"/>
            </c:ext>
          </c:extLst>
        </c:ser>
        <c:ser>
          <c:idx val="3"/>
          <c:order val="2"/>
          <c:tx>
            <c:strRef>
              <c:f>'Ht - Hv - Volumen'!$F$36</c:f>
              <c:strCache>
                <c:ptCount val="1"/>
                <c:pt idx="0">
                  <c:v>Ht=100,5 msnm</c:v>
                </c:pt>
              </c:strCache>
            </c:strRef>
          </c:tx>
          <c:spPr>
            <a:ln w="28575">
              <a:noFill/>
            </a:ln>
          </c:spPr>
          <c:marker>
            <c:symbol val="none"/>
          </c:marker>
          <c:dLbls>
            <c:delete val="1"/>
          </c:dLbls>
          <c:yVal>
            <c:numLit>
              <c:formatCode>General</c:formatCode>
              <c:ptCount val="1"/>
              <c:pt idx="0">
                <c:v>1</c:v>
              </c:pt>
            </c:numLit>
          </c:yVal>
          <c:smooth val="1"/>
          <c:extLst>
            <c:ext xmlns:c16="http://schemas.microsoft.com/office/drawing/2014/chart" uri="{C3380CC4-5D6E-409C-BE32-E72D297353CC}">
              <c16:uniqueId val="{00000002-32C4-AF48-A907-C65B639BC11A}"/>
            </c:ext>
          </c:extLst>
        </c:ser>
        <c:ser>
          <c:idx val="2"/>
          <c:order val="3"/>
          <c:tx>
            <c:strRef>
              <c:f>'Ht - Hv - Volumen'!$G$25</c:f>
              <c:strCache>
                <c:ptCount val="1"/>
                <c:pt idx="0">
                  <c:v>Hv=105,5 msnm</c:v>
                </c:pt>
              </c:strCache>
            </c:strRef>
          </c:tx>
          <c:spPr>
            <a:ln w="38100">
              <a:solidFill>
                <a:srgbClr val="008000"/>
              </a:solidFill>
              <a:prstDash val="sysDash"/>
            </a:ln>
          </c:spPr>
          <c:marker>
            <c:symbol val="circle"/>
            <c:size val="8"/>
            <c:spPr>
              <a:solidFill>
                <a:srgbClr val="00FF00"/>
              </a:solidFill>
              <a:ln>
                <a:solidFill>
                  <a:srgbClr val="99CC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3-32C4-AF48-A907-C65B639BC11A}"/>
                </c:ext>
              </c:extLst>
            </c:dLbl>
            <c:dLbl>
              <c:idx val="1"/>
              <c:delete val="1"/>
              <c:extLst>
                <c:ext xmlns:c15="http://schemas.microsoft.com/office/drawing/2012/chart" uri="{CE6537A1-D6FC-4f65-9D91-7224C49458BB}"/>
                <c:ext xmlns:c16="http://schemas.microsoft.com/office/drawing/2014/chart" uri="{C3380CC4-5D6E-409C-BE32-E72D297353CC}">
                  <c16:uniqueId val="{00000004-32C4-AF48-A907-C65B639BC11A}"/>
                </c:ext>
              </c:extLst>
            </c:dLbl>
            <c:dLbl>
              <c:idx val="2"/>
              <c:delete val="1"/>
              <c:extLst>
                <c:ext xmlns:c15="http://schemas.microsoft.com/office/drawing/2012/chart" uri="{CE6537A1-D6FC-4f65-9D91-7224C49458BB}"/>
                <c:ext xmlns:c16="http://schemas.microsoft.com/office/drawing/2014/chart" uri="{C3380CC4-5D6E-409C-BE32-E72D297353CC}">
                  <c16:uniqueId val="{00000005-32C4-AF48-A907-C65B639BC11A}"/>
                </c:ext>
              </c:extLst>
            </c:dLbl>
            <c:dLbl>
              <c:idx val="3"/>
              <c:delete val="1"/>
              <c:extLst>
                <c:ext xmlns:c15="http://schemas.microsoft.com/office/drawing/2012/chart" uri="{CE6537A1-D6FC-4f65-9D91-7224C49458BB}"/>
                <c:ext xmlns:c16="http://schemas.microsoft.com/office/drawing/2014/chart" uri="{C3380CC4-5D6E-409C-BE32-E72D297353CC}">
                  <c16:uniqueId val="{00000006-32C4-AF48-A907-C65B639BC11A}"/>
                </c:ext>
              </c:extLst>
            </c:dLbl>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Y"/>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'Ht - Hv - Volumen'!$F$27:$F$31</c:f>
              <c:numCache>
                <c:formatCode>General</c:formatCode>
                <c:ptCount val="5"/>
                <c:pt idx="0">
                  <c:v>720</c:v>
                </c:pt>
                <c:pt idx="1">
                  <c:v>810</c:v>
                </c:pt>
                <c:pt idx="2">
                  <c:v>900</c:v>
                </c:pt>
                <c:pt idx="3">
                  <c:v>990</c:v>
                </c:pt>
                <c:pt idx="4">
                  <c:v>1080</c:v>
                </c:pt>
              </c:numCache>
            </c:numRef>
          </c:xVal>
          <c:yVal>
            <c:numRef>
              <c:f>'Ht - Hv - Volumen'!$G$27:$G$31</c:f>
              <c:numCache>
                <c:formatCode>General</c:formatCode>
                <c:ptCount val="5"/>
                <c:pt idx="0">
                  <c:v>99.7</c:v>
                </c:pt>
                <c:pt idx="1">
                  <c:v>98.6</c:v>
                </c:pt>
                <c:pt idx="2">
                  <c:v>96.4</c:v>
                </c:pt>
                <c:pt idx="3">
                  <c:v>93.6</c:v>
                </c:pt>
                <c:pt idx="4">
                  <c:v>90.2</c:v>
                </c:pt>
              </c:numCache>
            </c:numRef>
          </c:yVal>
          <c:smooth val="1"/>
          <c:extLst>
            <c:ext xmlns:c16="http://schemas.microsoft.com/office/drawing/2014/chart" uri="{C3380CC4-5D6E-409C-BE32-E72D297353CC}">
              <c16:uniqueId val="{00000007-32C4-AF48-A907-C65B639BC11A}"/>
            </c:ext>
          </c:extLst>
        </c:ser>
        <c:ser>
          <c:idx val="0"/>
          <c:order val="4"/>
          <c:tx>
            <c:strRef>
              <c:f>'Ht - Hv - Volumen'!$H$25</c:f>
              <c:strCache>
                <c:ptCount val="1"/>
                <c:pt idx="0">
                  <c:v>Hv=106 msnm</c:v>
                </c:pt>
              </c:strCache>
            </c:strRef>
          </c:tx>
          <c:spPr>
            <a:ln w="38100">
              <a:solidFill>
                <a:srgbClr val="666699"/>
              </a:solidFill>
              <a:prstDash val="lgDash"/>
            </a:ln>
          </c:spPr>
          <c:marker>
            <c:symbol val="circle"/>
            <c:size val="7"/>
            <c:spPr>
              <a:solidFill>
                <a:srgbClr val="666699"/>
              </a:solidFill>
              <a:ln>
                <a:solidFill>
                  <a:srgbClr val="6666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32C4-AF48-A907-C65B639BC11A}"/>
                </c:ext>
              </c:extLst>
            </c:dLbl>
            <c:dLbl>
              <c:idx val="1"/>
              <c:delete val="1"/>
              <c:extLst>
                <c:ext xmlns:c15="http://schemas.microsoft.com/office/drawing/2012/chart" uri="{CE6537A1-D6FC-4f65-9D91-7224C49458BB}"/>
                <c:ext xmlns:c16="http://schemas.microsoft.com/office/drawing/2014/chart" uri="{C3380CC4-5D6E-409C-BE32-E72D297353CC}">
                  <c16:uniqueId val="{00000009-32C4-AF48-A907-C65B639BC11A}"/>
                </c:ext>
              </c:extLst>
            </c:dLbl>
            <c:dLbl>
              <c:idx val="2"/>
              <c:delete val="1"/>
              <c:extLst>
                <c:ext xmlns:c15="http://schemas.microsoft.com/office/drawing/2012/chart" uri="{CE6537A1-D6FC-4f65-9D91-7224C49458BB}"/>
                <c:ext xmlns:c16="http://schemas.microsoft.com/office/drawing/2014/chart" uri="{C3380CC4-5D6E-409C-BE32-E72D297353CC}">
                  <c16:uniqueId val="{0000000A-32C4-AF48-A907-C65B639BC11A}"/>
                </c:ext>
              </c:extLst>
            </c:dLbl>
            <c:dLbl>
              <c:idx val="3"/>
              <c:delete val="1"/>
              <c:extLst>
                <c:ext xmlns:c15="http://schemas.microsoft.com/office/drawing/2012/chart" uri="{CE6537A1-D6FC-4f65-9D91-7224C49458BB}"/>
                <c:ext xmlns:c16="http://schemas.microsoft.com/office/drawing/2014/chart" uri="{C3380CC4-5D6E-409C-BE32-E72D297353CC}">
                  <c16:uniqueId val="{0000000B-32C4-AF48-A907-C65B639BC11A}"/>
                </c:ext>
              </c:extLst>
            </c:dLbl>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Y"/>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'Ht - Hv - Volumen'!$F$27:$F$31</c:f>
              <c:numCache>
                <c:formatCode>General</c:formatCode>
                <c:ptCount val="5"/>
                <c:pt idx="0">
                  <c:v>720</c:v>
                </c:pt>
                <c:pt idx="1">
                  <c:v>810</c:v>
                </c:pt>
                <c:pt idx="2">
                  <c:v>900</c:v>
                </c:pt>
                <c:pt idx="3">
                  <c:v>990</c:v>
                </c:pt>
                <c:pt idx="4">
                  <c:v>1080</c:v>
                </c:pt>
              </c:numCache>
            </c:numRef>
          </c:xVal>
          <c:yVal>
            <c:numRef>
              <c:f>'Ht - Hv - Volumen'!$H$27:$H$31</c:f>
              <c:numCache>
                <c:formatCode>General</c:formatCode>
                <c:ptCount val="5"/>
                <c:pt idx="0">
                  <c:v>100</c:v>
                </c:pt>
                <c:pt idx="1">
                  <c:v>100</c:v>
                </c:pt>
                <c:pt idx="2">
                  <c:v>98.9</c:v>
                </c:pt>
                <c:pt idx="3">
                  <c:v>97.3</c:v>
                </c:pt>
                <c:pt idx="4">
                  <c:v>94.7</c:v>
                </c:pt>
              </c:numCache>
            </c:numRef>
          </c:yVal>
          <c:smooth val="1"/>
          <c:extLst>
            <c:ext xmlns:c16="http://schemas.microsoft.com/office/drawing/2014/chart" uri="{C3380CC4-5D6E-409C-BE32-E72D297353CC}">
              <c16:uniqueId val="{0000000C-32C4-AF48-A907-C65B639BC11A}"/>
            </c:ext>
          </c:extLst>
        </c:ser>
        <c:ser>
          <c:idx val="1"/>
          <c:order val="5"/>
          <c:tx>
            <c:strRef>
              <c:f>'Ht - Hv - Volumen'!$I$25</c:f>
              <c:strCache>
                <c:ptCount val="1"/>
                <c:pt idx="0">
                  <c:v>Hv=106,5 msnm</c:v>
                </c:pt>
              </c:strCache>
            </c:strRef>
          </c:tx>
          <c:spPr>
            <a:ln w="38100">
              <a:solidFill>
                <a:srgbClr val="FF0000"/>
              </a:solidFill>
              <a:prstDash val="solid"/>
            </a:ln>
          </c:spPr>
          <c:marker>
            <c:symbol val="circle"/>
            <c:size val="7"/>
            <c:spPr>
              <a:solidFill>
                <a:srgbClr val="993366"/>
              </a:solidFill>
              <a:ln>
                <a:solidFill>
                  <a:srgbClr val="993366"/>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32C4-AF48-A907-C65B639BC11A}"/>
                </c:ext>
              </c:extLst>
            </c:dLbl>
            <c:dLbl>
              <c:idx val="1"/>
              <c:delete val="1"/>
              <c:extLst>
                <c:ext xmlns:c15="http://schemas.microsoft.com/office/drawing/2012/chart" uri="{CE6537A1-D6FC-4f65-9D91-7224C49458BB}"/>
                <c:ext xmlns:c16="http://schemas.microsoft.com/office/drawing/2014/chart" uri="{C3380CC4-5D6E-409C-BE32-E72D297353CC}">
                  <c16:uniqueId val="{0000000D-32C4-AF48-A907-C65B639BC11A}"/>
                </c:ext>
              </c:extLst>
            </c:dLbl>
            <c:dLbl>
              <c:idx val="2"/>
              <c:delete val="1"/>
              <c:extLst>
                <c:ext xmlns:c15="http://schemas.microsoft.com/office/drawing/2012/chart" uri="{CE6537A1-D6FC-4f65-9D91-7224C49458BB}"/>
                <c:ext xmlns:c16="http://schemas.microsoft.com/office/drawing/2014/chart" uri="{C3380CC4-5D6E-409C-BE32-E72D297353CC}">
                  <c16:uniqueId val="{0000000F-32C4-AF48-A907-C65B639BC11A}"/>
                </c:ext>
              </c:extLst>
            </c:dLbl>
            <c:dLbl>
              <c:idx val="3"/>
              <c:delete val="1"/>
              <c:extLst>
                <c:ext xmlns:c15="http://schemas.microsoft.com/office/drawing/2012/chart" uri="{CE6537A1-D6FC-4f65-9D91-7224C49458BB}"/>
                <c:ext xmlns:c16="http://schemas.microsoft.com/office/drawing/2014/chart" uri="{C3380CC4-5D6E-409C-BE32-E72D297353CC}">
                  <c16:uniqueId val="{00000010-32C4-AF48-A907-C65B639BC11A}"/>
                </c:ext>
              </c:extLst>
            </c:dLbl>
            <c:dLbl>
              <c:idx val="4"/>
              <c:spPr>
                <a:solidFill>
                  <a:srgbClr val="FFFFFF"/>
                </a:solidFill>
                <a:ln w="25400">
                  <a:noFill/>
                </a:ln>
              </c:spPr>
              <c:txPr>
                <a:bodyPr/>
                <a:lstStyle/>
                <a:p>
                  <a:pPr>
                    <a:defRPr sz="1000" b="1" i="0" u="none" strike="noStrike" baseline="0">
                      <a:solidFill>
                        <a:srgbClr val="000000"/>
                      </a:solidFill>
                      <a:latin typeface="Calibri"/>
                      <a:ea typeface="Calibri"/>
                      <a:cs typeface="Calibri"/>
                    </a:defRPr>
                  </a:pPr>
                  <a:endParaRPr lang="en-UY"/>
                </a:p>
              </c:txPr>
              <c:showLegendKey val="0"/>
              <c:showVal val="0"/>
              <c:showCatName val="0"/>
              <c:showSerName val="1"/>
              <c:showPercent val="0"/>
              <c:showBubbleSize val="0"/>
              <c:extLst>
                <c:ext xmlns:c16="http://schemas.microsoft.com/office/drawing/2014/chart" uri="{C3380CC4-5D6E-409C-BE32-E72D297353CC}">
                  <c16:uniqueId val="{00000011-32C4-AF48-A907-C65B639BC11A}"/>
                </c:ext>
              </c:extLst>
            </c:dLbl>
            <c:spPr>
              <a:solidFill>
                <a:srgbClr val="FFFFFF"/>
              </a:solid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Y"/>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'Ht - Hv - Volumen'!$F$27:$F$31</c:f>
              <c:numCache>
                <c:formatCode>General</c:formatCode>
                <c:ptCount val="5"/>
                <c:pt idx="0">
                  <c:v>720</c:v>
                </c:pt>
                <c:pt idx="1">
                  <c:v>810</c:v>
                </c:pt>
                <c:pt idx="2">
                  <c:v>900</c:v>
                </c:pt>
                <c:pt idx="3">
                  <c:v>990</c:v>
                </c:pt>
                <c:pt idx="4">
                  <c:v>1080</c:v>
                </c:pt>
              </c:numCache>
            </c:numRef>
          </c:xVal>
          <c:yVal>
            <c:numRef>
              <c:f>'Ht - Hv - Volumen'!$I$27:$I$31</c:f>
              <c:numCache>
                <c:formatCode>General</c:formatCode>
                <c:ptCount val="5"/>
                <c:pt idx="0">
                  <c:v>100</c:v>
                </c:pt>
                <c:pt idx="1">
                  <c:v>100</c:v>
                </c:pt>
                <c:pt idx="2">
                  <c:v>99.8</c:v>
                </c:pt>
                <c:pt idx="3">
                  <c:v>99.1</c:v>
                </c:pt>
                <c:pt idx="4">
                  <c:v>97.8</c:v>
                </c:pt>
              </c:numCache>
            </c:numRef>
          </c:yVal>
          <c:smooth val="1"/>
          <c:extLst>
            <c:ext xmlns:c16="http://schemas.microsoft.com/office/drawing/2014/chart" uri="{C3380CC4-5D6E-409C-BE32-E72D297353CC}">
              <c16:uniqueId val="{00000012-32C4-AF48-A907-C65B639BC11A}"/>
            </c:ext>
          </c:extLst>
        </c:ser>
        <c:dLbls>
          <c:showLegendKey val="0"/>
          <c:showVal val="0"/>
          <c:showCatName val="0"/>
          <c:showSerName val="1"/>
          <c:showPercent val="0"/>
          <c:showBubbleSize val="0"/>
        </c:dLbls>
        <c:axId val="426752416"/>
        <c:axId val="1"/>
      </c:scatterChart>
      <c:valAx>
        <c:axId val="426752416"/>
        <c:scaling>
          <c:orientation val="minMax"/>
          <c:min val="600"/>
        </c:scaling>
        <c:delete val="0"/>
        <c:axPos val="b"/>
        <c:majorGridlines>
          <c:spPr>
            <a:ln w="3175">
              <a:solidFill>
                <a:srgbClr val="000000"/>
              </a:solidFill>
              <a:prstDash val="solid"/>
            </a:ln>
          </c:spPr>
        </c:majorGridlines>
        <c:minorGridlines>
          <c:spPr>
            <a:ln>
              <a:solidFill>
                <a:srgbClr val="4BACC6">
                  <a:lumMod val="20000"/>
                  <a:lumOff val="80000"/>
                </a:srgbClr>
              </a:solidFill>
            </a:ln>
          </c:spPr>
        </c:minorGridlines>
        <c:title>
          <c:tx>
            <c:rich>
              <a:bodyPr/>
              <a:lstStyle/>
              <a:p>
                <a:pPr>
                  <a:defRPr sz="1400" b="0" i="0" u="none" strike="noStrike" baseline="0">
                    <a:solidFill>
                      <a:srgbClr val="000000"/>
                    </a:solidFill>
                    <a:latin typeface="Calibri"/>
                    <a:ea typeface="Calibri"/>
                    <a:cs typeface="Calibri"/>
                  </a:defRPr>
                </a:pPr>
                <a:r>
                  <a:rPr lang="en-US"/>
                  <a:t>Área bajo riego  (Há)</a:t>
                </a:r>
              </a:p>
            </c:rich>
          </c:tx>
          <c:layout>
            <c:manualLayout>
              <c:xMode val="edge"/>
              <c:yMode val="edge"/>
              <c:x val="0.30653310959080937"/>
              <c:y val="0.90534082511530711"/>
            </c:manualLayout>
          </c:layout>
          <c:overlay val="0"/>
          <c:spPr>
            <a:noFill/>
            <a:ln w="25400">
              <a:noFill/>
            </a:ln>
          </c:spPr>
        </c:title>
        <c:numFmt formatCode="General" sourceLinked="1"/>
        <c:majorTickMark val="out"/>
        <c:minorTickMark val="in"/>
        <c:tickLblPos val="nextTo"/>
        <c:txPr>
          <a:bodyPr rot="0" vert="horz"/>
          <a:lstStyle/>
          <a:p>
            <a:pPr>
              <a:defRPr sz="1400" b="0" i="0" u="none" strike="noStrike" baseline="0">
                <a:solidFill>
                  <a:srgbClr val="000000"/>
                </a:solidFill>
                <a:latin typeface="Calibri"/>
                <a:ea typeface="Calibri"/>
                <a:cs typeface="Calibri"/>
              </a:defRPr>
            </a:pPr>
            <a:endParaRPr lang="en-UY"/>
          </a:p>
        </c:txPr>
        <c:crossAx val="1"/>
        <c:crosses val="autoZero"/>
        <c:crossBetween val="midCat"/>
      </c:valAx>
      <c:valAx>
        <c:axId val="1"/>
        <c:scaling>
          <c:orientation val="minMax"/>
          <c:max val="100"/>
          <c:min val="88"/>
        </c:scaling>
        <c:delete val="0"/>
        <c:axPos val="l"/>
        <c:majorGridlines>
          <c:spPr>
            <a:ln w="3175">
              <a:solidFill>
                <a:srgbClr val="008080"/>
              </a:solidFill>
              <a:prstDash val="solid"/>
            </a:ln>
          </c:spPr>
        </c:majorGridlines>
        <c:minorGridlines>
          <c:spPr>
            <a:ln w="3175">
              <a:solidFill>
                <a:srgbClr val="CCFFFF"/>
              </a:solidFill>
              <a:prstDash val="solid"/>
            </a:ln>
          </c:spPr>
        </c:minorGridlines>
        <c:title>
          <c:tx>
            <c:rich>
              <a:bodyPr/>
              <a:lstStyle/>
              <a:p>
                <a:pPr>
                  <a:defRPr sz="1100" b="0" i="0" u="none" strike="noStrike" baseline="0">
                    <a:solidFill>
                      <a:srgbClr val="000000"/>
                    </a:solidFill>
                    <a:latin typeface="Calibri"/>
                    <a:ea typeface="Calibri"/>
                    <a:cs typeface="Calibri"/>
                  </a:defRPr>
                </a:pPr>
                <a:r>
                  <a:rPr lang="en-US"/>
                  <a:t>ISD (%) = Suma agua entregada / Suma agua demandada</a:t>
                </a:r>
              </a:p>
            </c:rich>
          </c:tx>
          <c:overlay val="0"/>
          <c:spPr>
            <a:noFill/>
            <a:ln w="25400">
              <a:noFill/>
            </a:ln>
          </c:spPr>
        </c:title>
        <c:numFmt formatCode="General" sourceLinked="1"/>
        <c:majorTickMark val="out"/>
        <c:minorTickMark val="cross"/>
        <c:tickLblPos val="nextTo"/>
        <c:txPr>
          <a:bodyPr rot="0" vert="horz"/>
          <a:lstStyle/>
          <a:p>
            <a:pPr>
              <a:defRPr sz="1400" b="0" i="0" u="none" strike="noStrike" baseline="0">
                <a:solidFill>
                  <a:srgbClr val="000000"/>
                </a:solidFill>
                <a:latin typeface="Calibri"/>
                <a:ea typeface="Calibri"/>
                <a:cs typeface="Calibri"/>
              </a:defRPr>
            </a:pPr>
            <a:endParaRPr lang="en-UY"/>
          </a:p>
        </c:txPr>
        <c:crossAx val="426752416"/>
        <c:crosses val="autoZero"/>
        <c:crossBetween val="midCat"/>
      </c:valAx>
      <c:spPr>
        <a:solidFill>
          <a:srgbClr val="FFFFFF"/>
        </a:solidFill>
        <a:ln w="3175">
          <a:solidFill>
            <a:srgbClr val="000000"/>
          </a:solidFill>
          <a:prstDash val="solid"/>
        </a:ln>
      </c:spPr>
    </c:plotArea>
    <c:legend>
      <c:legendPos val="t"/>
      <c:legendEntry>
        <c:idx val="3"/>
        <c:delete val="1"/>
      </c:legendEntry>
      <c:legendEntry>
        <c:idx val="4"/>
        <c:delete val="1"/>
      </c:legendEntry>
      <c:legendEntry>
        <c:idx val="5"/>
        <c:delete val="1"/>
      </c:legendEntry>
      <c:layout>
        <c:manualLayout>
          <c:xMode val="edge"/>
          <c:yMode val="edge"/>
          <c:x val="0.15840191437413401"/>
          <c:y val="0.10065256692988754"/>
          <c:w val="0.66605142309123821"/>
          <c:h val="6.1690282957027845E-2"/>
        </c:manualLayout>
      </c:layout>
      <c:overlay val="0"/>
      <c:spPr>
        <a:solidFill>
          <a:srgbClr val="FFFFFF"/>
        </a:solidFill>
        <a:ln w="25400">
          <a:noFill/>
        </a:ln>
      </c:spPr>
      <c:txPr>
        <a:bodyPr/>
        <a:lstStyle/>
        <a:p>
          <a:pPr>
            <a:defRPr sz="1010" b="0" i="0" u="none" strike="noStrike" baseline="0">
              <a:solidFill>
                <a:srgbClr val="000000"/>
              </a:solidFill>
              <a:latin typeface="Calibri"/>
              <a:ea typeface="Calibri"/>
              <a:cs typeface="Calibri"/>
            </a:defRPr>
          </a:pPr>
          <a:endParaRPr lang="en-UY"/>
        </a:p>
      </c:txPr>
    </c:legend>
    <c:plotVisOnly val="1"/>
    <c:dispBlanksAs val="gap"/>
    <c:showDLblsOverMax val="0"/>
  </c:chart>
  <c:spPr>
    <a:solidFill>
      <a:srgbClr val="FFFFFF"/>
    </a:solidFill>
    <a:ln w="9525">
      <a:noFill/>
    </a:ln>
  </c:spPr>
  <c:txPr>
    <a:bodyPr/>
    <a:lstStyle/>
    <a:p>
      <a:pPr>
        <a:defRPr sz="1400" b="0" i="0" u="none" strike="noStrike" baseline="0">
          <a:solidFill>
            <a:srgbClr val="000000"/>
          </a:solidFill>
          <a:latin typeface="Calibri"/>
          <a:ea typeface="Calibri"/>
          <a:cs typeface="Calibri"/>
        </a:defRPr>
      </a:pPr>
      <a:endParaRPr lang="en-UY"/>
    </a:p>
  </c:txPr>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sz="1075" b="1" i="0" u="none" strike="noStrike" baseline="0">
                <a:solidFill>
                  <a:srgbClr val="000000"/>
                </a:solidFill>
                <a:latin typeface="Arial" pitchFamily="2" charset="0"/>
                <a:cs typeface="Arial" pitchFamily="2" charset="0"/>
              </a:rPr>
              <a:t>Curvas Cota-Área-Volumen del embalse</a:t>
            </a:r>
          </a:p>
          <a:p>
            <a:pPr>
              <a:defRPr sz="900" b="0" i="0" u="none" strike="noStrike" baseline="0">
                <a:solidFill>
                  <a:srgbClr val="000000"/>
                </a:solidFill>
                <a:latin typeface="Arial"/>
                <a:ea typeface="Arial"/>
                <a:cs typeface="Arial"/>
              </a:defRPr>
            </a:pPr>
            <a:r>
              <a:rPr lang="en-US" sz="1075" b="1" i="0" u="none" strike="noStrike" baseline="0">
                <a:solidFill>
                  <a:srgbClr val="000000"/>
                </a:solidFill>
                <a:latin typeface="Arial" pitchFamily="2" charset="0"/>
                <a:cs typeface="Arial" pitchFamily="2" charset="0"/>
              </a:rPr>
              <a:t>Cota de Toma y de Vertedero</a:t>
            </a:r>
          </a:p>
        </c:rich>
      </c:tx>
      <c:layout>
        <c:manualLayout>
          <c:xMode val="edge"/>
          <c:yMode val="edge"/>
          <c:x val="0.26968217697371932"/>
          <c:y val="2.5062576397808432E-2"/>
        </c:manualLayout>
      </c:layout>
      <c:overlay val="0"/>
      <c:spPr>
        <a:noFill/>
        <a:ln w="25400">
          <a:noFill/>
        </a:ln>
      </c:spPr>
    </c:title>
    <c:autoTitleDeleted val="0"/>
    <c:plotArea>
      <c:layout>
        <c:manualLayout>
          <c:layoutTarget val="inner"/>
          <c:xMode val="edge"/>
          <c:yMode val="edge"/>
          <c:x val="0.11111476957333902"/>
          <c:y val="0.13924478936163134"/>
          <c:w val="0.7866925685792403"/>
          <c:h val="0.66141274946774886"/>
        </c:manualLayout>
      </c:layout>
      <c:scatterChart>
        <c:scatterStyle val="lineMarker"/>
        <c:varyColors val="0"/>
        <c:ser>
          <c:idx val="0"/>
          <c:order val="1"/>
          <c:tx>
            <c:strRef>
              <c:f>'Info Gral'!$G$5</c:f>
              <c:strCache>
                <c:ptCount val="1"/>
                <c:pt idx="0">
                  <c:v>Área medida (Há)</c:v>
                </c:pt>
              </c:strCache>
            </c:strRef>
          </c:tx>
          <c:spPr>
            <a:ln w="28575">
              <a:noFill/>
            </a:ln>
          </c:spPr>
          <c:marker>
            <c:symbol val="circle"/>
            <c:size val="7"/>
            <c:spPr>
              <a:solidFill>
                <a:srgbClr val="0000FF"/>
              </a:solidFill>
              <a:ln>
                <a:solidFill>
                  <a:srgbClr val="0000FF"/>
                </a:solidFill>
                <a:prstDash val="solid"/>
              </a:ln>
            </c:spPr>
          </c:marker>
          <c:xVal>
            <c:numRef>
              <c:f>'Info Gral'!$F$7:$F$26</c:f>
              <c:numCache>
                <c:formatCode>General</c:formatCode>
                <c:ptCount val="20"/>
                <c:pt idx="0">
                  <c:v>101.2</c:v>
                </c:pt>
                <c:pt idx="1">
                  <c:v>102.2</c:v>
                </c:pt>
                <c:pt idx="2">
                  <c:v>103.2</c:v>
                </c:pt>
                <c:pt idx="3">
                  <c:v>104.2</c:v>
                </c:pt>
                <c:pt idx="4">
                  <c:v>105.2</c:v>
                </c:pt>
                <c:pt idx="5">
                  <c:v>106.2</c:v>
                </c:pt>
              </c:numCache>
            </c:numRef>
          </c:xVal>
          <c:yVal>
            <c:numRef>
              <c:f>'Info Gral'!$G$7:$G$26</c:f>
              <c:numCache>
                <c:formatCode>General</c:formatCode>
                <c:ptCount val="20"/>
                <c:pt idx="0">
                  <c:v>37.700000000000003</c:v>
                </c:pt>
                <c:pt idx="1">
                  <c:v>84.4</c:v>
                </c:pt>
                <c:pt idx="2">
                  <c:v>135.9</c:v>
                </c:pt>
                <c:pt idx="3">
                  <c:v>177</c:v>
                </c:pt>
                <c:pt idx="4">
                  <c:v>224.6</c:v>
                </c:pt>
                <c:pt idx="5">
                  <c:v>300.89999999999998</c:v>
                </c:pt>
              </c:numCache>
            </c:numRef>
          </c:yVal>
          <c:smooth val="0"/>
          <c:extLst>
            <c:ext xmlns:c16="http://schemas.microsoft.com/office/drawing/2014/chart" uri="{C3380CC4-5D6E-409C-BE32-E72D297353CC}">
              <c16:uniqueId val="{00000000-1DE7-2840-B0A4-52CB000ADAC5}"/>
            </c:ext>
          </c:extLst>
        </c:ser>
        <c:ser>
          <c:idx val="1"/>
          <c:order val="2"/>
          <c:tx>
            <c:strRef>
              <c:f>'Anexo Geom Emb'!$H$12</c:f>
              <c:strCache>
                <c:ptCount val="1"/>
                <c:pt idx="0">
                  <c:v>Área (Há) = F1(Cota)</c:v>
                </c:pt>
              </c:strCache>
            </c:strRef>
          </c:tx>
          <c:spPr>
            <a:ln w="38100">
              <a:solidFill>
                <a:srgbClr val="0000FF"/>
              </a:solidFill>
              <a:prstDash val="solid"/>
            </a:ln>
          </c:spPr>
          <c:marker>
            <c:symbol val="none"/>
          </c:marker>
          <c:xVal>
            <c:numRef>
              <c:f>'Info Gral'!$F$7:$F$26</c:f>
              <c:numCache>
                <c:formatCode>General</c:formatCode>
                <c:ptCount val="20"/>
                <c:pt idx="0">
                  <c:v>101.2</c:v>
                </c:pt>
                <c:pt idx="1">
                  <c:v>102.2</c:v>
                </c:pt>
                <c:pt idx="2">
                  <c:v>103.2</c:v>
                </c:pt>
                <c:pt idx="3">
                  <c:v>104.2</c:v>
                </c:pt>
                <c:pt idx="4">
                  <c:v>105.2</c:v>
                </c:pt>
                <c:pt idx="5">
                  <c:v>106.2</c:v>
                </c:pt>
              </c:numCache>
            </c:numRef>
          </c:xVal>
          <c:yVal>
            <c:numRef>
              <c:f>'Anexo Geom Emb'!$H$13:$H$32</c:f>
              <c:numCache>
                <c:formatCode>0.0</c:formatCode>
                <c:ptCount val="20"/>
                <c:pt idx="0">
                  <c:v>41.755781281892666</c:v>
                </c:pt>
                <c:pt idx="1">
                  <c:v>77.320527162992761</c:v>
                </c:pt>
                <c:pt idx="2">
                  <c:v>122.356130295593</c:v>
                </c:pt>
                <c:pt idx="3">
                  <c:v>176.41762040906599</c:v>
                </c:pt>
                <c:pt idx="4">
                  <c:v>239.16691306842282</c:v>
                </c:pt>
                <c:pt idx="5">
                  <c:v>310.33320590390042</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extLst>
            <c:ext xmlns:c16="http://schemas.microsoft.com/office/drawing/2014/chart" uri="{C3380CC4-5D6E-409C-BE32-E72D297353CC}">
              <c16:uniqueId val="{00000001-1DE7-2840-B0A4-52CB000ADAC5}"/>
            </c:ext>
          </c:extLst>
        </c:ser>
        <c:ser>
          <c:idx val="3"/>
          <c:order val="3"/>
          <c:tx>
            <c:strRef>
              <c:f>'Anexo Geom Emb'!$F$36</c:f>
              <c:strCache>
                <c:ptCount val="1"/>
                <c:pt idx="0">
                  <c:v>Cota  Toma</c:v>
                </c:pt>
              </c:strCache>
            </c:strRef>
          </c:tx>
          <c:spPr>
            <a:ln w="38100">
              <a:solidFill>
                <a:srgbClr val="000000"/>
              </a:solidFill>
              <a:prstDash val="lgDashDotDot"/>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1DE7-2840-B0A4-52CB000ADAC5}"/>
                </c:ext>
              </c:extLst>
            </c:dLbl>
            <c:spPr>
              <a:noFill/>
              <a:ln w="25400">
                <a:noFill/>
              </a:ln>
            </c:spPr>
            <c:txPr>
              <a:bodyPr rot="-5400000" vert="horz" wrap="square" lIns="38100" tIns="19050" rIns="38100" bIns="19050" anchor="ctr">
                <a:spAutoFit/>
              </a:bodyPr>
              <a:lstStyle/>
              <a:p>
                <a:pPr algn="ctr">
                  <a:defRPr sz="900" b="1" i="0" u="none" strike="noStrike" baseline="0">
                    <a:solidFill>
                      <a:srgbClr val="000000"/>
                    </a:solidFill>
                    <a:latin typeface="Arial"/>
                    <a:ea typeface="Arial"/>
                    <a:cs typeface="Arial"/>
                  </a:defRPr>
                </a:pPr>
                <a:endParaRPr lang="en-UY"/>
              </a:p>
            </c:txPr>
            <c:dLblPos val="l"/>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'Anexo Geom Emb'!$E$37:$E$38</c:f>
              <c:numCache>
                <c:formatCode>0.0</c:formatCode>
                <c:ptCount val="2"/>
                <c:pt idx="0">
                  <c:v>100.5</c:v>
                </c:pt>
                <c:pt idx="1">
                  <c:v>100.5</c:v>
                </c:pt>
              </c:numCache>
            </c:numRef>
          </c:xVal>
          <c:yVal>
            <c:numRef>
              <c:f>'Anexo Geom Emb'!$F$37:$F$38</c:f>
              <c:numCache>
                <c:formatCode>0.0</c:formatCode>
                <c:ptCount val="2"/>
                <c:pt idx="0" formatCode="General">
                  <c:v>0</c:v>
                </c:pt>
                <c:pt idx="1">
                  <c:v>150.44999999999999</c:v>
                </c:pt>
              </c:numCache>
            </c:numRef>
          </c:yVal>
          <c:smooth val="0"/>
          <c:extLst>
            <c:ext xmlns:c16="http://schemas.microsoft.com/office/drawing/2014/chart" uri="{C3380CC4-5D6E-409C-BE32-E72D297353CC}">
              <c16:uniqueId val="{00000003-1DE7-2840-B0A4-52CB000ADAC5}"/>
            </c:ext>
          </c:extLst>
        </c:ser>
        <c:ser>
          <c:idx val="4"/>
          <c:order val="4"/>
          <c:tx>
            <c:strRef>
              <c:f>'Anexo Geom Emb'!$G$36</c:f>
              <c:strCache>
                <c:ptCount val="1"/>
                <c:pt idx="0">
                  <c:v>Cota Vertedero</c:v>
                </c:pt>
              </c:strCache>
            </c:strRef>
          </c:tx>
          <c:spPr>
            <a:ln w="38100">
              <a:solidFill>
                <a:srgbClr val="000000"/>
              </a:solidFill>
              <a:prstDash val="lgDashDotDot"/>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1DE7-2840-B0A4-52CB000ADAC5}"/>
                </c:ext>
              </c:extLst>
            </c:dLbl>
            <c:dLbl>
              <c:idx val="1"/>
              <c:layout>
                <c:manualLayout>
                  <c:x val="1.5958576970263665E-3"/>
                  <c:y val="8.6018017949977613E-2"/>
                </c:manualLayout>
              </c:layout>
              <c:spPr>
                <a:noFill/>
                <a:ln w="25400">
                  <a:noFill/>
                </a:ln>
              </c:spPr>
              <c:txPr>
                <a:bodyPr rot="-5400000" vert="horz"/>
                <a:lstStyle/>
                <a:p>
                  <a:pPr algn="ctr">
                    <a:defRPr sz="900" b="1" i="0" u="none" strike="noStrike" baseline="0">
                      <a:solidFill>
                        <a:srgbClr val="000000"/>
                      </a:solidFill>
                      <a:latin typeface="Arial"/>
                      <a:ea typeface="Arial"/>
                      <a:cs typeface="Arial"/>
                    </a:defRPr>
                  </a:pPr>
                  <a:endParaRPr lang="en-UY"/>
                </a:p>
              </c:txPr>
              <c:dLblPos val="r"/>
              <c:showLegendKey val="0"/>
              <c:showVal val="0"/>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5-1DE7-2840-B0A4-52CB000ADAC5}"/>
                </c:ext>
              </c:extLst>
            </c:dLbl>
            <c:spPr>
              <a:noFill/>
              <a:ln w="25400">
                <a:noFill/>
              </a:ln>
            </c:spPr>
            <c:txPr>
              <a:bodyPr rot="-5400000" vert="horz" wrap="square" lIns="38100" tIns="19050" rIns="38100" bIns="19050" anchor="ctr">
                <a:spAutoFit/>
              </a:bodyPr>
              <a:lstStyle/>
              <a:p>
                <a:pPr algn="ctr">
                  <a:defRPr sz="900" b="1" i="0" u="none" strike="noStrike" baseline="0">
                    <a:solidFill>
                      <a:srgbClr val="000000"/>
                    </a:solidFill>
                    <a:latin typeface="Arial"/>
                    <a:ea typeface="Arial"/>
                    <a:cs typeface="Arial"/>
                  </a:defRPr>
                </a:pPr>
                <a:endParaRPr lang="en-UY"/>
              </a:p>
            </c:txPr>
            <c:dLblPos val="r"/>
            <c:showLegendKey val="0"/>
            <c:showVal val="0"/>
            <c:showCatName val="1"/>
            <c:showSerName val="1"/>
            <c:showPercent val="0"/>
            <c:showBubbleSize val="0"/>
            <c:showLeaderLines val="0"/>
            <c:extLst>
              <c:ext xmlns:c15="http://schemas.microsoft.com/office/drawing/2012/chart" uri="{CE6537A1-D6FC-4f65-9D91-7224C49458BB}">
                <c15:showLeaderLines val="0"/>
              </c:ext>
            </c:extLst>
          </c:dLbls>
          <c:xVal>
            <c:numRef>
              <c:f>'Anexo Geom Emb'!$E$39:$E$40</c:f>
              <c:numCache>
                <c:formatCode>0.0</c:formatCode>
                <c:ptCount val="2"/>
                <c:pt idx="0">
                  <c:v>106</c:v>
                </c:pt>
                <c:pt idx="1">
                  <c:v>106</c:v>
                </c:pt>
              </c:numCache>
            </c:numRef>
          </c:xVal>
          <c:yVal>
            <c:numRef>
              <c:f>'Anexo Geom Emb'!$G$39:$G$40</c:f>
              <c:numCache>
                <c:formatCode>0.0</c:formatCode>
                <c:ptCount val="2"/>
                <c:pt idx="0" formatCode="General">
                  <c:v>0</c:v>
                </c:pt>
                <c:pt idx="1">
                  <c:v>210.62999999999997</c:v>
                </c:pt>
              </c:numCache>
            </c:numRef>
          </c:yVal>
          <c:smooth val="0"/>
          <c:extLst>
            <c:ext xmlns:c16="http://schemas.microsoft.com/office/drawing/2014/chart" uri="{C3380CC4-5D6E-409C-BE32-E72D297353CC}">
              <c16:uniqueId val="{00000006-1DE7-2840-B0A4-52CB000ADAC5}"/>
            </c:ext>
          </c:extLst>
        </c:ser>
        <c:dLbls>
          <c:showLegendKey val="0"/>
          <c:showVal val="0"/>
          <c:showCatName val="0"/>
          <c:showSerName val="0"/>
          <c:showPercent val="0"/>
          <c:showBubbleSize val="0"/>
        </c:dLbls>
        <c:axId val="1243347472"/>
        <c:axId val="1"/>
      </c:scatterChart>
      <c:scatterChart>
        <c:scatterStyle val="lineMarker"/>
        <c:varyColors val="0"/>
        <c:ser>
          <c:idx val="2"/>
          <c:order val="0"/>
          <c:tx>
            <c:strRef>
              <c:f>'Anexo Geom Emb'!$I$12</c:f>
              <c:strCache>
                <c:ptCount val="1"/>
                <c:pt idx="0">
                  <c:v>Vol (Hm3) = F2(Cota)</c:v>
                </c:pt>
              </c:strCache>
            </c:strRef>
          </c:tx>
          <c:spPr>
            <a:ln w="38100">
              <a:solidFill>
                <a:srgbClr val="FF0000"/>
              </a:solidFill>
              <a:prstDash val="sysDash"/>
            </a:ln>
          </c:spPr>
          <c:marker>
            <c:symbol val="none"/>
          </c:marker>
          <c:xVal>
            <c:numRef>
              <c:f>'Info Gral'!$F$7:$F$26</c:f>
              <c:numCache>
                <c:formatCode>General</c:formatCode>
                <c:ptCount val="20"/>
                <c:pt idx="0">
                  <c:v>101.2</c:v>
                </c:pt>
                <c:pt idx="1">
                  <c:v>102.2</c:v>
                </c:pt>
                <c:pt idx="2">
                  <c:v>103.2</c:v>
                </c:pt>
                <c:pt idx="3">
                  <c:v>104.2</c:v>
                </c:pt>
                <c:pt idx="4">
                  <c:v>105.2</c:v>
                </c:pt>
                <c:pt idx="5">
                  <c:v>106.2</c:v>
                </c:pt>
              </c:numCache>
            </c:numRef>
          </c:xVal>
          <c:yVal>
            <c:numRef>
              <c:f>'Anexo Geom Emb'!$I$13:$I$32</c:f>
              <c:numCache>
                <c:formatCode>0.00</c:formatCode>
                <c:ptCount val="20"/>
                <c:pt idx="0">
                  <c:v>0.36671363125898937</c:v>
                </c:pt>
                <c:pt idx="1">
                  <c:v>0.95397669956504061</c:v>
                </c:pt>
                <c:pt idx="2">
                  <c:v>1.9446737084754979</c:v>
                </c:pt>
                <c:pt idx="3">
                  <c:v>3.4311742378086203</c:v>
                </c:pt>
                <c:pt idx="4">
                  <c:v>5.5019781969633845</c:v>
                </c:pt>
                <c:pt idx="5">
                  <c:v>8.242564153164837</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extLst>
            <c:ext xmlns:c16="http://schemas.microsoft.com/office/drawing/2014/chart" uri="{C3380CC4-5D6E-409C-BE32-E72D297353CC}">
              <c16:uniqueId val="{00000007-1DE7-2840-B0A4-52CB000ADAC5}"/>
            </c:ext>
          </c:extLst>
        </c:ser>
        <c:dLbls>
          <c:showLegendKey val="0"/>
          <c:showVal val="0"/>
          <c:showCatName val="0"/>
          <c:showSerName val="0"/>
          <c:showPercent val="0"/>
          <c:showBubbleSize val="0"/>
        </c:dLbls>
        <c:axId val="3"/>
        <c:axId val="4"/>
      </c:scatterChart>
      <c:valAx>
        <c:axId val="1243347472"/>
        <c:scaling>
          <c:orientation val="minMax"/>
        </c:scaling>
        <c:delete val="0"/>
        <c:axPos val="b"/>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Cotas [msnm]</a:t>
                </a:r>
              </a:p>
            </c:rich>
          </c:tx>
          <c:layout>
            <c:manualLayout>
              <c:xMode val="edge"/>
              <c:yMode val="edge"/>
              <c:x val="0.42678581997952658"/>
              <c:y val="0.933446758871453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Y"/>
          </a:p>
        </c:txPr>
        <c:crossAx val="1"/>
        <c:crosses val="autoZero"/>
        <c:crossBetween val="midCat"/>
      </c:valAx>
      <c:valAx>
        <c:axId val="1"/>
        <c:scaling>
          <c:orientation val="minMax"/>
          <c:min val="0"/>
        </c:scaling>
        <c:delete val="0"/>
        <c:axPos val="l"/>
        <c:majorGridlines>
          <c:spPr>
            <a:ln w="3175">
              <a:solidFill>
                <a:srgbClr val="969696"/>
              </a:solidFill>
              <a:prstDash val="solid"/>
            </a:ln>
          </c:spPr>
        </c:majorGridlines>
        <c:title>
          <c:tx>
            <c:rich>
              <a:bodyPr/>
              <a:lstStyle/>
              <a:p>
                <a:pPr>
                  <a:defRPr sz="1200" b="1" i="0" u="none" strike="noStrike" baseline="0">
                    <a:solidFill>
                      <a:srgbClr val="0000FF"/>
                    </a:solidFill>
                    <a:latin typeface="Arial"/>
                    <a:ea typeface="Arial"/>
                    <a:cs typeface="Arial"/>
                  </a:defRPr>
                </a:pPr>
                <a:r>
                  <a:rPr lang="en-US"/>
                  <a:t>Áreas [Hás]</a:t>
                </a:r>
              </a:p>
            </c:rich>
          </c:tx>
          <c:layout>
            <c:manualLayout>
              <c:xMode val="edge"/>
              <c:yMode val="edge"/>
              <c:x val="6.3646110779590629E-3"/>
              <c:y val="0.38313334946606847"/>
            </c:manualLayout>
          </c:layout>
          <c:overlay val="0"/>
          <c:spPr>
            <a:noFill/>
            <a:ln w="25400">
              <a:noFill/>
            </a:ln>
          </c:spPr>
        </c:title>
        <c:numFmt formatCode="General" sourceLinked="0"/>
        <c:majorTickMark val="out"/>
        <c:minorTickMark val="out"/>
        <c:tickLblPos val="nextTo"/>
        <c:spPr>
          <a:ln w="12700">
            <a:solidFill>
              <a:srgbClr val="0000FF"/>
            </a:solidFill>
            <a:prstDash val="solid"/>
          </a:ln>
        </c:spPr>
        <c:txPr>
          <a:bodyPr rot="0" vert="horz"/>
          <a:lstStyle/>
          <a:p>
            <a:pPr>
              <a:defRPr sz="1125" b="1" i="0" u="none" strike="noStrike" baseline="0">
                <a:solidFill>
                  <a:srgbClr val="0000FF"/>
                </a:solidFill>
                <a:latin typeface="Arial"/>
                <a:ea typeface="Arial"/>
                <a:cs typeface="Arial"/>
              </a:defRPr>
            </a:pPr>
            <a:endParaRPr lang="en-UY"/>
          </a:p>
        </c:txPr>
        <c:crossAx val="1243347472"/>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min val="0"/>
        </c:scaling>
        <c:delete val="0"/>
        <c:axPos val="r"/>
        <c:title>
          <c:tx>
            <c:rich>
              <a:bodyPr/>
              <a:lstStyle/>
              <a:p>
                <a:pPr>
                  <a:defRPr sz="1200" b="1" i="0" u="none" strike="noStrike" baseline="0">
                    <a:solidFill>
                      <a:srgbClr val="FF0000"/>
                    </a:solidFill>
                    <a:latin typeface="Arial"/>
                    <a:ea typeface="Arial"/>
                    <a:cs typeface="Arial"/>
                  </a:defRPr>
                </a:pPr>
                <a:r>
                  <a:rPr lang="en-US"/>
                  <a:t>Volúmen [Hm3]</a:t>
                </a:r>
              </a:p>
            </c:rich>
          </c:tx>
          <c:layout>
            <c:manualLayout>
              <c:xMode val="edge"/>
              <c:yMode val="edge"/>
              <c:x val="0.93026484443603519"/>
              <c:y val="0.35496509744792537"/>
            </c:manualLayout>
          </c:layout>
          <c:overlay val="0"/>
          <c:spPr>
            <a:noFill/>
            <a:ln w="25400">
              <a:noFill/>
            </a:ln>
          </c:spPr>
        </c:title>
        <c:numFmt formatCode="General" sourceLinked="0"/>
        <c:majorTickMark val="cross"/>
        <c:minorTickMark val="out"/>
        <c:tickLblPos val="nextTo"/>
        <c:spPr>
          <a:ln w="12700">
            <a:solidFill>
              <a:srgbClr val="FF0000"/>
            </a:solidFill>
            <a:prstDash val="solid"/>
          </a:ln>
        </c:spPr>
        <c:txPr>
          <a:bodyPr rot="0" vert="horz"/>
          <a:lstStyle/>
          <a:p>
            <a:pPr>
              <a:defRPr sz="1200" b="1" i="0" u="none" strike="noStrike" baseline="0">
                <a:solidFill>
                  <a:srgbClr val="FF0000"/>
                </a:solidFill>
                <a:latin typeface="Arial"/>
                <a:ea typeface="Arial"/>
                <a:cs typeface="Arial"/>
              </a:defRPr>
            </a:pPr>
            <a:endParaRPr lang="en-UY"/>
          </a:p>
        </c:txPr>
        <c:crossAx val="3"/>
        <c:crosses val="max"/>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Y"/>
    </a:p>
  </c:txPr>
  <c:printSettings>
    <c:headerFooter alignWithMargins="0"/>
    <c:pageMargins b="1" l="0.75000000000000033" r="0.75000000000000033"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US"/>
              <a:t>Diseño Hidráulico del Vertedero Canal
Velocidad y Espesor de la lámina según ancho B</a:t>
            </a:r>
          </a:p>
        </c:rich>
      </c:tx>
      <c:layout>
        <c:manualLayout>
          <c:xMode val="edge"/>
          <c:yMode val="edge"/>
          <c:x val="0.14503817495667681"/>
          <c:y val="1.1990346844228365E-2"/>
        </c:manualLayout>
      </c:layout>
      <c:overlay val="0"/>
      <c:spPr>
        <a:noFill/>
        <a:ln w="25400">
          <a:noFill/>
        </a:ln>
      </c:spPr>
    </c:title>
    <c:autoTitleDeleted val="0"/>
    <c:plotArea>
      <c:layout>
        <c:manualLayout>
          <c:layoutTarget val="inner"/>
          <c:xMode val="edge"/>
          <c:yMode val="edge"/>
          <c:x val="0.18829061963002111"/>
          <c:y val="0.13665028190556075"/>
          <c:w val="0.64437234273385002"/>
          <c:h val="0.55281250407249571"/>
        </c:manualLayout>
      </c:layout>
      <c:scatterChart>
        <c:scatterStyle val="lineMarker"/>
        <c:varyColors val="0"/>
        <c:ser>
          <c:idx val="1"/>
          <c:order val="0"/>
          <c:tx>
            <c:v>Velocidad "V"</c:v>
          </c:tx>
          <c:spPr>
            <a:ln w="50800">
              <a:solidFill>
                <a:srgbClr val="C0504D">
                  <a:shade val="95000"/>
                  <a:satMod val="105000"/>
                </a:srgbClr>
              </a:solidFill>
            </a:ln>
          </c:spPr>
          <c:marker>
            <c:symbol val="diamond"/>
            <c:size val="10"/>
            <c:spPr>
              <a:solidFill>
                <a:srgbClr val="FF0000"/>
              </a:solidFill>
            </c:spPr>
          </c:marker>
          <c:xVal>
            <c:numRef>
              <c:f>'Diseño Aliv-Canal'!$G$25:$G$28</c:f>
              <c:numCache>
                <c:formatCode>0</c:formatCode>
                <c:ptCount val="4"/>
                <c:pt idx="0">
                  <c:v>269.89197712520092</c:v>
                </c:pt>
                <c:pt idx="1">
                  <c:v>207.51641975820829</c:v>
                </c:pt>
                <c:pt idx="2">
                  <c:v>194.27147137204383</c:v>
                </c:pt>
                <c:pt idx="3">
                  <c:v>138.74862245483109</c:v>
                </c:pt>
              </c:numCache>
            </c:numRef>
          </c:xVal>
          <c:yVal>
            <c:numRef>
              <c:f>'Diseño Aliv-Canal'!$F$25:$F$28</c:f>
              <c:numCache>
                <c:formatCode>0.00</c:formatCode>
                <c:ptCount val="4"/>
                <c:pt idx="0">
                  <c:v>1.3241483033193688</c:v>
                </c:pt>
                <c:pt idx="1">
                  <c:v>1.4046374032364108</c:v>
                </c:pt>
                <c:pt idx="2">
                  <c:v>1.4242941182203603</c:v>
                </c:pt>
                <c:pt idx="3">
                  <c:v>1.5200534523687004</c:v>
                </c:pt>
              </c:numCache>
            </c:numRef>
          </c:yVal>
          <c:smooth val="0"/>
          <c:extLst>
            <c:ext xmlns:c16="http://schemas.microsoft.com/office/drawing/2014/chart" uri="{C3380CC4-5D6E-409C-BE32-E72D297353CC}">
              <c16:uniqueId val="{00000000-F624-AF40-AC1C-F81982971F84}"/>
            </c:ext>
          </c:extLst>
        </c:ser>
        <c:ser>
          <c:idx val="8"/>
          <c:order val="2"/>
          <c:tx>
            <c:v>Vel result.</c:v>
          </c:tx>
          <c:spPr>
            <a:ln w="25400">
              <a:solidFill>
                <a:srgbClr val="800000"/>
              </a:solidFill>
              <a:prstDash val="lgDashDotDot"/>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02-F624-AF40-AC1C-F81982971F84}"/>
                </c:ext>
              </c:extLst>
            </c:dLbl>
            <c:numFmt formatCode="0.00" sourceLinked="0"/>
            <c:spPr>
              <a:noFill/>
              <a:ln w="25400">
                <a:noFill/>
              </a:ln>
            </c:spPr>
            <c:txPr>
              <a:bodyPr wrap="square" lIns="38100" tIns="19050" rIns="38100" bIns="19050" anchor="ctr">
                <a:spAutoFit/>
              </a:bodyPr>
              <a:lstStyle/>
              <a:p>
                <a:pPr>
                  <a:defRPr sz="1200" b="1" i="0" u="none" strike="noStrike" baseline="0">
                    <a:solidFill>
                      <a:srgbClr val="800000"/>
                    </a:solidFill>
                    <a:latin typeface="Calibri"/>
                    <a:ea typeface="Calibri"/>
                    <a:cs typeface="Calibri"/>
                  </a:defRPr>
                </a:pPr>
                <a:endParaRPr lang="en-UY"/>
              </a:p>
            </c:txPr>
            <c:dLblPos val="l"/>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'Diseño Aliv-Canal'!$C$61:$C$63</c:f>
              <c:numCache>
                <c:formatCode>General</c:formatCode>
                <c:ptCount val="3"/>
                <c:pt idx="0">
                  <c:v>200</c:v>
                </c:pt>
                <c:pt idx="1">
                  <c:v>200</c:v>
                </c:pt>
                <c:pt idx="2" formatCode="0">
                  <c:v>100</c:v>
                </c:pt>
              </c:numCache>
            </c:numRef>
          </c:xVal>
          <c:yVal>
            <c:numRef>
              <c:f>'Diseño Aliv-Canal'!$E$61:$E$63</c:f>
              <c:numCache>
                <c:formatCode>General</c:formatCode>
                <c:ptCount val="3"/>
                <c:pt idx="0">
                  <c:v>0</c:v>
                </c:pt>
                <c:pt idx="1">
                  <c:v>1.4242941182203603</c:v>
                </c:pt>
                <c:pt idx="2">
                  <c:v>1.4242941182203603</c:v>
                </c:pt>
              </c:numCache>
            </c:numRef>
          </c:yVal>
          <c:smooth val="0"/>
          <c:extLst>
            <c:ext xmlns:c16="http://schemas.microsoft.com/office/drawing/2014/chart" uri="{C3380CC4-5D6E-409C-BE32-E72D297353CC}">
              <c16:uniqueId val="{00000003-F624-AF40-AC1C-F81982971F84}"/>
            </c:ext>
          </c:extLst>
        </c:ser>
        <c:ser>
          <c:idx val="3"/>
          <c:order val="4"/>
          <c:tx>
            <c:v>Veget. Escasa</c:v>
          </c:tx>
          <c:spPr>
            <a:ln w="38100">
              <a:solidFill>
                <a:srgbClr val="993300"/>
              </a:solidFill>
              <a:prstDash val="sysDash"/>
            </a:ln>
          </c:spPr>
          <c:marker>
            <c:symbol val="none"/>
          </c:marker>
          <c:dLbls>
            <c:dLbl>
              <c:idx val="0"/>
              <c:layout>
                <c:manualLayout>
                  <c:x val="-3.9681726606513841E-3"/>
                  <c:y val="3.2430859322367125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n-UY"/>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05-F624-AF40-AC1C-F81982971F8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Y"/>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'Diseño Aliv-Canal'!$A$55:$A$56</c:f>
              <c:numCache>
                <c:formatCode>0</c:formatCode>
                <c:ptCount val="2"/>
                <c:pt idx="0">
                  <c:v>100</c:v>
                </c:pt>
                <c:pt idx="1">
                  <c:v>150</c:v>
                </c:pt>
              </c:numCache>
            </c:numRef>
          </c:xVal>
          <c:yVal>
            <c:numRef>
              <c:f>'Diseño Aliv-Canal'!$B$55:$B$56</c:f>
              <c:numCache>
                <c:formatCode>General</c:formatCode>
                <c:ptCount val="2"/>
                <c:pt idx="0">
                  <c:v>1</c:v>
                </c:pt>
                <c:pt idx="1">
                  <c:v>1</c:v>
                </c:pt>
              </c:numCache>
            </c:numRef>
          </c:yVal>
          <c:smooth val="0"/>
          <c:extLst>
            <c:ext xmlns:c16="http://schemas.microsoft.com/office/drawing/2014/chart" uri="{C3380CC4-5D6E-409C-BE32-E72D297353CC}">
              <c16:uniqueId val="{00000006-F624-AF40-AC1C-F81982971F84}"/>
            </c:ext>
          </c:extLst>
        </c:ser>
        <c:ser>
          <c:idx val="4"/>
          <c:order val="5"/>
          <c:tx>
            <c:v>Por siembra</c:v>
          </c:tx>
          <c:spPr>
            <a:ln w="38100">
              <a:solidFill>
                <a:srgbClr val="800080"/>
              </a:solidFill>
              <a:prstDash val="sysDash"/>
            </a:ln>
          </c:spPr>
          <c:marker>
            <c:symbol val="none"/>
          </c:marker>
          <c:dLbls>
            <c:dLbl>
              <c:idx val="0"/>
              <c:layout>
                <c:manualLayout>
                  <c:x val="-2.2674895640130512E-3"/>
                  <c:y val="2.2227492250250957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n-UY"/>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08-F624-AF40-AC1C-F81982971F8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Y"/>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'Diseño Aliv-Canal'!$A$55:$A$56</c:f>
              <c:numCache>
                <c:formatCode>0</c:formatCode>
                <c:ptCount val="2"/>
                <c:pt idx="0">
                  <c:v>100</c:v>
                </c:pt>
                <c:pt idx="1">
                  <c:v>150</c:v>
                </c:pt>
              </c:numCache>
            </c:numRef>
          </c:xVal>
          <c:yVal>
            <c:numRef>
              <c:f>'Diseño Aliv-Canal'!$C$55:$C$56</c:f>
              <c:numCache>
                <c:formatCode>General</c:formatCode>
                <c:ptCount val="2"/>
                <c:pt idx="0">
                  <c:v>1.2</c:v>
                </c:pt>
                <c:pt idx="1">
                  <c:v>1.2</c:v>
                </c:pt>
              </c:numCache>
            </c:numRef>
          </c:yVal>
          <c:smooth val="0"/>
          <c:extLst>
            <c:ext xmlns:c16="http://schemas.microsoft.com/office/drawing/2014/chart" uri="{C3380CC4-5D6E-409C-BE32-E72D297353CC}">
              <c16:uniqueId val="{00000009-F624-AF40-AC1C-F81982971F84}"/>
            </c:ext>
          </c:extLst>
        </c:ser>
        <c:ser>
          <c:idx val="5"/>
          <c:order val="6"/>
          <c:tx>
            <c:v>Variable</c:v>
          </c:tx>
          <c:spPr>
            <a:ln w="38100">
              <a:solidFill>
                <a:srgbClr val="800000"/>
              </a:solidFill>
              <a:prstDash val="sysDash"/>
            </a:ln>
          </c:spPr>
          <c:marker>
            <c:symbol val="none"/>
          </c:marker>
          <c:dLbls>
            <c:dLbl>
              <c:idx val="0"/>
              <c:layout>
                <c:manualLayout>
                  <c:x val="4.5352428225402626E-3"/>
                  <c:y val="3.1179047580627017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n-UY"/>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0B-F624-AF40-AC1C-F81982971F8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Y"/>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'Diseño Aliv-Canal'!$A$55:$A$56</c:f>
              <c:numCache>
                <c:formatCode>0</c:formatCode>
                <c:ptCount val="2"/>
                <c:pt idx="0">
                  <c:v>100</c:v>
                </c:pt>
                <c:pt idx="1">
                  <c:v>150</c:v>
                </c:pt>
              </c:numCache>
            </c:numRef>
          </c:xVal>
          <c:yVal>
            <c:numRef>
              <c:f>'Diseño Aliv-Canal'!$D$55:$D$56</c:f>
              <c:numCache>
                <c:formatCode>General</c:formatCode>
                <c:ptCount val="2"/>
                <c:pt idx="0">
                  <c:v>1.5</c:v>
                </c:pt>
                <c:pt idx="1">
                  <c:v>1.5</c:v>
                </c:pt>
              </c:numCache>
            </c:numRef>
          </c:yVal>
          <c:smooth val="0"/>
          <c:extLst>
            <c:ext xmlns:c16="http://schemas.microsoft.com/office/drawing/2014/chart" uri="{C3380CC4-5D6E-409C-BE32-E72D297353CC}">
              <c16:uniqueId val="{0000000C-F624-AF40-AC1C-F81982971F84}"/>
            </c:ext>
          </c:extLst>
        </c:ser>
        <c:ser>
          <c:idx val="6"/>
          <c:order val="7"/>
          <c:tx>
            <c:v>Bien Estable</c:v>
          </c:tx>
          <c:spPr>
            <a:ln w="38100">
              <a:solidFill>
                <a:srgbClr val="008080"/>
              </a:solidFill>
              <a:prstDash val="sysDash"/>
            </a:ln>
          </c:spPr>
          <c:marker>
            <c:symbol val="none"/>
          </c:marker>
          <c:dLbls>
            <c:dLbl>
              <c:idx val="0"/>
              <c:layout>
                <c:manualLayout>
                  <c:x val="-7.3695278728214738E-3"/>
                  <c:y val="2.761076507227642E-2"/>
                </c:manualLayout>
              </c:layout>
              <c:tx>
                <c:rich>
                  <a:bodyPr/>
                  <a:lstStyle/>
                  <a:p>
                    <a:pPr algn="l">
                      <a:defRPr sz="900" b="0" i="0" u="none" strike="noStrike" baseline="0">
                        <a:solidFill>
                          <a:srgbClr val="000000"/>
                        </a:solidFill>
                        <a:latin typeface="Calibri"/>
                        <a:ea typeface="Calibri"/>
                        <a:cs typeface="Calibri"/>
                      </a:defRPr>
                    </a:pPr>
                    <a:r>
                      <a:rPr lang="en-US"/>
                      <a:t>Bien Establecida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0E-F624-AF40-AC1C-F81982971F84}"/>
                </c:ext>
              </c:extLst>
            </c:dLbl>
            <c:spPr>
              <a:noFill/>
              <a:ln w="25400">
                <a:noFill/>
              </a:ln>
            </c:spPr>
            <c:txPr>
              <a:bodyPr wrap="square" lIns="38100" tIns="19050" rIns="38100" bIns="19050" anchor="ctr">
                <a:spAutoFit/>
              </a:bodyPr>
              <a:lstStyle/>
              <a:p>
                <a:pPr algn="l">
                  <a:defRPr sz="900" b="0" i="0" u="none" strike="noStrike" baseline="0">
                    <a:solidFill>
                      <a:srgbClr val="000000"/>
                    </a:solidFill>
                    <a:latin typeface="Calibri"/>
                    <a:ea typeface="Calibri"/>
                    <a:cs typeface="Calibri"/>
                  </a:defRPr>
                </a:pPr>
                <a:endParaRPr lang="en-UY"/>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'Diseño Aliv-Canal'!$A$55:$A$56</c:f>
              <c:numCache>
                <c:formatCode>0</c:formatCode>
                <c:ptCount val="2"/>
                <c:pt idx="0">
                  <c:v>100</c:v>
                </c:pt>
                <c:pt idx="1">
                  <c:v>150</c:v>
                </c:pt>
              </c:numCache>
            </c:numRef>
          </c:xVal>
          <c:yVal>
            <c:numRef>
              <c:f>'Diseño Aliv-Canal'!$E$55:$E$56</c:f>
              <c:numCache>
                <c:formatCode>General</c:formatCode>
                <c:ptCount val="2"/>
                <c:pt idx="0">
                  <c:v>1.8</c:v>
                </c:pt>
                <c:pt idx="1">
                  <c:v>1.8</c:v>
                </c:pt>
              </c:numCache>
            </c:numRef>
          </c:yVal>
          <c:smooth val="0"/>
          <c:extLst>
            <c:ext xmlns:c16="http://schemas.microsoft.com/office/drawing/2014/chart" uri="{C3380CC4-5D6E-409C-BE32-E72D297353CC}">
              <c16:uniqueId val="{0000000F-F624-AF40-AC1C-F81982971F84}"/>
            </c:ext>
          </c:extLst>
        </c:ser>
        <c:ser>
          <c:idx val="7"/>
          <c:order val="8"/>
          <c:tx>
            <c:v>Condic. muy esp</c:v>
          </c:tx>
          <c:spPr>
            <a:ln w="38100">
              <a:solidFill>
                <a:srgbClr val="0000FF"/>
              </a:solidFill>
              <a:prstDash val="sysDash"/>
            </a:ln>
          </c:spPr>
          <c:marker>
            <c:symbol val="none"/>
          </c:marker>
          <c:dLbls>
            <c:dLbl>
              <c:idx val="0"/>
              <c:layout>
                <c:manualLayout>
                  <c:x val="-1.4172271240481355E-2"/>
                  <c:y val="3.4997465375496382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n-UY"/>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11-F624-AF40-AC1C-F81982971F8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n-UY"/>
              </a:p>
            </c:tx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'Diseño Aliv-Canal'!$A$55:$A$56</c:f>
              <c:numCache>
                <c:formatCode>0</c:formatCode>
                <c:ptCount val="2"/>
                <c:pt idx="0">
                  <c:v>100</c:v>
                </c:pt>
                <c:pt idx="1">
                  <c:v>150</c:v>
                </c:pt>
              </c:numCache>
            </c:numRef>
          </c:xVal>
          <c:yVal>
            <c:numRef>
              <c:f>'Diseño Aliv-Canal'!$F$55:$F$56</c:f>
              <c:numCache>
                <c:formatCode>General</c:formatCode>
                <c:ptCount val="2"/>
                <c:pt idx="0">
                  <c:v>2.1</c:v>
                </c:pt>
                <c:pt idx="1">
                  <c:v>2.1</c:v>
                </c:pt>
              </c:numCache>
            </c:numRef>
          </c:yVal>
          <c:smooth val="0"/>
          <c:extLst>
            <c:ext xmlns:c16="http://schemas.microsoft.com/office/drawing/2014/chart" uri="{C3380CC4-5D6E-409C-BE32-E72D297353CC}">
              <c16:uniqueId val="{00000012-F624-AF40-AC1C-F81982971F84}"/>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3-F624-AF40-AC1C-F81982971F84}"/>
                </c:ext>
              </c:extLst>
            </c:dLbl>
            <c:dLbl>
              <c:idx val="1"/>
              <c:layout>
                <c:manualLayout>
                  <c:x val="-3.9682483167864886E-2"/>
                  <c:y val="2.4934027716061451E-2"/>
                </c:manualLayout>
              </c:layout>
              <c:spPr>
                <a:noFill/>
                <a:ln w="25400">
                  <a:noFill/>
                </a:ln>
              </c:spPr>
              <c:txPr>
                <a:bodyPr/>
                <a:lstStyle/>
                <a:p>
                  <a:pPr>
                    <a:defRPr sz="1400" b="1" i="0" u="none" strike="noStrike" baseline="0">
                      <a:solidFill>
                        <a:srgbClr val="000000"/>
                      </a:solidFill>
                      <a:latin typeface="Calibri"/>
                      <a:ea typeface="Calibri"/>
                      <a:cs typeface="Calibri"/>
                    </a:defRPr>
                  </a:pPr>
                  <a:endParaRPr lang="en-UY"/>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624-AF40-AC1C-F81982971F84}"/>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n-UY"/>
              </a:p>
            </c:tx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'Diseño Aliv-Canal'!$C$61:$C$62</c:f>
              <c:numCache>
                <c:formatCode>General</c:formatCode>
                <c:ptCount val="2"/>
                <c:pt idx="0">
                  <c:v>200</c:v>
                </c:pt>
                <c:pt idx="1">
                  <c:v>200</c:v>
                </c:pt>
              </c:numCache>
            </c:numRef>
          </c:xVal>
          <c:yVal>
            <c:numRef>
              <c:f>'Diseño Aliv-Canal'!$F$61:$F$62</c:f>
              <c:numCache>
                <c:formatCode>General</c:formatCode>
                <c:ptCount val="2"/>
                <c:pt idx="0">
                  <c:v>0</c:v>
                </c:pt>
                <c:pt idx="1">
                  <c:v>0</c:v>
                </c:pt>
              </c:numCache>
            </c:numRef>
          </c:yVal>
          <c:smooth val="0"/>
          <c:extLst>
            <c:ext xmlns:c16="http://schemas.microsoft.com/office/drawing/2014/chart" uri="{C3380CC4-5D6E-409C-BE32-E72D297353CC}">
              <c16:uniqueId val="{00000015-F624-AF40-AC1C-F81982971F84}"/>
            </c:ext>
          </c:extLst>
        </c:ser>
        <c:dLbls>
          <c:showLegendKey val="0"/>
          <c:showVal val="0"/>
          <c:showCatName val="0"/>
          <c:showSerName val="0"/>
          <c:showPercent val="0"/>
          <c:showBubbleSize val="0"/>
        </c:dLbls>
        <c:axId val="1243245568"/>
        <c:axId val="1"/>
      </c:scatterChart>
      <c:scatterChart>
        <c:scatterStyle val="lineMarker"/>
        <c:varyColors val="0"/>
        <c:ser>
          <c:idx val="0"/>
          <c:order val="1"/>
          <c:tx>
            <c:v>Lámina "E"</c:v>
          </c:tx>
          <c:spPr>
            <a:ln w="38100">
              <a:solidFill>
                <a:srgbClr val="000080"/>
              </a:solidFill>
              <a:prstDash val="solid"/>
            </a:ln>
          </c:spPr>
          <c:marker>
            <c:symbol val="circle"/>
            <c:size val="10"/>
            <c:spPr>
              <a:solidFill>
                <a:srgbClr val="000080"/>
              </a:solidFill>
              <a:ln>
                <a:solidFill>
                  <a:srgbClr val="000080"/>
                </a:solidFill>
                <a:prstDash val="solid"/>
              </a:ln>
            </c:spPr>
          </c:marker>
          <c:xVal>
            <c:numRef>
              <c:f>'Diseño Aliv-Canal'!$G$25:$G$28</c:f>
              <c:numCache>
                <c:formatCode>0</c:formatCode>
                <c:ptCount val="4"/>
                <c:pt idx="0">
                  <c:v>269.89197712520092</c:v>
                </c:pt>
                <c:pt idx="1">
                  <c:v>207.51641975820829</c:v>
                </c:pt>
                <c:pt idx="2">
                  <c:v>194.27147137204383</c:v>
                </c:pt>
                <c:pt idx="3">
                  <c:v>138.74862245483109</c:v>
                </c:pt>
              </c:numCache>
            </c:numRef>
          </c:xVal>
          <c:yVal>
            <c:numRef>
              <c:f>'Diseño Aliv-Canal'!$A$25:$A$28</c:f>
              <c:numCache>
                <c:formatCode>General</c:formatCode>
                <c:ptCount val="4"/>
                <c:pt idx="0">
                  <c:v>0.4</c:v>
                </c:pt>
                <c:pt idx="1">
                  <c:v>0.44</c:v>
                </c:pt>
                <c:pt idx="2">
                  <c:v>0.45</c:v>
                </c:pt>
                <c:pt idx="3">
                  <c:v>0.5</c:v>
                </c:pt>
              </c:numCache>
            </c:numRef>
          </c:yVal>
          <c:smooth val="0"/>
          <c:extLst>
            <c:ext xmlns:c16="http://schemas.microsoft.com/office/drawing/2014/chart" uri="{C3380CC4-5D6E-409C-BE32-E72D297353CC}">
              <c16:uniqueId val="{00000016-F624-AF40-AC1C-F81982971F84}"/>
            </c:ext>
          </c:extLst>
        </c:ser>
        <c:ser>
          <c:idx val="2"/>
          <c:order val="3"/>
          <c:tx>
            <c:v>"E" adoptado</c:v>
          </c:tx>
          <c:spPr>
            <a:ln w="25400">
              <a:solidFill>
                <a:srgbClr val="000080"/>
              </a:solidFill>
              <a:prstDash val="lgDashDotDot"/>
            </a:ln>
          </c:spPr>
          <c:marker>
            <c:symbol val="none"/>
          </c:marker>
          <c:dLbls>
            <c:dLbl>
              <c:idx val="0"/>
              <c:layout>
                <c:manualLayout>
                  <c:x val="7.2351925167313133E-2"/>
                  <c:y val="-1.3181089101435452E-2"/>
                </c:manualLayout>
              </c:layout>
              <c:tx>
                <c:rich>
                  <a:bodyPr/>
                  <a:lstStyle/>
                  <a:p>
                    <a:pPr>
                      <a:defRPr sz="1100" b="1" i="0" u="none" strike="noStrike" baseline="0">
                        <a:solidFill>
                          <a:srgbClr val="000080"/>
                        </a:solidFill>
                        <a:latin typeface="Calibri"/>
                        <a:ea typeface="Calibri"/>
                        <a:cs typeface="Calibri"/>
                      </a:defRPr>
                    </a:pPr>
                    <a:r>
                      <a:rPr lang="en-US"/>
                      <a:t>"E" adopt., 0.45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F624-AF40-AC1C-F81982971F84}"/>
                </c:ext>
              </c:extLst>
            </c:dLbl>
            <c:dLbl>
              <c:idx val="1"/>
              <c:delete val="1"/>
              <c:extLst>
                <c:ext xmlns:c15="http://schemas.microsoft.com/office/drawing/2012/chart" uri="{CE6537A1-D6FC-4f65-9D91-7224C49458BB}"/>
                <c:ext xmlns:c16="http://schemas.microsoft.com/office/drawing/2014/chart" uri="{C3380CC4-5D6E-409C-BE32-E72D297353CC}">
                  <c16:uniqueId val="{00000018-F624-AF40-AC1C-F81982971F84}"/>
                </c:ext>
              </c:extLst>
            </c:dLbl>
            <c:dLbl>
              <c:idx val="2"/>
              <c:delete val="1"/>
              <c:extLst>
                <c:ext xmlns:c15="http://schemas.microsoft.com/office/drawing/2012/chart" uri="{CE6537A1-D6FC-4f65-9D91-7224C49458BB}"/>
                <c:ext xmlns:c16="http://schemas.microsoft.com/office/drawing/2014/chart" uri="{C3380CC4-5D6E-409C-BE32-E72D297353CC}">
                  <c16:uniqueId val="{00000019-F624-AF40-AC1C-F81982971F84}"/>
                </c:ext>
              </c:extLst>
            </c:dLbl>
            <c:spPr>
              <a:noFill/>
              <a:ln w="25400">
                <a:noFill/>
              </a:ln>
            </c:spPr>
            <c:txPr>
              <a:bodyPr wrap="square" lIns="38100" tIns="19050" rIns="38100" bIns="19050" anchor="ctr">
                <a:spAutoFit/>
              </a:bodyPr>
              <a:lstStyle/>
              <a:p>
                <a:pPr>
                  <a:defRPr sz="1100" b="1" i="0" u="none" strike="noStrike" baseline="0">
                    <a:solidFill>
                      <a:srgbClr val="000080"/>
                    </a:solidFill>
                    <a:latin typeface="Calibri"/>
                    <a:ea typeface="Calibri"/>
                    <a:cs typeface="Calibri"/>
                  </a:defRPr>
                </a:pPr>
                <a:endParaRPr lang="en-UY"/>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xVal>
            <c:numRef>
              <c:f>'Diseño Aliv-Canal'!$C$60:$C$62</c:f>
              <c:numCache>
                <c:formatCode>General</c:formatCode>
                <c:ptCount val="3"/>
                <c:pt idx="0" formatCode="0">
                  <c:v>300</c:v>
                </c:pt>
                <c:pt idx="1">
                  <c:v>200</c:v>
                </c:pt>
                <c:pt idx="2">
                  <c:v>200</c:v>
                </c:pt>
              </c:numCache>
            </c:numRef>
          </c:xVal>
          <c:yVal>
            <c:numRef>
              <c:f>'Diseño Aliv-Canal'!$D$60:$D$62</c:f>
              <c:numCache>
                <c:formatCode>General</c:formatCode>
                <c:ptCount val="3"/>
                <c:pt idx="0">
                  <c:v>0.45</c:v>
                </c:pt>
                <c:pt idx="1">
                  <c:v>0.45</c:v>
                </c:pt>
                <c:pt idx="2">
                  <c:v>0</c:v>
                </c:pt>
              </c:numCache>
            </c:numRef>
          </c:yVal>
          <c:smooth val="0"/>
          <c:extLst>
            <c:ext xmlns:c16="http://schemas.microsoft.com/office/drawing/2014/chart" uri="{C3380CC4-5D6E-409C-BE32-E72D297353CC}">
              <c16:uniqueId val="{0000001A-F624-AF40-AC1C-F81982971F84}"/>
            </c:ext>
          </c:extLst>
        </c:ser>
        <c:dLbls>
          <c:showLegendKey val="0"/>
          <c:showVal val="0"/>
          <c:showCatName val="0"/>
          <c:showSerName val="0"/>
          <c:showPercent val="0"/>
          <c:showBubbleSize val="0"/>
        </c:dLbls>
        <c:axId val="3"/>
        <c:axId val="4"/>
      </c:scatterChart>
      <c:valAx>
        <c:axId val="1243245568"/>
        <c:scaling>
          <c:orientation val="minMax"/>
          <c:max val="300"/>
          <c:min val="100"/>
        </c:scaling>
        <c:delete val="0"/>
        <c:axPos val="b"/>
        <c:majorGridlines/>
        <c:title>
          <c:tx>
            <c:rich>
              <a:bodyPr/>
              <a:lstStyle/>
              <a:p>
                <a:pPr>
                  <a:defRPr sz="1200" b="0" i="0" u="none" strike="noStrike" baseline="0">
                    <a:solidFill>
                      <a:srgbClr val="000000"/>
                    </a:solidFill>
                    <a:latin typeface="Calibri"/>
                    <a:ea typeface="Calibri"/>
                    <a:cs typeface="Calibri"/>
                  </a:defRPr>
                </a:pPr>
                <a:r>
                  <a:rPr lang="en-US"/>
                  <a:t>B,  Ancho del Vertedero Canal (m)</a:t>
                </a:r>
              </a:p>
            </c:rich>
          </c:tx>
          <c:layout>
            <c:manualLayout>
              <c:xMode val="edge"/>
              <c:yMode val="edge"/>
              <c:x val="0.30952447931749338"/>
              <c:y val="0.80498722894537511"/>
            </c:manualLayout>
          </c:layout>
          <c:overlay val="0"/>
          <c:spPr>
            <a:noFill/>
            <a:ln w="25400">
              <a:noFill/>
            </a:ln>
          </c:spPr>
        </c:title>
        <c:numFmt formatCode="0" sourceLinked="1"/>
        <c:majorTickMark val="out"/>
        <c:minorTickMark val="in"/>
        <c:tickLblPos val="nextTo"/>
        <c:txPr>
          <a:bodyPr rot="0" vert="horz"/>
          <a:lstStyle/>
          <a:p>
            <a:pPr>
              <a:defRPr sz="1200" b="0" i="0" u="none" strike="noStrike" baseline="0">
                <a:solidFill>
                  <a:srgbClr val="000000"/>
                </a:solidFill>
                <a:latin typeface="Calibri"/>
                <a:ea typeface="Calibri"/>
                <a:cs typeface="Calibri"/>
              </a:defRPr>
            </a:pPr>
            <a:endParaRPr lang="en-UY"/>
          </a:p>
        </c:txPr>
        <c:crossAx val="1"/>
        <c:crosses val="autoZero"/>
        <c:crossBetween val="midCat"/>
      </c:valAx>
      <c:valAx>
        <c:axId val="1"/>
        <c:scaling>
          <c:orientation val="minMax"/>
        </c:scaling>
        <c:delete val="0"/>
        <c:axPos val="l"/>
        <c:majorGridlines/>
        <c:title>
          <c:tx>
            <c:rich>
              <a:bodyPr/>
              <a:lstStyle/>
              <a:p>
                <a:pPr>
                  <a:defRPr sz="1200" b="0" i="0" u="none" strike="noStrike" baseline="0">
                    <a:solidFill>
                      <a:srgbClr val="800000"/>
                    </a:solidFill>
                    <a:latin typeface="Calibri"/>
                    <a:ea typeface="Calibri"/>
                    <a:cs typeface="Calibri"/>
                  </a:defRPr>
                </a:pPr>
                <a:r>
                  <a:rPr lang="en-US"/>
                  <a:t>Veloc. media del flujo V(m/s)</a:t>
                </a:r>
              </a:p>
            </c:rich>
          </c:tx>
          <c:layout>
            <c:manualLayout>
              <c:xMode val="edge"/>
              <c:yMode val="edge"/>
              <c:x val="2.0992227109965018E-2"/>
              <c:y val="0.46762704997445792"/>
            </c:manualLayout>
          </c:layout>
          <c:overlay val="0"/>
          <c:spPr>
            <a:noFill/>
            <a:ln w="25400">
              <a:noFill/>
            </a:ln>
          </c:spPr>
        </c:title>
        <c:numFmt formatCode="0.00" sourceLinked="1"/>
        <c:majorTickMark val="out"/>
        <c:minorTickMark val="in"/>
        <c:tickLblPos val="nextTo"/>
        <c:spPr>
          <a:ln w="3175">
            <a:solidFill>
              <a:srgbClr val="800000"/>
            </a:solidFill>
            <a:prstDash val="solid"/>
          </a:ln>
        </c:spPr>
        <c:txPr>
          <a:bodyPr rot="0" vert="horz"/>
          <a:lstStyle/>
          <a:p>
            <a:pPr>
              <a:defRPr sz="1200" b="0" i="0" u="none" strike="noStrike" baseline="0">
                <a:solidFill>
                  <a:srgbClr val="800000"/>
                </a:solidFill>
                <a:latin typeface="Calibri"/>
                <a:ea typeface="Calibri"/>
                <a:cs typeface="Calibri"/>
              </a:defRPr>
            </a:pPr>
            <a:endParaRPr lang="en-UY"/>
          </a:p>
        </c:txPr>
        <c:crossAx val="1243245568"/>
        <c:crosses val="autoZero"/>
        <c:crossBetween val="midCat"/>
      </c:valAx>
      <c:valAx>
        <c:axId val="3"/>
        <c:scaling>
          <c:orientation val="minMax"/>
        </c:scaling>
        <c:delete val="1"/>
        <c:axPos val="b"/>
        <c:numFmt formatCode="0"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200" b="1" i="0" u="none" strike="noStrike" baseline="0">
                    <a:solidFill>
                      <a:srgbClr val="000080"/>
                    </a:solidFill>
                    <a:latin typeface="Calibri"/>
                    <a:ea typeface="Calibri"/>
                    <a:cs typeface="Calibri"/>
                  </a:defRPr>
                </a:pPr>
                <a:r>
                  <a:rPr lang="en-US"/>
                  <a:t>Espesor "E" de la lámina vertiente</a:t>
                </a:r>
              </a:p>
            </c:rich>
          </c:tx>
          <c:layout>
            <c:manualLayout>
              <c:xMode val="edge"/>
              <c:yMode val="edge"/>
              <c:x val="0.90332712789185055"/>
              <c:y val="0.46779521687305864"/>
            </c:manualLayout>
          </c:layout>
          <c:overlay val="0"/>
          <c:spPr>
            <a:noFill/>
            <a:ln w="25400">
              <a:noFill/>
            </a:ln>
          </c:spPr>
        </c:title>
        <c:numFmt formatCode="General" sourceLinked="1"/>
        <c:majorTickMark val="cross"/>
        <c:minorTickMark val="in"/>
        <c:tickLblPos val="nextTo"/>
        <c:spPr>
          <a:ln w="3175">
            <a:solidFill>
              <a:srgbClr val="333399"/>
            </a:solidFill>
            <a:prstDash val="solid"/>
          </a:ln>
        </c:spPr>
        <c:txPr>
          <a:bodyPr rot="0" vert="horz"/>
          <a:lstStyle/>
          <a:p>
            <a:pPr>
              <a:defRPr sz="1200" b="0" i="0" u="none" strike="noStrike" baseline="0">
                <a:solidFill>
                  <a:srgbClr val="000080"/>
                </a:solidFill>
                <a:latin typeface="Calibri"/>
                <a:ea typeface="Calibri"/>
                <a:cs typeface="Calibri"/>
              </a:defRPr>
            </a:pPr>
            <a:endParaRPr lang="en-UY"/>
          </a:p>
        </c:txPr>
        <c:crossAx val="3"/>
        <c:crosses val="max"/>
        <c:crossBetween val="midCat"/>
      </c:valAx>
    </c:plotArea>
    <c:legend>
      <c:legendPos val="r"/>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6.694777586845195E-2"/>
          <c:y val="0.92238940286253501"/>
          <c:w val="0.85776837831454067"/>
          <c:h val="5.9008076277401234E-2"/>
        </c:manualLayout>
      </c:layout>
      <c:overlay val="0"/>
      <c:spPr>
        <a:solidFill>
          <a:srgbClr val="FFFFFF"/>
        </a:solidFill>
        <a:ln w="25400">
          <a:noFill/>
        </a:ln>
      </c:spPr>
      <c:txPr>
        <a:bodyPr/>
        <a:lstStyle/>
        <a:p>
          <a:pPr>
            <a:defRPr sz="1010" b="0" i="0" u="none" strike="noStrike" baseline="0">
              <a:solidFill>
                <a:srgbClr val="000000"/>
              </a:solidFill>
              <a:latin typeface="Calibri"/>
              <a:ea typeface="Calibri"/>
              <a:cs typeface="Calibri"/>
            </a:defRPr>
          </a:pPr>
          <a:endParaRPr lang="en-UY"/>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Calibri"/>
          <a:ea typeface="Calibri"/>
          <a:cs typeface="Calibri"/>
        </a:defRPr>
      </a:pPr>
      <a:endParaRPr lang="en-UY"/>
    </a:p>
  </c:txPr>
  <c:printSettings>
    <c:headerFooter alignWithMargins="0"/>
    <c:pageMargins b="0.75000000000000011" l="0.70000000000000007" r="0.70000000000000007" t="0.75000000000000011" header="0.30000000000000004" footer="0.30000000000000004"/>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2211931563486"/>
          <c:y val="0.11043287485490243"/>
          <c:w val="0.82307129009196978"/>
          <c:h val="0.71474610669978522"/>
        </c:manualLayout>
      </c:layout>
      <c:scatterChart>
        <c:scatterStyle val="smoothMarker"/>
        <c:varyColors val="0"/>
        <c:ser>
          <c:idx val="0"/>
          <c:order val="0"/>
          <c:tx>
            <c:strRef>
              <c:f>'Datos Gr q E sn2'!$C$3</c:f>
              <c:strCache>
                <c:ptCount val="1"/>
                <c:pt idx="0">
                  <c:v>0,1</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sn2'!$C$4:$C$21</c:f>
              <c:numCache>
                <c:formatCode>0.00</c:formatCode>
                <c:ptCount val="18"/>
                <c:pt idx="0">
                  <c:v>2.0822207775198418E-2</c:v>
                </c:pt>
                <c:pt idx="1">
                  <c:v>2.8479478835218668E-2</c:v>
                </c:pt>
                <c:pt idx="2">
                  <c:v>3.3756163798227976E-2</c:v>
                </c:pt>
                <c:pt idx="3">
                  <c:v>3.7746095507459373E-2</c:v>
                </c:pt>
                <c:pt idx="4">
                  <c:v>4.0892194219693027E-2</c:v>
                </c:pt>
                <c:pt idx="5">
                  <c:v>4.343085844354521E-2</c:v>
                </c:pt>
                <c:pt idx="6">
                  <c:v>4.5507599761309268E-2</c:v>
                </c:pt>
                <c:pt idx="7">
                  <c:v>4.7220220536004109E-2</c:v>
                </c:pt>
                <c:pt idx="8">
                  <c:v>4.8638488370917235E-2</c:v>
                </c:pt>
                <c:pt idx="9">
                  <c:v>4.9814346002400478E-2</c:v>
                </c:pt>
                <c:pt idx="10">
                  <c:v>5.0787723849031748E-2</c:v>
                </c:pt>
                <c:pt idx="11">
                  <c:v>5.1590087791722819E-2</c:v>
                </c:pt>
                <c:pt idx="12">
                  <c:v>5.2246725546231831E-2</c:v>
                </c:pt>
                <c:pt idx="13">
                  <c:v>5.2778285740849515E-2</c:v>
                </c:pt>
                <c:pt idx="14">
                  <c:v>5.3201851575065205E-2</c:v>
                </c:pt>
                <c:pt idx="15">
                  <c:v>5.3531712372763891E-2</c:v>
                </c:pt>
                <c:pt idx="16">
                  <c:v>5.3779932097689123E-2</c:v>
                </c:pt>
                <c:pt idx="17">
                  <c:v>5.3956777307939748E-2</c:v>
                </c:pt>
              </c:numCache>
            </c:numRef>
          </c:yVal>
          <c:smooth val="1"/>
          <c:extLst>
            <c:ext xmlns:c16="http://schemas.microsoft.com/office/drawing/2014/chart" uri="{C3380CC4-5D6E-409C-BE32-E72D297353CC}">
              <c16:uniqueId val="{00000000-7368-7F4B-A673-AD5BBB7B4AE3}"/>
            </c:ext>
          </c:extLst>
        </c:ser>
        <c:ser>
          <c:idx val="1"/>
          <c:order val="1"/>
          <c:tx>
            <c:strRef>
              <c:f>'Datos Gr q E sn2'!$D$3</c:f>
              <c:strCache>
                <c:ptCount val="1"/>
                <c:pt idx="0">
                  <c:v>0,2</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sn2'!$D$4:$D$21</c:f>
              <c:numCache>
                <c:formatCode>0.00</c:formatCode>
                <c:ptCount val="18"/>
                <c:pt idx="0">
                  <c:v>6.5530575867263088E-2</c:v>
                </c:pt>
                <c:pt idx="1">
                  <c:v>8.8883118316132687E-2</c:v>
                </c:pt>
                <c:pt idx="2">
                  <c:v>0.10451261593684892</c:v>
                </c:pt>
                <c:pt idx="3">
                  <c:v>0.11597495901302059</c:v>
                </c:pt>
                <c:pt idx="4">
                  <c:v>0.12472342282134918</c:v>
                </c:pt>
                <c:pt idx="5">
                  <c:v>0.1315381506663949</c:v>
                </c:pt>
                <c:pt idx="6">
                  <c:v>0.13690061439102644</c:v>
                </c:pt>
                <c:pt idx="7">
                  <c:v>0.14113438160773681</c:v>
                </c:pt>
                <c:pt idx="8">
                  <c:v>0.14446969211123431</c:v>
                </c:pt>
                <c:pt idx="9">
                  <c:v>0.14707718976249698</c:v>
                </c:pt>
                <c:pt idx="10">
                  <c:v>0.14908724478335941</c:v>
                </c:pt>
                <c:pt idx="11">
                  <c:v>0.1506018130936248</c:v>
                </c:pt>
                <c:pt idx="12">
                  <c:v>0.15170211581709281</c:v>
                </c:pt>
                <c:pt idx="13">
                  <c:v>0.15245382909300034</c:v>
                </c:pt>
                <c:pt idx="14">
                  <c:v>0.15291071530739256</c:v>
                </c:pt>
                <c:pt idx="15">
                  <c:v>0.15311723782973968</c:v>
                </c:pt>
                <c:pt idx="16">
                  <c:v>0.15311048967159771</c:v>
                </c:pt>
                <c:pt idx="17">
                  <c:v>0.15292164542183609</c:v>
                </c:pt>
              </c:numCache>
            </c:numRef>
          </c:yVal>
          <c:smooth val="1"/>
          <c:extLst>
            <c:ext xmlns:c16="http://schemas.microsoft.com/office/drawing/2014/chart" uri="{C3380CC4-5D6E-409C-BE32-E72D297353CC}">
              <c16:uniqueId val="{00000001-7368-7F4B-A673-AD5BBB7B4AE3}"/>
            </c:ext>
          </c:extLst>
        </c:ser>
        <c:ser>
          <c:idx val="2"/>
          <c:order val="2"/>
          <c:tx>
            <c:strRef>
              <c:f>'Datos Gr q E sn2'!$E$3</c:f>
              <c:strCache>
                <c:ptCount val="1"/>
                <c:pt idx="0">
                  <c:v>0,3</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sn2'!$E$4:$E$21</c:f>
              <c:numCache>
                <c:formatCode>0.00</c:formatCode>
                <c:ptCount val="18"/>
                <c:pt idx="0">
                  <c:v>0.1280194752570461</c:v>
                </c:pt>
                <c:pt idx="1">
                  <c:v>0.17263875340184731</c:v>
                </c:pt>
                <c:pt idx="2">
                  <c:v>0.20188504192704781</c:v>
                </c:pt>
                <c:pt idx="3">
                  <c:v>0.22286186840507122</c:v>
                </c:pt>
                <c:pt idx="4">
                  <c:v>0.23848802074453843</c:v>
                </c:pt>
                <c:pt idx="5">
                  <c:v>0.25033422017017015</c:v>
                </c:pt>
                <c:pt idx="6">
                  <c:v>0.25936988036854491</c:v>
                </c:pt>
                <c:pt idx="7">
                  <c:v>0.26624519729651652</c:v>
                </c:pt>
                <c:pt idx="8">
                  <c:v>0.27142116181593828</c:v>
                </c:pt>
                <c:pt idx="9">
                  <c:v>0.27523776293358743</c:v>
                </c:pt>
                <c:pt idx="10">
                  <c:v>0.27795320028369325</c:v>
                </c:pt>
                <c:pt idx="11">
                  <c:v>0.27976802306311338</c:v>
                </c:pt>
                <c:pt idx="12">
                  <c:v>0.280840795331738</c:v>
                </c:pt>
                <c:pt idx="13">
                  <c:v>0.28129869697441778</c:v>
                </c:pt>
                <c:pt idx="14">
                  <c:v>0.28124494494922381</c:v>
                </c:pt>
                <c:pt idx="15">
                  <c:v>0.28076413565063457</c:v>
                </c:pt>
              </c:numCache>
            </c:numRef>
          </c:yVal>
          <c:smooth val="1"/>
          <c:extLst>
            <c:ext xmlns:c16="http://schemas.microsoft.com/office/drawing/2014/chart" uri="{C3380CC4-5D6E-409C-BE32-E72D297353CC}">
              <c16:uniqueId val="{00000002-7368-7F4B-A673-AD5BBB7B4AE3}"/>
            </c:ext>
          </c:extLst>
        </c:ser>
        <c:ser>
          <c:idx val="3"/>
          <c:order val="3"/>
          <c:tx>
            <c:strRef>
              <c:f>'Datos Gr q E sn2'!$F$3</c:f>
              <c:strCache>
                <c:ptCount val="1"/>
                <c:pt idx="0">
                  <c:v>0,4</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sn2'!$F$4:$F$21</c:f>
              <c:numCache>
                <c:formatCode>0.00</c:formatCode>
                <c:ptCount val="18"/>
                <c:pt idx="0">
                  <c:v>0.20577938049848049</c:v>
                </c:pt>
                <c:pt idx="1">
                  <c:v>0.27623756648888559</c:v>
                </c:pt>
                <c:pt idx="2">
                  <c:v>0.32164782538280062</c:v>
                </c:pt>
                <c:pt idx="3">
                  <c:v>0.35362926466615935</c:v>
                </c:pt>
                <c:pt idx="4">
                  <c:v>0.37697316454833923</c:v>
                </c:pt>
                <c:pt idx="5">
                  <c:v>0.39426066655778641</c:v>
                </c:pt>
                <c:pt idx="6">
                  <c:v>0.40708330498397222</c:v>
                </c:pt>
                <c:pt idx="7">
                  <c:v>0.41650585328267514</c:v>
                </c:pt>
                <c:pt idx="8">
                  <c:v>0.42328040625871466</c:v>
                </c:pt>
                <c:pt idx="9">
                  <c:v>0.42795902996159213</c:v>
                </c:pt>
                <c:pt idx="10">
                  <c:v>0.43095868579129692</c:v>
                </c:pt>
                <c:pt idx="11">
                  <c:v>0.43260126596368753</c:v>
                </c:pt>
                <c:pt idx="12">
                  <c:v>0.43313960027503107</c:v>
                </c:pt>
                <c:pt idx="13">
                  <c:v>0.4327750593507701</c:v>
                </c:pt>
                <c:pt idx="14">
                  <c:v>0.43166987203516616</c:v>
                </c:pt>
              </c:numCache>
            </c:numRef>
          </c:yVal>
          <c:smooth val="1"/>
          <c:extLst>
            <c:ext xmlns:c16="http://schemas.microsoft.com/office/drawing/2014/chart" uri="{C3380CC4-5D6E-409C-BE32-E72D297353CC}">
              <c16:uniqueId val="{00000003-7368-7F4B-A673-AD5BBB7B4AE3}"/>
            </c:ext>
          </c:extLst>
        </c:ser>
        <c:ser>
          <c:idx val="4"/>
          <c:order val="4"/>
          <c:tx>
            <c:strRef>
              <c:f>'Datos Gr q E sn2'!$G$3</c:f>
              <c:strCache>
                <c:ptCount val="1"/>
                <c:pt idx="0">
                  <c:v>0,5</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sn2'!$G$4:$G$21</c:f>
              <c:numCache>
                <c:formatCode>0.00</c:formatCode>
                <c:ptCount val="18"/>
                <c:pt idx="0">
                  <c:v>0.29726608128057852</c:v>
                </c:pt>
                <c:pt idx="1">
                  <c:v>0.39752658490434289</c:v>
                </c:pt>
                <c:pt idx="2">
                  <c:v>0.46121839546539745</c:v>
                </c:pt>
                <c:pt idx="3">
                  <c:v>0.50537081051723887</c:v>
                </c:pt>
                <c:pt idx="4">
                  <c:v>0.53702385798249108</c:v>
                </c:pt>
                <c:pt idx="5">
                  <c:v>0.55997131975714554</c:v>
                </c:pt>
                <c:pt idx="6">
                  <c:v>0.57654919738320898</c:v>
                </c:pt>
                <c:pt idx="7">
                  <c:v>0.58831612051159365</c:v>
                </c:pt>
                <c:pt idx="8">
                  <c:v>0.59636895509140087</c:v>
                </c:pt>
                <c:pt idx="9">
                  <c:v>0.6015092591445752</c:v>
                </c:pt>
                <c:pt idx="10">
                  <c:v>0.6043393765226337</c:v>
                </c:pt>
                <c:pt idx="11">
                  <c:v>0.60532175080782935</c:v>
                </c:pt>
                <c:pt idx="12">
                  <c:v>0.60481746623808319</c:v>
                </c:pt>
                <c:pt idx="13">
                  <c:v>0.60311232537552373</c:v>
                </c:pt>
              </c:numCache>
            </c:numRef>
          </c:yVal>
          <c:smooth val="1"/>
          <c:extLst>
            <c:ext xmlns:c16="http://schemas.microsoft.com/office/drawing/2014/chart" uri="{C3380CC4-5D6E-409C-BE32-E72D297353CC}">
              <c16:uniqueId val="{00000004-7368-7F4B-A673-AD5BBB7B4AE3}"/>
            </c:ext>
          </c:extLst>
        </c:ser>
        <c:ser>
          <c:idx val="5"/>
          <c:order val="5"/>
          <c:tx>
            <c:strRef>
              <c:f>'Datos Gr q E sn2'!$H$3</c:f>
              <c:strCache>
                <c:ptCount val="1"/>
                <c:pt idx="0">
                  <c:v>0,6</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sn2'!$H$4:$H$21</c:f>
              <c:numCache>
                <c:formatCode>0.00</c:formatCode>
                <c:ptCount val="18"/>
                <c:pt idx="0">
                  <c:v>0.40139104758958472</c:v>
                </c:pt>
                <c:pt idx="1">
                  <c:v>0.53499182307153892</c:v>
                </c:pt>
                <c:pt idx="2">
                  <c:v>0.61878664810259154</c:v>
                </c:pt>
                <c:pt idx="3">
                  <c:v>0.67605725873001909</c:v>
                </c:pt>
                <c:pt idx="4">
                  <c:v>0.71644632640728467</c:v>
                </c:pt>
                <c:pt idx="5">
                  <c:v>0.74514944741009714</c:v>
                </c:pt>
                <c:pt idx="6">
                  <c:v>0.76536058255385275</c:v>
                </c:pt>
                <c:pt idx="7">
                  <c:v>0.77920498032364238</c:v>
                </c:pt>
                <c:pt idx="8">
                  <c:v>0.7881729258221265</c:v>
                </c:pt>
                <c:pt idx="9">
                  <c:v>0.79334891168074906</c:v>
                </c:pt>
                <c:pt idx="10">
                  <c:v>0.79554408779557217</c:v>
                </c:pt>
                <c:pt idx="11">
                  <c:v>0.7953780560172764</c:v>
                </c:pt>
                <c:pt idx="12">
                  <c:v>0.79333201127735142</c:v>
                </c:pt>
              </c:numCache>
            </c:numRef>
          </c:yVal>
          <c:smooth val="1"/>
          <c:extLst>
            <c:ext xmlns:c16="http://schemas.microsoft.com/office/drawing/2014/chart" uri="{C3380CC4-5D6E-409C-BE32-E72D297353CC}">
              <c16:uniqueId val="{00000005-7368-7F4B-A673-AD5BBB7B4AE3}"/>
            </c:ext>
          </c:extLst>
        </c:ser>
        <c:ser>
          <c:idx val="6"/>
          <c:order val="6"/>
          <c:tx>
            <c:strRef>
              <c:f>'Datos Gr q E sn2'!$I$3</c:f>
              <c:strCache>
                <c:ptCount val="1"/>
                <c:pt idx="0">
                  <c:v>0,7</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sn2'!$I$4:$I$21</c:f>
              <c:numCache>
                <c:formatCode>0.00</c:formatCode>
                <c:ptCount val="18"/>
                <c:pt idx="0">
                  <c:v>0.51732756805003899</c:v>
                </c:pt>
                <c:pt idx="1">
                  <c:v>0.68748592358006722</c:v>
                </c:pt>
                <c:pt idx="2">
                  <c:v>0.79298478686885343</c:v>
                </c:pt>
                <c:pt idx="3">
                  <c:v>0.86416031075881139</c:v>
                </c:pt>
                <c:pt idx="4">
                  <c:v>0.91359422626780451</c:v>
                </c:pt>
                <c:pt idx="5">
                  <c:v>0.94806278513613595</c:v>
                </c:pt>
                <c:pt idx="6">
                  <c:v>0.97172433792673885</c:v>
                </c:pt>
                <c:pt idx="7">
                  <c:v>0.98733831147444384</c:v>
                </c:pt>
                <c:pt idx="8">
                  <c:v>0.99683306166248786</c:v>
                </c:pt>
                <c:pt idx="9">
                  <c:v>1.0016063135231179</c:v>
                </c:pt>
                <c:pt idx="10">
                  <c:v>1.0026989346265478</c:v>
                </c:pt>
                <c:pt idx="11">
                  <c:v>1.0009022661162199</c:v>
                </c:pt>
              </c:numCache>
            </c:numRef>
          </c:yVal>
          <c:smooth val="1"/>
          <c:extLst>
            <c:ext xmlns:c16="http://schemas.microsoft.com/office/drawing/2014/chart" uri="{C3380CC4-5D6E-409C-BE32-E72D297353CC}">
              <c16:uniqueId val="{00000006-7368-7F4B-A673-AD5BBB7B4AE3}"/>
            </c:ext>
          </c:extLst>
        </c:ser>
        <c:ser>
          <c:idx val="7"/>
          <c:order val="7"/>
          <c:tx>
            <c:strRef>
              <c:f>'Datos Gr q E sn2'!$J$3</c:f>
              <c:strCache>
                <c:ptCount val="1"/>
                <c:pt idx="0">
                  <c:v>0,8</c:v>
                </c:pt>
              </c:strCache>
            </c:strRef>
          </c:tx>
          <c:spPr>
            <a:ln w="38100">
              <a:solidFill>
                <a:srgbClr val="0000FF"/>
              </a:solidFill>
              <a:prstDash val="solid"/>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sn2'!$J$4:$J$21</c:f>
              <c:numCache>
                <c:formatCode>0.00</c:formatCode>
                <c:ptCount val="18"/>
                <c:pt idx="0">
                  <c:v>0.64441704348933992</c:v>
                </c:pt>
                <c:pt idx="1">
                  <c:v>0.85409664309246702</c:v>
                </c:pt>
                <c:pt idx="2">
                  <c:v>0.98272814458188273</c:v>
                </c:pt>
                <c:pt idx="3">
                  <c:v>1.0684716208042486</c:v>
                </c:pt>
                <c:pt idx="4">
                  <c:v>1.1271699794774515</c:v>
                </c:pt>
                <c:pt idx="5">
                  <c:v>1.1673504294251684</c:v>
                </c:pt>
                <c:pt idx="6">
                  <c:v>1.1942362798961905</c:v>
                </c:pt>
                <c:pt idx="7">
                  <c:v>1.2112843784738929</c:v>
                </c:pt>
                <c:pt idx="8">
                  <c:v>1.220902500013332</c:v>
                </c:pt>
                <c:pt idx="9">
                  <c:v>1.2248293156071208</c:v>
                </c:pt>
                <c:pt idx="10">
                  <c:v>1.2243542732256314</c:v>
                </c:pt>
                <c:pt idx="11">
                  <c:v>1.220453395644443</c:v>
                </c:pt>
              </c:numCache>
            </c:numRef>
          </c:yVal>
          <c:smooth val="1"/>
          <c:extLst>
            <c:ext xmlns:c16="http://schemas.microsoft.com/office/drawing/2014/chart" uri="{C3380CC4-5D6E-409C-BE32-E72D297353CC}">
              <c16:uniqueId val="{00000007-7368-7F4B-A673-AD5BBB7B4AE3}"/>
            </c:ext>
          </c:extLst>
        </c:ser>
        <c:ser>
          <c:idx val="8"/>
          <c:order val="8"/>
          <c:tx>
            <c:v>v=1</c:v>
          </c:tx>
          <c:spPr>
            <a:ln w="38100">
              <a:solidFill>
                <a:srgbClr val="FF0000"/>
              </a:solidFill>
              <a:prstDash val="dash"/>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sn2'!$M$4:$M$21</c:f>
              <c:numCache>
                <c:formatCode>General</c:formatCode>
                <c:ptCount val="18"/>
                <c:pt idx="0">
                  <c:v>1</c:v>
                </c:pt>
                <c:pt idx="1">
                  <c:v>0.59460000000000002</c:v>
                </c:pt>
                <c:pt idx="2">
                  <c:v>0.43869000000000002</c:v>
                </c:pt>
                <c:pt idx="3">
                  <c:v>0.35354999999999998</c:v>
                </c:pt>
                <c:pt idx="4">
                  <c:v>0.29907</c:v>
                </c:pt>
                <c:pt idx="5">
                  <c:v>0.26085000000000003</c:v>
                </c:pt>
                <c:pt idx="6">
                  <c:v>0.23236999999999999</c:v>
                </c:pt>
                <c:pt idx="7">
                  <c:v>0.21021999999999999</c:v>
                </c:pt>
                <c:pt idx="8">
                  <c:v>0.19245000000000001</c:v>
                </c:pt>
                <c:pt idx="9">
                  <c:v>0.17782999999999999</c:v>
                </c:pt>
                <c:pt idx="10">
                  <c:v>0.16714000000000001</c:v>
                </c:pt>
                <c:pt idx="11">
                  <c:v>0.15509999999999999</c:v>
                </c:pt>
                <c:pt idx="12">
                  <c:v>0.14606</c:v>
                </c:pt>
                <c:pt idx="13">
                  <c:v>0.13816999999999999</c:v>
                </c:pt>
                <c:pt idx="14">
                  <c:v>0.13120000000000001</c:v>
                </c:pt>
                <c:pt idx="15">
                  <c:v>0.125</c:v>
                </c:pt>
                <c:pt idx="16">
                  <c:v>0.11942999999999999</c:v>
                </c:pt>
                <c:pt idx="17">
                  <c:v>0.11443</c:v>
                </c:pt>
              </c:numCache>
            </c:numRef>
          </c:yVal>
          <c:smooth val="1"/>
          <c:extLst>
            <c:ext xmlns:c16="http://schemas.microsoft.com/office/drawing/2014/chart" uri="{C3380CC4-5D6E-409C-BE32-E72D297353CC}">
              <c16:uniqueId val="{00000008-7368-7F4B-A673-AD5BBB7B4AE3}"/>
            </c:ext>
          </c:extLst>
        </c:ser>
        <c:ser>
          <c:idx val="9"/>
          <c:order val="9"/>
          <c:tx>
            <c:v>v=1,2</c:v>
          </c:tx>
          <c:spPr>
            <a:ln w="38100">
              <a:solidFill>
                <a:srgbClr val="FF0000"/>
              </a:solidFill>
              <a:prstDash val="dash"/>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sn2'!$N$4:$N$21</c:f>
              <c:numCache>
                <c:formatCode>General</c:formatCode>
                <c:ptCount val="18"/>
                <c:pt idx="0">
                  <c:v>1.57744</c:v>
                </c:pt>
                <c:pt idx="1">
                  <c:v>0.93794999999999995</c:v>
                </c:pt>
                <c:pt idx="2">
                  <c:v>0.69201000000000001</c:v>
                </c:pt>
                <c:pt idx="3">
                  <c:v>0.55771000000000004</c:v>
                </c:pt>
                <c:pt idx="4">
                  <c:v>0.47176000000000001</c:v>
                </c:pt>
                <c:pt idx="5">
                  <c:v>0.41147</c:v>
                </c:pt>
                <c:pt idx="6">
                  <c:v>0.36654999999999999</c:v>
                </c:pt>
                <c:pt idx="7">
                  <c:v>0.33162000000000003</c:v>
                </c:pt>
                <c:pt idx="8">
                  <c:v>0.30358000000000002</c:v>
                </c:pt>
                <c:pt idx="9">
                  <c:v>0.28050999999999998</c:v>
                </c:pt>
                <c:pt idx="10">
                  <c:v>0.26116</c:v>
                </c:pt>
                <c:pt idx="11">
                  <c:v>0.24465999999999999</c:v>
                </c:pt>
                <c:pt idx="12">
                  <c:v>0.23041</c:v>
                </c:pt>
                <c:pt idx="13">
                  <c:v>0.21795</c:v>
                </c:pt>
                <c:pt idx="14">
                  <c:v>0.20696000000000001</c:v>
                </c:pt>
                <c:pt idx="15">
                  <c:v>0.19717999999999999</c:v>
                </c:pt>
                <c:pt idx="16">
                  <c:v>0.18842</c:v>
                </c:pt>
                <c:pt idx="17">
                  <c:v>0.18051</c:v>
                </c:pt>
              </c:numCache>
            </c:numRef>
          </c:yVal>
          <c:smooth val="1"/>
          <c:extLst>
            <c:ext xmlns:c16="http://schemas.microsoft.com/office/drawing/2014/chart" uri="{C3380CC4-5D6E-409C-BE32-E72D297353CC}">
              <c16:uniqueId val="{00000009-7368-7F4B-A673-AD5BBB7B4AE3}"/>
            </c:ext>
          </c:extLst>
        </c:ser>
        <c:ser>
          <c:idx val="10"/>
          <c:order val="10"/>
          <c:tx>
            <c:v>v=1,4</c:v>
          </c:tx>
          <c:spPr>
            <a:ln w="38100">
              <a:solidFill>
                <a:srgbClr val="FF0000"/>
              </a:solidFill>
              <a:prstDash val="dash"/>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sn2'!$O$4:$O$21</c:f>
              <c:numCache>
                <c:formatCode>General</c:formatCode>
                <c:ptCount val="18"/>
                <c:pt idx="0">
                  <c:v>2.3191000000000002</c:v>
                </c:pt>
                <c:pt idx="1">
                  <c:v>1.3789499999999999</c:v>
                </c:pt>
                <c:pt idx="2">
                  <c:v>1.0173700000000001</c:v>
                </c:pt>
                <c:pt idx="3">
                  <c:v>0.81993000000000005</c:v>
                </c:pt>
                <c:pt idx="4">
                  <c:v>0.69357000000000002</c:v>
                </c:pt>
                <c:pt idx="5">
                  <c:v>0.60492999999999997</c:v>
                </c:pt>
                <c:pt idx="6">
                  <c:v>0.53888999999999998</c:v>
                </c:pt>
                <c:pt idx="7">
                  <c:v>0.48753000000000002</c:v>
                </c:pt>
                <c:pt idx="8">
                  <c:v>0.44630999999999998</c:v>
                </c:pt>
                <c:pt idx="9">
                  <c:v>0.41239999999999999</c:v>
                </c:pt>
                <c:pt idx="10">
                  <c:v>0.38395000000000001</c:v>
                </c:pt>
                <c:pt idx="11">
                  <c:v>0.35969000000000001</c:v>
                </c:pt>
                <c:pt idx="12">
                  <c:v>0.33873999999999999</c:v>
                </c:pt>
                <c:pt idx="13">
                  <c:v>0.32041999999999998</c:v>
                </c:pt>
                <c:pt idx="14">
                  <c:v>0.30425999999999997</c:v>
                </c:pt>
                <c:pt idx="15">
                  <c:v>0.28988999999999998</c:v>
                </c:pt>
              </c:numCache>
            </c:numRef>
          </c:yVal>
          <c:smooth val="1"/>
          <c:extLst>
            <c:ext xmlns:c16="http://schemas.microsoft.com/office/drawing/2014/chart" uri="{C3380CC4-5D6E-409C-BE32-E72D297353CC}">
              <c16:uniqueId val="{0000000A-7368-7F4B-A673-AD5BBB7B4AE3}"/>
            </c:ext>
          </c:extLst>
        </c:ser>
        <c:ser>
          <c:idx val="11"/>
          <c:order val="11"/>
          <c:tx>
            <c:v>v=1,6</c:v>
          </c:tx>
          <c:spPr>
            <a:ln w="38100">
              <a:solidFill>
                <a:srgbClr val="FF0000"/>
              </a:solidFill>
              <a:prstDash val="dash"/>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sn2'!$P$4:$P$21</c:f>
              <c:numCache>
                <c:formatCode>General</c:formatCode>
                <c:ptCount val="18"/>
                <c:pt idx="0">
                  <c:v>3.2381700000000002</c:v>
                </c:pt>
                <c:pt idx="1">
                  <c:v>1.92543</c:v>
                </c:pt>
                <c:pt idx="2">
                  <c:v>1.42056</c:v>
                </c:pt>
                <c:pt idx="3">
                  <c:v>1.1448700000000001</c:v>
                </c:pt>
                <c:pt idx="4">
                  <c:v>0.96843999999999997</c:v>
                </c:pt>
                <c:pt idx="5">
                  <c:v>0.84467000000000003</c:v>
                </c:pt>
                <c:pt idx="6">
                  <c:v>0.75244999999999995</c:v>
                </c:pt>
                <c:pt idx="7">
                  <c:v>0.68074000000000001</c:v>
                </c:pt>
                <c:pt idx="8">
                  <c:v>0.62319000000000002</c:v>
                </c:pt>
                <c:pt idx="9">
                  <c:v>0.57584000000000002</c:v>
                </c:pt>
                <c:pt idx="10">
                  <c:v>0.53610999999999998</c:v>
                </c:pt>
                <c:pt idx="11">
                  <c:v>0.50224000000000002</c:v>
                </c:pt>
                <c:pt idx="12">
                  <c:v>0.47298000000000001</c:v>
                </c:pt>
                <c:pt idx="13">
                  <c:v>0.44740999999999997</c:v>
                </c:pt>
                <c:pt idx="14">
                  <c:v>0.42485000000000001</c:v>
                </c:pt>
              </c:numCache>
            </c:numRef>
          </c:yVal>
          <c:smooth val="1"/>
          <c:extLst>
            <c:ext xmlns:c16="http://schemas.microsoft.com/office/drawing/2014/chart" uri="{C3380CC4-5D6E-409C-BE32-E72D297353CC}">
              <c16:uniqueId val="{0000000B-7368-7F4B-A673-AD5BBB7B4AE3}"/>
            </c:ext>
          </c:extLst>
        </c:ser>
        <c:ser>
          <c:idx val="12"/>
          <c:order val="12"/>
          <c:tx>
            <c:v>v=1,8</c:v>
          </c:tx>
          <c:spPr>
            <a:ln w="38100">
              <a:solidFill>
                <a:srgbClr val="FF0000"/>
              </a:solidFill>
              <a:prstDash val="dash"/>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sn2'!$Q$4:$Q$21</c:f>
              <c:numCache>
                <c:formatCode>General</c:formatCode>
                <c:ptCount val="18"/>
                <c:pt idx="0">
                  <c:v>4.3469199999999999</c:v>
                </c:pt>
                <c:pt idx="1">
                  <c:v>2.5846900000000002</c:v>
                </c:pt>
                <c:pt idx="2">
                  <c:v>1.9069499999999999</c:v>
                </c:pt>
                <c:pt idx="3">
                  <c:v>1.53687</c:v>
                </c:pt>
                <c:pt idx="4">
                  <c:v>1.30003</c:v>
                </c:pt>
                <c:pt idx="5">
                  <c:v>1.13388</c:v>
                </c:pt>
                <c:pt idx="6">
                  <c:v>1.0100800000000001</c:v>
                </c:pt>
                <c:pt idx="7">
                  <c:v>0.91383000000000003</c:v>
                </c:pt>
                <c:pt idx="8">
                  <c:v>0.83655999999999997</c:v>
                </c:pt>
                <c:pt idx="9">
                  <c:v>0.77300000000000002</c:v>
                </c:pt>
                <c:pt idx="10">
                  <c:v>0.71960000000000002</c:v>
                </c:pt>
                <c:pt idx="11">
                  <c:v>0.67420999999999998</c:v>
                </c:pt>
                <c:pt idx="12">
                  <c:v>0.63492999999999999</c:v>
                </c:pt>
                <c:pt idx="13">
                  <c:v>0.60060000000000002</c:v>
                </c:pt>
              </c:numCache>
            </c:numRef>
          </c:yVal>
          <c:smooth val="1"/>
          <c:extLst>
            <c:ext xmlns:c16="http://schemas.microsoft.com/office/drawing/2014/chart" uri="{C3380CC4-5D6E-409C-BE32-E72D297353CC}">
              <c16:uniqueId val="{0000000C-7368-7F4B-A673-AD5BBB7B4AE3}"/>
            </c:ext>
          </c:extLst>
        </c:ser>
        <c:ser>
          <c:idx val="13"/>
          <c:order val="13"/>
          <c:tx>
            <c:strRef>
              <c:f>'Datos Gr q E sn2'!$R$3</c:f>
              <c:strCache>
                <c:ptCount val="1"/>
                <c:pt idx="0">
                  <c:v>Límite</c:v>
                </c:pt>
              </c:strCache>
            </c:strRef>
          </c:tx>
          <c:spPr>
            <a:ln w="38100">
              <a:solidFill>
                <a:srgbClr val="0000FF"/>
              </a:solidFill>
              <a:prstDash val="sysDot"/>
            </a:ln>
          </c:spPr>
          <c:marker>
            <c:symbol val="none"/>
          </c:marker>
          <c:xVal>
            <c:numRef>
              <c:f>'Datos Gr q E sn2'!$B$4:$B$21</c:f>
              <c:numCache>
                <c:formatCode>General</c:formatCode>
                <c:ptCount val="1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numCache>
            </c:numRef>
          </c:xVal>
          <c:yVal>
            <c:numRef>
              <c:f>'Datos Gr q E sn2'!$R$4:$R$21</c:f>
              <c:numCache>
                <c:formatCode>General</c:formatCode>
                <c:ptCount val="18"/>
                <c:pt idx="0">
                  <c:v>90854.205912890146</c:v>
                </c:pt>
                <c:pt idx="1">
                  <c:v>4015.2265687702243</c:v>
                </c:pt>
                <c:pt idx="2">
                  <c:v>647.58889186193596</c:v>
                </c:pt>
                <c:pt idx="3">
                  <c:v>177.44962092361345</c:v>
                </c:pt>
                <c:pt idx="4">
                  <c:v>65.009977748155421</c:v>
                </c:pt>
                <c:pt idx="5">
                  <c:v>28.619656053541028</c:v>
                </c:pt>
                <c:pt idx="6">
                  <c:v>14.302233260531994</c:v>
                </c:pt>
                <c:pt idx="7">
                  <c:v>7.8422393921293372</c:v>
                </c:pt>
                <c:pt idx="8">
                  <c:v>4.6158718647000008</c:v>
                </c:pt>
                <c:pt idx="9">
                  <c:v>2.8730622569067039</c:v>
                </c:pt>
                <c:pt idx="10">
                  <c:v>1.8710179485923433</c:v>
                </c:pt>
                <c:pt idx="11">
                  <c:v>1.264822054417843</c:v>
                </c:pt>
                <c:pt idx="12">
                  <c:v>0.88226682972878245</c:v>
                </c:pt>
                <c:pt idx="13">
                  <c:v>0.63207538278962228</c:v>
                </c:pt>
                <c:pt idx="14">
                  <c:v>0.46337689077665573</c:v>
                </c:pt>
                <c:pt idx="15">
                  <c:v>0.34658129086643258</c:v>
                </c:pt>
                <c:pt idx="16">
                  <c:v>0.26383043328339584</c:v>
                </c:pt>
                <c:pt idx="17">
                  <c:v>0.20399464353859773</c:v>
                </c:pt>
              </c:numCache>
            </c:numRef>
          </c:yVal>
          <c:smooth val="1"/>
          <c:extLst>
            <c:ext xmlns:c16="http://schemas.microsoft.com/office/drawing/2014/chart" uri="{C3380CC4-5D6E-409C-BE32-E72D297353CC}">
              <c16:uniqueId val="{0000000D-7368-7F4B-A673-AD5BBB7B4AE3}"/>
            </c:ext>
          </c:extLst>
        </c:ser>
        <c:ser>
          <c:idx val="14"/>
          <c:order val="14"/>
          <c:tx>
            <c:v>ADOPTADO</c:v>
          </c:tx>
          <c:spPr>
            <a:ln w="28575">
              <a:noFill/>
            </a:ln>
          </c:spPr>
          <c:marker>
            <c:symbol val="circle"/>
            <c:size val="15"/>
            <c:spPr>
              <a:noFill/>
              <a:ln w="50800">
                <a:solidFill>
                  <a:prstClr val="black"/>
                </a:solidFill>
              </a:ln>
            </c:spPr>
          </c:marker>
          <c:xVal>
            <c:numRef>
              <c:f>'Diseño Aliv-Canal'!$D$73</c:f>
              <c:numCache>
                <c:formatCode>0.00</c:formatCode>
                <c:ptCount val="1"/>
                <c:pt idx="0">
                  <c:v>8.1632653061224474</c:v>
                </c:pt>
              </c:numCache>
            </c:numRef>
          </c:xVal>
          <c:yVal>
            <c:numRef>
              <c:f>'Diseño Aliv-Canal'!$D$75</c:f>
              <c:numCache>
                <c:formatCode>General</c:formatCode>
                <c:ptCount val="1"/>
                <c:pt idx="0">
                  <c:v>0.50130411386328078</c:v>
                </c:pt>
              </c:numCache>
            </c:numRef>
          </c:yVal>
          <c:smooth val="1"/>
          <c:extLst>
            <c:ext xmlns:c16="http://schemas.microsoft.com/office/drawing/2014/chart" uri="{C3380CC4-5D6E-409C-BE32-E72D297353CC}">
              <c16:uniqueId val="{0000000E-7368-7F4B-A673-AD5BBB7B4AE3}"/>
            </c:ext>
          </c:extLst>
        </c:ser>
        <c:dLbls>
          <c:showLegendKey val="0"/>
          <c:showVal val="0"/>
          <c:showCatName val="0"/>
          <c:showSerName val="0"/>
          <c:showPercent val="0"/>
          <c:showBubbleSize val="0"/>
        </c:dLbls>
        <c:axId val="447600784"/>
        <c:axId val="1"/>
      </c:scatterChart>
      <c:valAx>
        <c:axId val="447600784"/>
        <c:scaling>
          <c:orientation val="minMax"/>
          <c:max val="18"/>
          <c:min val="1"/>
        </c:scaling>
        <c:delete val="0"/>
        <c:axPos val="b"/>
        <c:majorGridlines>
          <c:spPr>
            <a:ln>
              <a:solidFill>
                <a:schemeClr val="tx1">
                  <a:lumMod val="50000"/>
                  <a:lumOff val="50000"/>
                </a:schemeClr>
              </a:solidFill>
            </a:ln>
          </c:spPr>
        </c:majorGridlines>
        <c:title>
          <c:tx>
            <c:rich>
              <a:bodyPr/>
              <a:lstStyle/>
              <a:p>
                <a:pPr>
                  <a:defRPr sz="1200" b="1" i="0" u="none" strike="noStrike" baseline="0">
                    <a:solidFill>
                      <a:srgbClr val="000000"/>
                    </a:solidFill>
                    <a:latin typeface="Arial"/>
                    <a:ea typeface="Arial"/>
                    <a:cs typeface="Arial"/>
                  </a:defRPr>
                </a:pPr>
                <a:r>
                  <a:rPr lang="en-US"/>
                  <a:t>Parámetro del Canal: S/n2</a:t>
                </a:r>
              </a:p>
            </c:rich>
          </c:tx>
          <c:layout>
            <c:manualLayout>
              <c:xMode val="edge"/>
              <c:yMode val="edge"/>
              <c:x val="0.33142908860530362"/>
              <c:y val="0.907822729055419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Y"/>
          </a:p>
        </c:txPr>
        <c:crossAx val="1"/>
        <c:crosses val="autoZero"/>
        <c:crossBetween val="midCat"/>
        <c:majorUnit val="1"/>
      </c:valAx>
      <c:valAx>
        <c:axId val="1"/>
        <c:scaling>
          <c:orientation val="minMax"/>
          <c:max val="1.2"/>
          <c:min val="0"/>
        </c:scaling>
        <c:delete val="0"/>
        <c:axPos val="l"/>
        <c:majorGridlines>
          <c:spPr>
            <a:ln w="3175">
              <a:solidFill>
                <a:schemeClr val="tx1">
                  <a:lumMod val="50000"/>
                  <a:lumOff val="50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Caudal Específ. de Vertido: q (m3/s/m)</a:t>
                </a:r>
              </a:p>
            </c:rich>
          </c:tx>
          <c:layout>
            <c:manualLayout>
              <c:xMode val="edge"/>
              <c:yMode val="edge"/>
              <c:x val="1.5657706579780974E-2"/>
              <c:y val="7.757854406130268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Y"/>
          </a:p>
        </c:txPr>
        <c:crossAx val="447600784"/>
        <c:crosses val="autoZero"/>
        <c:crossBetween val="midCat"/>
        <c:majorUnit val="0.1"/>
      </c:valAx>
      <c:spPr>
        <a:noFill/>
        <a:ln w="12700">
          <a:solidFill>
            <a:srgbClr val="808080"/>
          </a:solidFill>
          <a:prstDash val="solid"/>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ayout>
        <c:manualLayout>
          <c:xMode val="edge"/>
          <c:yMode val="edge"/>
          <c:x val="0.75722558688461217"/>
          <c:y val="0.93254427655250949"/>
          <c:w val="0.16461425801839397"/>
          <c:h val="5.5216437427451213E-2"/>
        </c:manualLayout>
      </c:layout>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en-UY"/>
        </a:p>
      </c:txPr>
    </c:legend>
    <c:plotVisOnly val="1"/>
    <c:dispBlanksAs val="gap"/>
    <c:showDLblsOverMax val="0"/>
  </c:chart>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Y"/>
    </a:p>
  </c:txPr>
  <c:printSettings>
    <c:headerFooter/>
    <c:pageMargins b="0.75000000000000011" l="0.70000000000000007" r="0.70000000000000007" t="0.75000000000000011" header="0.30000000000000004" footer="0.30000000000000004"/>
    <c:pageSetup paperSize="9" orientation="landscape"/>
  </c:printSettings>
  <c:userShapes r:id="rId1"/>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mvotma.gub.uy/dinagua/manualdepequenaspresas"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25400</xdr:rowOff>
    </xdr:from>
    <xdr:to>
      <xdr:col>11</xdr:col>
      <xdr:colOff>317500</xdr:colOff>
      <xdr:row>2</xdr:row>
      <xdr:rowOff>190500</xdr:rowOff>
    </xdr:to>
    <xdr:pic>
      <xdr:nvPicPr>
        <xdr:cNvPr id="1061" name="Picture 1" descr="DINAGUA">
          <a:extLst>
            <a:ext uri="{FF2B5EF4-FFF2-40B4-BE49-F238E27FC236}">
              <a16:creationId xmlns:a16="http://schemas.microsoft.com/office/drawing/2014/main" id="{15C728FE-3E42-13E2-C3AA-2DD95D303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5400" y="25400"/>
          <a:ext cx="1155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698500</xdr:colOff>
      <xdr:row>0</xdr:row>
      <xdr:rowOff>50800</xdr:rowOff>
    </xdr:from>
    <xdr:to>
      <xdr:col>7</xdr:col>
      <xdr:colOff>825500</xdr:colOff>
      <xdr:row>5</xdr:row>
      <xdr:rowOff>190500</xdr:rowOff>
    </xdr:to>
    <xdr:pic>
      <xdr:nvPicPr>
        <xdr:cNvPr id="1062" name="Picture 5">
          <a:hlinkClick xmlns:r="http://schemas.openxmlformats.org/officeDocument/2006/relationships" r:id="rId2"/>
          <a:extLst>
            <a:ext uri="{FF2B5EF4-FFF2-40B4-BE49-F238E27FC236}">
              <a16:creationId xmlns:a16="http://schemas.microsoft.com/office/drawing/2014/main" id="{2F821546-A4DA-ADF8-988B-72A31BC156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02400" y="50800"/>
          <a:ext cx="1003300" cy="1193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12</xdr:row>
      <xdr:rowOff>50800</xdr:rowOff>
    </xdr:from>
    <xdr:to>
      <xdr:col>10</xdr:col>
      <xdr:colOff>685800</xdr:colOff>
      <xdr:row>26</xdr:row>
      <xdr:rowOff>25400</xdr:rowOff>
    </xdr:to>
    <xdr:graphicFrame macro="">
      <xdr:nvGraphicFramePr>
        <xdr:cNvPr id="2077" name="Chart 38">
          <a:extLst>
            <a:ext uri="{FF2B5EF4-FFF2-40B4-BE49-F238E27FC236}">
              <a16:creationId xmlns:a16="http://schemas.microsoft.com/office/drawing/2014/main" id="{2B65CC73-85A0-4C7E-467F-FE7C47E4D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152400</xdr:rowOff>
    </xdr:from>
    <xdr:to>
      <xdr:col>12</xdr:col>
      <xdr:colOff>279400</xdr:colOff>
      <xdr:row>45</xdr:row>
      <xdr:rowOff>38100</xdr:rowOff>
    </xdr:to>
    <xdr:graphicFrame macro="">
      <xdr:nvGraphicFramePr>
        <xdr:cNvPr id="4117" name="Chart 12">
          <a:extLst>
            <a:ext uri="{FF2B5EF4-FFF2-40B4-BE49-F238E27FC236}">
              <a16:creationId xmlns:a16="http://schemas.microsoft.com/office/drawing/2014/main" id="{05DB3029-325E-8B59-3318-E82762AA5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0.43209</cdr:x>
      <cdr:y>0.20246</cdr:y>
    </cdr:from>
    <cdr:to>
      <cdr:x>0.68393</cdr:x>
      <cdr:y>0.26542</cdr:y>
    </cdr:to>
    <cdr:sp macro="" textlink="">
      <cdr:nvSpPr>
        <cdr:cNvPr id="381953" name="Text Box 1"/>
        <cdr:cNvSpPr txBox="1">
          <a:spLocks xmlns:a="http://schemas.openxmlformats.org/drawingml/2006/main" noChangeArrowheads="1"/>
        </cdr:cNvSpPr>
      </cdr:nvSpPr>
      <cdr:spPr bwMode="auto">
        <a:xfrm xmlns:a="http://schemas.openxmlformats.org/drawingml/2006/main">
          <a:off x="2590584" y="697600"/>
          <a:ext cx="1390057" cy="19099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s-MX" sz="1000" b="0" i="0" u="none" strike="noStrike" baseline="0">
              <a:solidFill>
                <a:srgbClr val="000000"/>
              </a:solidFill>
              <a:latin typeface="Arial"/>
              <a:cs typeface="Arial"/>
            </a:rPr>
            <a:t> Precipitación (lluvia)</a:t>
          </a:r>
        </a:p>
      </cdr:txBody>
    </cdr:sp>
  </cdr:relSizeAnchor>
  <cdr:relSizeAnchor xmlns:cdr="http://schemas.openxmlformats.org/drawingml/2006/chartDrawing">
    <cdr:from>
      <cdr:x>0.42373</cdr:x>
      <cdr:y>0.59356</cdr:y>
    </cdr:from>
    <cdr:to>
      <cdr:x>0.75229</cdr:x>
      <cdr:y>0.64799</cdr:y>
    </cdr:to>
    <cdr:sp macro="" textlink="">
      <cdr:nvSpPr>
        <cdr:cNvPr id="381954" name="Text Box 2"/>
        <cdr:cNvSpPr txBox="1">
          <a:spLocks xmlns:a="http://schemas.openxmlformats.org/drawingml/2006/main" noChangeArrowheads="1"/>
        </cdr:cNvSpPr>
      </cdr:nvSpPr>
      <cdr:spPr bwMode="auto">
        <a:xfrm xmlns:a="http://schemas.openxmlformats.org/drawingml/2006/main">
          <a:off x="2544595" y="1885272"/>
          <a:ext cx="1814343" cy="1677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bIns="0" anchor="t" upright="1"/>
        <a:lstStyle xmlns:a="http://schemas.openxmlformats.org/drawingml/2006/main"/>
        <a:p xmlns:a="http://schemas.openxmlformats.org/drawingml/2006/main">
          <a:pPr algn="l" rtl="0">
            <a:defRPr sz="1000"/>
          </a:pPr>
          <a:r>
            <a:rPr lang="es-MX" sz="1000" b="0" i="0" u="none" strike="noStrike" baseline="0">
              <a:solidFill>
                <a:srgbClr val="000000"/>
              </a:solidFill>
              <a:latin typeface="Arial"/>
              <a:cs typeface="Arial"/>
            </a:rPr>
            <a:t>Escurrimiento (caudal)</a:t>
          </a:r>
        </a:p>
      </cdr:txBody>
    </cdr:sp>
  </cdr:relSizeAnchor>
  <cdr:relSizeAnchor xmlns:cdr="http://schemas.openxmlformats.org/drawingml/2006/chartDrawing">
    <cdr:from>
      <cdr:x>0.89428</cdr:x>
      <cdr:y>0.12766</cdr:y>
    </cdr:from>
    <cdr:to>
      <cdr:x>0.94284</cdr:x>
      <cdr:y>0.56251</cdr:y>
    </cdr:to>
    <cdr:sp macro="" textlink="">
      <cdr:nvSpPr>
        <cdr:cNvPr id="243716" name="Rectangle 4"/>
        <cdr:cNvSpPr>
          <a:spLocks xmlns:a="http://schemas.openxmlformats.org/drawingml/2006/main" noChangeArrowheads="1"/>
        </cdr:cNvSpPr>
      </cdr:nvSpPr>
      <cdr:spPr bwMode="auto">
        <a:xfrm xmlns:a="http://schemas.openxmlformats.org/drawingml/2006/main">
          <a:off x="5150057" y="288489"/>
          <a:ext cx="406193" cy="132463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0.03553</cdr:x>
      <cdr:y>0.54784</cdr:y>
    </cdr:from>
    <cdr:to>
      <cdr:x>0.11682</cdr:x>
      <cdr:y>0.94451</cdr:y>
    </cdr:to>
    <cdr:sp macro="" textlink="">
      <cdr:nvSpPr>
        <cdr:cNvPr id="243717" name="Rectangle 5"/>
        <cdr:cNvSpPr>
          <a:spLocks xmlns:a="http://schemas.openxmlformats.org/drawingml/2006/main" noChangeArrowheads="1"/>
        </cdr:cNvSpPr>
      </cdr:nvSpPr>
      <cdr:spPr bwMode="auto">
        <a:xfrm xmlns:a="http://schemas.openxmlformats.org/drawingml/2006/main">
          <a:off x="429181" y="3066060"/>
          <a:ext cx="649353" cy="223947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21</xdr:row>
      <xdr:rowOff>88900</xdr:rowOff>
    </xdr:from>
    <xdr:to>
      <xdr:col>9</xdr:col>
      <xdr:colOff>12700</xdr:colOff>
      <xdr:row>41</xdr:row>
      <xdr:rowOff>88900</xdr:rowOff>
    </xdr:to>
    <xdr:graphicFrame macro="">
      <xdr:nvGraphicFramePr>
        <xdr:cNvPr id="6190" name="Chart 59">
          <a:extLst>
            <a:ext uri="{FF2B5EF4-FFF2-40B4-BE49-F238E27FC236}">
              <a16:creationId xmlns:a16="http://schemas.microsoft.com/office/drawing/2014/main" id="{871A42C3-0A1D-32BC-2C9E-CAEECD633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254000</xdr:colOff>
      <xdr:row>21</xdr:row>
      <xdr:rowOff>25400</xdr:rowOff>
    </xdr:from>
    <xdr:to>
      <xdr:col>15</xdr:col>
      <xdr:colOff>711200</xdr:colOff>
      <xdr:row>41</xdr:row>
      <xdr:rowOff>127000</xdr:rowOff>
    </xdr:to>
    <xdr:graphicFrame macro="">
      <xdr:nvGraphicFramePr>
        <xdr:cNvPr id="6191" name="Chart 38">
          <a:extLst>
            <a:ext uri="{FF2B5EF4-FFF2-40B4-BE49-F238E27FC236}">
              <a16:creationId xmlns:a16="http://schemas.microsoft.com/office/drawing/2014/main" id="{709D7C61-46F2-3AFF-02C7-C389A2381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2</xdr:col>
          <xdr:colOff>508000</xdr:colOff>
          <xdr:row>42</xdr:row>
          <xdr:rowOff>50800</xdr:rowOff>
        </xdr:from>
        <xdr:to>
          <xdr:col>6</xdr:col>
          <xdr:colOff>431800</xdr:colOff>
          <xdr:row>44</xdr:row>
          <xdr:rowOff>165100</xdr:rowOff>
        </xdr:to>
        <xdr:sp macro="" textlink="">
          <xdr:nvSpPr>
            <xdr:cNvPr id="6167" name="Button 23" hidden="1">
              <a:extLst>
                <a:ext uri="{63B3BB69-23CF-44E3-9099-C40C66FF867C}">
                  <a14:compatExt spid="_x0000_s6167"/>
                </a:ext>
                <a:ext uri="{FF2B5EF4-FFF2-40B4-BE49-F238E27FC236}">
                  <a16:creationId xmlns:a16="http://schemas.microsoft.com/office/drawing/2014/main" id="{46CC46E1-FA9F-37D5-6AB1-7896BC083F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600" b="1" i="0" u="none" strike="noStrike" baseline="0">
                  <a:solidFill>
                    <a:srgbClr val="800000"/>
                  </a:solidFill>
                  <a:latin typeface="Calibri" pitchFamily="2" charset="0"/>
                  <a:cs typeface="Calibri" pitchFamily="2" charset="0"/>
                </a:rPr>
                <a:t>ACTUALIZA BALANCE HÍDRICO</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8</xdr:col>
      <xdr:colOff>714375</xdr:colOff>
      <xdr:row>15</xdr:row>
      <xdr:rowOff>8467</xdr:rowOff>
    </xdr:from>
    <xdr:ext cx="35651" cy="147476"/>
    <xdr:sp macro="" textlink="">
      <xdr:nvSpPr>
        <xdr:cNvPr id="257079" name="Rectangle 55">
          <a:extLst>
            <a:ext uri="{FF2B5EF4-FFF2-40B4-BE49-F238E27FC236}">
              <a16:creationId xmlns:a16="http://schemas.microsoft.com/office/drawing/2014/main" id="{C5BB4FB4-E176-1621-7174-DD7C280E6896}"/>
            </a:ext>
          </a:extLst>
        </xdr:cNvPr>
        <xdr:cNvSpPr>
          <a:spLocks noChangeArrowheads="1"/>
        </xdr:cNvSpPr>
      </xdr:nvSpPr>
      <xdr:spPr bwMode="auto">
        <a:xfrm>
          <a:off x="7995708" y="32258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MX" sz="1000" b="0" i="0" u="none" strike="noStrike" baseline="0">
              <a:solidFill>
                <a:srgbClr val="000000"/>
              </a:solidFill>
              <a:latin typeface="Arial"/>
              <a:cs typeface="Arial"/>
            </a:rPr>
            <a:t> </a:t>
          </a:r>
        </a:p>
      </xdr:txBody>
    </xdr:sp>
    <xdr:clientData/>
  </xdr:oneCellAnchor>
  <xdr:oneCellAnchor>
    <xdr:from>
      <xdr:col>8</xdr:col>
      <xdr:colOff>485775</xdr:colOff>
      <xdr:row>14</xdr:row>
      <xdr:rowOff>104775</xdr:rowOff>
    </xdr:from>
    <xdr:ext cx="28534" cy="117917"/>
    <xdr:sp macro="" textlink="">
      <xdr:nvSpPr>
        <xdr:cNvPr id="257082" name="Rectangle 58">
          <a:extLst>
            <a:ext uri="{FF2B5EF4-FFF2-40B4-BE49-F238E27FC236}">
              <a16:creationId xmlns:a16="http://schemas.microsoft.com/office/drawing/2014/main" id="{8346B35A-6C64-9249-DA3A-3D0F6DF931D4}"/>
            </a:ext>
          </a:extLst>
        </xdr:cNvPr>
        <xdr:cNvSpPr>
          <a:spLocks noChangeArrowheads="1"/>
        </xdr:cNvSpPr>
      </xdr:nvSpPr>
      <xdr:spPr bwMode="auto">
        <a:xfrm>
          <a:off x="7767108" y="3124553"/>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s-MX" sz="800" b="0" i="0" u="none" strike="noStrike" baseline="0">
              <a:solidFill>
                <a:srgbClr val="000000"/>
              </a:solidFill>
              <a:latin typeface="Arial"/>
              <a:cs typeface="Arial"/>
            </a:rPr>
            <a:t> </a:t>
          </a:r>
        </a:p>
      </xdr:txBody>
    </xdr:sp>
    <xdr:clientData/>
  </xdr:oneCellAnchor>
  <xdr:twoCellAnchor editAs="oneCell">
    <xdr:from>
      <xdr:col>9</xdr:col>
      <xdr:colOff>38100</xdr:colOff>
      <xdr:row>18</xdr:row>
      <xdr:rowOff>50800</xdr:rowOff>
    </xdr:from>
    <xdr:to>
      <xdr:col>9</xdr:col>
      <xdr:colOff>38100</xdr:colOff>
      <xdr:row>19</xdr:row>
      <xdr:rowOff>25400</xdr:rowOff>
    </xdr:to>
    <xdr:sp macro="" textlink="">
      <xdr:nvSpPr>
        <xdr:cNvPr id="9382" name="Rectangle 76">
          <a:extLst>
            <a:ext uri="{FF2B5EF4-FFF2-40B4-BE49-F238E27FC236}">
              <a16:creationId xmlns:a16="http://schemas.microsoft.com/office/drawing/2014/main" id="{8DB147D2-91AE-F04A-00E4-0FE12021E3C1}"/>
            </a:ext>
          </a:extLst>
        </xdr:cNvPr>
        <xdr:cNvSpPr>
          <a:spLocks noChangeArrowheads="1"/>
        </xdr:cNvSpPr>
      </xdr:nvSpPr>
      <xdr:spPr bwMode="auto">
        <a:xfrm>
          <a:off x="10096500" y="3810000"/>
          <a:ext cx="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692150</xdr:colOff>
      <xdr:row>56</xdr:row>
      <xdr:rowOff>0</xdr:rowOff>
    </xdr:from>
    <xdr:ext cx="35651" cy="147476"/>
    <xdr:sp macro="" textlink="">
      <xdr:nvSpPr>
        <xdr:cNvPr id="257109" name="Rectangle 85">
          <a:extLst>
            <a:ext uri="{FF2B5EF4-FFF2-40B4-BE49-F238E27FC236}">
              <a16:creationId xmlns:a16="http://schemas.microsoft.com/office/drawing/2014/main" id="{70168090-3029-400D-D3FF-BC24841360F3}"/>
            </a:ext>
          </a:extLst>
        </xdr:cNvPr>
        <xdr:cNvSpPr>
          <a:spLocks noChangeArrowheads="1"/>
        </xdr:cNvSpPr>
      </xdr:nvSpPr>
      <xdr:spPr bwMode="auto">
        <a:xfrm>
          <a:off x="7140928" y="11585222"/>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MX" sz="1000" b="0" i="0" u="none" strike="noStrike" baseline="0">
              <a:solidFill>
                <a:srgbClr val="000000"/>
              </a:solidFill>
              <a:latin typeface="Arial"/>
              <a:cs typeface="Arial"/>
            </a:rPr>
            <a:t> </a:t>
          </a:r>
        </a:p>
      </xdr:txBody>
    </xdr:sp>
    <xdr:clientData/>
  </xdr:oneCellAnchor>
  <xdr:oneCellAnchor>
    <xdr:from>
      <xdr:col>7</xdr:col>
      <xdr:colOff>692150</xdr:colOff>
      <xdr:row>56</xdr:row>
      <xdr:rowOff>0</xdr:rowOff>
    </xdr:from>
    <xdr:ext cx="35651" cy="147476"/>
    <xdr:sp macro="" textlink="">
      <xdr:nvSpPr>
        <xdr:cNvPr id="257110" name="Rectangle 86">
          <a:extLst>
            <a:ext uri="{FF2B5EF4-FFF2-40B4-BE49-F238E27FC236}">
              <a16:creationId xmlns:a16="http://schemas.microsoft.com/office/drawing/2014/main" id="{2DDFD213-56F8-A4AE-13B7-C016D8807D17}"/>
            </a:ext>
          </a:extLst>
        </xdr:cNvPr>
        <xdr:cNvSpPr>
          <a:spLocks noChangeArrowheads="1"/>
        </xdr:cNvSpPr>
      </xdr:nvSpPr>
      <xdr:spPr bwMode="auto">
        <a:xfrm>
          <a:off x="7140928" y="11585222"/>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s-MX" sz="1000" b="0" i="0" u="none" strike="noStrike" baseline="0">
              <a:solidFill>
                <a:srgbClr val="000000"/>
              </a:solidFill>
              <a:latin typeface="Arial"/>
              <a:cs typeface="Arial"/>
            </a:rPr>
            <a:t> </a:t>
          </a:r>
        </a:p>
      </xdr:txBody>
    </xdr:sp>
    <xdr:clientData/>
  </xdr:oneCellAnchor>
  <xdr:oneCellAnchor>
    <xdr:from>
      <xdr:col>7</xdr:col>
      <xdr:colOff>476250</xdr:colOff>
      <xdr:row>56</xdr:row>
      <xdr:rowOff>0</xdr:rowOff>
    </xdr:from>
    <xdr:ext cx="28534" cy="117917"/>
    <xdr:sp macro="" textlink="">
      <xdr:nvSpPr>
        <xdr:cNvPr id="257111" name="Rectangle 87">
          <a:extLst>
            <a:ext uri="{FF2B5EF4-FFF2-40B4-BE49-F238E27FC236}">
              <a16:creationId xmlns:a16="http://schemas.microsoft.com/office/drawing/2014/main" id="{8A8FAFE0-BC92-4845-7081-7B724E52EFE4}"/>
            </a:ext>
          </a:extLst>
        </xdr:cNvPr>
        <xdr:cNvSpPr>
          <a:spLocks noChangeArrowheads="1"/>
        </xdr:cNvSpPr>
      </xdr:nvSpPr>
      <xdr:spPr bwMode="auto">
        <a:xfrm>
          <a:off x="6925028" y="11585222"/>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s-MX" sz="800" b="0" i="0" u="none" strike="noStrike" baseline="0">
              <a:solidFill>
                <a:srgbClr val="000000"/>
              </a:solidFill>
              <a:latin typeface="Arial"/>
              <a:cs typeface="Arial"/>
            </a:rPr>
            <a:t> </a:t>
          </a:r>
        </a:p>
      </xdr:txBody>
    </xdr:sp>
    <xdr:clientData/>
  </xdr:oneCellAnchor>
  <xdr:twoCellAnchor editAs="oneCell">
    <xdr:from>
      <xdr:col>3</xdr:col>
      <xdr:colOff>0</xdr:colOff>
      <xdr:row>62</xdr:row>
      <xdr:rowOff>0</xdr:rowOff>
    </xdr:from>
    <xdr:to>
      <xdr:col>3</xdr:col>
      <xdr:colOff>0</xdr:colOff>
      <xdr:row>62</xdr:row>
      <xdr:rowOff>165100</xdr:rowOff>
    </xdr:to>
    <xdr:sp macro="" textlink="">
      <xdr:nvSpPr>
        <xdr:cNvPr id="9386" name="Rectangle 88">
          <a:extLst>
            <a:ext uri="{FF2B5EF4-FFF2-40B4-BE49-F238E27FC236}">
              <a16:creationId xmlns:a16="http://schemas.microsoft.com/office/drawing/2014/main" id="{46048300-E280-741F-2ACB-079258E9CB7F}"/>
            </a:ext>
          </a:extLst>
        </xdr:cNvPr>
        <xdr:cNvSpPr>
          <a:spLocks noChangeArrowheads="1"/>
        </xdr:cNvSpPr>
      </xdr:nvSpPr>
      <xdr:spPr bwMode="auto">
        <a:xfrm>
          <a:off x="2476500" y="12509500"/>
          <a:ext cx="0" cy="16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45</xdr:row>
      <xdr:rowOff>101600</xdr:rowOff>
    </xdr:from>
    <xdr:to>
      <xdr:col>6</xdr:col>
      <xdr:colOff>749300</xdr:colOff>
      <xdr:row>65</xdr:row>
      <xdr:rowOff>165100</xdr:rowOff>
    </xdr:to>
    <xdr:graphicFrame macro="">
      <xdr:nvGraphicFramePr>
        <xdr:cNvPr id="9387" name="Chart 89">
          <a:extLst>
            <a:ext uri="{FF2B5EF4-FFF2-40B4-BE49-F238E27FC236}">
              <a16:creationId xmlns:a16="http://schemas.microsoft.com/office/drawing/2014/main" id="{7DA1CF10-0915-2860-736E-12937EAF0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65</xdr:row>
      <xdr:rowOff>177800</xdr:rowOff>
    </xdr:from>
    <xdr:to>
      <xdr:col>6</xdr:col>
      <xdr:colOff>863600</xdr:colOff>
      <xdr:row>87</xdr:row>
      <xdr:rowOff>127000</xdr:rowOff>
    </xdr:to>
    <xdr:graphicFrame macro="">
      <xdr:nvGraphicFramePr>
        <xdr:cNvPr id="9388" name="Chart 91">
          <a:extLst>
            <a:ext uri="{FF2B5EF4-FFF2-40B4-BE49-F238E27FC236}">
              <a16:creationId xmlns:a16="http://schemas.microsoft.com/office/drawing/2014/main" id="{D6F45E19-67A0-8C6D-94B5-A3C3E4C71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0.13847</cdr:x>
      <cdr:y>0.15627</cdr:y>
    </cdr:from>
    <cdr:to>
      <cdr:x>0.87886</cdr:x>
      <cdr:y>0.76738</cdr:y>
    </cdr:to>
    <cdr:grpSp>
      <cdr:nvGrpSpPr>
        <cdr:cNvPr id="19" name="Group 17">
          <a:extLst xmlns:a="http://schemas.openxmlformats.org/drawingml/2006/main">
            <a:ext uri="{FF2B5EF4-FFF2-40B4-BE49-F238E27FC236}">
              <a16:creationId xmlns:a16="http://schemas.microsoft.com/office/drawing/2014/main" id="{08B17837-A825-0F66-9797-CBF4A9114935}"/>
            </a:ext>
          </a:extLst>
        </cdr:cNvPr>
        <cdr:cNvGrpSpPr>
          <a:grpSpLocks xmlns:a="http://schemas.openxmlformats.org/drawingml/2006/main"/>
        </cdr:cNvGrpSpPr>
      </cdr:nvGrpSpPr>
      <cdr:grpSpPr bwMode="auto">
        <a:xfrm xmlns:a="http://schemas.openxmlformats.org/drawingml/2006/main">
          <a:off x="858357" y="671225"/>
          <a:ext cx="4589696" cy="2624994"/>
          <a:chOff x="808562" y="614140"/>
          <a:chExt cx="4594899" cy="2671916"/>
        </a:xfrm>
      </cdr:grpSpPr>
      <cdr:sp macro="" textlink="">
        <cdr:nvSpPr>
          <cdr:cNvPr id="74753" name="2 CuadroTexto"/>
          <cdr:cNvSpPr txBox="1">
            <a:spLocks xmlns:a="http://schemas.openxmlformats.org/drawingml/2006/main" noChangeArrowheads="1"/>
          </cdr:cNvSpPr>
        </cdr:nvSpPr>
        <cdr:spPr bwMode="auto">
          <a:xfrm xmlns:a="http://schemas.openxmlformats.org/drawingml/2006/main">
            <a:off x="819722" y="1048056"/>
            <a:ext cx="441711" cy="25493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l" rtl="0">
              <a:defRPr sz="1000"/>
            </a:pPr>
            <a:r>
              <a:rPr lang="es-MX" sz="1600" b="1" i="0" u="none" strike="noStrike" baseline="0">
                <a:solidFill>
                  <a:srgbClr val="0000FF"/>
                </a:solidFill>
                <a:latin typeface="Calibri"/>
                <a:cs typeface="Calibri"/>
              </a:rPr>
              <a:t>E (m)</a:t>
            </a:r>
          </a:p>
        </cdr:txBody>
      </cdr:sp>
      <cdr:sp macro="" textlink="">
        <cdr:nvSpPr>
          <cdr:cNvPr id="74754" name="3 CuadroTexto"/>
          <cdr:cNvSpPr txBox="1">
            <a:spLocks xmlns:a="http://schemas.openxmlformats.org/drawingml/2006/main" noChangeArrowheads="1"/>
          </cdr:cNvSpPr>
        </cdr:nvSpPr>
        <cdr:spPr bwMode="auto">
          <a:xfrm xmlns:a="http://schemas.openxmlformats.org/drawingml/2006/main">
            <a:off x="2066395" y="614140"/>
            <a:ext cx="214211" cy="18020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es-MX" sz="1200" b="1" i="0" u="none" strike="noStrike" baseline="0">
                <a:solidFill>
                  <a:srgbClr val="FF0000"/>
                </a:solidFill>
                <a:latin typeface="Arial"/>
                <a:cs typeface="Arial"/>
              </a:rPr>
              <a:t>1.8</a:t>
            </a:r>
          </a:p>
        </cdr:txBody>
      </cdr:sp>
      <cdr:sp macro="" textlink="">
        <cdr:nvSpPr>
          <cdr:cNvPr id="74755" name="4 CuadroTexto"/>
          <cdr:cNvSpPr txBox="1">
            <a:spLocks xmlns:a="http://schemas.openxmlformats.org/drawingml/2006/main" noChangeArrowheads="1"/>
          </cdr:cNvSpPr>
        </cdr:nvSpPr>
        <cdr:spPr bwMode="auto">
          <a:xfrm xmlns:a="http://schemas.openxmlformats.org/drawingml/2006/main">
            <a:off x="3917204" y="944418"/>
            <a:ext cx="1486257" cy="372289"/>
          </a:xfrm>
          <a:prstGeom xmlns:a="http://schemas.openxmlformats.org/drawingml/2006/main" prst="rect">
            <a:avLst/>
          </a:prstGeom>
          <a:solidFill xmlns:a="http://schemas.openxmlformats.org/drawingml/2006/main">
            <a:srgbClr val="CCFFCC"/>
          </a:solidFill>
          <a:ln xmlns:a="http://schemas.openxmlformats.org/drawingml/2006/main" w="12700">
            <a:solidFill>
              <a:srgbClr val="000000"/>
            </a:solidFill>
            <a:miter lim="800000"/>
            <a:headEnd/>
            <a:tailEnd/>
          </a:ln>
        </cdr:spPr>
        <cdr:txBody>
          <a:bodyPr xmlns:a="http://schemas.openxmlformats.org/drawingml/2006/main" vertOverflow="clip" wrap="square" lIns="36000" tIns="36000" rIns="36000" bIns="36000" anchor="t" upright="1"/>
          <a:lstStyle xmlns:a="http://schemas.openxmlformats.org/drawingml/2006/main"/>
          <a:p xmlns:a="http://schemas.openxmlformats.org/drawingml/2006/main">
            <a:pPr algn="ctr" rtl="0">
              <a:lnSpc>
                <a:spcPts val="900"/>
              </a:lnSpc>
              <a:defRPr sz="1000"/>
            </a:pPr>
            <a:r>
              <a:rPr lang="es-MX" sz="900" b="1" i="0" u="none" strike="noStrike" baseline="0">
                <a:solidFill>
                  <a:srgbClr val="000000"/>
                </a:solidFill>
                <a:latin typeface="Arial"/>
                <a:cs typeface="Arial"/>
              </a:rPr>
              <a:t>REGIÓN NO VÁLIDA </a:t>
            </a:r>
          </a:p>
          <a:p xmlns:a="http://schemas.openxmlformats.org/drawingml/2006/main">
            <a:pPr algn="ctr" rtl="0">
              <a:lnSpc>
                <a:spcPts val="900"/>
              </a:lnSpc>
              <a:defRPr sz="1000"/>
            </a:pPr>
            <a:r>
              <a:rPr lang="es-MX" sz="900" b="1" i="0" u="none" strike="noStrike" baseline="0">
                <a:solidFill>
                  <a:srgbClr val="000000"/>
                </a:solidFill>
                <a:latin typeface="Arial"/>
                <a:cs typeface="Arial"/>
              </a:rPr>
              <a:t>(Régimen super crítico)</a:t>
            </a:r>
          </a:p>
        </cdr:txBody>
      </cdr:sp>
      <cdr:sp macro="" textlink="">
        <cdr:nvSpPr>
          <cdr:cNvPr id="74756" name="10 CuadroTexto"/>
          <cdr:cNvSpPr txBox="1">
            <a:spLocks xmlns:a="http://schemas.openxmlformats.org/drawingml/2006/main" noChangeArrowheads="1"/>
          </cdr:cNvSpPr>
        </cdr:nvSpPr>
        <cdr:spPr bwMode="auto">
          <a:xfrm xmlns:a="http://schemas.openxmlformats.org/drawingml/2006/main">
            <a:off x="2675640" y="3120932"/>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0.1</a:t>
            </a:r>
          </a:p>
        </cdr:txBody>
      </cdr:sp>
      <cdr:sp macro="" textlink="">
        <cdr:nvSpPr>
          <cdr:cNvPr id="74757" name="11 CuadroTexto"/>
          <cdr:cNvSpPr txBox="1">
            <a:spLocks xmlns:a="http://schemas.openxmlformats.org/drawingml/2006/main" noChangeArrowheads="1"/>
          </cdr:cNvSpPr>
        </cdr:nvSpPr>
        <cdr:spPr bwMode="auto">
          <a:xfrm xmlns:a="http://schemas.openxmlformats.org/drawingml/2006/main">
            <a:off x="2027526" y="2936933"/>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0.2</a:t>
            </a:r>
          </a:p>
        </cdr:txBody>
      </cdr:sp>
      <cdr:sp macro="" textlink="">
        <cdr:nvSpPr>
          <cdr:cNvPr id="74758" name="12 CuadroTexto"/>
          <cdr:cNvSpPr txBox="1">
            <a:spLocks xmlns:a="http://schemas.openxmlformats.org/drawingml/2006/main" noChangeArrowheads="1"/>
          </cdr:cNvSpPr>
        </cdr:nvSpPr>
        <cdr:spPr bwMode="auto">
          <a:xfrm xmlns:a="http://schemas.openxmlformats.org/drawingml/2006/main">
            <a:off x="1360546" y="2733516"/>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0.3</a:t>
            </a:r>
          </a:p>
        </cdr:txBody>
      </cdr:sp>
      <cdr:sp macro="" textlink="">
        <cdr:nvSpPr>
          <cdr:cNvPr id="74759" name="13 CuadroTexto"/>
          <cdr:cNvSpPr txBox="1">
            <a:spLocks xmlns:a="http://schemas.openxmlformats.org/drawingml/2006/main" noChangeArrowheads="1"/>
          </cdr:cNvSpPr>
        </cdr:nvSpPr>
        <cdr:spPr bwMode="auto">
          <a:xfrm xmlns:a="http://schemas.openxmlformats.org/drawingml/2006/main">
            <a:off x="1103284" y="2539786"/>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0.4</a:t>
            </a:r>
          </a:p>
        </cdr:txBody>
      </cdr:sp>
      <cdr:sp macro="" textlink="">
        <cdr:nvSpPr>
          <cdr:cNvPr id="74760" name="14 CuadroTexto"/>
          <cdr:cNvSpPr txBox="1">
            <a:spLocks xmlns:a="http://schemas.openxmlformats.org/drawingml/2006/main" noChangeArrowheads="1"/>
          </cdr:cNvSpPr>
        </cdr:nvSpPr>
        <cdr:spPr bwMode="auto">
          <a:xfrm xmlns:a="http://schemas.openxmlformats.org/drawingml/2006/main">
            <a:off x="922247" y="2346055"/>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0.5</a:t>
            </a:r>
          </a:p>
        </cdr:txBody>
      </cdr:sp>
      <cdr:sp macro="" textlink="">
        <cdr:nvSpPr>
          <cdr:cNvPr id="74761" name="15 CuadroTexto"/>
          <cdr:cNvSpPr txBox="1">
            <a:spLocks xmlns:a="http://schemas.openxmlformats.org/drawingml/2006/main" noChangeArrowheads="1"/>
          </cdr:cNvSpPr>
        </cdr:nvSpPr>
        <cdr:spPr bwMode="auto">
          <a:xfrm xmlns:a="http://schemas.openxmlformats.org/drawingml/2006/main">
            <a:off x="855549" y="2055459"/>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0.6</a:t>
            </a:r>
          </a:p>
        </cdr:txBody>
      </cdr:sp>
      <cdr:sp macro="" textlink="">
        <cdr:nvSpPr>
          <cdr:cNvPr id="74762" name="16 CuadroTexto"/>
          <cdr:cNvSpPr txBox="1">
            <a:spLocks xmlns:a="http://schemas.openxmlformats.org/drawingml/2006/main" noChangeArrowheads="1"/>
          </cdr:cNvSpPr>
        </cdr:nvSpPr>
        <cdr:spPr bwMode="auto">
          <a:xfrm xmlns:a="http://schemas.openxmlformats.org/drawingml/2006/main">
            <a:off x="855549" y="1745490"/>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0.7</a:t>
            </a:r>
          </a:p>
        </cdr:txBody>
      </cdr:sp>
      <cdr:sp macro="" textlink="">
        <cdr:nvSpPr>
          <cdr:cNvPr id="74763" name="17 CuadroTexto"/>
          <cdr:cNvSpPr txBox="1">
            <a:spLocks xmlns:a="http://schemas.openxmlformats.org/drawingml/2006/main" noChangeArrowheads="1"/>
          </cdr:cNvSpPr>
        </cdr:nvSpPr>
        <cdr:spPr bwMode="auto">
          <a:xfrm xmlns:a="http://schemas.openxmlformats.org/drawingml/2006/main">
            <a:off x="808562" y="1474267"/>
            <a:ext cx="196366" cy="165124"/>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es-MX" sz="1100" b="1" i="0" u="none" strike="noStrike" baseline="0">
                <a:solidFill>
                  <a:srgbClr val="0000FF"/>
                </a:solidFill>
                <a:latin typeface="Arial"/>
                <a:cs typeface="Arial"/>
              </a:rPr>
              <a:t>0.8</a:t>
            </a:r>
          </a:p>
        </cdr:txBody>
      </cdr:sp>
      <cdr:sp macro="" textlink="">
        <cdr:nvSpPr>
          <cdr:cNvPr id="74764" name="18 CuadroTexto"/>
          <cdr:cNvSpPr txBox="1">
            <a:spLocks xmlns:a="http://schemas.openxmlformats.org/drawingml/2006/main" noChangeArrowheads="1"/>
          </cdr:cNvSpPr>
        </cdr:nvSpPr>
        <cdr:spPr bwMode="auto">
          <a:xfrm xmlns:a="http://schemas.openxmlformats.org/drawingml/2006/main">
            <a:off x="2029039" y="1234026"/>
            <a:ext cx="214212" cy="18020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es-MX" sz="1200" b="1" i="0" u="none" strike="noStrike" baseline="0">
                <a:solidFill>
                  <a:srgbClr val="FF0000"/>
                </a:solidFill>
                <a:latin typeface="Arial"/>
                <a:cs typeface="Arial"/>
              </a:rPr>
              <a:t>1.6</a:t>
            </a:r>
          </a:p>
        </cdr:txBody>
      </cdr:sp>
      <cdr:sp macro="" textlink="">
        <cdr:nvSpPr>
          <cdr:cNvPr id="74765" name="19 CuadroTexto"/>
          <cdr:cNvSpPr txBox="1">
            <a:spLocks xmlns:a="http://schemas.openxmlformats.org/drawingml/2006/main" noChangeArrowheads="1"/>
          </cdr:cNvSpPr>
        </cdr:nvSpPr>
        <cdr:spPr bwMode="auto">
          <a:xfrm xmlns:a="http://schemas.openxmlformats.org/drawingml/2006/main">
            <a:off x="1962360" y="1757098"/>
            <a:ext cx="214212" cy="18020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es-MX" sz="1200" b="1" i="0" u="none" strike="noStrike" baseline="0">
                <a:solidFill>
                  <a:srgbClr val="FF0000"/>
                </a:solidFill>
                <a:latin typeface="Arial"/>
                <a:cs typeface="Arial"/>
              </a:rPr>
              <a:t>1.4</a:t>
            </a:r>
          </a:p>
        </cdr:txBody>
      </cdr:sp>
      <cdr:sp macro="" textlink="">
        <cdr:nvSpPr>
          <cdr:cNvPr id="74766" name="20 CuadroTexto"/>
          <cdr:cNvSpPr txBox="1">
            <a:spLocks xmlns:a="http://schemas.openxmlformats.org/drawingml/2006/main" noChangeArrowheads="1"/>
          </cdr:cNvSpPr>
        </cdr:nvSpPr>
        <cdr:spPr bwMode="auto">
          <a:xfrm xmlns:a="http://schemas.openxmlformats.org/drawingml/2006/main">
            <a:off x="1857579" y="2173619"/>
            <a:ext cx="214212" cy="18020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es-MX" sz="1200" b="1" i="0" u="none" strike="noStrike" baseline="0">
                <a:solidFill>
                  <a:srgbClr val="FF0000"/>
                </a:solidFill>
                <a:latin typeface="Arial"/>
                <a:cs typeface="Arial"/>
              </a:rPr>
              <a:t>1.2</a:t>
            </a:r>
          </a:p>
        </cdr:txBody>
      </cdr:sp>
      <cdr:sp macro="" textlink="">
        <cdr:nvSpPr>
          <cdr:cNvPr id="74767" name="21 CuadroTexto"/>
          <cdr:cNvSpPr txBox="1">
            <a:spLocks xmlns:a="http://schemas.openxmlformats.org/drawingml/2006/main" noChangeArrowheads="1"/>
          </cdr:cNvSpPr>
        </cdr:nvSpPr>
        <cdr:spPr bwMode="auto">
          <a:xfrm xmlns:a="http://schemas.openxmlformats.org/drawingml/2006/main">
            <a:off x="1809298" y="2490383"/>
            <a:ext cx="133016" cy="16230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es-MX" sz="1200" b="1" i="0" u="none" strike="noStrike" baseline="0">
                <a:solidFill>
                  <a:srgbClr val="FF0000"/>
                </a:solidFill>
                <a:latin typeface="Arial"/>
                <a:cs typeface="Arial"/>
              </a:rPr>
              <a:t>1</a:t>
            </a:r>
          </a:p>
        </cdr:txBody>
      </cdr:sp>
      <cdr:sp macro="" textlink="">
        <cdr:nvSpPr>
          <cdr:cNvPr id="74768" name="22 CuadroTexto"/>
          <cdr:cNvSpPr txBox="1">
            <a:spLocks xmlns:a="http://schemas.openxmlformats.org/drawingml/2006/main" noChangeArrowheads="1"/>
          </cdr:cNvSpPr>
        </cdr:nvSpPr>
        <cdr:spPr bwMode="auto">
          <a:xfrm xmlns:a="http://schemas.openxmlformats.org/drawingml/2006/main">
            <a:off x="2264517" y="486324"/>
            <a:ext cx="1327769" cy="21015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0" tIns="0" rIns="0" bIns="0" anchor="ctr" upright="1">
            <a:spAutoFit/>
          </a:bodyPr>
          <a:lstStyle xmlns:a="http://schemas.openxmlformats.org/drawingml/2006/main"/>
          <a:p xmlns:a="http://schemas.openxmlformats.org/drawingml/2006/main">
            <a:pPr algn="ctr" rtl="0">
              <a:defRPr sz="1000"/>
            </a:pPr>
            <a:r>
              <a:rPr lang="es-MX" sz="1400" b="1" i="0" u="none" strike="noStrike" baseline="0">
                <a:solidFill>
                  <a:srgbClr val="FF0000"/>
                </a:solidFill>
                <a:latin typeface="Arial"/>
                <a:cs typeface="Arial"/>
              </a:rPr>
              <a:t>Velocidad (m/s)</a:t>
            </a:r>
          </a:p>
        </cdr:txBody>
      </cdr:sp>
    </cdr:grp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127000</xdr:colOff>
      <xdr:row>2</xdr:row>
      <xdr:rowOff>88900</xdr:rowOff>
    </xdr:from>
    <xdr:to>
      <xdr:col>6</xdr:col>
      <xdr:colOff>800100</xdr:colOff>
      <xdr:row>30</xdr:row>
      <xdr:rowOff>63500</xdr:rowOff>
    </xdr:to>
    <xdr:pic>
      <xdr:nvPicPr>
        <xdr:cNvPr id="12307" name="1 Imagen" descr="Estaciones2.jpg">
          <a:extLst>
            <a:ext uri="{FF2B5EF4-FFF2-40B4-BE49-F238E27FC236}">
              <a16:creationId xmlns:a16="http://schemas.microsoft.com/office/drawing/2014/main" id="{9CD5870A-537D-3D8F-8D9E-F020BC4976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843" t="2074" r="36220" b="1382"/>
        <a:stretch>
          <a:fillRect/>
        </a:stretch>
      </xdr:blipFill>
      <xdr:spPr bwMode="auto">
        <a:xfrm>
          <a:off x="127000" y="558800"/>
          <a:ext cx="5626100" cy="530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16"/>
    <pageSetUpPr fitToPage="1"/>
  </sheetPr>
  <dimension ref="A1:K47"/>
  <sheetViews>
    <sheetView tabSelected="1" workbookViewId="0">
      <selection activeCell="B12" sqref="B12"/>
    </sheetView>
  </sheetViews>
  <sheetFormatPr baseColWidth="10" defaultColWidth="11.5" defaultRowHeight="16"/>
  <cols>
    <col min="1" max="1" width="11.5" style="57"/>
    <col min="2" max="2" width="18.6640625" style="57" customWidth="1"/>
    <col min="3" max="8" width="11.5" style="57"/>
    <col min="9" max="9" width="13.6640625" style="57" customWidth="1"/>
    <col min="10" max="10" width="20.33203125" style="57" customWidth="1"/>
    <col min="11" max="16384" width="11.5" style="57"/>
  </cols>
  <sheetData>
    <row r="1" spans="1:11">
      <c r="A1" s="66" t="s">
        <v>274</v>
      </c>
      <c r="B1" s="67"/>
      <c r="C1" s="67"/>
      <c r="D1" s="67"/>
      <c r="E1" s="67"/>
    </row>
    <row r="2" spans="1:11">
      <c r="A2" s="68" t="s">
        <v>275</v>
      </c>
      <c r="B2" s="68"/>
      <c r="C2" s="68"/>
      <c r="D2" s="68"/>
      <c r="E2" s="68"/>
    </row>
    <row r="3" spans="1:11" ht="20">
      <c r="A3" s="69" t="s">
        <v>767</v>
      </c>
      <c r="B3" s="69"/>
      <c r="C3" s="69"/>
      <c r="D3" s="69"/>
      <c r="E3" s="69"/>
    </row>
    <row r="4" spans="1:11">
      <c r="A4" s="58"/>
      <c r="B4" s="65"/>
      <c r="K4" s="57" t="s">
        <v>768</v>
      </c>
    </row>
    <row r="5" spans="1:11" ht="15" customHeight="1">
      <c r="A5" s="58"/>
      <c r="B5" s="65"/>
      <c r="I5" s="398" t="s">
        <v>485</v>
      </c>
      <c r="J5" s="398"/>
    </row>
    <row r="6" spans="1:11">
      <c r="I6" s="398"/>
      <c r="J6" s="398"/>
    </row>
    <row r="7" spans="1:11">
      <c r="B7" s="59" t="s">
        <v>363</v>
      </c>
    </row>
    <row r="8" spans="1:11">
      <c r="A8" s="299" t="s">
        <v>486</v>
      </c>
      <c r="B8" s="60" t="s">
        <v>474</v>
      </c>
    </row>
    <row r="9" spans="1:11" ht="15" customHeight="1">
      <c r="A9" s="299" t="s">
        <v>487</v>
      </c>
      <c r="B9" s="60" t="s">
        <v>364</v>
      </c>
    </row>
    <row r="10" spans="1:11" ht="15" customHeight="1">
      <c r="A10" s="299" t="s">
        <v>488</v>
      </c>
      <c r="B10" s="60" t="s">
        <v>365</v>
      </c>
    </row>
    <row r="11" spans="1:11" ht="15" customHeight="1">
      <c r="A11" s="299" t="s">
        <v>489</v>
      </c>
      <c r="B11" s="60" t="s">
        <v>475</v>
      </c>
    </row>
    <row r="12" spans="1:11" ht="15" customHeight="1">
      <c r="A12" s="299" t="s">
        <v>490</v>
      </c>
      <c r="B12" s="299" t="s">
        <v>284</v>
      </c>
      <c r="C12" s="166"/>
      <c r="D12" s="60" t="s">
        <v>754</v>
      </c>
    </row>
    <row r="13" spans="1:11" ht="15" customHeight="1">
      <c r="A13" s="299" t="s">
        <v>491</v>
      </c>
      <c r="B13" s="60" t="s">
        <v>755</v>
      </c>
    </row>
    <row r="14" spans="1:11" ht="15" customHeight="1">
      <c r="A14" s="299" t="s">
        <v>742</v>
      </c>
      <c r="B14" s="60" t="s">
        <v>476</v>
      </c>
    </row>
    <row r="16" spans="1:11">
      <c r="A16" s="59" t="s">
        <v>294</v>
      </c>
    </row>
    <row r="18" spans="1:3">
      <c r="A18" s="59"/>
      <c r="B18" s="179" t="s">
        <v>366</v>
      </c>
      <c r="C18" s="59" t="s">
        <v>367</v>
      </c>
    </row>
    <row r="19" spans="1:3">
      <c r="A19" s="59"/>
      <c r="B19" s="179"/>
      <c r="C19" s="59"/>
    </row>
    <row r="20" spans="1:3" customFormat="1" ht="15">
      <c r="B20" s="356" t="s">
        <v>743</v>
      </c>
      <c r="C20" s="56" t="s">
        <v>744</v>
      </c>
    </row>
    <row r="21" spans="1:3">
      <c r="A21"/>
      <c r="B21" s="357" t="s">
        <v>361</v>
      </c>
      <c r="C21" s="56" t="s">
        <v>466</v>
      </c>
    </row>
    <row r="22" spans="1:3">
      <c r="A22"/>
      <c r="B22" s="358"/>
      <c r="C22" s="56"/>
    </row>
    <row r="23" spans="1:3">
      <c r="A23" s="61" t="s">
        <v>276</v>
      </c>
      <c r="B23" s="358"/>
    </row>
    <row r="24" spans="1:3">
      <c r="A24" s="60" t="s">
        <v>277</v>
      </c>
      <c r="B24" s="359"/>
      <c r="C24" s="56"/>
    </row>
    <row r="25" spans="1:3">
      <c r="A25" s="56"/>
      <c r="B25" s="360" t="s">
        <v>428</v>
      </c>
      <c r="C25" s="56" t="s">
        <v>730</v>
      </c>
    </row>
    <row r="26" spans="1:3">
      <c r="A26" s="56"/>
      <c r="B26" s="359"/>
      <c r="C26" s="56"/>
    </row>
    <row r="27" spans="1:3">
      <c r="A27" s="60" t="s">
        <v>439</v>
      </c>
      <c r="B27" s="359"/>
      <c r="C27" s="56"/>
    </row>
    <row r="28" spans="1:3">
      <c r="A28" s="56"/>
      <c r="B28" s="361" t="s">
        <v>438</v>
      </c>
      <c r="C28" s="56" t="s">
        <v>762</v>
      </c>
    </row>
    <row r="29" spans="1:3">
      <c r="A29" s="56"/>
      <c r="B29" s="359"/>
      <c r="C29" s="56" t="s">
        <v>763</v>
      </c>
    </row>
    <row r="30" spans="1:3">
      <c r="A30" s="61" t="s">
        <v>283</v>
      </c>
      <c r="B30" s="359"/>
      <c r="C30" s="56"/>
    </row>
    <row r="31" spans="1:3">
      <c r="A31" s="60" t="s">
        <v>369</v>
      </c>
      <c r="B31" s="359"/>
      <c r="C31" s="56"/>
    </row>
    <row r="32" spans="1:3">
      <c r="A32" s="56"/>
      <c r="B32" s="362" t="s">
        <v>278</v>
      </c>
      <c r="C32" s="56" t="s">
        <v>467</v>
      </c>
    </row>
    <row r="33" spans="1:3">
      <c r="A33" s="56"/>
      <c r="B33" s="362" t="s">
        <v>279</v>
      </c>
      <c r="C33" s="56" t="s">
        <v>468</v>
      </c>
    </row>
    <row r="34" spans="1:3">
      <c r="A34" s="60" t="s">
        <v>368</v>
      </c>
      <c r="B34" s="359"/>
      <c r="C34" s="56"/>
    </row>
    <row r="35" spans="1:3">
      <c r="A35" s="56"/>
      <c r="B35" s="363" t="s">
        <v>370</v>
      </c>
      <c r="C35" s="56" t="s">
        <v>469</v>
      </c>
    </row>
    <row r="36" spans="1:3">
      <c r="A36" s="56"/>
      <c r="B36" s="358"/>
      <c r="C36" s="56"/>
    </row>
    <row r="37" spans="1:3">
      <c r="A37" s="61" t="s">
        <v>433</v>
      </c>
      <c r="B37" s="358"/>
      <c r="C37" s="56"/>
    </row>
    <row r="38" spans="1:3">
      <c r="A38" s="60" t="s">
        <v>429</v>
      </c>
      <c r="B38" s="358"/>
      <c r="C38" s="56"/>
    </row>
    <row r="39" spans="1:3">
      <c r="A39" s="56"/>
      <c r="B39" s="360" t="s">
        <v>430</v>
      </c>
      <c r="C39" s="56" t="s">
        <v>470</v>
      </c>
    </row>
    <row r="40" spans="1:3">
      <c r="A40" s="56"/>
      <c r="B40" s="361" t="s">
        <v>431</v>
      </c>
      <c r="C40" s="56" t="s">
        <v>471</v>
      </c>
    </row>
    <row r="41" spans="1:3">
      <c r="A41" s="56"/>
      <c r="B41" s="361" t="s">
        <v>432</v>
      </c>
      <c r="C41" s="56" t="s">
        <v>492</v>
      </c>
    </row>
    <row r="42" spans="1:3">
      <c r="A42" s="56"/>
      <c r="B42" s="359"/>
      <c r="C42" s="56"/>
    </row>
    <row r="43" spans="1:3">
      <c r="A43" s="60" t="s">
        <v>280</v>
      </c>
      <c r="B43" s="359"/>
      <c r="C43" s="56"/>
    </row>
    <row r="44" spans="1:3">
      <c r="A44" s="56"/>
      <c r="B44" s="364" t="s">
        <v>728</v>
      </c>
      <c r="C44" s="56" t="s">
        <v>729</v>
      </c>
    </row>
    <row r="45" spans="1:3">
      <c r="A45" s="56"/>
      <c r="B45" s="364" t="s">
        <v>281</v>
      </c>
      <c r="C45" s="56" t="s">
        <v>372</v>
      </c>
    </row>
    <row r="46" spans="1:3">
      <c r="A46" s="56"/>
      <c r="B46" s="364" t="s">
        <v>346</v>
      </c>
      <c r="C46" s="56" t="s">
        <v>371</v>
      </c>
    </row>
    <row r="47" spans="1:3">
      <c r="A47" s="56"/>
      <c r="B47" s="364" t="s">
        <v>282</v>
      </c>
      <c r="C47" s="56" t="s">
        <v>295</v>
      </c>
    </row>
  </sheetData>
  <sheetProtection sheet="1"/>
  <mergeCells count="1">
    <mergeCell ref="I5:J6"/>
  </mergeCells>
  <phoneticPr fontId="15" type="noConversion"/>
  <pageMargins left="0.53" right="0.37" top="0.43307086614173229" bottom="0.33" header="0" footer="0"/>
  <pageSetup paperSize="9" scale="76" orientation="landscape"/>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indexed="42"/>
  </sheetPr>
  <dimension ref="A1:W367"/>
  <sheetViews>
    <sheetView workbookViewId="0">
      <pane ySplit="6" topLeftCell="A7" activePane="bottomLeft" state="frozen"/>
      <selection activeCell="G14" sqref="G14"/>
      <selection pane="bottomLeft" sqref="A1:Q1"/>
    </sheetView>
  </sheetViews>
  <sheetFormatPr baseColWidth="10" defaultColWidth="11.5" defaultRowHeight="15"/>
  <cols>
    <col min="1" max="1" width="5.5" style="195" bestFit="1" customWidth="1"/>
    <col min="2" max="2" width="6.5" style="195" customWidth="1"/>
    <col min="3" max="3" width="6.83203125" style="195" bestFit="1" customWidth="1"/>
    <col min="4" max="4" width="7.1640625" style="195" customWidth="1"/>
    <col min="5" max="5" width="6.33203125" style="195" customWidth="1"/>
    <col min="6" max="6" width="6.1640625" style="195" bestFit="1" customWidth="1"/>
    <col min="7" max="7" width="9.6640625" style="195" customWidth="1"/>
    <col min="8" max="8" width="6.33203125" style="195" customWidth="1"/>
    <col min="9" max="9" width="6.83203125" style="195" customWidth="1"/>
    <col min="10" max="10" width="6" style="195" customWidth="1"/>
    <col min="11" max="11" width="6.33203125" style="195" customWidth="1"/>
    <col min="12" max="12" width="7.5" style="195" customWidth="1"/>
    <col min="13" max="13" width="5.5" style="195" customWidth="1"/>
    <col min="14" max="14" width="6.1640625" style="195" customWidth="1"/>
    <col min="15" max="15" width="7" style="195" customWidth="1"/>
    <col min="16" max="16" width="6.1640625" style="195" customWidth="1"/>
    <col min="17" max="17" width="5.5" style="195" customWidth="1"/>
    <col min="18" max="18" width="5.5" style="381" customWidth="1"/>
    <col min="19" max="19" width="5.5" style="195" bestFit="1" customWidth="1"/>
    <col min="20" max="20" width="6.5" style="195" customWidth="1"/>
    <col min="21" max="21" width="16.1640625" style="198" bestFit="1" customWidth="1"/>
    <col min="22" max="22" width="16.5" style="197" customWidth="1"/>
    <col min="23" max="23" width="15.5" style="98" customWidth="1"/>
    <col min="24" max="16384" width="11.5" style="195"/>
  </cols>
  <sheetData>
    <row r="1" spans="1:23" ht="24.75" customHeight="1">
      <c r="A1" s="507" t="s">
        <v>152</v>
      </c>
      <c r="B1" s="507"/>
      <c r="C1" s="507"/>
      <c r="D1" s="507"/>
      <c r="E1" s="507"/>
      <c r="F1" s="507"/>
      <c r="G1" s="507"/>
      <c r="H1" s="507"/>
      <c r="I1" s="507"/>
      <c r="J1" s="507"/>
      <c r="K1" s="507"/>
      <c r="L1" s="507"/>
      <c r="M1" s="507"/>
      <c r="N1" s="507"/>
      <c r="O1" s="507"/>
      <c r="P1" s="507"/>
      <c r="Q1" s="507"/>
      <c r="R1" s="379"/>
      <c r="S1" s="196"/>
      <c r="T1" s="196"/>
      <c r="U1" s="196"/>
    </row>
    <row r="2" spans="1:23" s="37" customFormat="1" ht="19">
      <c r="A2" s="181" t="s">
        <v>338</v>
      </c>
      <c r="C2" s="181"/>
      <c r="Q2" s="270" t="str">
        <f>+'Info Gral'!B3</f>
        <v>Presa del Ejemplo del Manual</v>
      </c>
      <c r="R2" s="380"/>
      <c r="S2" s="196"/>
    </row>
    <row r="3" spans="1:23" s="37" customFormat="1" ht="16">
      <c r="A3" s="181"/>
      <c r="E3" s="343" t="s">
        <v>54</v>
      </c>
      <c r="F3" s="343" t="s">
        <v>55</v>
      </c>
      <c r="G3" s="343" t="s">
        <v>737</v>
      </c>
      <c r="I3" s="343" t="s">
        <v>735</v>
      </c>
      <c r="J3" s="343" t="s">
        <v>736</v>
      </c>
      <c r="K3" s="509" t="s">
        <v>738</v>
      </c>
      <c r="L3" s="510"/>
      <c r="M3" s="510"/>
      <c r="N3" s="510"/>
      <c r="O3" s="511"/>
      <c r="P3" s="347">
        <f ca="1">+ROUND(SUM(Q11:Q367)/SUM(H11:H367)*100,1)</f>
        <v>98.9</v>
      </c>
      <c r="Q3" s="346" t="s">
        <v>173</v>
      </c>
      <c r="R3" s="196"/>
      <c r="S3" s="196"/>
      <c r="T3" s="196"/>
      <c r="U3" s="196"/>
    </row>
    <row r="4" spans="1:23" ht="17" thickBot="1">
      <c r="A4" s="344"/>
      <c r="E4" s="342">
        <f>+'Ht - Hv - Volumen'!F26</f>
        <v>100.5</v>
      </c>
      <c r="F4" s="342">
        <f>+'Ht - Hv - Volumen'!C24</f>
        <v>106</v>
      </c>
      <c r="G4" s="342">
        <f>+'Ht - Hv - Volumen'!B24</f>
        <v>900</v>
      </c>
      <c r="I4" s="345">
        <f ca="1">c_*(Ht-Hast)^d_</f>
        <v>0.14364725252241328</v>
      </c>
      <c r="J4" s="345">
        <f ca="1">c_*(Hv-Hast)^d_</f>
        <v>7.6368477630678893</v>
      </c>
      <c r="S4" s="198"/>
      <c r="T4" s="198"/>
      <c r="V4" s="199" t="s">
        <v>413</v>
      </c>
      <c r="W4" s="375">
        <v>5</v>
      </c>
    </row>
    <row r="5" spans="1:23" s="198" customFormat="1" ht="26.25" customHeight="1">
      <c r="A5" s="341" t="s">
        <v>56</v>
      </c>
      <c r="B5" s="341" t="s">
        <v>73</v>
      </c>
      <c r="C5" s="341" t="s">
        <v>72</v>
      </c>
      <c r="D5" s="341" t="s">
        <v>57</v>
      </c>
      <c r="E5" s="341" t="s">
        <v>58</v>
      </c>
      <c r="F5" s="341" t="s">
        <v>59</v>
      </c>
      <c r="G5" s="341" t="s">
        <v>74</v>
      </c>
      <c r="H5" s="341" t="s">
        <v>71</v>
      </c>
      <c r="I5" s="341" t="s">
        <v>53</v>
      </c>
      <c r="J5" s="341" t="s">
        <v>320</v>
      </c>
      <c r="K5" s="341" t="s">
        <v>321</v>
      </c>
      <c r="L5" s="341" t="s">
        <v>69</v>
      </c>
      <c r="M5" s="341" t="s">
        <v>70</v>
      </c>
      <c r="N5" s="341" t="s">
        <v>322</v>
      </c>
      <c r="O5" s="341" t="s">
        <v>323</v>
      </c>
      <c r="P5" s="341" t="s">
        <v>324</v>
      </c>
      <c r="Q5" s="341" t="s">
        <v>325</v>
      </c>
      <c r="R5" s="382"/>
      <c r="S5" s="512" t="s">
        <v>748</v>
      </c>
      <c r="T5" s="513"/>
      <c r="U5" s="513"/>
      <c r="V5" s="513"/>
      <c r="W5" s="514"/>
    </row>
    <row r="6" spans="1:23" s="202" customFormat="1" ht="27" customHeight="1" thickBot="1">
      <c r="A6" s="200"/>
      <c r="B6" s="201"/>
      <c r="C6" s="201" t="s">
        <v>51</v>
      </c>
      <c r="D6" s="201" t="s">
        <v>60</v>
      </c>
      <c r="E6" s="201" t="s">
        <v>60</v>
      </c>
      <c r="F6" s="201" t="s">
        <v>60</v>
      </c>
      <c r="G6" s="201" t="s">
        <v>75</v>
      </c>
      <c r="H6" s="201" t="s">
        <v>51</v>
      </c>
      <c r="I6" s="201" t="s">
        <v>51</v>
      </c>
      <c r="J6" s="201" t="s">
        <v>51</v>
      </c>
      <c r="K6" s="201" t="s">
        <v>52</v>
      </c>
      <c r="L6" s="201"/>
      <c r="M6" s="201"/>
      <c r="N6" s="201" t="s">
        <v>51</v>
      </c>
      <c r="O6" s="201" t="s">
        <v>52</v>
      </c>
      <c r="P6" s="201" t="s">
        <v>51</v>
      </c>
      <c r="Q6" s="374" t="s">
        <v>51</v>
      </c>
      <c r="R6" s="383"/>
      <c r="S6" s="394" t="s">
        <v>56</v>
      </c>
      <c r="T6" s="376" t="s">
        <v>73</v>
      </c>
      <c r="U6" s="376" t="s">
        <v>410</v>
      </c>
      <c r="V6" s="376" t="s">
        <v>411</v>
      </c>
      <c r="W6" s="377" t="s">
        <v>412</v>
      </c>
    </row>
    <row r="7" spans="1:23" ht="16" thickBot="1">
      <c r="A7" s="203"/>
      <c r="B7" s="204"/>
      <c r="C7" s="204"/>
      <c r="D7" s="204"/>
      <c r="E7" s="204"/>
      <c r="F7" s="204"/>
      <c r="G7" s="204"/>
      <c r="H7" s="204"/>
      <c r="I7" s="204"/>
      <c r="J7" s="205"/>
      <c r="K7" s="205"/>
      <c r="L7" s="205"/>
      <c r="M7" s="205"/>
      <c r="N7" s="205">
        <f ca="1">+(VolHt+VolHv)/2</f>
        <v>3.8902475077951513</v>
      </c>
      <c r="O7" s="205">
        <f t="shared" ref="O7:O70" ca="1" si="0">+g_*N7^h_</f>
        <v>191.28729305982264</v>
      </c>
      <c r="P7" s="204"/>
      <c r="Q7" s="206"/>
      <c r="R7" s="378"/>
      <c r="S7" s="198"/>
      <c r="T7" s="198"/>
      <c r="W7" s="197"/>
    </row>
    <row r="8" spans="1:23">
      <c r="A8" s="207">
        <f>+'Anexo Escurrimiento'!A18</f>
        <v>1981</v>
      </c>
      <c r="B8" s="207">
        <f>+'Anexo Escurrimiento'!B18</f>
        <v>1</v>
      </c>
      <c r="C8" s="208">
        <f>+'Anexo Escurrimiento'!O18</f>
        <v>0.97746626122915181</v>
      </c>
      <c r="D8" s="207">
        <f>+'Anexo Escurrimiento'!D18</f>
        <v>137.4</v>
      </c>
      <c r="E8" s="207">
        <f>0.7*VLOOKUP('Info Gral'!$C$10,'Evap Tanque'!$A$6:$M$19,2,FALSE)</f>
        <v>176.89</v>
      </c>
      <c r="F8" s="194">
        <f>+'Ht - Hv - Volumen'!C7</f>
        <v>318</v>
      </c>
      <c r="G8" s="209">
        <f t="shared" ref="G8:G32" si="1">+(D8-E8)/100000</f>
        <v>-3.9489999999999979E-4</v>
      </c>
      <c r="H8" s="210">
        <f>+F8/100000*'Anexo Bal Hídrico'!$G$4</f>
        <v>2.8620000000000001</v>
      </c>
      <c r="I8" s="210">
        <v>0</v>
      </c>
      <c r="J8" s="210">
        <f t="shared" ref="J8:J71" ca="1" si="2">+N7+C8-H8-I8</f>
        <v>2.005713769024303</v>
      </c>
      <c r="K8" s="210">
        <f t="shared" ref="K8:K71" ca="1" si="3">+IF(J8&lt;0,0,g_*J8^h_)</f>
        <v>124.81751671577712</v>
      </c>
      <c r="L8" s="210">
        <f t="shared" ref="L8:L71" ca="1" si="4">+(K8+O7)/2</f>
        <v>158.05240488779987</v>
      </c>
      <c r="M8" s="210">
        <f t="shared" ref="M8:M71" ca="1" si="5">+N7+C8*(Ac-L8)/Ac+G8*L8-H8-I8</f>
        <v>1.8845570898154973</v>
      </c>
      <c r="N8" s="210">
        <f t="shared" ref="N8:N71" ca="1" si="6">+IF(M8&gt;VolHv,VolHv,IF(M8&lt;VolHt,VolHt,M8))</f>
        <v>1.8845570898154973</v>
      </c>
      <c r="O8" s="210">
        <f t="shared" ca="1" si="0"/>
        <v>119.90498116316128</v>
      </c>
      <c r="P8" s="210">
        <f t="shared" ref="P8:P71" ca="1" si="7">+IF(M8&gt;VolHv,M8-VolHv,0)</f>
        <v>0</v>
      </c>
      <c r="Q8" s="210">
        <f t="shared" ref="Q8:Q71" ca="1" si="8">+IF(M8&lt;VolHt,IF(H8&lt;(VolHt-M8),0,H8-(VolHt-M8)),H8)</f>
        <v>2.8620000000000001</v>
      </c>
      <c r="R8" s="386"/>
      <c r="S8" s="207">
        <f>+A8</f>
        <v>1981</v>
      </c>
      <c r="T8" s="207">
        <f>+B8</f>
        <v>1</v>
      </c>
      <c r="U8" s="384" t="str">
        <f t="shared" ref="U8:U71" ca="1" si="9">+REPT("|",(H8-Q8)*$W$4)</f>
        <v/>
      </c>
      <c r="V8" s="384" t="str">
        <f t="shared" ref="V8:V71" ca="1" si="10">+REPT("|",Q8*$W$4)</f>
        <v>||||||||||||||</v>
      </c>
      <c r="W8" s="385" t="str">
        <f t="shared" ref="W8:W71" ca="1" si="11">+REPT("|",P8*$W$4)</f>
        <v/>
      </c>
    </row>
    <row r="9" spans="1:23">
      <c r="A9" s="207">
        <f>+'Anexo Escurrimiento'!A19</f>
        <v>1981</v>
      </c>
      <c r="B9" s="207">
        <f>+'Anexo Escurrimiento'!B19</f>
        <v>2</v>
      </c>
      <c r="C9" s="208">
        <f>+'Anexo Escurrimiento'!O19</f>
        <v>2.2079423550386661</v>
      </c>
      <c r="D9" s="207">
        <f>+'Anexo Escurrimiento'!D19</f>
        <v>186.1</v>
      </c>
      <c r="E9" s="207">
        <f>0.7*VLOOKUP('Info Gral'!$C$10,'Evap Tanque'!$A$6:$M$19,3,FALSE)</f>
        <v>131.73999999999998</v>
      </c>
      <c r="F9" s="194">
        <f>+'Ht - Hv - Volumen'!C8</f>
        <v>153</v>
      </c>
      <c r="G9" s="211">
        <f t="shared" si="1"/>
        <v>5.4360000000000009E-4</v>
      </c>
      <c r="H9" s="212">
        <f>+F9/100000*'Anexo Bal Hídrico'!$G$4</f>
        <v>1.377</v>
      </c>
      <c r="I9" s="212">
        <v>0</v>
      </c>
      <c r="J9" s="212">
        <f t="shared" ca="1" si="2"/>
        <v>2.7154994448541636</v>
      </c>
      <c r="K9" s="212">
        <f t="shared" ca="1" si="3"/>
        <v>151.72997317074021</v>
      </c>
      <c r="L9" s="212">
        <f t="shared" ca="1" si="4"/>
        <v>135.81747716695074</v>
      </c>
      <c r="M9" s="212">
        <f t="shared" ca="1" si="5"/>
        <v>2.6753080914529894</v>
      </c>
      <c r="N9" s="212">
        <f t="shared" ca="1" si="6"/>
        <v>2.6753080914529894</v>
      </c>
      <c r="O9" s="210">
        <f t="shared" ca="1" si="0"/>
        <v>150.278913089105</v>
      </c>
      <c r="P9" s="212">
        <f t="shared" ca="1" si="7"/>
        <v>0</v>
      </c>
      <c r="Q9" s="212">
        <f t="shared" ca="1" si="8"/>
        <v>1.377</v>
      </c>
      <c r="R9" s="386"/>
      <c r="S9" s="207">
        <f t="shared" ref="S9:S72" si="12">+A9</f>
        <v>1981</v>
      </c>
      <c r="T9" s="207">
        <f t="shared" ref="T9:T72" si="13">+B9</f>
        <v>2</v>
      </c>
      <c r="U9" s="384" t="str">
        <f t="shared" ca="1" si="9"/>
        <v/>
      </c>
      <c r="V9" s="384" t="str">
        <f t="shared" ca="1" si="10"/>
        <v>||||||</v>
      </c>
      <c r="W9" s="385" t="str">
        <f t="shared" ca="1" si="11"/>
        <v/>
      </c>
    </row>
    <row r="10" spans="1:23">
      <c r="A10" s="207">
        <f>+'Anexo Escurrimiento'!A20</f>
        <v>1981</v>
      </c>
      <c r="B10" s="207">
        <f>+'Anexo Escurrimiento'!B20</f>
        <v>3</v>
      </c>
      <c r="C10" s="208">
        <f>+'Anexo Escurrimiento'!O20</f>
        <v>0.93857414317624599</v>
      </c>
      <c r="D10" s="207">
        <f>+'Anexo Escurrimiento'!D20</f>
        <v>66</v>
      </c>
      <c r="E10" s="207">
        <f>0.7*VLOOKUP('Info Gral'!$C$10,'Evap Tanque'!$A$6:$M$19,4,FALSE)</f>
        <v>118.64999999999999</v>
      </c>
      <c r="F10" s="194">
        <f>+'Ht - Hv - Volumen'!C9</f>
        <v>47</v>
      </c>
      <c r="G10" s="211">
        <f t="shared" si="1"/>
        <v>-5.2649999999999995E-4</v>
      </c>
      <c r="H10" s="212">
        <f>+F10/100000*'Anexo Bal Hídrico'!$G$4</f>
        <v>0.42299999999999999</v>
      </c>
      <c r="I10" s="212">
        <v>0</v>
      </c>
      <c r="J10" s="212">
        <f t="shared" ca="1" si="2"/>
        <v>3.1908822346292354</v>
      </c>
      <c r="K10" s="212">
        <f t="shared" ca="1" si="3"/>
        <v>168.35324635004116</v>
      </c>
      <c r="L10" s="212">
        <f t="shared" ca="1" si="4"/>
        <v>159.31607971957308</v>
      </c>
      <c r="M10" s="212">
        <f t="shared" ca="1" si="5"/>
        <v>3.0501468232131552</v>
      </c>
      <c r="N10" s="212">
        <f t="shared" ca="1" si="6"/>
        <v>3.0501468232131552</v>
      </c>
      <c r="O10" s="210">
        <f t="shared" ca="1" si="0"/>
        <v>163.529799879081</v>
      </c>
      <c r="P10" s="212">
        <f t="shared" ca="1" si="7"/>
        <v>0</v>
      </c>
      <c r="Q10" s="212">
        <f t="shared" ca="1" si="8"/>
        <v>0.42299999999999999</v>
      </c>
      <c r="R10" s="386"/>
      <c r="S10" s="207">
        <f t="shared" si="12"/>
        <v>1981</v>
      </c>
      <c r="T10" s="207">
        <f t="shared" si="13"/>
        <v>3</v>
      </c>
      <c r="U10" s="384" t="str">
        <f t="shared" ca="1" si="9"/>
        <v/>
      </c>
      <c r="V10" s="384" t="str">
        <f t="shared" ca="1" si="10"/>
        <v>||</v>
      </c>
      <c r="W10" s="385" t="str">
        <f t="shared" ca="1" si="11"/>
        <v/>
      </c>
    </row>
    <row r="11" spans="1:23">
      <c r="A11" s="207">
        <f>+'Anexo Escurrimiento'!A21</f>
        <v>1981</v>
      </c>
      <c r="B11" s="207">
        <f>+'Anexo Escurrimiento'!B21</f>
        <v>4</v>
      </c>
      <c r="C11" s="208">
        <f>+'Anexo Escurrimiento'!O21</f>
        <v>0.43648873501418523</v>
      </c>
      <c r="D11" s="207">
        <f>+'Anexo Escurrimiento'!D21</f>
        <v>48</v>
      </c>
      <c r="E11" s="207">
        <f>0.7*VLOOKUP('Info Gral'!$C$10,'Evap Tanque'!$A$6:$M$19,5,FALSE)</f>
        <v>73.149999999999991</v>
      </c>
      <c r="F11" s="194">
        <f>+'Ht - Hv - Volumen'!C10</f>
        <v>0</v>
      </c>
      <c r="G11" s="211">
        <f t="shared" si="1"/>
        <v>-2.5149999999999993E-4</v>
      </c>
      <c r="H11" s="212">
        <f>+F11/100000*'Anexo Bal Hídrico'!$G$4</f>
        <v>0</v>
      </c>
      <c r="I11" s="212">
        <v>0</v>
      </c>
      <c r="J11" s="212">
        <f t="shared" ca="1" si="2"/>
        <v>3.4866355582273405</v>
      </c>
      <c r="K11" s="212">
        <f t="shared" ca="1" si="3"/>
        <v>178.2500648391312</v>
      </c>
      <c r="L11" s="212">
        <f t="shared" ca="1" si="4"/>
        <v>170.8899323591061</v>
      </c>
      <c r="M11" s="212">
        <f t="shared" ca="1" si="5"/>
        <v>3.4152949416070535</v>
      </c>
      <c r="N11" s="212">
        <f t="shared" ca="1" si="6"/>
        <v>3.4152949416070535</v>
      </c>
      <c r="O11" s="210">
        <f t="shared" ca="1" si="0"/>
        <v>175.89103293753985</v>
      </c>
      <c r="P11" s="212">
        <f t="shared" ca="1" si="7"/>
        <v>0</v>
      </c>
      <c r="Q11" s="212">
        <f t="shared" ca="1" si="8"/>
        <v>0</v>
      </c>
      <c r="R11" s="386"/>
      <c r="S11" s="207">
        <f t="shared" si="12"/>
        <v>1981</v>
      </c>
      <c r="T11" s="207">
        <f t="shared" si="13"/>
        <v>4</v>
      </c>
      <c r="U11" s="384" t="str">
        <f t="shared" ca="1" si="9"/>
        <v/>
      </c>
      <c r="V11" s="384" t="str">
        <f t="shared" ca="1" si="10"/>
        <v/>
      </c>
      <c r="W11" s="385" t="str">
        <f t="shared" ca="1" si="11"/>
        <v/>
      </c>
    </row>
    <row r="12" spans="1:23">
      <c r="A12" s="207">
        <f>+'Anexo Escurrimiento'!A22</f>
        <v>1981</v>
      </c>
      <c r="B12" s="207">
        <f>+'Anexo Escurrimiento'!B22</f>
        <v>5</v>
      </c>
      <c r="C12" s="208">
        <f>+'Anexo Escurrimiento'!O22</f>
        <v>4.3519900633041679</v>
      </c>
      <c r="D12" s="207">
        <f>+'Anexo Escurrimiento'!D22</f>
        <v>256.39999999999998</v>
      </c>
      <c r="E12" s="207">
        <f>0.7*VLOOKUP('Info Gral'!$C$10,'Evap Tanque'!$A$6:$M$19,6,FALSE)</f>
        <v>51.24</v>
      </c>
      <c r="F12" s="194">
        <f>+'Ht - Hv - Volumen'!C11</f>
        <v>0</v>
      </c>
      <c r="G12" s="211">
        <f t="shared" si="1"/>
        <v>2.0515999999999998E-3</v>
      </c>
      <c r="H12" s="212">
        <f>+F12/100000*'Anexo Bal Hídrico'!$G$4</f>
        <v>0</v>
      </c>
      <c r="I12" s="212">
        <v>0</v>
      </c>
      <c r="J12" s="212">
        <f t="shared" ca="1" si="2"/>
        <v>7.767285004911221</v>
      </c>
      <c r="K12" s="212">
        <f t="shared" ca="1" si="3"/>
        <v>298.68001070485707</v>
      </c>
      <c r="L12" s="212">
        <f t="shared" ca="1" si="4"/>
        <v>237.28552182119847</v>
      </c>
      <c r="M12" s="212">
        <f t="shared" ca="1" si="5"/>
        <v>7.861451984091075</v>
      </c>
      <c r="N12" s="212">
        <f t="shared" ca="1" si="6"/>
        <v>7.6368477630678893</v>
      </c>
      <c r="O12" s="210">
        <f t="shared" ca="1" si="0"/>
        <v>295.43791936297487</v>
      </c>
      <c r="P12" s="212">
        <f t="shared" ca="1" si="7"/>
        <v>0.22460422102318578</v>
      </c>
      <c r="Q12" s="212">
        <f t="shared" ca="1" si="8"/>
        <v>0</v>
      </c>
      <c r="R12" s="386"/>
      <c r="S12" s="207">
        <f t="shared" si="12"/>
        <v>1981</v>
      </c>
      <c r="T12" s="207">
        <f t="shared" si="13"/>
        <v>5</v>
      </c>
      <c r="U12" s="384" t="str">
        <f t="shared" ca="1" si="9"/>
        <v/>
      </c>
      <c r="V12" s="384" t="str">
        <f t="shared" ca="1" si="10"/>
        <v/>
      </c>
      <c r="W12" s="385" t="str">
        <f t="shared" ca="1" si="11"/>
        <v>|</v>
      </c>
    </row>
    <row r="13" spans="1:23">
      <c r="A13" s="207">
        <f>+'Anexo Escurrimiento'!A23</f>
        <v>1981</v>
      </c>
      <c r="B13" s="207">
        <f>+'Anexo Escurrimiento'!B23</f>
        <v>6</v>
      </c>
      <c r="C13" s="208">
        <f>+'Anexo Escurrimiento'!O23</f>
        <v>2.2870331470868153</v>
      </c>
      <c r="D13" s="207">
        <f>+'Anexo Escurrimiento'!D23</f>
        <v>96.8</v>
      </c>
      <c r="E13" s="207">
        <f>0.7*VLOOKUP('Info Gral'!$C$10,'Evap Tanque'!$A$6:$M$19,7,FALSE)</f>
        <v>41.019999999999996</v>
      </c>
      <c r="F13" s="194">
        <f>+'Ht - Hv - Volumen'!C12</f>
        <v>0</v>
      </c>
      <c r="G13" s="211">
        <f t="shared" si="1"/>
        <v>5.5780000000000001E-4</v>
      </c>
      <c r="H13" s="212">
        <f>+F13/100000*'Anexo Bal Hídrico'!$G$4</f>
        <v>0</v>
      </c>
      <c r="I13" s="212">
        <v>0</v>
      </c>
      <c r="J13" s="212">
        <f t="shared" ca="1" si="2"/>
        <v>9.9238809101547041</v>
      </c>
      <c r="K13" s="212">
        <f t="shared" ca="1" si="3"/>
        <v>349.76991496824741</v>
      </c>
      <c r="L13" s="212">
        <f t="shared" ca="1" si="4"/>
        <v>322.60391716561116</v>
      </c>
      <c r="M13" s="212">
        <f t="shared" ca="1" si="5"/>
        <v>9.8232948306866401</v>
      </c>
      <c r="N13" s="212">
        <f t="shared" ca="1" si="6"/>
        <v>7.6368477630678893</v>
      </c>
      <c r="O13" s="210">
        <f t="shared" ca="1" si="0"/>
        <v>295.43791936297487</v>
      </c>
      <c r="P13" s="212">
        <f t="shared" ca="1" si="7"/>
        <v>2.1864470676187509</v>
      </c>
      <c r="Q13" s="212">
        <f t="shared" ca="1" si="8"/>
        <v>0</v>
      </c>
      <c r="R13" s="386"/>
      <c r="S13" s="207">
        <f t="shared" si="12"/>
        <v>1981</v>
      </c>
      <c r="T13" s="207">
        <f t="shared" si="13"/>
        <v>6</v>
      </c>
      <c r="U13" s="384" t="str">
        <f t="shared" ca="1" si="9"/>
        <v/>
      </c>
      <c r="V13" s="384" t="str">
        <f t="shared" ca="1" si="10"/>
        <v/>
      </c>
      <c r="W13" s="385" t="str">
        <f t="shared" ca="1" si="11"/>
        <v>||||||||||</v>
      </c>
    </row>
    <row r="14" spans="1:23">
      <c r="A14" s="207">
        <f>+'Anexo Escurrimiento'!A24</f>
        <v>1981</v>
      </c>
      <c r="B14" s="207">
        <f>+'Anexo Escurrimiento'!B24</f>
        <v>7</v>
      </c>
      <c r="C14" s="208">
        <f>+'Anexo Escurrimiento'!O24</f>
        <v>1.2247821853808032</v>
      </c>
      <c r="D14" s="207">
        <f>+'Anexo Escurrimiento'!D24</f>
        <v>66.099999999999994</v>
      </c>
      <c r="E14" s="207">
        <f>0.7*VLOOKUP('Info Gral'!$C$10,'Evap Tanque'!$A$6:$M$19,8,FALSE)</f>
        <v>50.819999999999993</v>
      </c>
      <c r="F14" s="194">
        <f>+'Ht - Hv - Volumen'!C13</f>
        <v>0</v>
      </c>
      <c r="G14" s="211">
        <f t="shared" si="1"/>
        <v>1.528E-4</v>
      </c>
      <c r="H14" s="212">
        <f>+F14/100000*'Anexo Bal Hídrico'!$G$4</f>
        <v>0</v>
      </c>
      <c r="I14" s="212">
        <v>0</v>
      </c>
      <c r="J14" s="212">
        <f t="shared" ca="1" si="2"/>
        <v>8.8616299484486927</v>
      </c>
      <c r="K14" s="212">
        <f t="shared" ca="1" si="3"/>
        <v>325.15968343060268</v>
      </c>
      <c r="L14" s="212">
        <f t="shared" ca="1" si="4"/>
        <v>310.2988013967888</v>
      </c>
      <c r="M14" s="212">
        <f t="shared" ca="1" si="5"/>
        <v>8.7645384934786215</v>
      </c>
      <c r="N14" s="212">
        <f t="shared" ca="1" si="6"/>
        <v>7.6368477630678893</v>
      </c>
      <c r="O14" s="210">
        <f t="shared" ca="1" si="0"/>
        <v>295.43791936297487</v>
      </c>
      <c r="P14" s="212">
        <f t="shared" ca="1" si="7"/>
        <v>1.1276907304107322</v>
      </c>
      <c r="Q14" s="212">
        <f t="shared" ca="1" si="8"/>
        <v>0</v>
      </c>
      <c r="R14" s="386"/>
      <c r="S14" s="207">
        <f t="shared" si="12"/>
        <v>1981</v>
      </c>
      <c r="T14" s="207">
        <f t="shared" si="13"/>
        <v>7</v>
      </c>
      <c r="U14" s="384" t="str">
        <f t="shared" ca="1" si="9"/>
        <v/>
      </c>
      <c r="V14" s="384" t="str">
        <f t="shared" ca="1" si="10"/>
        <v/>
      </c>
      <c r="W14" s="385" t="str">
        <f t="shared" ca="1" si="11"/>
        <v>|||||</v>
      </c>
    </row>
    <row r="15" spans="1:23">
      <c r="A15" s="207">
        <f>+'Anexo Escurrimiento'!A25</f>
        <v>1981</v>
      </c>
      <c r="B15" s="207">
        <f>+'Anexo Escurrimiento'!B25</f>
        <v>8</v>
      </c>
      <c r="C15" s="208">
        <f>+'Anexo Escurrimiento'!O25</f>
        <v>0.61304020420748184</v>
      </c>
      <c r="D15" s="207">
        <f>+'Anexo Escurrimiento'!D25</f>
        <v>48.3</v>
      </c>
      <c r="E15" s="207">
        <f>0.7*VLOOKUP('Info Gral'!$C$10,'Evap Tanque'!$A$6:$M$19,9,FALSE)</f>
        <v>72.449999999999989</v>
      </c>
      <c r="F15" s="194">
        <f>+'Ht - Hv - Volumen'!C14</f>
        <v>0</v>
      </c>
      <c r="G15" s="211">
        <f t="shared" si="1"/>
        <v>-2.4149999999999991E-4</v>
      </c>
      <c r="H15" s="212">
        <f>+F15/100000*'Anexo Bal Hídrico'!$G$4</f>
        <v>0</v>
      </c>
      <c r="I15" s="212">
        <v>0</v>
      </c>
      <c r="J15" s="212">
        <f t="shared" ca="1" si="2"/>
        <v>8.2498879672753702</v>
      </c>
      <c r="K15" s="212">
        <f t="shared" ca="1" si="3"/>
        <v>310.51087701077148</v>
      </c>
      <c r="L15" s="212">
        <f t="shared" ca="1" si="4"/>
        <v>302.97439818687315</v>
      </c>
      <c r="M15" s="212">
        <f t="shared" ca="1" si="5"/>
        <v>8.1060977919633856</v>
      </c>
      <c r="N15" s="212">
        <f t="shared" ca="1" si="6"/>
        <v>7.6368477630678893</v>
      </c>
      <c r="O15" s="210">
        <f t="shared" ca="1" si="0"/>
        <v>295.43791936297487</v>
      </c>
      <c r="P15" s="212">
        <f t="shared" ca="1" si="7"/>
        <v>0.46925002889549638</v>
      </c>
      <c r="Q15" s="212">
        <f t="shared" ca="1" si="8"/>
        <v>0</v>
      </c>
      <c r="R15" s="386"/>
      <c r="S15" s="207">
        <f t="shared" si="12"/>
        <v>1981</v>
      </c>
      <c r="T15" s="207">
        <f t="shared" si="13"/>
        <v>8</v>
      </c>
      <c r="U15" s="384" t="str">
        <f t="shared" ca="1" si="9"/>
        <v/>
      </c>
      <c r="V15" s="384" t="str">
        <f t="shared" ca="1" si="10"/>
        <v/>
      </c>
      <c r="W15" s="385" t="str">
        <f t="shared" ca="1" si="11"/>
        <v>||</v>
      </c>
    </row>
    <row r="16" spans="1:23">
      <c r="A16" s="207">
        <f>+'Anexo Escurrimiento'!A26</f>
        <v>1981</v>
      </c>
      <c r="B16" s="207">
        <f>+'Anexo Escurrimiento'!B26</f>
        <v>9</v>
      </c>
      <c r="C16" s="208">
        <f>+'Anexo Escurrimiento'!O26</f>
        <v>0.97204477325863348</v>
      </c>
      <c r="D16" s="207">
        <f>+'Anexo Escurrimiento'!D26</f>
        <v>95.2</v>
      </c>
      <c r="E16" s="207">
        <f>0.7*VLOOKUP('Info Gral'!$C$10,'Evap Tanque'!$A$6:$M$19,10,FALSE)</f>
        <v>85.89</v>
      </c>
      <c r="F16" s="194">
        <f>+'Ht - Hv - Volumen'!C15</f>
        <v>0</v>
      </c>
      <c r="G16" s="211">
        <f t="shared" si="1"/>
        <v>9.3100000000000027E-5</v>
      </c>
      <c r="H16" s="212">
        <f>+F16/100000*'Anexo Bal Hídrico'!$G$4</f>
        <v>0</v>
      </c>
      <c r="I16" s="212">
        <v>0</v>
      </c>
      <c r="J16" s="212">
        <f t="shared" ca="1" si="2"/>
        <v>8.6088925363265218</v>
      </c>
      <c r="K16" s="212">
        <f t="shared" ca="1" si="3"/>
        <v>319.15265114855845</v>
      </c>
      <c r="L16" s="212">
        <f t="shared" ca="1" si="4"/>
        <v>307.29528525576666</v>
      </c>
      <c r="M16" s="212">
        <f t="shared" ca="1" si="5"/>
        <v>8.52392576697323</v>
      </c>
      <c r="N16" s="212">
        <f t="shared" ca="1" si="6"/>
        <v>7.6368477630678893</v>
      </c>
      <c r="O16" s="210">
        <f t="shared" ca="1" si="0"/>
        <v>295.43791936297487</v>
      </c>
      <c r="P16" s="212">
        <f t="shared" ca="1" si="7"/>
        <v>0.88707800390534075</v>
      </c>
      <c r="Q16" s="212">
        <f t="shared" ca="1" si="8"/>
        <v>0</v>
      </c>
      <c r="R16" s="386"/>
      <c r="S16" s="207">
        <f t="shared" si="12"/>
        <v>1981</v>
      </c>
      <c r="T16" s="207">
        <f t="shared" si="13"/>
        <v>9</v>
      </c>
      <c r="U16" s="384" t="str">
        <f t="shared" ca="1" si="9"/>
        <v/>
      </c>
      <c r="V16" s="384" t="str">
        <f t="shared" ca="1" si="10"/>
        <v/>
      </c>
      <c r="W16" s="385" t="str">
        <f t="shared" ca="1" si="11"/>
        <v>||||</v>
      </c>
    </row>
    <row r="17" spans="1:23">
      <c r="A17" s="207">
        <f>+'Anexo Escurrimiento'!A27</f>
        <v>1981</v>
      </c>
      <c r="B17" s="207">
        <f>+'Anexo Escurrimiento'!B27</f>
        <v>10</v>
      </c>
      <c r="C17" s="208">
        <f>+'Anexo Escurrimiento'!O27</f>
        <v>0.5576900814448178</v>
      </c>
      <c r="D17" s="207">
        <f>+'Anexo Escurrimiento'!D27</f>
        <v>55.5</v>
      </c>
      <c r="E17" s="207">
        <f>0.7*VLOOKUP('Info Gral'!$C$10,'Evap Tanque'!$A$6:$M$19,11,FALSE)</f>
        <v>114.86999999999999</v>
      </c>
      <c r="F17" s="194">
        <f>+'Ht - Hv - Volumen'!C16</f>
        <v>59</v>
      </c>
      <c r="G17" s="211">
        <f t="shared" si="1"/>
        <v>-5.9369999999999996E-4</v>
      </c>
      <c r="H17" s="212">
        <f>+F17/100000*'Anexo Bal Hídrico'!$G$4</f>
        <v>0.53100000000000003</v>
      </c>
      <c r="I17" s="212">
        <v>0</v>
      </c>
      <c r="J17" s="212">
        <f t="shared" ca="1" si="2"/>
        <v>7.6635378445127076</v>
      </c>
      <c r="K17" s="212">
        <f t="shared" ca="1" si="3"/>
        <v>296.10290868147877</v>
      </c>
      <c r="L17" s="212">
        <f t="shared" ca="1" si="4"/>
        <v>295.77041402222682</v>
      </c>
      <c r="M17" s="212">
        <f t="shared" ca="1" si="5"/>
        <v>7.425220992945345</v>
      </c>
      <c r="N17" s="212">
        <f t="shared" ca="1" si="6"/>
        <v>7.425220992945345</v>
      </c>
      <c r="O17" s="210">
        <f t="shared" ca="1" si="0"/>
        <v>290.1355951637272</v>
      </c>
      <c r="P17" s="212">
        <f t="shared" ca="1" si="7"/>
        <v>0</v>
      </c>
      <c r="Q17" s="212">
        <f t="shared" ca="1" si="8"/>
        <v>0.53100000000000003</v>
      </c>
      <c r="R17" s="386"/>
      <c r="S17" s="207">
        <f t="shared" si="12"/>
        <v>1981</v>
      </c>
      <c r="T17" s="207">
        <f t="shared" si="13"/>
        <v>10</v>
      </c>
      <c r="U17" s="384" t="str">
        <f t="shared" ca="1" si="9"/>
        <v/>
      </c>
      <c r="V17" s="384" t="str">
        <f t="shared" ca="1" si="10"/>
        <v>||</v>
      </c>
      <c r="W17" s="385" t="str">
        <f t="shared" ca="1" si="11"/>
        <v/>
      </c>
    </row>
    <row r="18" spans="1:23">
      <c r="A18" s="207">
        <f>+'Anexo Escurrimiento'!A28</f>
        <v>1981</v>
      </c>
      <c r="B18" s="207">
        <f>+'Anexo Escurrimiento'!B28</f>
        <v>11</v>
      </c>
      <c r="C18" s="208">
        <f>+'Anexo Escurrimiento'!O28</f>
        <v>1.0336739415844816</v>
      </c>
      <c r="D18" s="207">
        <f>+'Anexo Escurrimiento'!D28</f>
        <v>121.3</v>
      </c>
      <c r="E18" s="207">
        <f>0.7*VLOOKUP('Info Gral'!$C$10,'Evap Tanque'!$A$6:$M$19,12,FALSE)</f>
        <v>144.06</v>
      </c>
      <c r="F18" s="194">
        <f>+'Ht - Hv - Volumen'!C17</f>
        <v>212</v>
      </c>
      <c r="G18" s="211">
        <f t="shared" si="1"/>
        <v>-2.2760000000000006E-4</v>
      </c>
      <c r="H18" s="212">
        <f>+F18/100000*'Anexo Bal Hídrico'!$G$4</f>
        <v>1.9079999999999999</v>
      </c>
      <c r="I18" s="212">
        <v>0</v>
      </c>
      <c r="J18" s="212">
        <f t="shared" ca="1" si="2"/>
        <v>6.5508949345298273</v>
      </c>
      <c r="K18" s="212">
        <f t="shared" ca="1" si="3"/>
        <v>267.63189233764854</v>
      </c>
      <c r="L18" s="212">
        <f t="shared" ca="1" si="4"/>
        <v>278.88374375068787</v>
      </c>
      <c r="M18" s="212">
        <f t="shared" ca="1" si="5"/>
        <v>6.3778107820390115</v>
      </c>
      <c r="N18" s="212">
        <f t="shared" ca="1" si="6"/>
        <v>6.3778107820390115</v>
      </c>
      <c r="O18" s="210">
        <f t="shared" ca="1" si="0"/>
        <v>263.05325208745995</v>
      </c>
      <c r="P18" s="212">
        <f t="shared" ca="1" si="7"/>
        <v>0</v>
      </c>
      <c r="Q18" s="212">
        <f t="shared" ca="1" si="8"/>
        <v>1.9079999999999999</v>
      </c>
      <c r="R18" s="386"/>
      <c r="S18" s="207">
        <f t="shared" si="12"/>
        <v>1981</v>
      </c>
      <c r="T18" s="207">
        <f t="shared" si="13"/>
        <v>11</v>
      </c>
      <c r="U18" s="384" t="str">
        <f t="shared" ca="1" si="9"/>
        <v/>
      </c>
      <c r="V18" s="384" t="str">
        <f t="shared" ca="1" si="10"/>
        <v>|||||||||</v>
      </c>
      <c r="W18" s="385" t="str">
        <f t="shared" ca="1" si="11"/>
        <v/>
      </c>
    </row>
    <row r="19" spans="1:23">
      <c r="A19" s="207">
        <f>+'Anexo Escurrimiento'!A29</f>
        <v>1981</v>
      </c>
      <c r="B19" s="207">
        <f>+'Anexo Escurrimiento'!B29</f>
        <v>12</v>
      </c>
      <c r="C19" s="208">
        <f>+'Anexo Escurrimiento'!O29</f>
        <v>1.3111676374592658</v>
      </c>
      <c r="D19" s="207">
        <f>+'Anexo Escurrimiento'!D29</f>
        <v>135.4</v>
      </c>
      <c r="E19" s="207">
        <f>0.7*VLOOKUP('Info Gral'!$C$10,'Evap Tanque'!$A$6:$M$19,13,FALSE)</f>
        <v>179.62</v>
      </c>
      <c r="F19" s="194">
        <f>+'Ht - Hv - Volumen'!C18</f>
        <v>388</v>
      </c>
      <c r="G19" s="211">
        <f t="shared" si="1"/>
        <v>-4.4220000000000001E-4</v>
      </c>
      <c r="H19" s="212">
        <f>+F19/100000*'Anexo Bal Hídrico'!$G$4</f>
        <v>3.492</v>
      </c>
      <c r="I19" s="212">
        <v>0</v>
      </c>
      <c r="J19" s="212">
        <f t="shared" ca="1" si="2"/>
        <v>4.1969784194982775</v>
      </c>
      <c r="K19" s="212">
        <f t="shared" ca="1" si="3"/>
        <v>200.87529502562219</v>
      </c>
      <c r="L19" s="212">
        <f t="shared" ca="1" si="4"/>
        <v>231.96427355654106</v>
      </c>
      <c r="M19" s="212">
        <f t="shared" ca="1" si="5"/>
        <v>3.9787596928136715</v>
      </c>
      <c r="N19" s="212">
        <f t="shared" ca="1" si="6"/>
        <v>3.9787596928136715</v>
      </c>
      <c r="O19" s="210">
        <f t="shared" ca="1" si="0"/>
        <v>194.08081290924198</v>
      </c>
      <c r="P19" s="212">
        <f t="shared" ca="1" si="7"/>
        <v>0</v>
      </c>
      <c r="Q19" s="212">
        <f t="shared" ca="1" si="8"/>
        <v>3.492</v>
      </c>
      <c r="R19" s="386"/>
      <c r="S19" s="207">
        <f t="shared" si="12"/>
        <v>1981</v>
      </c>
      <c r="T19" s="207">
        <f t="shared" si="13"/>
        <v>12</v>
      </c>
      <c r="U19" s="384" t="str">
        <f t="shared" ca="1" si="9"/>
        <v/>
      </c>
      <c r="V19" s="384" t="str">
        <f t="shared" ca="1" si="10"/>
        <v>|||||||||||||||||</v>
      </c>
      <c r="W19" s="385" t="str">
        <f t="shared" ca="1" si="11"/>
        <v/>
      </c>
    </row>
    <row r="20" spans="1:23">
      <c r="A20" s="207">
        <f>+'Anexo Escurrimiento'!A30</f>
        <v>1982</v>
      </c>
      <c r="B20" s="207">
        <f>+'Anexo Escurrimiento'!B30</f>
        <v>1</v>
      </c>
      <c r="C20" s="208">
        <f>+'Anexo Escurrimiento'!O30</f>
        <v>0.65272604576960713</v>
      </c>
      <c r="D20" s="207">
        <f>+'Anexo Escurrimiento'!D30</f>
        <v>70.400000000000006</v>
      </c>
      <c r="E20" s="207">
        <f>+E8</f>
        <v>176.89</v>
      </c>
      <c r="F20" s="213">
        <f>+F8</f>
        <v>318</v>
      </c>
      <c r="G20" s="211">
        <f t="shared" si="1"/>
        <v>-1.0648999999999997E-3</v>
      </c>
      <c r="H20" s="212">
        <f>+F20/100000*'Anexo Bal Hídrico'!$G$4</f>
        <v>2.8620000000000001</v>
      </c>
      <c r="I20" s="212">
        <v>0</v>
      </c>
      <c r="J20" s="212">
        <f t="shared" ca="1" si="2"/>
        <v>1.7694857385832785</v>
      </c>
      <c r="K20" s="212">
        <f t="shared" ca="1" si="3"/>
        <v>115.13408712447733</v>
      </c>
      <c r="L20" s="212">
        <f t="shared" ca="1" si="4"/>
        <v>154.60745001685967</v>
      </c>
      <c r="M20" s="212">
        <f t="shared" ca="1" si="5"/>
        <v>1.56647304471963</v>
      </c>
      <c r="N20" s="212">
        <f t="shared" ca="1" si="6"/>
        <v>1.56647304471963</v>
      </c>
      <c r="O20" s="210">
        <f t="shared" ca="1" si="0"/>
        <v>106.4381982138694</v>
      </c>
      <c r="P20" s="212">
        <f t="shared" ca="1" si="7"/>
        <v>0</v>
      </c>
      <c r="Q20" s="212">
        <f t="shared" ca="1" si="8"/>
        <v>2.8620000000000001</v>
      </c>
      <c r="R20" s="386"/>
      <c r="S20" s="207">
        <f t="shared" si="12"/>
        <v>1982</v>
      </c>
      <c r="T20" s="207">
        <f t="shared" si="13"/>
        <v>1</v>
      </c>
      <c r="U20" s="384" t="str">
        <f t="shared" ca="1" si="9"/>
        <v/>
      </c>
      <c r="V20" s="384" t="str">
        <f t="shared" ca="1" si="10"/>
        <v>||||||||||||||</v>
      </c>
      <c r="W20" s="385" t="str">
        <f t="shared" ca="1" si="11"/>
        <v/>
      </c>
    </row>
    <row r="21" spans="1:23">
      <c r="A21" s="207">
        <f>+'Anexo Escurrimiento'!A31</f>
        <v>1982</v>
      </c>
      <c r="B21" s="207">
        <f>+'Anexo Escurrimiento'!B31</f>
        <v>2</v>
      </c>
      <c r="C21" s="208">
        <f>+'Anexo Escurrimiento'!O31</f>
        <v>5.3329586211753686</v>
      </c>
      <c r="D21" s="207">
        <f>+'Anexo Escurrimiento'!D31</f>
        <v>360.8</v>
      </c>
      <c r="E21" s="214">
        <f t="shared" ref="E21:F32" si="14">+E9</f>
        <v>131.73999999999998</v>
      </c>
      <c r="F21" s="213">
        <f>+F9</f>
        <v>153</v>
      </c>
      <c r="G21" s="211">
        <f t="shared" si="1"/>
        <v>2.2906000000000003E-3</v>
      </c>
      <c r="H21" s="212">
        <f>+F21/100000*'Anexo Bal Hídrico'!$G$4</f>
        <v>1.377</v>
      </c>
      <c r="I21" s="212">
        <v>0</v>
      </c>
      <c r="J21" s="212">
        <f t="shared" ca="1" si="2"/>
        <v>5.5224316658949988</v>
      </c>
      <c r="K21" s="212">
        <f t="shared" ca="1" si="3"/>
        <v>239.73950435740696</v>
      </c>
      <c r="L21" s="212">
        <f t="shared" ca="1" si="4"/>
        <v>173.08885128563819</v>
      </c>
      <c r="M21" s="212">
        <f t="shared" ca="1" si="5"/>
        <v>5.5679296419985187</v>
      </c>
      <c r="N21" s="212">
        <f t="shared" ca="1" si="6"/>
        <v>5.5679296419985187</v>
      </c>
      <c r="O21" s="210">
        <f t="shared" ca="1" si="0"/>
        <v>241.01051527959811</v>
      </c>
      <c r="P21" s="212">
        <f t="shared" ca="1" si="7"/>
        <v>0</v>
      </c>
      <c r="Q21" s="212">
        <f t="shared" ca="1" si="8"/>
        <v>1.377</v>
      </c>
      <c r="R21" s="386"/>
      <c r="S21" s="207">
        <f t="shared" si="12"/>
        <v>1982</v>
      </c>
      <c r="T21" s="207">
        <f t="shared" si="13"/>
        <v>2</v>
      </c>
      <c r="U21" s="384" t="str">
        <f t="shared" ca="1" si="9"/>
        <v/>
      </c>
      <c r="V21" s="384" t="str">
        <f t="shared" ca="1" si="10"/>
        <v>||||||</v>
      </c>
      <c r="W21" s="385" t="str">
        <f t="shared" ca="1" si="11"/>
        <v/>
      </c>
    </row>
    <row r="22" spans="1:23">
      <c r="A22" s="207">
        <f>+'Anexo Escurrimiento'!A32</f>
        <v>1982</v>
      </c>
      <c r="B22" s="207">
        <f>+'Anexo Escurrimiento'!B32</f>
        <v>3</v>
      </c>
      <c r="C22" s="208">
        <f>+'Anexo Escurrimiento'!O32</f>
        <v>1.1841798878829288</v>
      </c>
      <c r="D22" s="207">
        <f>+'Anexo Escurrimiento'!D32</f>
        <v>29.1</v>
      </c>
      <c r="E22" s="214">
        <f t="shared" si="14"/>
        <v>118.64999999999999</v>
      </c>
      <c r="F22" s="213">
        <f t="shared" si="14"/>
        <v>47</v>
      </c>
      <c r="G22" s="211">
        <f t="shared" si="1"/>
        <v>-8.9549999999999981E-4</v>
      </c>
      <c r="H22" s="212">
        <f>+F22/100000*'Anexo Bal Hídrico'!$G$4</f>
        <v>0.42299999999999999</v>
      </c>
      <c r="I22" s="212">
        <v>0</v>
      </c>
      <c r="J22" s="212">
        <f t="shared" ca="1" si="2"/>
        <v>6.3291095298814479</v>
      </c>
      <c r="K22" s="212">
        <f t="shared" ca="1" si="3"/>
        <v>261.75701170046557</v>
      </c>
      <c r="L22" s="212">
        <f t="shared" ca="1" si="4"/>
        <v>251.38376349003184</v>
      </c>
      <c r="M22" s="212">
        <f t="shared" ca="1" si="5"/>
        <v>5.9908076902596923</v>
      </c>
      <c r="N22" s="212">
        <f t="shared" ca="1" si="6"/>
        <v>5.9908076902596923</v>
      </c>
      <c r="O22" s="210">
        <f t="shared" ca="1" si="0"/>
        <v>252.65260492205812</v>
      </c>
      <c r="P22" s="212">
        <f t="shared" ca="1" si="7"/>
        <v>0</v>
      </c>
      <c r="Q22" s="212">
        <f t="shared" ca="1" si="8"/>
        <v>0.42299999999999999</v>
      </c>
      <c r="R22" s="386"/>
      <c r="S22" s="207">
        <f t="shared" si="12"/>
        <v>1982</v>
      </c>
      <c r="T22" s="207">
        <f t="shared" si="13"/>
        <v>3</v>
      </c>
      <c r="U22" s="384" t="str">
        <f t="shared" ca="1" si="9"/>
        <v/>
      </c>
      <c r="V22" s="384" t="str">
        <f t="shared" ca="1" si="10"/>
        <v>||</v>
      </c>
      <c r="W22" s="385" t="str">
        <f t="shared" ca="1" si="11"/>
        <v/>
      </c>
    </row>
    <row r="23" spans="1:23">
      <c r="A23" s="207">
        <f>+'Anexo Escurrimiento'!A33</f>
        <v>1982</v>
      </c>
      <c r="B23" s="207">
        <f>+'Anexo Escurrimiento'!B33</f>
        <v>4</v>
      </c>
      <c r="C23" s="208">
        <f>+'Anexo Escurrimiento'!O33</f>
        <v>0.17531614809473417</v>
      </c>
      <c r="D23" s="207">
        <f>+'Anexo Escurrimiento'!D33</f>
        <v>21.4</v>
      </c>
      <c r="E23" s="214">
        <f t="shared" si="14"/>
        <v>73.149999999999991</v>
      </c>
      <c r="F23" s="213">
        <f t="shared" si="14"/>
        <v>0</v>
      </c>
      <c r="G23" s="211">
        <f t="shared" si="1"/>
        <v>-5.1749999999999995E-4</v>
      </c>
      <c r="H23" s="212">
        <f>+F23/100000*'Anexo Bal Hídrico'!$G$4</f>
        <v>0</v>
      </c>
      <c r="I23" s="212">
        <v>0</v>
      </c>
      <c r="J23" s="212">
        <f t="shared" ca="1" si="2"/>
        <v>6.1661238383544266</v>
      </c>
      <c r="K23" s="212">
        <f t="shared" ca="1" si="3"/>
        <v>257.39291394366484</v>
      </c>
      <c r="L23" s="212">
        <f t="shared" ca="1" si="4"/>
        <v>255.02275943286148</v>
      </c>
      <c r="M23" s="212">
        <f t="shared" ca="1" si="5"/>
        <v>6.017149709450484</v>
      </c>
      <c r="N23" s="212">
        <f t="shared" ca="1" si="6"/>
        <v>6.017149709450484</v>
      </c>
      <c r="O23" s="210">
        <f t="shared" ca="1" si="0"/>
        <v>253.36797484167377</v>
      </c>
      <c r="P23" s="212">
        <f t="shared" ca="1" si="7"/>
        <v>0</v>
      </c>
      <c r="Q23" s="212">
        <f t="shared" ca="1" si="8"/>
        <v>0</v>
      </c>
      <c r="R23" s="386"/>
      <c r="S23" s="207">
        <f t="shared" si="12"/>
        <v>1982</v>
      </c>
      <c r="T23" s="207">
        <f t="shared" si="13"/>
        <v>4</v>
      </c>
      <c r="U23" s="384" t="str">
        <f t="shared" ca="1" si="9"/>
        <v/>
      </c>
      <c r="V23" s="384" t="str">
        <f t="shared" ca="1" si="10"/>
        <v/>
      </c>
      <c r="W23" s="385" t="str">
        <f t="shared" ca="1" si="11"/>
        <v/>
      </c>
    </row>
    <row r="24" spans="1:23">
      <c r="A24" s="207">
        <f>+'Anexo Escurrimiento'!A34</f>
        <v>1982</v>
      </c>
      <c r="B24" s="207">
        <f>+'Anexo Escurrimiento'!B34</f>
        <v>5</v>
      </c>
      <c r="C24" s="208">
        <f>+'Anexo Escurrimiento'!O34</f>
        <v>2.6169070571409283</v>
      </c>
      <c r="D24" s="207">
        <f>+'Anexo Escurrimiento'!D34</f>
        <v>178.5</v>
      </c>
      <c r="E24" s="214">
        <f t="shared" si="14"/>
        <v>51.24</v>
      </c>
      <c r="F24" s="213">
        <f t="shared" si="14"/>
        <v>0</v>
      </c>
      <c r="G24" s="211">
        <f t="shared" si="1"/>
        <v>1.2725999999999998E-3</v>
      </c>
      <c r="H24" s="212">
        <f>+F24/100000*'Anexo Bal Hídrico'!$G$4</f>
        <v>0</v>
      </c>
      <c r="I24" s="212">
        <v>0</v>
      </c>
      <c r="J24" s="212">
        <f t="shared" ca="1" si="2"/>
        <v>8.6340567665914119</v>
      </c>
      <c r="K24" s="212">
        <f t="shared" ca="1" si="3"/>
        <v>319.75353639067976</v>
      </c>
      <c r="L24" s="212">
        <f t="shared" ca="1" si="4"/>
        <v>286.56075561617678</v>
      </c>
      <c r="M24" s="212">
        <f t="shared" ca="1" si="5"/>
        <v>8.7135998154921293</v>
      </c>
      <c r="N24" s="212">
        <f t="shared" ca="1" si="6"/>
        <v>7.6368477630678893</v>
      </c>
      <c r="O24" s="210">
        <f t="shared" ca="1" si="0"/>
        <v>295.43791936297487</v>
      </c>
      <c r="P24" s="212">
        <f t="shared" ca="1" si="7"/>
        <v>1.07675205242424</v>
      </c>
      <c r="Q24" s="212">
        <f t="shared" ca="1" si="8"/>
        <v>0</v>
      </c>
      <c r="R24" s="386"/>
      <c r="S24" s="207">
        <f t="shared" si="12"/>
        <v>1982</v>
      </c>
      <c r="T24" s="207">
        <f t="shared" si="13"/>
        <v>5</v>
      </c>
      <c r="U24" s="384" t="str">
        <f t="shared" ca="1" si="9"/>
        <v/>
      </c>
      <c r="V24" s="384" t="str">
        <f t="shared" ca="1" si="10"/>
        <v/>
      </c>
      <c r="W24" s="385" t="str">
        <f t="shared" ca="1" si="11"/>
        <v>|||||</v>
      </c>
    </row>
    <row r="25" spans="1:23">
      <c r="A25" s="207">
        <f>+'Anexo Escurrimiento'!A35</f>
        <v>1982</v>
      </c>
      <c r="B25" s="207">
        <f>+'Anexo Escurrimiento'!B35</f>
        <v>6</v>
      </c>
      <c r="C25" s="208">
        <f>+'Anexo Escurrimiento'!O35</f>
        <v>2.538916221622558</v>
      </c>
      <c r="D25" s="207">
        <f>+'Anexo Escurrimiento'!D35</f>
        <v>127.1</v>
      </c>
      <c r="E25" s="214">
        <f t="shared" si="14"/>
        <v>41.019999999999996</v>
      </c>
      <c r="F25" s="213">
        <f t="shared" si="14"/>
        <v>0</v>
      </c>
      <c r="G25" s="211">
        <f t="shared" si="1"/>
        <v>8.608E-4</v>
      </c>
      <c r="H25" s="212">
        <f>+F25/100000*'Anexo Bal Hídrico'!$G$4</f>
        <v>0</v>
      </c>
      <c r="I25" s="212">
        <v>0</v>
      </c>
      <c r="J25" s="212">
        <f t="shared" ca="1" si="2"/>
        <v>10.175763984690448</v>
      </c>
      <c r="K25" s="212">
        <f t="shared" ca="1" si="3"/>
        <v>355.46552422032596</v>
      </c>
      <c r="L25" s="212">
        <f t="shared" ca="1" si="4"/>
        <v>325.45172179165041</v>
      </c>
      <c r="M25" s="212">
        <f t="shared" ca="1" si="5"/>
        <v>10.141732349313715</v>
      </c>
      <c r="N25" s="212">
        <f t="shared" ca="1" si="6"/>
        <v>7.6368477630678893</v>
      </c>
      <c r="O25" s="210">
        <f t="shared" ca="1" si="0"/>
        <v>295.43791936297487</v>
      </c>
      <c r="P25" s="212">
        <f t="shared" ca="1" si="7"/>
        <v>2.5048845862458258</v>
      </c>
      <c r="Q25" s="212">
        <f t="shared" ca="1" si="8"/>
        <v>0</v>
      </c>
      <c r="R25" s="386"/>
      <c r="S25" s="207">
        <f t="shared" si="12"/>
        <v>1982</v>
      </c>
      <c r="T25" s="207">
        <f t="shared" si="13"/>
        <v>6</v>
      </c>
      <c r="U25" s="384" t="str">
        <f t="shared" ca="1" si="9"/>
        <v/>
      </c>
      <c r="V25" s="384" t="str">
        <f t="shared" ca="1" si="10"/>
        <v/>
      </c>
      <c r="W25" s="385" t="str">
        <f t="shared" ca="1" si="11"/>
        <v>||||||||||||</v>
      </c>
    </row>
    <row r="26" spans="1:23">
      <c r="A26" s="207">
        <f>+'Anexo Escurrimiento'!A36</f>
        <v>1982</v>
      </c>
      <c r="B26" s="207">
        <f>+'Anexo Escurrimiento'!B36</f>
        <v>7</v>
      </c>
      <c r="C26" s="208">
        <f>+'Anexo Escurrimiento'!O36</f>
        <v>1.4227751663943491</v>
      </c>
      <c r="D26" s="207">
        <f>+'Anexo Escurrimiento'!D36</f>
        <v>71.3</v>
      </c>
      <c r="E26" s="214">
        <f t="shared" si="14"/>
        <v>50.819999999999993</v>
      </c>
      <c r="F26" s="213">
        <f t="shared" si="14"/>
        <v>0</v>
      </c>
      <c r="G26" s="211">
        <f t="shared" si="1"/>
        <v>2.0480000000000004E-4</v>
      </c>
      <c r="H26" s="212">
        <f>+F26/100000*'Anexo Bal Hídrico'!$G$4</f>
        <v>0</v>
      </c>
      <c r="I26" s="212">
        <v>0</v>
      </c>
      <c r="J26" s="212">
        <f t="shared" ca="1" si="2"/>
        <v>9.0596229294622379</v>
      </c>
      <c r="K26" s="212">
        <f t="shared" ca="1" si="3"/>
        <v>329.82309562509903</v>
      </c>
      <c r="L26" s="212">
        <f t="shared" ca="1" si="4"/>
        <v>312.63050749403692</v>
      </c>
      <c r="M26" s="212">
        <f t="shared" ca="1" si="5"/>
        <v>8.9545230709636421</v>
      </c>
      <c r="N26" s="212">
        <f t="shared" ca="1" si="6"/>
        <v>7.6368477630678893</v>
      </c>
      <c r="O26" s="210">
        <f t="shared" ca="1" si="0"/>
        <v>295.43791936297487</v>
      </c>
      <c r="P26" s="212">
        <f t="shared" ca="1" si="7"/>
        <v>1.3176753078957528</v>
      </c>
      <c r="Q26" s="212">
        <f t="shared" ca="1" si="8"/>
        <v>0</v>
      </c>
      <c r="R26" s="386"/>
      <c r="S26" s="207">
        <f t="shared" si="12"/>
        <v>1982</v>
      </c>
      <c r="T26" s="207">
        <f t="shared" si="13"/>
        <v>7</v>
      </c>
      <c r="U26" s="384" t="str">
        <f t="shared" ca="1" si="9"/>
        <v/>
      </c>
      <c r="V26" s="384" t="str">
        <f t="shared" ca="1" si="10"/>
        <v/>
      </c>
      <c r="W26" s="385" t="str">
        <f t="shared" ca="1" si="11"/>
        <v>||||||</v>
      </c>
    </row>
    <row r="27" spans="1:23">
      <c r="A27" s="207">
        <f>+'Anexo Escurrimiento'!A37</f>
        <v>1982</v>
      </c>
      <c r="B27" s="207">
        <f>+'Anexo Escurrimiento'!B37</f>
        <v>8</v>
      </c>
      <c r="C27" s="208">
        <f>+'Anexo Escurrimiento'!O37</f>
        <v>2.6356080230327152</v>
      </c>
      <c r="D27" s="207">
        <f>+'Anexo Escurrimiento'!D37</f>
        <v>167</v>
      </c>
      <c r="E27" s="214">
        <f t="shared" si="14"/>
        <v>72.449999999999989</v>
      </c>
      <c r="F27" s="213">
        <f t="shared" si="14"/>
        <v>0</v>
      </c>
      <c r="G27" s="211">
        <f t="shared" si="1"/>
        <v>9.4550000000000016E-4</v>
      </c>
      <c r="H27" s="212">
        <f>+F27/100000*'Anexo Bal Hídrico'!$G$4</f>
        <v>0</v>
      </c>
      <c r="I27" s="212">
        <v>0</v>
      </c>
      <c r="J27" s="212">
        <f t="shared" ca="1" si="2"/>
        <v>10.272455786100604</v>
      </c>
      <c r="K27" s="212">
        <f t="shared" ca="1" si="3"/>
        <v>357.6385813338502</v>
      </c>
      <c r="L27" s="212">
        <f t="shared" ca="1" si="4"/>
        <v>326.53825034841253</v>
      </c>
      <c r="M27" s="212">
        <f t="shared" ca="1" si="5"/>
        <v>10.253963164753568</v>
      </c>
      <c r="N27" s="212">
        <f t="shared" ca="1" si="6"/>
        <v>7.6368477630678893</v>
      </c>
      <c r="O27" s="210">
        <f t="shared" ca="1" si="0"/>
        <v>295.43791936297487</v>
      </c>
      <c r="P27" s="212">
        <f t="shared" ca="1" si="7"/>
        <v>2.6171154016856786</v>
      </c>
      <c r="Q27" s="212">
        <f t="shared" ca="1" si="8"/>
        <v>0</v>
      </c>
      <c r="R27" s="386"/>
      <c r="S27" s="207">
        <f t="shared" si="12"/>
        <v>1982</v>
      </c>
      <c r="T27" s="207">
        <f t="shared" si="13"/>
        <v>8</v>
      </c>
      <c r="U27" s="384" t="str">
        <f t="shared" ca="1" si="9"/>
        <v/>
      </c>
      <c r="V27" s="384" t="str">
        <f t="shared" ca="1" si="10"/>
        <v/>
      </c>
      <c r="W27" s="385" t="str">
        <f t="shared" ca="1" si="11"/>
        <v>|||||||||||||</v>
      </c>
    </row>
    <row r="28" spans="1:23">
      <c r="A28" s="207">
        <f>+'Anexo Escurrimiento'!A38</f>
        <v>1982</v>
      </c>
      <c r="B28" s="207">
        <f>+'Anexo Escurrimiento'!B38</f>
        <v>9</v>
      </c>
      <c r="C28" s="208">
        <f>+'Anexo Escurrimiento'!O38</f>
        <v>3.7204742959877279</v>
      </c>
      <c r="D28" s="207">
        <f>+'Anexo Escurrimiento'!D38</f>
        <v>219.2</v>
      </c>
      <c r="E28" s="214">
        <f t="shared" si="14"/>
        <v>85.89</v>
      </c>
      <c r="F28" s="213">
        <f t="shared" si="14"/>
        <v>0</v>
      </c>
      <c r="G28" s="211">
        <f t="shared" si="1"/>
        <v>1.3331E-3</v>
      </c>
      <c r="H28" s="212">
        <f>+F28/100000*'Anexo Bal Hídrico'!$G$4</f>
        <v>0</v>
      </c>
      <c r="I28" s="212">
        <v>0</v>
      </c>
      <c r="J28" s="212">
        <f t="shared" ca="1" si="2"/>
        <v>11.357322059055617</v>
      </c>
      <c r="K28" s="212">
        <f t="shared" ca="1" si="3"/>
        <v>381.54256637318491</v>
      </c>
      <c r="L28" s="212">
        <f t="shared" ca="1" si="4"/>
        <v>338.49024286807992</v>
      </c>
      <c r="M28" s="212">
        <f t="shared" ca="1" si="5"/>
        <v>11.329725284700114</v>
      </c>
      <c r="N28" s="212">
        <f t="shared" ca="1" si="6"/>
        <v>7.6368477630678893</v>
      </c>
      <c r="O28" s="210">
        <f t="shared" ca="1" si="0"/>
        <v>295.43791936297487</v>
      </c>
      <c r="P28" s="212">
        <f t="shared" ca="1" si="7"/>
        <v>3.6928775216322247</v>
      </c>
      <c r="Q28" s="212">
        <f t="shared" ca="1" si="8"/>
        <v>0</v>
      </c>
      <c r="R28" s="386"/>
      <c r="S28" s="207">
        <f t="shared" si="12"/>
        <v>1982</v>
      </c>
      <c r="T28" s="207">
        <f t="shared" si="13"/>
        <v>9</v>
      </c>
      <c r="U28" s="384" t="str">
        <f t="shared" ca="1" si="9"/>
        <v/>
      </c>
      <c r="V28" s="384" t="str">
        <f t="shared" ca="1" si="10"/>
        <v/>
      </c>
      <c r="W28" s="385" t="str">
        <f t="shared" ca="1" si="11"/>
        <v>||||||||||||||||||</v>
      </c>
    </row>
    <row r="29" spans="1:23">
      <c r="A29" s="207">
        <f>+'Anexo Escurrimiento'!A39</f>
        <v>1982</v>
      </c>
      <c r="B29" s="207">
        <f>+'Anexo Escurrimiento'!B39</f>
        <v>10</v>
      </c>
      <c r="C29" s="208">
        <f>+'Anexo Escurrimiento'!O39</f>
        <v>1.8504732619204203</v>
      </c>
      <c r="D29" s="207">
        <f>+'Anexo Escurrimiento'!D39</f>
        <v>117.3</v>
      </c>
      <c r="E29" s="214">
        <f t="shared" si="14"/>
        <v>114.86999999999999</v>
      </c>
      <c r="F29" s="213">
        <f t="shared" si="14"/>
        <v>59</v>
      </c>
      <c r="G29" s="211">
        <f t="shared" si="1"/>
        <v>2.4300000000000069E-5</v>
      </c>
      <c r="H29" s="212">
        <f>+F29/100000*'Anexo Bal Hídrico'!$G$4</f>
        <v>0.53100000000000003</v>
      </c>
      <c r="I29" s="212">
        <v>0</v>
      </c>
      <c r="J29" s="212">
        <f t="shared" ca="1" si="2"/>
        <v>8.9563210249883092</v>
      </c>
      <c r="K29" s="212">
        <f t="shared" ca="1" si="3"/>
        <v>327.39455444871641</v>
      </c>
      <c r="L29" s="212">
        <f t="shared" ca="1" si="4"/>
        <v>311.41623690584561</v>
      </c>
      <c r="M29" s="212">
        <f t="shared" ca="1" si="5"/>
        <v>8.7447753521982978</v>
      </c>
      <c r="N29" s="212">
        <f t="shared" ca="1" si="6"/>
        <v>7.6368477630678893</v>
      </c>
      <c r="O29" s="210">
        <f t="shared" ca="1" si="0"/>
        <v>295.43791936297487</v>
      </c>
      <c r="P29" s="212">
        <f t="shared" ca="1" si="7"/>
        <v>1.1079275891304086</v>
      </c>
      <c r="Q29" s="212">
        <f t="shared" ca="1" si="8"/>
        <v>0.53100000000000003</v>
      </c>
      <c r="R29" s="386"/>
      <c r="S29" s="207">
        <f t="shared" si="12"/>
        <v>1982</v>
      </c>
      <c r="T29" s="207">
        <f t="shared" si="13"/>
        <v>10</v>
      </c>
      <c r="U29" s="384" t="str">
        <f t="shared" ca="1" si="9"/>
        <v/>
      </c>
      <c r="V29" s="384" t="str">
        <f t="shared" ca="1" si="10"/>
        <v>||</v>
      </c>
      <c r="W29" s="385" t="str">
        <f t="shared" ca="1" si="11"/>
        <v>|||||</v>
      </c>
    </row>
    <row r="30" spans="1:23">
      <c r="A30" s="207">
        <f>+'Anexo Escurrimiento'!A40</f>
        <v>1982</v>
      </c>
      <c r="B30" s="207">
        <f>+'Anexo Escurrimiento'!B40</f>
        <v>11</v>
      </c>
      <c r="C30" s="208">
        <f>+'Anexo Escurrimiento'!O40</f>
        <v>4.6537826754236651</v>
      </c>
      <c r="D30" s="207">
        <f>+'Anexo Escurrimiento'!D40</f>
        <v>315.2</v>
      </c>
      <c r="E30" s="214">
        <f t="shared" si="14"/>
        <v>144.06</v>
      </c>
      <c r="F30" s="213">
        <f t="shared" si="14"/>
        <v>212</v>
      </c>
      <c r="G30" s="211">
        <f t="shared" si="1"/>
        <v>1.7113999999999999E-3</v>
      </c>
      <c r="H30" s="212">
        <f>+F30/100000*'Anexo Bal Hídrico'!$G$4</f>
        <v>1.9079999999999999</v>
      </c>
      <c r="I30" s="212">
        <v>0</v>
      </c>
      <c r="J30" s="212">
        <f t="shared" ca="1" si="2"/>
        <v>10.382630438491555</v>
      </c>
      <c r="K30" s="212">
        <f t="shared" ca="1" si="3"/>
        <v>360.10580802887631</v>
      </c>
      <c r="L30" s="212">
        <f t="shared" ca="1" si="4"/>
        <v>327.77186369592562</v>
      </c>
      <c r="M30" s="212">
        <f t="shared" ca="1" si="5"/>
        <v>10.363587182918318</v>
      </c>
      <c r="N30" s="212">
        <f t="shared" ca="1" si="6"/>
        <v>7.6368477630678893</v>
      </c>
      <c r="O30" s="210">
        <f t="shared" ca="1" si="0"/>
        <v>295.43791936297487</v>
      </c>
      <c r="P30" s="212">
        <f t="shared" ca="1" si="7"/>
        <v>2.7267394198504284</v>
      </c>
      <c r="Q30" s="212">
        <f t="shared" ca="1" si="8"/>
        <v>1.9079999999999999</v>
      </c>
      <c r="R30" s="386"/>
      <c r="S30" s="207">
        <f t="shared" si="12"/>
        <v>1982</v>
      </c>
      <c r="T30" s="207">
        <f t="shared" si="13"/>
        <v>11</v>
      </c>
      <c r="U30" s="384" t="str">
        <f t="shared" ca="1" si="9"/>
        <v/>
      </c>
      <c r="V30" s="384" t="str">
        <f t="shared" ca="1" si="10"/>
        <v>|||||||||</v>
      </c>
      <c r="W30" s="385" t="str">
        <f t="shared" ca="1" si="11"/>
        <v>|||||||||||||</v>
      </c>
    </row>
    <row r="31" spans="1:23">
      <c r="A31" s="207">
        <f>+'Anexo Escurrimiento'!A41</f>
        <v>1982</v>
      </c>
      <c r="B31" s="207">
        <f>+'Anexo Escurrimiento'!B41</f>
        <v>12</v>
      </c>
      <c r="C31" s="208">
        <f>+'Anexo Escurrimiento'!O41</f>
        <v>1.0929693897472346</v>
      </c>
      <c r="D31" s="207">
        <f>+'Anexo Escurrimiento'!D41</f>
        <v>34.700000000000003</v>
      </c>
      <c r="E31" s="214">
        <f t="shared" si="14"/>
        <v>179.62</v>
      </c>
      <c r="F31" s="213">
        <f t="shared" si="14"/>
        <v>388</v>
      </c>
      <c r="G31" s="211">
        <f t="shared" si="1"/>
        <v>-1.4492000000000001E-3</v>
      </c>
      <c r="H31" s="212">
        <f>+F31/100000*'Anexo Bal Hídrico'!$G$4</f>
        <v>3.492</v>
      </c>
      <c r="I31" s="212">
        <v>0</v>
      </c>
      <c r="J31" s="212">
        <f t="shared" ca="1" si="2"/>
        <v>5.2378171528151229</v>
      </c>
      <c r="K31" s="212">
        <f t="shared" ca="1" si="3"/>
        <v>231.70231447333958</v>
      </c>
      <c r="L31" s="212">
        <f t="shared" ca="1" si="4"/>
        <v>263.57011691815723</v>
      </c>
      <c r="M31" s="212">
        <f t="shared" ca="1" si="5"/>
        <v>4.7463174725166288</v>
      </c>
      <c r="N31" s="212">
        <f t="shared" ca="1" si="6"/>
        <v>4.7463174725166288</v>
      </c>
      <c r="O31" s="210">
        <f t="shared" ca="1" si="0"/>
        <v>217.44654799256142</v>
      </c>
      <c r="P31" s="212">
        <f t="shared" ca="1" si="7"/>
        <v>0</v>
      </c>
      <c r="Q31" s="212">
        <f t="shared" ca="1" si="8"/>
        <v>3.492</v>
      </c>
      <c r="R31" s="386"/>
      <c r="S31" s="207">
        <f t="shared" si="12"/>
        <v>1982</v>
      </c>
      <c r="T31" s="207">
        <f t="shared" si="13"/>
        <v>12</v>
      </c>
      <c r="U31" s="384" t="str">
        <f t="shared" ca="1" si="9"/>
        <v/>
      </c>
      <c r="V31" s="384" t="str">
        <f t="shared" ca="1" si="10"/>
        <v>|||||||||||||||||</v>
      </c>
      <c r="W31" s="385" t="str">
        <f t="shared" ca="1" si="11"/>
        <v/>
      </c>
    </row>
    <row r="32" spans="1:23">
      <c r="A32" s="207">
        <f>+'Anexo Escurrimiento'!A42</f>
        <v>1983</v>
      </c>
      <c r="B32" s="207">
        <f>+'Anexo Escurrimiento'!B42</f>
        <v>1</v>
      </c>
      <c r="C32" s="208">
        <f>+'Anexo Escurrimiento'!O42</f>
        <v>1.4301066889817158</v>
      </c>
      <c r="D32" s="207">
        <f>+'Anexo Escurrimiento'!D42</f>
        <v>162.1</v>
      </c>
      <c r="E32" s="214">
        <f t="shared" si="14"/>
        <v>176.89</v>
      </c>
      <c r="F32" s="213">
        <f t="shared" si="14"/>
        <v>318</v>
      </c>
      <c r="G32" s="211">
        <f t="shared" si="1"/>
        <v>-1.4789999999999991E-4</v>
      </c>
      <c r="H32" s="212">
        <f>+F32/100000*'Anexo Bal Hídrico'!$G$4</f>
        <v>2.8620000000000001</v>
      </c>
      <c r="I32" s="212">
        <v>0</v>
      </c>
      <c r="J32" s="212">
        <f t="shared" ca="1" si="2"/>
        <v>3.3144241614983443</v>
      </c>
      <c r="K32" s="212">
        <f t="shared" ca="1" si="3"/>
        <v>172.52538844546572</v>
      </c>
      <c r="L32" s="212">
        <f t="shared" ca="1" si="4"/>
        <v>194.98596821901356</v>
      </c>
      <c r="M32" s="212">
        <f t="shared" ca="1" si="5"/>
        <v>3.1795588404460569</v>
      </c>
      <c r="N32" s="212">
        <f t="shared" ca="1" si="6"/>
        <v>3.1795588404460569</v>
      </c>
      <c r="O32" s="210">
        <f t="shared" ca="1" si="0"/>
        <v>167.96799528121392</v>
      </c>
      <c r="P32" s="212">
        <f t="shared" ca="1" si="7"/>
        <v>0</v>
      </c>
      <c r="Q32" s="212">
        <f t="shared" ca="1" si="8"/>
        <v>2.8620000000000001</v>
      </c>
      <c r="R32" s="386"/>
      <c r="S32" s="207">
        <f t="shared" si="12"/>
        <v>1983</v>
      </c>
      <c r="T32" s="207">
        <f t="shared" si="13"/>
        <v>1</v>
      </c>
      <c r="U32" s="384" t="str">
        <f t="shared" ca="1" si="9"/>
        <v/>
      </c>
      <c r="V32" s="384" t="str">
        <f t="shared" ca="1" si="10"/>
        <v>||||||||||||||</v>
      </c>
      <c r="W32" s="385" t="str">
        <f t="shared" ca="1" si="11"/>
        <v/>
      </c>
    </row>
    <row r="33" spans="1:23">
      <c r="A33" s="207">
        <f>+'Anexo Escurrimiento'!A43</f>
        <v>1983</v>
      </c>
      <c r="B33" s="207">
        <f>+'Anexo Escurrimiento'!B43</f>
        <v>2</v>
      </c>
      <c r="C33" s="208">
        <f>+'Anexo Escurrimiento'!O43</f>
        <v>7.0593676713086255</v>
      </c>
      <c r="D33" s="207">
        <f>+'Anexo Escurrimiento'!D43</f>
        <v>427.6</v>
      </c>
      <c r="E33" s="214">
        <f t="shared" ref="E33:F52" si="15">+E21</f>
        <v>131.73999999999998</v>
      </c>
      <c r="F33" s="213">
        <f t="shared" si="15"/>
        <v>153</v>
      </c>
      <c r="G33" s="211">
        <f t="shared" ref="G33:G96" si="16">+(D33-E33)/100000</f>
        <v>2.9586E-3</v>
      </c>
      <c r="H33" s="212">
        <f>+F33/100000*'Anexo Bal Hídrico'!$G$4</f>
        <v>1.377</v>
      </c>
      <c r="I33" s="212">
        <v>0</v>
      </c>
      <c r="J33" s="212">
        <f t="shared" ca="1" si="2"/>
        <v>8.8619265117546817</v>
      </c>
      <c r="K33" s="212">
        <f t="shared" ca="1" si="3"/>
        <v>325.16669604689497</v>
      </c>
      <c r="L33" s="212">
        <f t="shared" ca="1" si="4"/>
        <v>246.56734566405444</v>
      </c>
      <c r="M33" s="212">
        <f t="shared" ca="1" si="5"/>
        <v>8.9295919348640318</v>
      </c>
      <c r="N33" s="212">
        <f t="shared" ca="1" si="6"/>
        <v>7.6368477630678893</v>
      </c>
      <c r="O33" s="210">
        <f t="shared" ca="1" si="0"/>
        <v>295.43791936297487</v>
      </c>
      <c r="P33" s="212">
        <f t="shared" ca="1" si="7"/>
        <v>1.2927441717961425</v>
      </c>
      <c r="Q33" s="212">
        <f t="shared" ca="1" si="8"/>
        <v>1.377</v>
      </c>
      <c r="R33" s="386"/>
      <c r="S33" s="207">
        <f t="shared" si="12"/>
        <v>1983</v>
      </c>
      <c r="T33" s="207">
        <f t="shared" si="13"/>
        <v>2</v>
      </c>
      <c r="U33" s="384" t="str">
        <f t="shared" ca="1" si="9"/>
        <v/>
      </c>
      <c r="V33" s="384" t="str">
        <f t="shared" ca="1" si="10"/>
        <v>||||||</v>
      </c>
      <c r="W33" s="385" t="str">
        <f t="shared" ca="1" si="11"/>
        <v>||||||</v>
      </c>
    </row>
    <row r="34" spans="1:23">
      <c r="A34" s="207">
        <f>+'Anexo Escurrimiento'!A44</f>
        <v>1983</v>
      </c>
      <c r="B34" s="207">
        <f>+'Anexo Escurrimiento'!B44</f>
        <v>3</v>
      </c>
      <c r="C34" s="208">
        <f>+'Anexo Escurrimiento'!O44</f>
        <v>1.932234558992534</v>
      </c>
      <c r="D34" s="207">
        <f>+'Anexo Escurrimiento'!D44</f>
        <v>91.9</v>
      </c>
      <c r="E34" s="214">
        <f t="shared" si="15"/>
        <v>118.64999999999999</v>
      </c>
      <c r="F34" s="213">
        <f t="shared" si="15"/>
        <v>47</v>
      </c>
      <c r="G34" s="211">
        <f t="shared" si="16"/>
        <v>-2.6749999999999983E-4</v>
      </c>
      <c r="H34" s="212">
        <f>+F34/100000*'Anexo Bal Hídrico'!$G$4</f>
        <v>0.42299999999999999</v>
      </c>
      <c r="I34" s="212">
        <v>0</v>
      </c>
      <c r="J34" s="212">
        <f t="shared" ca="1" si="2"/>
        <v>9.1460823220604226</v>
      </c>
      <c r="K34" s="212">
        <f t="shared" ca="1" si="3"/>
        <v>331.84812342870083</v>
      </c>
      <c r="L34" s="212">
        <f t="shared" ca="1" si="4"/>
        <v>313.64302139583788</v>
      </c>
      <c r="M34" s="212">
        <f t="shared" ca="1" si="5"/>
        <v>8.8317524392637008</v>
      </c>
      <c r="N34" s="212">
        <f t="shared" ca="1" si="6"/>
        <v>7.6368477630678893</v>
      </c>
      <c r="O34" s="210">
        <f t="shared" ca="1" si="0"/>
        <v>295.43791936297487</v>
      </c>
      <c r="P34" s="212">
        <f t="shared" ca="1" si="7"/>
        <v>1.1949046761958115</v>
      </c>
      <c r="Q34" s="212">
        <f t="shared" ca="1" si="8"/>
        <v>0.42299999999999999</v>
      </c>
      <c r="R34" s="386"/>
      <c r="S34" s="207">
        <f t="shared" si="12"/>
        <v>1983</v>
      </c>
      <c r="T34" s="207">
        <f t="shared" si="13"/>
        <v>3</v>
      </c>
      <c r="U34" s="384" t="str">
        <f t="shared" ca="1" si="9"/>
        <v/>
      </c>
      <c r="V34" s="384" t="str">
        <f t="shared" ca="1" si="10"/>
        <v>||</v>
      </c>
      <c r="W34" s="385" t="str">
        <f t="shared" ca="1" si="11"/>
        <v>|||||</v>
      </c>
    </row>
    <row r="35" spans="1:23">
      <c r="A35" s="207">
        <f>+'Anexo Escurrimiento'!A45</f>
        <v>1983</v>
      </c>
      <c r="B35" s="207">
        <f>+'Anexo Escurrimiento'!B45</f>
        <v>4</v>
      </c>
      <c r="C35" s="208">
        <f>+'Anexo Escurrimiento'!O45</f>
        <v>0.98816565637740317</v>
      </c>
      <c r="D35" s="207">
        <f>+'Anexo Escurrimiento'!D45</f>
        <v>80.099999999999994</v>
      </c>
      <c r="E35" s="214">
        <f t="shared" si="15"/>
        <v>73.149999999999991</v>
      </c>
      <c r="F35" s="213">
        <f t="shared" si="15"/>
        <v>0</v>
      </c>
      <c r="G35" s="211">
        <f t="shared" si="16"/>
        <v>6.9500000000000022E-5</v>
      </c>
      <c r="H35" s="212">
        <f>+F35/100000*'Anexo Bal Hídrico'!$G$4</f>
        <v>0</v>
      </c>
      <c r="I35" s="212">
        <v>0</v>
      </c>
      <c r="J35" s="212">
        <f t="shared" ca="1" si="2"/>
        <v>8.6250134194452919</v>
      </c>
      <c r="K35" s="212">
        <f t="shared" ca="1" si="3"/>
        <v>319.53766617622858</v>
      </c>
      <c r="L35" s="212">
        <f t="shared" ca="1" si="4"/>
        <v>307.4877927696017</v>
      </c>
      <c r="M35" s="212">
        <f t="shared" ca="1" si="5"/>
        <v>8.53085192881076</v>
      </c>
      <c r="N35" s="212">
        <f t="shared" ca="1" si="6"/>
        <v>7.6368477630678893</v>
      </c>
      <c r="O35" s="210">
        <f t="shared" ca="1" si="0"/>
        <v>295.43791936297487</v>
      </c>
      <c r="P35" s="212">
        <f t="shared" ca="1" si="7"/>
        <v>0.89400416574287078</v>
      </c>
      <c r="Q35" s="212">
        <f t="shared" ca="1" si="8"/>
        <v>0</v>
      </c>
      <c r="R35" s="386"/>
      <c r="S35" s="207">
        <f t="shared" si="12"/>
        <v>1983</v>
      </c>
      <c r="T35" s="207">
        <f t="shared" si="13"/>
        <v>4</v>
      </c>
      <c r="U35" s="384" t="str">
        <f t="shared" ca="1" si="9"/>
        <v/>
      </c>
      <c r="V35" s="384" t="str">
        <f t="shared" ca="1" si="10"/>
        <v/>
      </c>
      <c r="W35" s="385" t="str">
        <f t="shared" ca="1" si="11"/>
        <v>||||</v>
      </c>
    </row>
    <row r="36" spans="1:23">
      <c r="A36" s="207">
        <f>+'Anexo Escurrimiento'!A46</f>
        <v>1983</v>
      </c>
      <c r="B36" s="207">
        <f>+'Anexo Escurrimiento'!B46</f>
        <v>5</v>
      </c>
      <c r="C36" s="208">
        <f>+'Anexo Escurrimiento'!O46</f>
        <v>5.4548732982233084</v>
      </c>
      <c r="D36" s="207">
        <f>+'Anexo Escurrimiento'!D46</f>
        <v>299.2</v>
      </c>
      <c r="E36" s="214">
        <f t="shared" si="15"/>
        <v>51.24</v>
      </c>
      <c r="F36" s="213">
        <f t="shared" si="15"/>
        <v>0</v>
      </c>
      <c r="G36" s="211">
        <f t="shared" si="16"/>
        <v>2.4795999999999998E-3</v>
      </c>
      <c r="H36" s="212">
        <f>+F36/100000*'Anexo Bal Hídrico'!$G$4</f>
        <v>0</v>
      </c>
      <c r="I36" s="212">
        <v>0</v>
      </c>
      <c r="J36" s="212">
        <f t="shared" ca="1" si="2"/>
        <v>13.091721061291198</v>
      </c>
      <c r="K36" s="212">
        <f t="shared" ca="1" si="3"/>
        <v>418.13673197194623</v>
      </c>
      <c r="L36" s="212">
        <f t="shared" ca="1" si="4"/>
        <v>356.78732566746055</v>
      </c>
      <c r="M36" s="212">
        <f t="shared" ca="1" si="5"/>
        <v>13.236399637998007</v>
      </c>
      <c r="N36" s="212">
        <f t="shared" ca="1" si="6"/>
        <v>7.6368477630678893</v>
      </c>
      <c r="O36" s="210">
        <f t="shared" ca="1" si="0"/>
        <v>295.43791936297487</v>
      </c>
      <c r="P36" s="212">
        <f t="shared" ca="1" si="7"/>
        <v>5.5995518749301176</v>
      </c>
      <c r="Q36" s="212">
        <f t="shared" ca="1" si="8"/>
        <v>0</v>
      </c>
      <c r="R36" s="386"/>
      <c r="S36" s="207">
        <f t="shared" si="12"/>
        <v>1983</v>
      </c>
      <c r="T36" s="207">
        <f t="shared" si="13"/>
        <v>5</v>
      </c>
      <c r="U36" s="384" t="str">
        <f t="shared" ca="1" si="9"/>
        <v/>
      </c>
      <c r="V36" s="384" t="str">
        <f t="shared" ca="1" si="10"/>
        <v/>
      </c>
      <c r="W36" s="385" t="str">
        <f t="shared" ca="1" si="11"/>
        <v>|||||||||||||||||||||||||||</v>
      </c>
    </row>
    <row r="37" spans="1:23">
      <c r="A37" s="207">
        <f>+'Anexo Escurrimiento'!A47</f>
        <v>1983</v>
      </c>
      <c r="B37" s="207">
        <f>+'Anexo Escurrimiento'!B47</f>
        <v>6</v>
      </c>
      <c r="C37" s="208">
        <f>+'Anexo Escurrimiento'!O47</f>
        <v>2.1381846530826674</v>
      </c>
      <c r="D37" s="207">
        <f>+'Anexo Escurrimiento'!D47</f>
        <v>80.2</v>
      </c>
      <c r="E37" s="214">
        <f t="shared" si="15"/>
        <v>41.019999999999996</v>
      </c>
      <c r="F37" s="213">
        <f t="shared" si="15"/>
        <v>0</v>
      </c>
      <c r="G37" s="211">
        <f t="shared" si="16"/>
        <v>3.9180000000000009E-4</v>
      </c>
      <c r="H37" s="212">
        <f>+F37/100000*'Anexo Bal Hídrico'!$G$4</f>
        <v>0</v>
      </c>
      <c r="I37" s="212">
        <v>0</v>
      </c>
      <c r="J37" s="212">
        <f t="shared" ca="1" si="2"/>
        <v>9.7750324161505571</v>
      </c>
      <c r="K37" s="212">
        <f t="shared" ca="1" si="3"/>
        <v>346.37997558983409</v>
      </c>
      <c r="L37" s="212">
        <f t="shared" ca="1" si="4"/>
        <v>320.90894747640448</v>
      </c>
      <c r="M37" s="212">
        <f t="shared" ca="1" si="5"/>
        <v>9.6398662198969216</v>
      </c>
      <c r="N37" s="212">
        <f t="shared" ca="1" si="6"/>
        <v>7.6368477630678893</v>
      </c>
      <c r="O37" s="210">
        <f t="shared" ca="1" si="0"/>
        <v>295.43791936297487</v>
      </c>
      <c r="P37" s="212">
        <f t="shared" ca="1" si="7"/>
        <v>2.0030184568290323</v>
      </c>
      <c r="Q37" s="212">
        <f t="shared" ca="1" si="8"/>
        <v>0</v>
      </c>
      <c r="R37" s="386"/>
      <c r="S37" s="207">
        <f t="shared" si="12"/>
        <v>1983</v>
      </c>
      <c r="T37" s="207">
        <f t="shared" si="13"/>
        <v>6</v>
      </c>
      <c r="U37" s="384" t="str">
        <f t="shared" ca="1" si="9"/>
        <v/>
      </c>
      <c r="V37" s="384" t="str">
        <f t="shared" ca="1" si="10"/>
        <v/>
      </c>
      <c r="W37" s="385" t="str">
        <f t="shared" ca="1" si="11"/>
        <v>||||||||||</v>
      </c>
    </row>
    <row r="38" spans="1:23">
      <c r="A38" s="207">
        <f>+'Anexo Escurrimiento'!A48</f>
        <v>1983</v>
      </c>
      <c r="B38" s="207">
        <f>+'Anexo Escurrimiento'!B48</f>
        <v>7</v>
      </c>
      <c r="C38" s="208">
        <f>+'Anexo Escurrimiento'!O48</f>
        <v>2.1434527721558672</v>
      </c>
      <c r="D38" s="207">
        <f>+'Anexo Escurrimiento'!D48</f>
        <v>121.5</v>
      </c>
      <c r="E38" s="214">
        <f t="shared" si="15"/>
        <v>50.819999999999993</v>
      </c>
      <c r="F38" s="213">
        <f t="shared" si="15"/>
        <v>0</v>
      </c>
      <c r="G38" s="211">
        <f t="shared" si="16"/>
        <v>7.0680000000000005E-4</v>
      </c>
      <c r="H38" s="212">
        <f>+F38/100000*'Anexo Bal Hídrico'!$G$4</f>
        <v>0</v>
      </c>
      <c r="I38" s="212">
        <v>0</v>
      </c>
      <c r="J38" s="212">
        <f t="shared" ca="1" si="2"/>
        <v>9.7803005352237555</v>
      </c>
      <c r="K38" s="212">
        <f t="shared" ca="1" si="3"/>
        <v>346.50026591951217</v>
      </c>
      <c r="L38" s="212">
        <f t="shared" ca="1" si="4"/>
        <v>320.96909264124349</v>
      </c>
      <c r="M38" s="212">
        <f t="shared" ca="1" si="5"/>
        <v>9.745571341081968</v>
      </c>
      <c r="N38" s="212">
        <f t="shared" ca="1" si="6"/>
        <v>7.6368477630678893</v>
      </c>
      <c r="O38" s="210">
        <f t="shared" ca="1" si="0"/>
        <v>295.43791936297487</v>
      </c>
      <c r="P38" s="212">
        <f t="shared" ca="1" si="7"/>
        <v>2.1087235780140787</v>
      </c>
      <c r="Q38" s="212">
        <f t="shared" ca="1" si="8"/>
        <v>0</v>
      </c>
      <c r="R38" s="386"/>
      <c r="S38" s="207">
        <f t="shared" si="12"/>
        <v>1983</v>
      </c>
      <c r="T38" s="207">
        <f t="shared" si="13"/>
        <v>7</v>
      </c>
      <c r="U38" s="384" t="str">
        <f t="shared" ca="1" si="9"/>
        <v/>
      </c>
      <c r="V38" s="384" t="str">
        <f t="shared" ca="1" si="10"/>
        <v/>
      </c>
      <c r="W38" s="385" t="str">
        <f t="shared" ca="1" si="11"/>
        <v>||||||||||</v>
      </c>
    </row>
    <row r="39" spans="1:23">
      <c r="A39" s="207">
        <f>+'Anexo Escurrimiento'!A49</f>
        <v>1983</v>
      </c>
      <c r="B39" s="207">
        <f>+'Anexo Escurrimiento'!B49</f>
        <v>8</v>
      </c>
      <c r="C39" s="208">
        <f>+'Anexo Escurrimiento'!O49</f>
        <v>0.90236731693755545</v>
      </c>
      <c r="D39" s="207">
        <f>+'Anexo Escurrimiento'!D49</f>
        <v>47.8</v>
      </c>
      <c r="E39" s="214">
        <f t="shared" si="15"/>
        <v>72.449999999999989</v>
      </c>
      <c r="F39" s="213">
        <f t="shared" si="15"/>
        <v>0</v>
      </c>
      <c r="G39" s="211">
        <f t="shared" si="16"/>
        <v>-2.4649999999999992E-4</v>
      </c>
      <c r="H39" s="212">
        <f>+F39/100000*'Anexo Bal Hídrico'!$G$4</f>
        <v>0</v>
      </c>
      <c r="I39" s="212">
        <v>0</v>
      </c>
      <c r="J39" s="212">
        <f t="shared" ca="1" si="2"/>
        <v>8.5392150800054445</v>
      </c>
      <c r="K39" s="212">
        <f t="shared" ca="1" si="3"/>
        <v>317.48558678115387</v>
      </c>
      <c r="L39" s="212">
        <f t="shared" ca="1" si="4"/>
        <v>306.46175307206437</v>
      </c>
      <c r="M39" s="212">
        <f t="shared" ca="1" si="5"/>
        <v>8.3585235621075462</v>
      </c>
      <c r="N39" s="212">
        <f t="shared" ca="1" si="6"/>
        <v>7.6368477630678893</v>
      </c>
      <c r="O39" s="210">
        <f t="shared" ca="1" si="0"/>
        <v>295.43791936297487</v>
      </c>
      <c r="P39" s="212">
        <f t="shared" ca="1" si="7"/>
        <v>0.72167579903965695</v>
      </c>
      <c r="Q39" s="212">
        <f t="shared" ca="1" si="8"/>
        <v>0</v>
      </c>
      <c r="R39" s="386"/>
      <c r="S39" s="207">
        <f t="shared" si="12"/>
        <v>1983</v>
      </c>
      <c r="T39" s="207">
        <f t="shared" si="13"/>
        <v>8</v>
      </c>
      <c r="U39" s="384" t="str">
        <f t="shared" ca="1" si="9"/>
        <v/>
      </c>
      <c r="V39" s="384" t="str">
        <f t="shared" ca="1" si="10"/>
        <v/>
      </c>
      <c r="W39" s="385" t="str">
        <f t="shared" ca="1" si="11"/>
        <v>|||</v>
      </c>
    </row>
    <row r="40" spans="1:23">
      <c r="A40" s="207">
        <f>+'Anexo Escurrimiento'!A50</f>
        <v>1983</v>
      </c>
      <c r="B40" s="207">
        <f>+'Anexo Escurrimiento'!B50</f>
        <v>9</v>
      </c>
      <c r="C40" s="208">
        <f>+'Anexo Escurrimiento'!O50</f>
        <v>0.41927041498801532</v>
      </c>
      <c r="D40" s="207">
        <f>+'Anexo Escurrimiento'!D50</f>
        <v>47.7</v>
      </c>
      <c r="E40" s="214">
        <f t="shared" si="15"/>
        <v>85.89</v>
      </c>
      <c r="F40" s="213">
        <f t="shared" si="15"/>
        <v>0</v>
      </c>
      <c r="G40" s="211">
        <f t="shared" si="16"/>
        <v>-3.8189999999999996E-4</v>
      </c>
      <c r="H40" s="212">
        <f>+F40/100000*'Anexo Bal Hídrico'!$G$4</f>
        <v>0</v>
      </c>
      <c r="I40" s="212">
        <v>0</v>
      </c>
      <c r="J40" s="212">
        <f t="shared" ca="1" si="2"/>
        <v>8.0561181780559039</v>
      </c>
      <c r="K40" s="212">
        <f t="shared" ca="1" si="3"/>
        <v>305.79104970808748</v>
      </c>
      <c r="L40" s="212">
        <f t="shared" ca="1" si="4"/>
        <v>300.61448453553118</v>
      </c>
      <c r="M40" s="212">
        <f t="shared" ca="1" si="5"/>
        <v>7.8933900236427288</v>
      </c>
      <c r="N40" s="212">
        <f t="shared" ca="1" si="6"/>
        <v>7.6368477630678893</v>
      </c>
      <c r="O40" s="210">
        <f t="shared" ca="1" si="0"/>
        <v>295.43791936297487</v>
      </c>
      <c r="P40" s="212">
        <f t="shared" ca="1" si="7"/>
        <v>0.25654226057483953</v>
      </c>
      <c r="Q40" s="212">
        <f t="shared" ca="1" si="8"/>
        <v>0</v>
      </c>
      <c r="R40" s="386"/>
      <c r="S40" s="207">
        <f t="shared" si="12"/>
        <v>1983</v>
      </c>
      <c r="T40" s="207">
        <f t="shared" si="13"/>
        <v>9</v>
      </c>
      <c r="U40" s="384" t="str">
        <f t="shared" ca="1" si="9"/>
        <v/>
      </c>
      <c r="V40" s="384" t="str">
        <f t="shared" ca="1" si="10"/>
        <v/>
      </c>
      <c r="W40" s="385" t="str">
        <f t="shared" ca="1" si="11"/>
        <v>|</v>
      </c>
    </row>
    <row r="41" spans="1:23">
      <c r="A41" s="207">
        <f>+'Anexo Escurrimiento'!A51</f>
        <v>1983</v>
      </c>
      <c r="B41" s="207">
        <f>+'Anexo Escurrimiento'!B51</f>
        <v>10</v>
      </c>
      <c r="C41" s="208">
        <f>+'Anexo Escurrimiento'!O51</f>
        <v>0.69661277982757164</v>
      </c>
      <c r="D41" s="207">
        <f>+'Anexo Escurrimiento'!D51</f>
        <v>87</v>
      </c>
      <c r="E41" s="214">
        <f t="shared" si="15"/>
        <v>114.86999999999999</v>
      </c>
      <c r="F41" s="213">
        <f t="shared" si="15"/>
        <v>59</v>
      </c>
      <c r="G41" s="211">
        <f t="shared" si="16"/>
        <v>-2.7869999999999989E-4</v>
      </c>
      <c r="H41" s="212">
        <f>+F41/100000*'Anexo Bal Hídrico'!$G$4</f>
        <v>0.53100000000000003</v>
      </c>
      <c r="I41" s="212">
        <v>0</v>
      </c>
      <c r="J41" s="212">
        <f t="shared" ca="1" si="2"/>
        <v>7.802460542895461</v>
      </c>
      <c r="K41" s="212">
        <f t="shared" ca="1" si="3"/>
        <v>299.5509958507057</v>
      </c>
      <c r="L41" s="212">
        <f t="shared" ca="1" si="4"/>
        <v>297.49445760684029</v>
      </c>
      <c r="M41" s="212">
        <f t="shared" ca="1" si="5"/>
        <v>7.6407509512118432</v>
      </c>
      <c r="N41" s="212">
        <f t="shared" ca="1" si="6"/>
        <v>7.6368477630678893</v>
      </c>
      <c r="O41" s="210">
        <f t="shared" ca="1" si="0"/>
        <v>295.43791936297487</v>
      </c>
      <c r="P41" s="212">
        <f t="shared" ca="1" si="7"/>
        <v>3.9031881439539617E-3</v>
      </c>
      <c r="Q41" s="212">
        <f t="shared" ca="1" si="8"/>
        <v>0.53100000000000003</v>
      </c>
      <c r="R41" s="386"/>
      <c r="S41" s="207">
        <f t="shared" si="12"/>
        <v>1983</v>
      </c>
      <c r="T41" s="207">
        <f t="shared" si="13"/>
        <v>10</v>
      </c>
      <c r="U41" s="384" t="str">
        <f t="shared" ca="1" si="9"/>
        <v/>
      </c>
      <c r="V41" s="384" t="str">
        <f t="shared" ca="1" si="10"/>
        <v>||</v>
      </c>
      <c r="W41" s="385" t="str">
        <f t="shared" ca="1" si="11"/>
        <v/>
      </c>
    </row>
    <row r="42" spans="1:23">
      <c r="A42" s="207">
        <f>+'Anexo Escurrimiento'!A52</f>
        <v>1983</v>
      </c>
      <c r="B42" s="207">
        <f>+'Anexo Escurrimiento'!B52</f>
        <v>11</v>
      </c>
      <c r="C42" s="208">
        <f>+'Anexo Escurrimiento'!O52</f>
        <v>1.5353281145551652</v>
      </c>
      <c r="D42" s="207">
        <f>+'Anexo Escurrimiento'!D52</f>
        <v>150.5</v>
      </c>
      <c r="E42" s="214">
        <f t="shared" si="15"/>
        <v>144.06</v>
      </c>
      <c r="F42" s="213">
        <f t="shared" si="15"/>
        <v>212</v>
      </c>
      <c r="G42" s="211">
        <f t="shared" si="16"/>
        <v>6.439999999999998E-5</v>
      </c>
      <c r="H42" s="212">
        <f>+F42/100000*'Anexo Bal Hídrico'!$G$4</f>
        <v>1.9079999999999999</v>
      </c>
      <c r="I42" s="212">
        <v>0</v>
      </c>
      <c r="J42" s="212">
        <f t="shared" ca="1" si="2"/>
        <v>7.2641758776230549</v>
      </c>
      <c r="K42" s="212">
        <f t="shared" ca="1" si="3"/>
        <v>286.06451859925875</v>
      </c>
      <c r="L42" s="212">
        <f t="shared" ca="1" si="4"/>
        <v>290.75121898111684</v>
      </c>
      <c r="M42" s="212">
        <f t="shared" ca="1" si="5"/>
        <v>7.1131669782384073</v>
      </c>
      <c r="N42" s="212">
        <f t="shared" ca="1" si="6"/>
        <v>7.1131669782384073</v>
      </c>
      <c r="O42" s="210">
        <f t="shared" ca="1" si="0"/>
        <v>282.21789553077684</v>
      </c>
      <c r="P42" s="212">
        <f t="shared" ca="1" si="7"/>
        <v>0</v>
      </c>
      <c r="Q42" s="212">
        <f t="shared" ca="1" si="8"/>
        <v>1.9079999999999999</v>
      </c>
      <c r="R42" s="386"/>
      <c r="S42" s="207">
        <f t="shared" si="12"/>
        <v>1983</v>
      </c>
      <c r="T42" s="207">
        <f t="shared" si="13"/>
        <v>11</v>
      </c>
      <c r="U42" s="384" t="str">
        <f t="shared" ca="1" si="9"/>
        <v/>
      </c>
      <c r="V42" s="384" t="str">
        <f t="shared" ca="1" si="10"/>
        <v>|||||||||</v>
      </c>
      <c r="W42" s="385" t="str">
        <f t="shared" ca="1" si="11"/>
        <v/>
      </c>
    </row>
    <row r="43" spans="1:23">
      <c r="A43" s="207">
        <f>+'Anexo Escurrimiento'!A53</f>
        <v>1983</v>
      </c>
      <c r="B43" s="207">
        <f>+'Anexo Escurrimiento'!B53</f>
        <v>12</v>
      </c>
      <c r="C43" s="208">
        <f>+'Anexo Escurrimiento'!O53</f>
        <v>0.46523814881150954</v>
      </c>
      <c r="D43" s="207">
        <f>+'Anexo Escurrimiento'!D53</f>
        <v>19.3</v>
      </c>
      <c r="E43" s="214">
        <f t="shared" si="15"/>
        <v>179.62</v>
      </c>
      <c r="F43" s="213">
        <f t="shared" si="15"/>
        <v>388</v>
      </c>
      <c r="G43" s="211">
        <f t="shared" si="16"/>
        <v>-1.6031999999999999E-3</v>
      </c>
      <c r="H43" s="212">
        <f>+F43/100000*'Anexo Bal Hídrico'!$G$4</f>
        <v>3.492</v>
      </c>
      <c r="I43" s="212">
        <v>0</v>
      </c>
      <c r="J43" s="212">
        <f t="shared" ca="1" si="2"/>
        <v>4.0864051270499164</v>
      </c>
      <c r="K43" s="212">
        <f t="shared" ca="1" si="3"/>
        <v>197.44859511781334</v>
      </c>
      <c r="L43" s="212">
        <f t="shared" ca="1" si="4"/>
        <v>239.83324532429509</v>
      </c>
      <c r="M43" s="212">
        <f t="shared" ca="1" si="5"/>
        <v>3.6594787741999486</v>
      </c>
      <c r="N43" s="212">
        <f t="shared" ca="1" si="6"/>
        <v>3.6594787741999486</v>
      </c>
      <c r="O43" s="210">
        <f t="shared" ca="1" si="0"/>
        <v>183.89549757679083</v>
      </c>
      <c r="P43" s="212">
        <f t="shared" ca="1" si="7"/>
        <v>0</v>
      </c>
      <c r="Q43" s="212">
        <f t="shared" ca="1" si="8"/>
        <v>3.492</v>
      </c>
      <c r="R43" s="386"/>
      <c r="S43" s="207">
        <f t="shared" si="12"/>
        <v>1983</v>
      </c>
      <c r="T43" s="207">
        <f t="shared" si="13"/>
        <v>12</v>
      </c>
      <c r="U43" s="384" t="str">
        <f t="shared" ca="1" si="9"/>
        <v/>
      </c>
      <c r="V43" s="384" t="str">
        <f t="shared" ca="1" si="10"/>
        <v>|||||||||||||||||</v>
      </c>
      <c r="W43" s="385" t="str">
        <f t="shared" ca="1" si="11"/>
        <v/>
      </c>
    </row>
    <row r="44" spans="1:23">
      <c r="A44" s="207">
        <f>+'Anexo Escurrimiento'!A54</f>
        <v>1984</v>
      </c>
      <c r="B44" s="207">
        <f>+'Anexo Escurrimiento'!B54</f>
        <v>1</v>
      </c>
      <c r="C44" s="208">
        <f>+'Anexo Escurrimiento'!O54</f>
        <v>4.4488209077702319</v>
      </c>
      <c r="D44" s="207">
        <f>+'Anexo Escurrimiento'!D54</f>
        <v>343.1</v>
      </c>
      <c r="E44" s="214">
        <f t="shared" si="15"/>
        <v>176.89</v>
      </c>
      <c r="F44" s="213">
        <f t="shared" si="15"/>
        <v>318</v>
      </c>
      <c r="G44" s="211">
        <f t="shared" si="16"/>
        <v>1.6621000000000003E-3</v>
      </c>
      <c r="H44" s="212">
        <f>+F44/100000*'Anexo Bal Hídrico'!$G$4</f>
        <v>2.8620000000000001</v>
      </c>
      <c r="I44" s="212">
        <v>0</v>
      </c>
      <c r="J44" s="212">
        <f t="shared" ca="1" si="2"/>
        <v>5.2462996819701804</v>
      </c>
      <c r="K44" s="212">
        <f t="shared" ca="1" si="3"/>
        <v>231.94406231134732</v>
      </c>
      <c r="L44" s="212">
        <f t="shared" ca="1" si="4"/>
        <v>207.91977994406909</v>
      </c>
      <c r="M44" s="212">
        <f t="shared" ca="1" si="5"/>
        <v>5.2401729337079317</v>
      </c>
      <c r="N44" s="212">
        <f t="shared" ca="1" si="6"/>
        <v>5.2401729337079317</v>
      </c>
      <c r="O44" s="210">
        <f t="shared" ca="1" si="0"/>
        <v>231.76946700301448</v>
      </c>
      <c r="P44" s="212">
        <f t="shared" ca="1" si="7"/>
        <v>0</v>
      </c>
      <c r="Q44" s="212">
        <f t="shared" ca="1" si="8"/>
        <v>2.8620000000000001</v>
      </c>
      <c r="R44" s="386"/>
      <c r="S44" s="207">
        <f t="shared" si="12"/>
        <v>1984</v>
      </c>
      <c r="T44" s="207">
        <f t="shared" si="13"/>
        <v>1</v>
      </c>
      <c r="U44" s="384" t="str">
        <f t="shared" ca="1" si="9"/>
        <v/>
      </c>
      <c r="V44" s="384" t="str">
        <f t="shared" ca="1" si="10"/>
        <v>||||||||||||||</v>
      </c>
      <c r="W44" s="385" t="str">
        <f t="shared" ca="1" si="11"/>
        <v/>
      </c>
    </row>
    <row r="45" spans="1:23">
      <c r="A45" s="207">
        <f>+'Anexo Escurrimiento'!A55</f>
        <v>1984</v>
      </c>
      <c r="B45" s="207">
        <f>+'Anexo Escurrimiento'!B55</f>
        <v>2</v>
      </c>
      <c r="C45" s="208">
        <f>+'Anexo Escurrimiento'!O55</f>
        <v>5.6164811013013276</v>
      </c>
      <c r="D45" s="207">
        <f>+'Anexo Escurrimiento'!D55</f>
        <v>332.6</v>
      </c>
      <c r="E45" s="214">
        <f t="shared" si="15"/>
        <v>131.73999999999998</v>
      </c>
      <c r="F45" s="213">
        <f t="shared" si="15"/>
        <v>153</v>
      </c>
      <c r="G45" s="211">
        <f t="shared" si="16"/>
        <v>2.0086000000000006E-3</v>
      </c>
      <c r="H45" s="212">
        <f>+F45/100000*'Anexo Bal Hídrico'!$G$4</f>
        <v>1.377</v>
      </c>
      <c r="I45" s="212">
        <v>0</v>
      </c>
      <c r="J45" s="212">
        <f t="shared" ca="1" si="2"/>
        <v>9.4796540350092595</v>
      </c>
      <c r="K45" s="212">
        <f t="shared" ca="1" si="3"/>
        <v>339.59802643758258</v>
      </c>
      <c r="L45" s="212">
        <f t="shared" ca="1" si="4"/>
        <v>285.68374672029853</v>
      </c>
      <c r="M45" s="212">
        <f t="shared" ca="1" si="5"/>
        <v>9.4433881560467405</v>
      </c>
      <c r="N45" s="212">
        <f t="shared" ca="1" si="6"/>
        <v>7.6368477630678893</v>
      </c>
      <c r="O45" s="210">
        <f t="shared" ca="1" si="0"/>
        <v>295.43791936297487</v>
      </c>
      <c r="P45" s="212">
        <f t="shared" ca="1" si="7"/>
        <v>1.8065403929788513</v>
      </c>
      <c r="Q45" s="212">
        <f t="shared" ca="1" si="8"/>
        <v>1.377</v>
      </c>
      <c r="R45" s="386"/>
      <c r="S45" s="207">
        <f t="shared" si="12"/>
        <v>1984</v>
      </c>
      <c r="T45" s="207">
        <f t="shared" si="13"/>
        <v>2</v>
      </c>
      <c r="U45" s="384" t="str">
        <f t="shared" ca="1" si="9"/>
        <v/>
      </c>
      <c r="V45" s="384" t="str">
        <f t="shared" ca="1" si="10"/>
        <v>||||||</v>
      </c>
      <c r="W45" s="385" t="str">
        <f t="shared" ca="1" si="11"/>
        <v>|||||||||</v>
      </c>
    </row>
    <row r="46" spans="1:23">
      <c r="A46" s="207">
        <f>+'Anexo Escurrimiento'!A56</f>
        <v>1984</v>
      </c>
      <c r="B46" s="207">
        <f>+'Anexo Escurrimiento'!B56</f>
        <v>3</v>
      </c>
      <c r="C46" s="208">
        <f>+'Anexo Escurrimiento'!O56</f>
        <v>3.3736832357075297</v>
      </c>
      <c r="D46" s="207">
        <f>+'Anexo Escurrimiento'!D56</f>
        <v>197.5</v>
      </c>
      <c r="E46" s="214">
        <f t="shared" si="15"/>
        <v>118.64999999999999</v>
      </c>
      <c r="F46" s="213">
        <f t="shared" si="15"/>
        <v>47</v>
      </c>
      <c r="G46" s="211">
        <f t="shared" si="16"/>
        <v>7.8850000000000014E-4</v>
      </c>
      <c r="H46" s="212">
        <f>+F46/100000*'Anexo Bal Hídrico'!$G$4</f>
        <v>0.42299999999999999</v>
      </c>
      <c r="I46" s="212">
        <v>0</v>
      </c>
      <c r="J46" s="212">
        <f t="shared" ca="1" si="2"/>
        <v>10.587530998775419</v>
      </c>
      <c r="K46" s="212">
        <f t="shared" ca="1" si="3"/>
        <v>364.66969757585412</v>
      </c>
      <c r="L46" s="212">
        <f t="shared" ca="1" si="4"/>
        <v>330.05380846941449</v>
      </c>
      <c r="M46" s="212">
        <f t="shared" ca="1" si="5"/>
        <v>10.424395536824013</v>
      </c>
      <c r="N46" s="212">
        <f t="shared" ca="1" si="6"/>
        <v>7.6368477630678893</v>
      </c>
      <c r="O46" s="210">
        <f t="shared" ca="1" si="0"/>
        <v>295.43791936297487</v>
      </c>
      <c r="P46" s="212">
        <f t="shared" ca="1" si="7"/>
        <v>2.7875477737561241</v>
      </c>
      <c r="Q46" s="212">
        <f t="shared" ca="1" si="8"/>
        <v>0.42299999999999999</v>
      </c>
      <c r="R46" s="386"/>
      <c r="S46" s="207">
        <f t="shared" si="12"/>
        <v>1984</v>
      </c>
      <c r="T46" s="207">
        <f t="shared" si="13"/>
        <v>3</v>
      </c>
      <c r="U46" s="384" t="str">
        <f t="shared" ca="1" si="9"/>
        <v/>
      </c>
      <c r="V46" s="384" t="str">
        <f t="shared" ca="1" si="10"/>
        <v>||</v>
      </c>
      <c r="W46" s="385" t="str">
        <f t="shared" ca="1" si="11"/>
        <v>|||||||||||||</v>
      </c>
    </row>
    <row r="47" spans="1:23">
      <c r="A47" s="207">
        <f>+'Anexo Escurrimiento'!A57</f>
        <v>1984</v>
      </c>
      <c r="B47" s="207">
        <f>+'Anexo Escurrimiento'!B57</f>
        <v>4</v>
      </c>
      <c r="C47" s="208">
        <f>+'Anexo Escurrimiento'!O57</f>
        <v>2.0764758018993188</v>
      </c>
      <c r="D47" s="207">
        <f>+'Anexo Escurrimiento'!D57</f>
        <v>125.1</v>
      </c>
      <c r="E47" s="214">
        <f t="shared" si="15"/>
        <v>73.149999999999991</v>
      </c>
      <c r="F47" s="213">
        <f t="shared" si="15"/>
        <v>0</v>
      </c>
      <c r="G47" s="211">
        <f t="shared" si="16"/>
        <v>5.195E-4</v>
      </c>
      <c r="H47" s="212">
        <f>+F47/100000*'Anexo Bal Hídrico'!$G$4</f>
        <v>0</v>
      </c>
      <c r="I47" s="212">
        <v>0</v>
      </c>
      <c r="J47" s="212">
        <f t="shared" ca="1" si="2"/>
        <v>9.7133235649672081</v>
      </c>
      <c r="K47" s="212">
        <f t="shared" ca="1" si="3"/>
        <v>344.96921691289833</v>
      </c>
      <c r="L47" s="212">
        <f t="shared" ca="1" si="4"/>
        <v>320.2035681379366</v>
      </c>
      <c r="M47" s="212">
        <f t="shared" ca="1" si="5"/>
        <v>9.626857546401844</v>
      </c>
      <c r="N47" s="212">
        <f t="shared" ca="1" si="6"/>
        <v>7.6368477630678893</v>
      </c>
      <c r="O47" s="210">
        <f t="shared" ca="1" si="0"/>
        <v>295.43791936297487</v>
      </c>
      <c r="P47" s="212">
        <f t="shared" ca="1" si="7"/>
        <v>1.9900097833339547</v>
      </c>
      <c r="Q47" s="212">
        <f t="shared" ca="1" si="8"/>
        <v>0</v>
      </c>
      <c r="R47" s="386"/>
      <c r="S47" s="207">
        <f t="shared" si="12"/>
        <v>1984</v>
      </c>
      <c r="T47" s="207">
        <f t="shared" si="13"/>
        <v>4</v>
      </c>
      <c r="U47" s="384" t="str">
        <f t="shared" ca="1" si="9"/>
        <v/>
      </c>
      <c r="V47" s="384" t="str">
        <f t="shared" ca="1" si="10"/>
        <v/>
      </c>
      <c r="W47" s="385" t="str">
        <f t="shared" ca="1" si="11"/>
        <v>|||||||||</v>
      </c>
    </row>
    <row r="48" spans="1:23">
      <c r="A48" s="207">
        <f>+'Anexo Escurrimiento'!A58</f>
        <v>1984</v>
      </c>
      <c r="B48" s="207">
        <f>+'Anexo Escurrimiento'!B58</f>
        <v>5</v>
      </c>
      <c r="C48" s="208">
        <f>+'Anexo Escurrimiento'!O58</f>
        <v>3.0635796809425657</v>
      </c>
      <c r="D48" s="207">
        <f>+'Anexo Escurrimiento'!D58</f>
        <v>177.1</v>
      </c>
      <c r="E48" s="214">
        <f t="shared" si="15"/>
        <v>51.24</v>
      </c>
      <c r="F48" s="213">
        <f t="shared" si="15"/>
        <v>0</v>
      </c>
      <c r="G48" s="211">
        <f t="shared" si="16"/>
        <v>1.2585999999999999E-3</v>
      </c>
      <c r="H48" s="212">
        <f>+F48/100000*'Anexo Bal Hídrico'!$G$4</f>
        <v>0</v>
      </c>
      <c r="I48" s="212">
        <v>0</v>
      </c>
      <c r="J48" s="212">
        <f t="shared" ca="1" si="2"/>
        <v>10.700427444010455</v>
      </c>
      <c r="K48" s="212">
        <f t="shared" ca="1" si="3"/>
        <v>367.17089107259841</v>
      </c>
      <c r="L48" s="212">
        <f t="shared" ca="1" si="4"/>
        <v>331.30440521778667</v>
      </c>
      <c r="M48" s="212">
        <f t="shared" ca="1" si="5"/>
        <v>10.731484185895898</v>
      </c>
      <c r="N48" s="212">
        <f t="shared" ca="1" si="6"/>
        <v>7.6368477630678893</v>
      </c>
      <c r="O48" s="210">
        <f t="shared" ca="1" si="0"/>
        <v>295.43791936297487</v>
      </c>
      <c r="P48" s="212">
        <f t="shared" ca="1" si="7"/>
        <v>3.0946364228280085</v>
      </c>
      <c r="Q48" s="212">
        <f t="shared" ca="1" si="8"/>
        <v>0</v>
      </c>
      <c r="R48" s="386"/>
      <c r="S48" s="207">
        <f t="shared" si="12"/>
        <v>1984</v>
      </c>
      <c r="T48" s="207">
        <f t="shared" si="13"/>
        <v>5</v>
      </c>
      <c r="U48" s="384" t="str">
        <f t="shared" ca="1" si="9"/>
        <v/>
      </c>
      <c r="V48" s="384" t="str">
        <f t="shared" ca="1" si="10"/>
        <v/>
      </c>
      <c r="W48" s="385" t="str">
        <f t="shared" ca="1" si="11"/>
        <v>|||||||||||||||</v>
      </c>
    </row>
    <row r="49" spans="1:23">
      <c r="A49" s="207">
        <f>+'Anexo Escurrimiento'!A59</f>
        <v>1984</v>
      </c>
      <c r="B49" s="207">
        <f>+'Anexo Escurrimiento'!B59</f>
        <v>6</v>
      </c>
      <c r="C49" s="208">
        <f>+'Anexo Escurrimiento'!O59</f>
        <v>2.6675315267237472</v>
      </c>
      <c r="D49" s="207">
        <f>+'Anexo Escurrimiento'!D59</f>
        <v>131.6</v>
      </c>
      <c r="E49" s="214">
        <f t="shared" si="15"/>
        <v>41.019999999999996</v>
      </c>
      <c r="F49" s="213">
        <f t="shared" si="15"/>
        <v>0</v>
      </c>
      <c r="G49" s="211">
        <f t="shared" si="16"/>
        <v>9.0580000000000001E-4</v>
      </c>
      <c r="H49" s="212">
        <f>+F49/100000*'Anexo Bal Hídrico'!$G$4</f>
        <v>0</v>
      </c>
      <c r="I49" s="212">
        <v>0</v>
      </c>
      <c r="J49" s="212">
        <f t="shared" ca="1" si="2"/>
        <v>10.304379289791637</v>
      </c>
      <c r="K49" s="212">
        <f t="shared" ca="1" si="3"/>
        <v>358.35443314261465</v>
      </c>
      <c r="L49" s="212">
        <f t="shared" ca="1" si="4"/>
        <v>326.89617625279476</v>
      </c>
      <c r="M49" s="212">
        <f t="shared" ca="1" si="5"/>
        <v>10.268920684218692</v>
      </c>
      <c r="N49" s="212">
        <f t="shared" ca="1" si="6"/>
        <v>7.6368477630678893</v>
      </c>
      <c r="O49" s="210">
        <f t="shared" ca="1" si="0"/>
        <v>295.43791936297487</v>
      </c>
      <c r="P49" s="212">
        <f t="shared" ca="1" si="7"/>
        <v>2.6320729211508027</v>
      </c>
      <c r="Q49" s="212">
        <f t="shared" ca="1" si="8"/>
        <v>0</v>
      </c>
      <c r="R49" s="386"/>
      <c r="S49" s="207">
        <f t="shared" si="12"/>
        <v>1984</v>
      </c>
      <c r="T49" s="207">
        <f t="shared" si="13"/>
        <v>6</v>
      </c>
      <c r="U49" s="384" t="str">
        <f t="shared" ca="1" si="9"/>
        <v/>
      </c>
      <c r="V49" s="384" t="str">
        <f t="shared" ca="1" si="10"/>
        <v/>
      </c>
      <c r="W49" s="385" t="str">
        <f t="shared" ca="1" si="11"/>
        <v>|||||||||||||</v>
      </c>
    </row>
    <row r="50" spans="1:23">
      <c r="A50" s="207">
        <f>+'Anexo Escurrimiento'!A60</f>
        <v>1984</v>
      </c>
      <c r="B50" s="207">
        <f>+'Anexo Escurrimiento'!B60</f>
        <v>7</v>
      </c>
      <c r="C50" s="208">
        <f>+'Anexo Escurrimiento'!O60</f>
        <v>1.9793418827716363</v>
      </c>
      <c r="D50" s="207">
        <f>+'Anexo Escurrimiento'!D60</f>
        <v>101.2</v>
      </c>
      <c r="E50" s="214">
        <f t="shared" si="15"/>
        <v>50.819999999999993</v>
      </c>
      <c r="F50" s="213">
        <f t="shared" si="15"/>
        <v>0</v>
      </c>
      <c r="G50" s="211">
        <f t="shared" si="16"/>
        <v>5.038000000000001E-4</v>
      </c>
      <c r="H50" s="212">
        <f>+F50/100000*'Anexo Bal Hídrico'!$G$4</f>
        <v>0</v>
      </c>
      <c r="I50" s="212">
        <v>0</v>
      </c>
      <c r="J50" s="212">
        <f t="shared" ca="1" si="2"/>
        <v>9.6161896458395262</v>
      </c>
      <c r="K50" s="212">
        <f t="shared" ca="1" si="3"/>
        <v>342.74211302642834</v>
      </c>
      <c r="L50" s="212">
        <f t="shared" ca="1" si="4"/>
        <v>319.0900161947016</v>
      </c>
      <c r="M50" s="212">
        <f t="shared" ca="1" si="5"/>
        <v>9.5367995787252404</v>
      </c>
      <c r="N50" s="212">
        <f t="shared" ca="1" si="6"/>
        <v>7.6368477630678893</v>
      </c>
      <c r="O50" s="210">
        <f t="shared" ca="1" si="0"/>
        <v>295.43791936297487</v>
      </c>
      <c r="P50" s="212">
        <f t="shared" ca="1" si="7"/>
        <v>1.8999518156573512</v>
      </c>
      <c r="Q50" s="212">
        <f t="shared" ca="1" si="8"/>
        <v>0</v>
      </c>
      <c r="R50" s="386"/>
      <c r="S50" s="207">
        <f t="shared" si="12"/>
        <v>1984</v>
      </c>
      <c r="T50" s="207">
        <f t="shared" si="13"/>
        <v>7</v>
      </c>
      <c r="U50" s="384" t="str">
        <f t="shared" ca="1" si="9"/>
        <v/>
      </c>
      <c r="V50" s="384" t="str">
        <f t="shared" ca="1" si="10"/>
        <v/>
      </c>
      <c r="W50" s="385" t="str">
        <f t="shared" ca="1" si="11"/>
        <v>|||||||||</v>
      </c>
    </row>
    <row r="51" spans="1:23">
      <c r="A51" s="207">
        <f>+'Anexo Escurrimiento'!A61</f>
        <v>1984</v>
      </c>
      <c r="B51" s="207">
        <f>+'Anexo Escurrimiento'!B61</f>
        <v>8</v>
      </c>
      <c r="C51" s="208">
        <f>+'Anexo Escurrimiento'!O61</f>
        <v>0.59518605992495821</v>
      </c>
      <c r="D51" s="207">
        <f>+'Anexo Escurrimiento'!D61</f>
        <v>25.3</v>
      </c>
      <c r="E51" s="214">
        <f t="shared" si="15"/>
        <v>72.449999999999989</v>
      </c>
      <c r="F51" s="213">
        <f t="shared" si="15"/>
        <v>0</v>
      </c>
      <c r="G51" s="211">
        <f t="shared" si="16"/>
        <v>-4.7149999999999991E-4</v>
      </c>
      <c r="H51" s="212">
        <f>+F51/100000*'Anexo Bal Hídrico'!$G$4</f>
        <v>0</v>
      </c>
      <c r="I51" s="212">
        <v>0</v>
      </c>
      <c r="J51" s="212">
        <f t="shared" ca="1" si="2"/>
        <v>8.2320338229928467</v>
      </c>
      <c r="K51" s="212">
        <f t="shared" ca="1" si="3"/>
        <v>310.07764833444986</v>
      </c>
      <c r="L51" s="212">
        <f t="shared" ca="1" si="4"/>
        <v>302.75778384871239</v>
      </c>
      <c r="M51" s="212">
        <f t="shared" ca="1" si="5"/>
        <v>8.0207674775353563</v>
      </c>
      <c r="N51" s="212">
        <f t="shared" ca="1" si="6"/>
        <v>7.6368477630678893</v>
      </c>
      <c r="O51" s="210">
        <f t="shared" ca="1" si="0"/>
        <v>295.43791936297487</v>
      </c>
      <c r="P51" s="212">
        <f t="shared" ca="1" si="7"/>
        <v>0.38391971446746709</v>
      </c>
      <c r="Q51" s="212">
        <f t="shared" ca="1" si="8"/>
        <v>0</v>
      </c>
      <c r="R51" s="386"/>
      <c r="S51" s="207">
        <f t="shared" si="12"/>
        <v>1984</v>
      </c>
      <c r="T51" s="207">
        <f t="shared" si="13"/>
        <v>8</v>
      </c>
      <c r="U51" s="384" t="str">
        <f t="shared" ca="1" si="9"/>
        <v/>
      </c>
      <c r="V51" s="384" t="str">
        <f t="shared" ca="1" si="10"/>
        <v/>
      </c>
      <c r="W51" s="385" t="str">
        <f t="shared" ca="1" si="11"/>
        <v>|</v>
      </c>
    </row>
    <row r="52" spans="1:23">
      <c r="A52" s="207">
        <f>+'Anexo Escurrimiento'!A62</f>
        <v>1984</v>
      </c>
      <c r="B52" s="207">
        <f>+'Anexo Escurrimiento'!B62</f>
        <v>9</v>
      </c>
      <c r="C52" s="208">
        <f>+'Anexo Escurrimiento'!O62</f>
        <v>2.8662339145583076</v>
      </c>
      <c r="D52" s="207">
        <f>+'Anexo Escurrimiento'!D62</f>
        <v>207.1</v>
      </c>
      <c r="E52" s="214">
        <f t="shared" si="15"/>
        <v>85.89</v>
      </c>
      <c r="F52" s="213">
        <f t="shared" si="15"/>
        <v>0</v>
      </c>
      <c r="G52" s="211">
        <f t="shared" si="16"/>
        <v>1.2121E-3</v>
      </c>
      <c r="H52" s="212">
        <f>+F52/100000*'Anexo Bal Hídrico'!$G$4</f>
        <v>0</v>
      </c>
      <c r="I52" s="212">
        <v>0</v>
      </c>
      <c r="J52" s="212">
        <f t="shared" ca="1" si="2"/>
        <v>10.503081677626197</v>
      </c>
      <c r="K52" s="212">
        <f t="shared" ca="1" si="3"/>
        <v>362.79253908772648</v>
      </c>
      <c r="L52" s="212">
        <f t="shared" ca="1" si="4"/>
        <v>329.11522922535067</v>
      </c>
      <c r="M52" s="212">
        <f t="shared" ca="1" si="5"/>
        <v>10.543324972520308</v>
      </c>
      <c r="N52" s="212">
        <f t="shared" ca="1" si="6"/>
        <v>7.6368477630678893</v>
      </c>
      <c r="O52" s="210">
        <f t="shared" ca="1" si="0"/>
        <v>295.43791936297487</v>
      </c>
      <c r="P52" s="212">
        <f t="shared" ca="1" si="7"/>
        <v>2.9064772094524187</v>
      </c>
      <c r="Q52" s="212">
        <f t="shared" ca="1" si="8"/>
        <v>0</v>
      </c>
      <c r="R52" s="386"/>
      <c r="S52" s="207">
        <f t="shared" si="12"/>
        <v>1984</v>
      </c>
      <c r="T52" s="207">
        <f t="shared" si="13"/>
        <v>9</v>
      </c>
      <c r="U52" s="384" t="str">
        <f t="shared" ca="1" si="9"/>
        <v/>
      </c>
      <c r="V52" s="384" t="str">
        <f t="shared" ca="1" si="10"/>
        <v/>
      </c>
      <c r="W52" s="385" t="str">
        <f t="shared" ca="1" si="11"/>
        <v>||||||||||||||</v>
      </c>
    </row>
    <row r="53" spans="1:23">
      <c r="A53" s="207">
        <f>+'Anexo Escurrimiento'!A63</f>
        <v>1984</v>
      </c>
      <c r="B53" s="207">
        <f>+'Anexo Escurrimiento'!B63</f>
        <v>10</v>
      </c>
      <c r="C53" s="208">
        <f>+'Anexo Escurrimiento'!O63</f>
        <v>1.8619081223909717</v>
      </c>
      <c r="D53" s="207">
        <f>+'Anexo Escurrimiento'!D63</f>
        <v>125.3</v>
      </c>
      <c r="E53" s="214">
        <f t="shared" ref="E53:F72" si="17">+E41</f>
        <v>114.86999999999999</v>
      </c>
      <c r="F53" s="213">
        <f t="shared" si="17"/>
        <v>59</v>
      </c>
      <c r="G53" s="211">
        <f t="shared" si="16"/>
        <v>1.0430000000000007E-4</v>
      </c>
      <c r="H53" s="212">
        <f>+F53/100000*'Anexo Bal Hídrico'!$G$4</f>
        <v>0.53100000000000003</v>
      </c>
      <c r="I53" s="212">
        <v>0</v>
      </c>
      <c r="J53" s="212">
        <f t="shared" ca="1" si="2"/>
        <v>8.9677558854588604</v>
      </c>
      <c r="K53" s="212">
        <f t="shared" ca="1" si="3"/>
        <v>327.66386681989997</v>
      </c>
      <c r="L53" s="212">
        <f t="shared" ca="1" si="4"/>
        <v>311.55089309143739</v>
      </c>
      <c r="M53" s="212">
        <f t="shared" ca="1" si="5"/>
        <v>8.7796882335759356</v>
      </c>
      <c r="N53" s="212">
        <f t="shared" ca="1" si="6"/>
        <v>7.6368477630678893</v>
      </c>
      <c r="O53" s="210">
        <f t="shared" ca="1" si="0"/>
        <v>295.43791936297487</v>
      </c>
      <c r="P53" s="212">
        <f t="shared" ca="1" si="7"/>
        <v>1.1428404705080464</v>
      </c>
      <c r="Q53" s="212">
        <f t="shared" ca="1" si="8"/>
        <v>0.53100000000000003</v>
      </c>
      <c r="R53" s="386"/>
      <c r="S53" s="207">
        <f t="shared" si="12"/>
        <v>1984</v>
      </c>
      <c r="T53" s="207">
        <f t="shared" si="13"/>
        <v>10</v>
      </c>
      <c r="U53" s="384" t="str">
        <f t="shared" ca="1" si="9"/>
        <v/>
      </c>
      <c r="V53" s="384" t="str">
        <f t="shared" ca="1" si="10"/>
        <v>||</v>
      </c>
      <c r="W53" s="385" t="str">
        <f t="shared" ca="1" si="11"/>
        <v>|||||</v>
      </c>
    </row>
    <row r="54" spans="1:23">
      <c r="A54" s="207">
        <f>+'Anexo Escurrimiento'!A64</f>
        <v>1984</v>
      </c>
      <c r="B54" s="207">
        <f>+'Anexo Escurrimiento'!B64</f>
        <v>11</v>
      </c>
      <c r="C54" s="208">
        <f>+'Anexo Escurrimiento'!O64</f>
        <v>1.659807013965793</v>
      </c>
      <c r="D54" s="207">
        <f>+'Anexo Escurrimiento'!D64</f>
        <v>143.9</v>
      </c>
      <c r="E54" s="214">
        <f t="shared" si="17"/>
        <v>144.06</v>
      </c>
      <c r="F54" s="213">
        <f t="shared" si="17"/>
        <v>212</v>
      </c>
      <c r="G54" s="211">
        <f t="shared" si="16"/>
        <v>-1.5999999999999658E-6</v>
      </c>
      <c r="H54" s="212">
        <f>+F54/100000*'Anexo Bal Hídrico'!$G$4</f>
        <v>1.9079999999999999</v>
      </c>
      <c r="I54" s="212">
        <v>0</v>
      </c>
      <c r="J54" s="212">
        <f t="shared" ca="1" si="2"/>
        <v>7.3886547770336826</v>
      </c>
      <c r="K54" s="212">
        <f t="shared" ca="1" si="3"/>
        <v>289.21401160677652</v>
      </c>
      <c r="L54" s="212">
        <f t="shared" ca="1" si="4"/>
        <v>292.32596548487572</v>
      </c>
      <c r="M54" s="212">
        <f t="shared" ca="1" si="5"/>
        <v>7.2036985810112952</v>
      </c>
      <c r="N54" s="212">
        <f t="shared" ca="1" si="6"/>
        <v>7.2036985810112952</v>
      </c>
      <c r="O54" s="210">
        <f t="shared" ca="1" si="0"/>
        <v>284.52743699260463</v>
      </c>
      <c r="P54" s="212">
        <f t="shared" ca="1" si="7"/>
        <v>0</v>
      </c>
      <c r="Q54" s="212">
        <f t="shared" ca="1" si="8"/>
        <v>1.9079999999999999</v>
      </c>
      <c r="R54" s="386"/>
      <c r="S54" s="207">
        <f t="shared" si="12"/>
        <v>1984</v>
      </c>
      <c r="T54" s="207">
        <f t="shared" si="13"/>
        <v>11</v>
      </c>
      <c r="U54" s="384" t="str">
        <f t="shared" ca="1" si="9"/>
        <v/>
      </c>
      <c r="V54" s="384" t="str">
        <f t="shared" ca="1" si="10"/>
        <v>|||||||||</v>
      </c>
      <c r="W54" s="385" t="str">
        <f t="shared" ca="1" si="11"/>
        <v/>
      </c>
    </row>
    <row r="55" spans="1:23">
      <c r="A55" s="207">
        <f>+'Anexo Escurrimiento'!A65</f>
        <v>1984</v>
      </c>
      <c r="B55" s="207">
        <f>+'Anexo Escurrimiento'!B65</f>
        <v>12</v>
      </c>
      <c r="C55" s="208">
        <f>+'Anexo Escurrimiento'!O65</f>
        <v>0.48689531028964028</v>
      </c>
      <c r="D55" s="207">
        <f>+'Anexo Escurrimiento'!D65</f>
        <v>28.2</v>
      </c>
      <c r="E55" s="214">
        <f t="shared" si="17"/>
        <v>179.62</v>
      </c>
      <c r="F55" s="213">
        <f t="shared" si="17"/>
        <v>388</v>
      </c>
      <c r="G55" s="211">
        <f t="shared" si="16"/>
        <v>-1.5142000000000001E-3</v>
      </c>
      <c r="H55" s="212">
        <f>+F55/100000*'Anexo Bal Hídrico'!$G$4</f>
        <v>3.492</v>
      </c>
      <c r="I55" s="212">
        <v>0</v>
      </c>
      <c r="J55" s="212">
        <f t="shared" ca="1" si="2"/>
        <v>4.1985938913009351</v>
      </c>
      <c r="K55" s="212">
        <f t="shared" ca="1" si="3"/>
        <v>200.92511937348749</v>
      </c>
      <c r="L55" s="212">
        <f t="shared" ca="1" si="4"/>
        <v>242.72627818304608</v>
      </c>
      <c r="M55" s="212">
        <f t="shared" ca="1" si="5"/>
        <v>3.7861215302558691</v>
      </c>
      <c r="N55" s="212">
        <f t="shared" ca="1" si="6"/>
        <v>3.7861215302558691</v>
      </c>
      <c r="O55" s="210">
        <f t="shared" ca="1" si="0"/>
        <v>187.97188427155612</v>
      </c>
      <c r="P55" s="212">
        <f t="shared" ca="1" si="7"/>
        <v>0</v>
      </c>
      <c r="Q55" s="212">
        <f t="shared" ca="1" si="8"/>
        <v>3.492</v>
      </c>
      <c r="R55" s="386"/>
      <c r="S55" s="207">
        <f t="shared" si="12"/>
        <v>1984</v>
      </c>
      <c r="T55" s="207">
        <f t="shared" si="13"/>
        <v>12</v>
      </c>
      <c r="U55" s="384" t="str">
        <f t="shared" ca="1" si="9"/>
        <v/>
      </c>
      <c r="V55" s="384" t="str">
        <f t="shared" ca="1" si="10"/>
        <v>|||||||||||||||||</v>
      </c>
      <c r="W55" s="385" t="str">
        <f t="shared" ca="1" si="11"/>
        <v/>
      </c>
    </row>
    <row r="56" spans="1:23">
      <c r="A56" s="207">
        <f>+'Anexo Escurrimiento'!A66</f>
        <v>1985</v>
      </c>
      <c r="B56" s="207">
        <f>+'Anexo Escurrimiento'!B66</f>
        <v>1</v>
      </c>
      <c r="C56" s="208">
        <f>+'Anexo Escurrimiento'!O66</f>
        <v>0.31215159541990339</v>
      </c>
      <c r="D56" s="207">
        <f>+'Anexo Escurrimiento'!D66</f>
        <v>66.400000000000006</v>
      </c>
      <c r="E56" s="214">
        <f t="shared" si="17"/>
        <v>176.89</v>
      </c>
      <c r="F56" s="213">
        <f t="shared" si="17"/>
        <v>318</v>
      </c>
      <c r="G56" s="211">
        <f t="shared" si="16"/>
        <v>-1.1048999999999998E-3</v>
      </c>
      <c r="H56" s="212">
        <f>+F56/100000*'Anexo Bal Hídrico'!$G$4</f>
        <v>2.8620000000000001</v>
      </c>
      <c r="I56" s="212">
        <v>0</v>
      </c>
      <c r="J56" s="212">
        <f t="shared" ca="1" si="2"/>
        <v>1.2362731256757726</v>
      </c>
      <c r="K56" s="212">
        <f t="shared" ca="1" si="3"/>
        <v>91.378422334594873</v>
      </c>
      <c r="L56" s="212">
        <f t="shared" ca="1" si="4"/>
        <v>139.67515330307549</v>
      </c>
      <c r="M56" s="212">
        <f t="shared" ca="1" si="5"/>
        <v>1.0653681697250161</v>
      </c>
      <c r="N56" s="212">
        <f t="shared" ca="1" si="6"/>
        <v>1.0653681697250161</v>
      </c>
      <c r="O56" s="210">
        <f t="shared" ca="1" si="0"/>
        <v>83.023948145173406</v>
      </c>
      <c r="P56" s="212">
        <f t="shared" ca="1" si="7"/>
        <v>0</v>
      </c>
      <c r="Q56" s="212">
        <f t="shared" ca="1" si="8"/>
        <v>2.8620000000000001</v>
      </c>
      <c r="R56" s="386"/>
      <c r="S56" s="207">
        <f t="shared" si="12"/>
        <v>1985</v>
      </c>
      <c r="T56" s="207">
        <f t="shared" si="13"/>
        <v>1</v>
      </c>
      <c r="U56" s="384" t="str">
        <f t="shared" ca="1" si="9"/>
        <v/>
      </c>
      <c r="V56" s="384" t="str">
        <f t="shared" ca="1" si="10"/>
        <v>||||||||||||||</v>
      </c>
      <c r="W56" s="385" t="str">
        <f t="shared" ca="1" si="11"/>
        <v/>
      </c>
    </row>
    <row r="57" spans="1:23">
      <c r="A57" s="207">
        <f>+'Anexo Escurrimiento'!A67</f>
        <v>1985</v>
      </c>
      <c r="B57" s="207">
        <f>+'Anexo Escurrimiento'!B67</f>
        <v>2</v>
      </c>
      <c r="C57" s="208">
        <f>+'Anexo Escurrimiento'!O67</f>
        <v>0.78676040790645008</v>
      </c>
      <c r="D57" s="207">
        <f>+'Anexo Escurrimiento'!D67</f>
        <v>102.9</v>
      </c>
      <c r="E57" s="214">
        <f t="shared" si="17"/>
        <v>131.73999999999998</v>
      </c>
      <c r="F57" s="213">
        <f t="shared" si="17"/>
        <v>153</v>
      </c>
      <c r="G57" s="211">
        <f t="shared" si="16"/>
        <v>-2.8839999999999975E-4</v>
      </c>
      <c r="H57" s="212">
        <f>+F57/100000*'Anexo Bal Hídrico'!$G$4</f>
        <v>1.377</v>
      </c>
      <c r="I57" s="212">
        <v>0</v>
      </c>
      <c r="J57" s="212">
        <f t="shared" ca="1" si="2"/>
        <v>0.47512857763146621</v>
      </c>
      <c r="K57" s="212">
        <f t="shared" ca="1" si="3"/>
        <v>49.340757506569041</v>
      </c>
      <c r="L57" s="212">
        <f t="shared" ca="1" si="4"/>
        <v>66.18235282587122</v>
      </c>
      <c r="M57" s="212">
        <f t="shared" ca="1" si="5"/>
        <v>0.43624323920367458</v>
      </c>
      <c r="N57" s="212">
        <f t="shared" ca="1" si="6"/>
        <v>0.43624323920367458</v>
      </c>
      <c r="O57" s="210">
        <f t="shared" ca="1" si="0"/>
        <v>46.699090325209902</v>
      </c>
      <c r="P57" s="212">
        <f t="shared" ca="1" si="7"/>
        <v>0</v>
      </c>
      <c r="Q57" s="212">
        <f t="shared" ca="1" si="8"/>
        <v>1.377</v>
      </c>
      <c r="R57" s="386"/>
      <c r="S57" s="207">
        <f t="shared" si="12"/>
        <v>1985</v>
      </c>
      <c r="T57" s="207">
        <f t="shared" si="13"/>
        <v>2</v>
      </c>
      <c r="U57" s="384" t="str">
        <f t="shared" ca="1" si="9"/>
        <v/>
      </c>
      <c r="V57" s="384" t="str">
        <f t="shared" ca="1" si="10"/>
        <v>||||||</v>
      </c>
      <c r="W57" s="385" t="str">
        <f t="shared" ca="1" si="11"/>
        <v/>
      </c>
    </row>
    <row r="58" spans="1:23">
      <c r="A58" s="207">
        <f>+'Anexo Escurrimiento'!A68</f>
        <v>1985</v>
      </c>
      <c r="B58" s="207">
        <f>+'Anexo Escurrimiento'!B68</f>
        <v>3</v>
      </c>
      <c r="C58" s="208">
        <f>+'Anexo Escurrimiento'!O68</f>
        <v>3.6986915685198305</v>
      </c>
      <c r="D58" s="207">
        <f>+'Anexo Escurrimiento'!D68</f>
        <v>261.7</v>
      </c>
      <c r="E58" s="214">
        <f t="shared" si="17"/>
        <v>118.64999999999999</v>
      </c>
      <c r="F58" s="213">
        <f t="shared" si="17"/>
        <v>47</v>
      </c>
      <c r="G58" s="211">
        <f t="shared" si="16"/>
        <v>1.4305000000000001E-3</v>
      </c>
      <c r="H58" s="212">
        <f>+F58/100000*'Anexo Bal Hídrico'!$G$4</f>
        <v>0.42299999999999999</v>
      </c>
      <c r="I58" s="212">
        <v>0</v>
      </c>
      <c r="J58" s="212">
        <f t="shared" ca="1" si="2"/>
        <v>3.7119348077235053</v>
      </c>
      <c r="K58" s="212">
        <f t="shared" ca="1" si="3"/>
        <v>185.58994639051181</v>
      </c>
      <c r="L58" s="212">
        <f t="shared" ca="1" si="4"/>
        <v>116.14451835786086</v>
      </c>
      <c r="M58" s="212">
        <f t="shared" ca="1" si="5"/>
        <v>3.7147400922686389</v>
      </c>
      <c r="N58" s="212">
        <f t="shared" ca="1" si="6"/>
        <v>3.7147400922686389</v>
      </c>
      <c r="O58" s="210">
        <f t="shared" ca="1" si="0"/>
        <v>185.68032275243826</v>
      </c>
      <c r="P58" s="212">
        <f t="shared" ca="1" si="7"/>
        <v>0</v>
      </c>
      <c r="Q58" s="212">
        <f t="shared" ca="1" si="8"/>
        <v>0.42299999999999999</v>
      </c>
      <c r="R58" s="386"/>
      <c r="S58" s="207">
        <f t="shared" si="12"/>
        <v>1985</v>
      </c>
      <c r="T58" s="207">
        <f t="shared" si="13"/>
        <v>3</v>
      </c>
      <c r="U58" s="384" t="str">
        <f t="shared" ca="1" si="9"/>
        <v/>
      </c>
      <c r="V58" s="384" t="str">
        <f t="shared" ca="1" si="10"/>
        <v>||</v>
      </c>
      <c r="W58" s="385" t="str">
        <f t="shared" ca="1" si="11"/>
        <v/>
      </c>
    </row>
    <row r="59" spans="1:23">
      <c r="A59" s="207">
        <f>+'Anexo Escurrimiento'!A69</f>
        <v>1985</v>
      </c>
      <c r="B59" s="207">
        <f>+'Anexo Escurrimiento'!B69</f>
        <v>4</v>
      </c>
      <c r="C59" s="208">
        <f>+'Anexo Escurrimiento'!O69</f>
        <v>2.0569547254924045</v>
      </c>
      <c r="D59" s="207">
        <f>+'Anexo Escurrimiento'!D69</f>
        <v>115.7</v>
      </c>
      <c r="E59" s="214">
        <f t="shared" si="17"/>
        <v>73.149999999999991</v>
      </c>
      <c r="F59" s="213">
        <f t="shared" si="17"/>
        <v>0</v>
      </c>
      <c r="G59" s="211">
        <f t="shared" si="16"/>
        <v>4.255000000000001E-4</v>
      </c>
      <c r="H59" s="212">
        <f>+F59/100000*'Anexo Bal Hídrico'!$G$4</f>
        <v>0</v>
      </c>
      <c r="I59" s="212">
        <v>0</v>
      </c>
      <c r="J59" s="212">
        <f t="shared" ca="1" si="2"/>
        <v>5.771694817761043</v>
      </c>
      <c r="K59" s="212">
        <f t="shared" ca="1" si="3"/>
        <v>246.65813738809285</v>
      </c>
      <c r="L59" s="212">
        <f t="shared" ca="1" si="4"/>
        <v>216.16923007026554</v>
      </c>
      <c r="M59" s="212">
        <f t="shared" ca="1" si="5"/>
        <v>5.6946062626848057</v>
      </c>
      <c r="N59" s="212">
        <f t="shared" ca="1" si="6"/>
        <v>5.6946062626848057</v>
      </c>
      <c r="O59" s="210">
        <f t="shared" ca="1" si="0"/>
        <v>244.52999628065706</v>
      </c>
      <c r="P59" s="212">
        <f t="shared" ca="1" si="7"/>
        <v>0</v>
      </c>
      <c r="Q59" s="212">
        <f t="shared" ca="1" si="8"/>
        <v>0</v>
      </c>
      <c r="R59" s="386"/>
      <c r="S59" s="207">
        <f t="shared" si="12"/>
        <v>1985</v>
      </c>
      <c r="T59" s="207">
        <f t="shared" si="13"/>
        <v>4</v>
      </c>
      <c r="U59" s="384" t="str">
        <f t="shared" ca="1" si="9"/>
        <v/>
      </c>
      <c r="V59" s="384" t="str">
        <f t="shared" ca="1" si="10"/>
        <v/>
      </c>
      <c r="W59" s="385" t="str">
        <f t="shared" ca="1" si="11"/>
        <v/>
      </c>
    </row>
    <row r="60" spans="1:23">
      <c r="A60" s="207">
        <f>+'Anexo Escurrimiento'!A70</f>
        <v>1985</v>
      </c>
      <c r="B60" s="207">
        <f>+'Anexo Escurrimiento'!B70</f>
        <v>5</v>
      </c>
      <c r="C60" s="208">
        <f>+'Anexo Escurrimiento'!O70</f>
        <v>2.5117525475714375</v>
      </c>
      <c r="D60" s="207">
        <f>+'Anexo Escurrimiento'!D70</f>
        <v>150.69999999999999</v>
      </c>
      <c r="E60" s="214">
        <f t="shared" si="17"/>
        <v>51.24</v>
      </c>
      <c r="F60" s="213">
        <f t="shared" si="17"/>
        <v>0</v>
      </c>
      <c r="G60" s="211">
        <f t="shared" si="16"/>
        <v>9.9459999999999978E-4</v>
      </c>
      <c r="H60" s="212">
        <f>+F60/100000*'Anexo Bal Hídrico'!$G$4</f>
        <v>0</v>
      </c>
      <c r="I60" s="212">
        <v>0</v>
      </c>
      <c r="J60" s="212">
        <f t="shared" ca="1" si="2"/>
        <v>8.2063588102562441</v>
      </c>
      <c r="K60" s="212">
        <f t="shared" ca="1" si="3"/>
        <v>309.45406108196931</v>
      </c>
      <c r="L60" s="212">
        <f t="shared" ca="1" si="4"/>
        <v>276.99202868131317</v>
      </c>
      <c r="M60" s="212">
        <f t="shared" ca="1" si="5"/>
        <v>8.2173168942650836</v>
      </c>
      <c r="N60" s="212">
        <f t="shared" ca="1" si="6"/>
        <v>7.6368477630678893</v>
      </c>
      <c r="O60" s="210">
        <f t="shared" ca="1" si="0"/>
        <v>295.43791936297487</v>
      </c>
      <c r="P60" s="212">
        <f t="shared" ca="1" si="7"/>
        <v>0.58046913119719434</v>
      </c>
      <c r="Q60" s="212">
        <f t="shared" ca="1" si="8"/>
        <v>0</v>
      </c>
      <c r="R60" s="386"/>
      <c r="S60" s="207">
        <f t="shared" si="12"/>
        <v>1985</v>
      </c>
      <c r="T60" s="207">
        <f t="shared" si="13"/>
        <v>5</v>
      </c>
      <c r="U60" s="384" t="str">
        <f t="shared" ca="1" si="9"/>
        <v/>
      </c>
      <c r="V60" s="384" t="str">
        <f t="shared" ca="1" si="10"/>
        <v/>
      </c>
      <c r="W60" s="385" t="str">
        <f t="shared" ca="1" si="11"/>
        <v>||</v>
      </c>
    </row>
    <row r="61" spans="1:23">
      <c r="A61" s="207">
        <f>+'Anexo Escurrimiento'!A71</f>
        <v>1985</v>
      </c>
      <c r="B61" s="207">
        <f>+'Anexo Escurrimiento'!B71</f>
        <v>6</v>
      </c>
      <c r="C61" s="208">
        <f>+'Anexo Escurrimiento'!O71</f>
        <v>1.4856496946109377</v>
      </c>
      <c r="D61" s="207">
        <f>+'Anexo Escurrimiento'!D71</f>
        <v>75.3</v>
      </c>
      <c r="E61" s="214">
        <f t="shared" si="17"/>
        <v>41.019999999999996</v>
      </c>
      <c r="F61" s="213">
        <f t="shared" si="17"/>
        <v>0</v>
      </c>
      <c r="G61" s="211">
        <f t="shared" si="16"/>
        <v>3.4280000000000004E-4</v>
      </c>
      <c r="H61" s="212">
        <f>+F61/100000*'Anexo Bal Hídrico'!$G$4</f>
        <v>0</v>
      </c>
      <c r="I61" s="212">
        <v>0</v>
      </c>
      <c r="J61" s="212">
        <f t="shared" ca="1" si="2"/>
        <v>9.1224974576788274</v>
      </c>
      <c r="K61" s="212">
        <f t="shared" ca="1" si="3"/>
        <v>331.29640296605959</v>
      </c>
      <c r="L61" s="212">
        <f t="shared" ca="1" si="4"/>
        <v>313.36716116451726</v>
      </c>
      <c r="M61" s="212">
        <f t="shared" ca="1" si="5"/>
        <v>9.0529030561590407</v>
      </c>
      <c r="N61" s="212">
        <f t="shared" ca="1" si="6"/>
        <v>7.6368477630678893</v>
      </c>
      <c r="O61" s="210">
        <f t="shared" ca="1" si="0"/>
        <v>295.43791936297487</v>
      </c>
      <c r="P61" s="212">
        <f t="shared" ca="1" si="7"/>
        <v>1.4160552930911514</v>
      </c>
      <c r="Q61" s="212">
        <f t="shared" ca="1" si="8"/>
        <v>0</v>
      </c>
      <c r="R61" s="386"/>
      <c r="S61" s="207">
        <f t="shared" si="12"/>
        <v>1985</v>
      </c>
      <c r="T61" s="207">
        <f t="shared" si="13"/>
        <v>6</v>
      </c>
      <c r="U61" s="384" t="str">
        <f t="shared" ca="1" si="9"/>
        <v/>
      </c>
      <c r="V61" s="384" t="str">
        <f t="shared" ca="1" si="10"/>
        <v/>
      </c>
      <c r="W61" s="385" t="str">
        <f t="shared" ca="1" si="11"/>
        <v>|||||||</v>
      </c>
    </row>
    <row r="62" spans="1:23">
      <c r="A62" s="207">
        <f>+'Anexo Escurrimiento'!A72</f>
        <v>1985</v>
      </c>
      <c r="B62" s="207">
        <f>+'Anexo Escurrimiento'!B72</f>
        <v>7</v>
      </c>
      <c r="C62" s="208">
        <f>+'Anexo Escurrimiento'!O72</f>
        <v>2.2938728831925346</v>
      </c>
      <c r="D62" s="207">
        <f>+'Anexo Escurrimiento'!D72</f>
        <v>136.80000000000001</v>
      </c>
      <c r="E62" s="214">
        <f t="shared" si="17"/>
        <v>50.819999999999993</v>
      </c>
      <c r="F62" s="213">
        <f t="shared" si="17"/>
        <v>0</v>
      </c>
      <c r="G62" s="211">
        <f t="shared" si="16"/>
        <v>8.5980000000000019E-4</v>
      </c>
      <c r="H62" s="212">
        <f>+F62/100000*'Anexo Bal Hídrico'!$G$4</f>
        <v>0</v>
      </c>
      <c r="I62" s="212">
        <v>0</v>
      </c>
      <c r="J62" s="212">
        <f t="shared" ca="1" si="2"/>
        <v>9.9307206462604238</v>
      </c>
      <c r="K62" s="212">
        <f t="shared" ca="1" si="3"/>
        <v>349.92524993072436</v>
      </c>
      <c r="L62" s="212">
        <f t="shared" ca="1" si="4"/>
        <v>322.68158464684961</v>
      </c>
      <c r="M62" s="212">
        <f t="shared" ca="1" si="5"/>
        <v>9.9267210039462483</v>
      </c>
      <c r="N62" s="212">
        <f t="shared" ca="1" si="6"/>
        <v>7.6368477630678893</v>
      </c>
      <c r="O62" s="210">
        <f t="shared" ca="1" si="0"/>
        <v>295.43791936297487</v>
      </c>
      <c r="P62" s="212">
        <f t="shared" ca="1" si="7"/>
        <v>2.2898732408783591</v>
      </c>
      <c r="Q62" s="212">
        <f t="shared" ca="1" si="8"/>
        <v>0</v>
      </c>
      <c r="R62" s="386"/>
      <c r="S62" s="207">
        <f t="shared" si="12"/>
        <v>1985</v>
      </c>
      <c r="T62" s="207">
        <f t="shared" si="13"/>
        <v>7</v>
      </c>
      <c r="U62" s="384" t="str">
        <f t="shared" ca="1" si="9"/>
        <v/>
      </c>
      <c r="V62" s="384" t="str">
        <f t="shared" ca="1" si="10"/>
        <v/>
      </c>
      <c r="W62" s="385" t="str">
        <f t="shared" ca="1" si="11"/>
        <v>|||||||||||</v>
      </c>
    </row>
    <row r="63" spans="1:23">
      <c r="A63" s="207">
        <f>+'Anexo Escurrimiento'!A73</f>
        <v>1985</v>
      </c>
      <c r="B63" s="207">
        <f>+'Anexo Escurrimiento'!B73</f>
        <v>8</v>
      </c>
      <c r="C63" s="208">
        <f>+'Anexo Escurrimiento'!O73</f>
        <v>1.4007951225875015</v>
      </c>
      <c r="D63" s="207">
        <f>+'Anexo Escurrimiento'!D73</f>
        <v>80</v>
      </c>
      <c r="E63" s="214">
        <f t="shared" si="17"/>
        <v>72.449999999999989</v>
      </c>
      <c r="F63" s="213">
        <f t="shared" si="17"/>
        <v>0</v>
      </c>
      <c r="G63" s="211">
        <f t="shared" si="16"/>
        <v>7.5500000000000114E-5</v>
      </c>
      <c r="H63" s="212">
        <f>+F63/100000*'Anexo Bal Hídrico'!$G$4</f>
        <v>0</v>
      </c>
      <c r="I63" s="212">
        <v>0</v>
      </c>
      <c r="J63" s="212">
        <f t="shared" ca="1" si="2"/>
        <v>9.0376428856553908</v>
      </c>
      <c r="K63" s="212">
        <f t="shared" ca="1" si="3"/>
        <v>329.30719132813846</v>
      </c>
      <c r="L63" s="212">
        <f t="shared" ca="1" si="4"/>
        <v>312.37255534555663</v>
      </c>
      <c r="M63" s="212">
        <f t="shared" ca="1" si="5"/>
        <v>8.894850605995293</v>
      </c>
      <c r="N63" s="212">
        <f t="shared" ca="1" si="6"/>
        <v>7.6368477630678893</v>
      </c>
      <c r="O63" s="210">
        <f t="shared" ca="1" si="0"/>
        <v>295.43791936297487</v>
      </c>
      <c r="P63" s="212">
        <f t="shared" ca="1" si="7"/>
        <v>1.2580028429274037</v>
      </c>
      <c r="Q63" s="212">
        <f t="shared" ca="1" si="8"/>
        <v>0</v>
      </c>
      <c r="R63" s="386"/>
      <c r="S63" s="207">
        <f t="shared" si="12"/>
        <v>1985</v>
      </c>
      <c r="T63" s="207">
        <f t="shared" si="13"/>
        <v>8</v>
      </c>
      <c r="U63" s="384" t="str">
        <f t="shared" ca="1" si="9"/>
        <v/>
      </c>
      <c r="V63" s="384" t="str">
        <f t="shared" ca="1" si="10"/>
        <v/>
      </c>
      <c r="W63" s="385" t="str">
        <f t="shared" ca="1" si="11"/>
        <v>||||||</v>
      </c>
    </row>
    <row r="64" spans="1:23">
      <c r="A64" s="207">
        <f>+'Anexo Escurrimiento'!A74</f>
        <v>1985</v>
      </c>
      <c r="B64" s="207">
        <f>+'Anexo Escurrimiento'!B74</f>
        <v>9</v>
      </c>
      <c r="C64" s="208">
        <f>+'Anexo Escurrimiento'!O74</f>
        <v>1.3351291835576042</v>
      </c>
      <c r="D64" s="207">
        <f>+'Anexo Escurrimiento'!D74</f>
        <v>106.8</v>
      </c>
      <c r="E64" s="214">
        <f t="shared" si="17"/>
        <v>85.89</v>
      </c>
      <c r="F64" s="213">
        <f t="shared" si="17"/>
        <v>0</v>
      </c>
      <c r="G64" s="211">
        <f t="shared" si="16"/>
        <v>2.0909999999999996E-4</v>
      </c>
      <c r="H64" s="212">
        <f>+F64/100000*'Anexo Bal Hídrico'!$G$4</f>
        <v>0</v>
      </c>
      <c r="I64" s="212">
        <v>0</v>
      </c>
      <c r="J64" s="212">
        <f t="shared" ca="1" si="2"/>
        <v>8.9719769466254942</v>
      </c>
      <c r="K64" s="212">
        <f t="shared" ca="1" si="3"/>
        <v>327.76324985336839</v>
      </c>
      <c r="L64" s="212">
        <f t="shared" ca="1" si="4"/>
        <v>311.60058460817163</v>
      </c>
      <c r="M64" s="212">
        <f t="shared" ca="1" si="5"/>
        <v>8.8789474447895032</v>
      </c>
      <c r="N64" s="212">
        <f t="shared" ca="1" si="6"/>
        <v>7.6368477630678893</v>
      </c>
      <c r="O64" s="210">
        <f t="shared" ca="1" si="0"/>
        <v>295.43791936297487</v>
      </c>
      <c r="P64" s="212">
        <f t="shared" ca="1" si="7"/>
        <v>1.2420996817216139</v>
      </c>
      <c r="Q64" s="212">
        <f t="shared" ca="1" si="8"/>
        <v>0</v>
      </c>
      <c r="R64" s="386"/>
      <c r="S64" s="207">
        <f t="shared" si="12"/>
        <v>1985</v>
      </c>
      <c r="T64" s="207">
        <f t="shared" si="13"/>
        <v>9</v>
      </c>
      <c r="U64" s="384" t="str">
        <f t="shared" ca="1" si="9"/>
        <v/>
      </c>
      <c r="V64" s="384" t="str">
        <f t="shared" ca="1" si="10"/>
        <v/>
      </c>
      <c r="W64" s="385" t="str">
        <f t="shared" ca="1" si="11"/>
        <v>||||||</v>
      </c>
    </row>
    <row r="65" spans="1:23">
      <c r="A65" s="207">
        <f>+'Anexo Escurrimiento'!A75</f>
        <v>1985</v>
      </c>
      <c r="B65" s="207">
        <f>+'Anexo Escurrimiento'!B75</f>
        <v>10</v>
      </c>
      <c r="C65" s="208">
        <f>+'Anexo Escurrimiento'!O75</f>
        <v>1.2669774209845777</v>
      </c>
      <c r="D65" s="207">
        <f>+'Anexo Escurrimiento'!D75</f>
        <v>110.6</v>
      </c>
      <c r="E65" s="214">
        <f t="shared" si="17"/>
        <v>114.86999999999999</v>
      </c>
      <c r="F65" s="213">
        <f t="shared" si="17"/>
        <v>59</v>
      </c>
      <c r="G65" s="211">
        <f t="shared" si="16"/>
        <v>-4.269999999999996E-5</v>
      </c>
      <c r="H65" s="212">
        <f>+F65/100000*'Anexo Bal Hídrico'!$G$4</f>
        <v>0.53100000000000003</v>
      </c>
      <c r="I65" s="212">
        <v>0</v>
      </c>
      <c r="J65" s="212">
        <f t="shared" ca="1" si="2"/>
        <v>8.3728251840524663</v>
      </c>
      <c r="K65" s="212">
        <f t="shared" ca="1" si="3"/>
        <v>313.48493845934013</v>
      </c>
      <c r="L65" s="212">
        <f t="shared" ca="1" si="4"/>
        <v>304.4614289111575</v>
      </c>
      <c r="M65" s="212">
        <f t="shared" ca="1" si="5"/>
        <v>8.2131532909272611</v>
      </c>
      <c r="N65" s="212">
        <f t="shared" ca="1" si="6"/>
        <v>7.6368477630678893</v>
      </c>
      <c r="O65" s="210">
        <f t="shared" ca="1" si="0"/>
        <v>295.43791936297487</v>
      </c>
      <c r="P65" s="212">
        <f t="shared" ca="1" si="7"/>
        <v>0.57630552785937184</v>
      </c>
      <c r="Q65" s="212">
        <f t="shared" ca="1" si="8"/>
        <v>0.53100000000000003</v>
      </c>
      <c r="R65" s="386"/>
      <c r="S65" s="207">
        <f t="shared" si="12"/>
        <v>1985</v>
      </c>
      <c r="T65" s="207">
        <f t="shared" si="13"/>
        <v>10</v>
      </c>
      <c r="U65" s="384" t="str">
        <f t="shared" ca="1" si="9"/>
        <v/>
      </c>
      <c r="V65" s="384" t="str">
        <f t="shared" ca="1" si="10"/>
        <v>||</v>
      </c>
      <c r="W65" s="385" t="str">
        <f t="shared" ca="1" si="11"/>
        <v>||</v>
      </c>
    </row>
    <row r="66" spans="1:23">
      <c r="A66" s="207">
        <f>+'Anexo Escurrimiento'!A76</f>
        <v>1985</v>
      </c>
      <c r="B66" s="207">
        <f>+'Anexo Escurrimiento'!B76</f>
        <v>11</v>
      </c>
      <c r="C66" s="208">
        <f>+'Anexo Escurrimiento'!O76</f>
        <v>0.34773476772142126</v>
      </c>
      <c r="D66" s="207">
        <f>+'Anexo Escurrimiento'!D76</f>
        <v>3.6</v>
      </c>
      <c r="E66" s="214">
        <f t="shared" si="17"/>
        <v>144.06</v>
      </c>
      <c r="F66" s="213">
        <f t="shared" si="17"/>
        <v>212</v>
      </c>
      <c r="G66" s="211">
        <f t="shared" si="16"/>
        <v>-1.4046E-3</v>
      </c>
      <c r="H66" s="212">
        <f>+F66/100000*'Anexo Bal Hídrico'!$G$4</f>
        <v>1.9079999999999999</v>
      </c>
      <c r="I66" s="212">
        <v>0</v>
      </c>
      <c r="J66" s="212">
        <f t="shared" ca="1" si="2"/>
        <v>6.0765825307893113</v>
      </c>
      <c r="K66" s="212">
        <f t="shared" ca="1" si="3"/>
        <v>254.97791421735451</v>
      </c>
      <c r="L66" s="212">
        <f t="shared" ca="1" si="4"/>
        <v>275.20791679016469</v>
      </c>
      <c r="M66" s="212">
        <f t="shared" ca="1" si="5"/>
        <v>5.6536379011243536</v>
      </c>
      <c r="N66" s="212">
        <f t="shared" ca="1" si="6"/>
        <v>5.6536379011243536</v>
      </c>
      <c r="O66" s="210">
        <f t="shared" ca="1" si="0"/>
        <v>243.39483879957587</v>
      </c>
      <c r="P66" s="212">
        <f t="shared" ca="1" si="7"/>
        <v>0</v>
      </c>
      <c r="Q66" s="212">
        <f t="shared" ca="1" si="8"/>
        <v>1.9079999999999999</v>
      </c>
      <c r="R66" s="386"/>
      <c r="S66" s="207">
        <f t="shared" si="12"/>
        <v>1985</v>
      </c>
      <c r="T66" s="207">
        <f t="shared" si="13"/>
        <v>11</v>
      </c>
      <c r="U66" s="384" t="str">
        <f t="shared" ca="1" si="9"/>
        <v/>
      </c>
      <c r="V66" s="384" t="str">
        <f t="shared" ca="1" si="10"/>
        <v>|||||||||</v>
      </c>
      <c r="W66" s="385" t="str">
        <f t="shared" ca="1" si="11"/>
        <v/>
      </c>
    </row>
    <row r="67" spans="1:23">
      <c r="A67" s="207">
        <f>+'Anexo Escurrimiento'!A77</f>
        <v>1985</v>
      </c>
      <c r="B67" s="207">
        <f>+'Anexo Escurrimiento'!B77</f>
        <v>12</v>
      </c>
      <c r="C67" s="208">
        <f>+'Anexo Escurrimiento'!O77</f>
        <v>7.5138381570113835E-2</v>
      </c>
      <c r="D67" s="207">
        <f>+'Anexo Escurrimiento'!D77</f>
        <v>28.3</v>
      </c>
      <c r="E67" s="214">
        <f t="shared" si="17"/>
        <v>179.62</v>
      </c>
      <c r="F67" s="213">
        <f t="shared" si="17"/>
        <v>388</v>
      </c>
      <c r="G67" s="211">
        <f t="shared" si="16"/>
        <v>-1.5131999999999999E-3</v>
      </c>
      <c r="H67" s="212">
        <f>+F67/100000*'Anexo Bal Hídrico'!$G$4</f>
        <v>3.492</v>
      </c>
      <c r="I67" s="212">
        <v>0</v>
      </c>
      <c r="J67" s="212">
        <f t="shared" ca="1" si="2"/>
        <v>2.2367762826944677</v>
      </c>
      <c r="K67" s="212">
        <f t="shared" ca="1" si="3"/>
        <v>133.90354188374621</v>
      </c>
      <c r="L67" s="212">
        <f t="shared" ca="1" si="4"/>
        <v>188.64919034166104</v>
      </c>
      <c r="M67" s="212">
        <f t="shared" ca="1" si="5"/>
        <v>1.9459226720341869</v>
      </c>
      <c r="N67" s="212">
        <f t="shared" ca="1" si="6"/>
        <v>1.9459226720341869</v>
      </c>
      <c r="O67" s="210">
        <f t="shared" ca="1" si="0"/>
        <v>122.40676652351345</v>
      </c>
      <c r="P67" s="212">
        <f t="shared" ca="1" si="7"/>
        <v>0</v>
      </c>
      <c r="Q67" s="212">
        <f t="shared" ca="1" si="8"/>
        <v>3.492</v>
      </c>
      <c r="R67" s="386"/>
      <c r="S67" s="207">
        <f t="shared" si="12"/>
        <v>1985</v>
      </c>
      <c r="T67" s="207">
        <f t="shared" si="13"/>
        <v>12</v>
      </c>
      <c r="U67" s="384" t="str">
        <f t="shared" ca="1" si="9"/>
        <v/>
      </c>
      <c r="V67" s="384" t="str">
        <f t="shared" ca="1" si="10"/>
        <v>|||||||||||||||||</v>
      </c>
      <c r="W67" s="385" t="str">
        <f t="shared" ca="1" si="11"/>
        <v/>
      </c>
    </row>
    <row r="68" spans="1:23">
      <c r="A68" s="207">
        <f>+'Anexo Escurrimiento'!A78</f>
        <v>1986</v>
      </c>
      <c r="B68" s="207">
        <f>+'Anexo Escurrimiento'!B78</f>
        <v>1</v>
      </c>
      <c r="C68" s="208">
        <f>+'Anexo Escurrimiento'!O78</f>
        <v>2.1435958332752723</v>
      </c>
      <c r="D68" s="207">
        <f>+'Anexo Escurrimiento'!D78</f>
        <v>216.8</v>
      </c>
      <c r="E68" s="214">
        <f t="shared" si="17"/>
        <v>176.89</v>
      </c>
      <c r="F68" s="213">
        <f t="shared" si="17"/>
        <v>318</v>
      </c>
      <c r="G68" s="211">
        <f t="shared" si="16"/>
        <v>3.9910000000000027E-4</v>
      </c>
      <c r="H68" s="212">
        <f>+F68/100000*'Anexo Bal Hídrico'!$G$4</f>
        <v>2.8620000000000001</v>
      </c>
      <c r="I68" s="212">
        <v>0</v>
      </c>
      <c r="J68" s="212">
        <f t="shared" ca="1" si="2"/>
        <v>1.2275185053094591</v>
      </c>
      <c r="K68" s="212">
        <f t="shared" ca="1" si="3"/>
        <v>90.960883502149272</v>
      </c>
      <c r="L68" s="212">
        <f t="shared" ca="1" si="4"/>
        <v>106.68382501283136</v>
      </c>
      <c r="M68" s="212">
        <f t="shared" ca="1" si="5"/>
        <v>1.1831427868776414</v>
      </c>
      <c r="N68" s="212">
        <f t="shared" ca="1" si="6"/>
        <v>1.1831427868776414</v>
      </c>
      <c r="O68" s="210">
        <f t="shared" ca="1" si="0"/>
        <v>88.827923541214361</v>
      </c>
      <c r="P68" s="212">
        <f t="shared" ca="1" si="7"/>
        <v>0</v>
      </c>
      <c r="Q68" s="212">
        <f t="shared" ca="1" si="8"/>
        <v>2.8620000000000001</v>
      </c>
      <c r="R68" s="386"/>
      <c r="S68" s="207">
        <f t="shared" si="12"/>
        <v>1986</v>
      </c>
      <c r="T68" s="207">
        <f t="shared" si="13"/>
        <v>1</v>
      </c>
      <c r="U68" s="384" t="str">
        <f t="shared" ca="1" si="9"/>
        <v/>
      </c>
      <c r="V68" s="384" t="str">
        <f t="shared" ca="1" si="10"/>
        <v>||||||||||||||</v>
      </c>
      <c r="W68" s="385" t="str">
        <f t="shared" ca="1" si="11"/>
        <v/>
      </c>
    </row>
    <row r="69" spans="1:23">
      <c r="A69" s="207">
        <f>+'Anexo Escurrimiento'!A79</f>
        <v>1986</v>
      </c>
      <c r="B69" s="207">
        <f>+'Anexo Escurrimiento'!B79</f>
        <v>2</v>
      </c>
      <c r="C69" s="208">
        <f>+'Anexo Escurrimiento'!O79</f>
        <v>1.016533595050382</v>
      </c>
      <c r="D69" s="207">
        <f>+'Anexo Escurrimiento'!D79</f>
        <v>76.2</v>
      </c>
      <c r="E69" s="214">
        <f t="shared" si="17"/>
        <v>131.73999999999998</v>
      </c>
      <c r="F69" s="213">
        <f t="shared" si="17"/>
        <v>153</v>
      </c>
      <c r="G69" s="211">
        <f t="shared" si="16"/>
        <v>-5.5539999999999973E-4</v>
      </c>
      <c r="H69" s="212">
        <f>+F69/100000*'Anexo Bal Hídrico'!$G$4</f>
        <v>1.377</v>
      </c>
      <c r="I69" s="212">
        <v>0</v>
      </c>
      <c r="J69" s="212">
        <f t="shared" ca="1" si="2"/>
        <v>0.82267638192802361</v>
      </c>
      <c r="K69" s="212">
        <f t="shared" ca="1" si="3"/>
        <v>70.283230341537518</v>
      </c>
      <c r="L69" s="212">
        <f t="shared" ca="1" si="4"/>
        <v>79.555576941375932</v>
      </c>
      <c r="M69" s="212">
        <f t="shared" ca="1" si="5"/>
        <v>0.74774181653488792</v>
      </c>
      <c r="N69" s="212">
        <f t="shared" ca="1" si="6"/>
        <v>0.74774181653488792</v>
      </c>
      <c r="O69" s="210">
        <f t="shared" ca="1" si="0"/>
        <v>66.08791702551018</v>
      </c>
      <c r="P69" s="212">
        <f t="shared" ca="1" si="7"/>
        <v>0</v>
      </c>
      <c r="Q69" s="212">
        <f t="shared" ca="1" si="8"/>
        <v>1.377</v>
      </c>
      <c r="R69" s="386"/>
      <c r="S69" s="207">
        <f t="shared" si="12"/>
        <v>1986</v>
      </c>
      <c r="T69" s="207">
        <f t="shared" si="13"/>
        <v>2</v>
      </c>
      <c r="U69" s="384" t="str">
        <f t="shared" ca="1" si="9"/>
        <v/>
      </c>
      <c r="V69" s="384" t="str">
        <f t="shared" ca="1" si="10"/>
        <v>||||||</v>
      </c>
      <c r="W69" s="385" t="str">
        <f t="shared" ca="1" si="11"/>
        <v/>
      </c>
    </row>
    <row r="70" spans="1:23">
      <c r="A70" s="207">
        <f>+'Anexo Escurrimiento'!A80</f>
        <v>1986</v>
      </c>
      <c r="B70" s="207">
        <f>+'Anexo Escurrimiento'!B80</f>
        <v>3</v>
      </c>
      <c r="C70" s="208">
        <f>+'Anexo Escurrimiento'!O80</f>
        <v>4.8191979634840951</v>
      </c>
      <c r="D70" s="207">
        <f>+'Anexo Escurrimiento'!D80</f>
        <v>319.2</v>
      </c>
      <c r="E70" s="214">
        <f t="shared" si="17"/>
        <v>118.64999999999999</v>
      </c>
      <c r="F70" s="213">
        <f t="shared" si="17"/>
        <v>47</v>
      </c>
      <c r="G70" s="211">
        <f t="shared" si="16"/>
        <v>2.0054999999999999E-3</v>
      </c>
      <c r="H70" s="212">
        <f>+F70/100000*'Anexo Bal Hídrico'!$G$4</f>
        <v>0.42299999999999999</v>
      </c>
      <c r="I70" s="212">
        <v>0</v>
      </c>
      <c r="J70" s="212">
        <f t="shared" ca="1" si="2"/>
        <v>5.1439397800189832</v>
      </c>
      <c r="K70" s="212">
        <f t="shared" ca="1" si="3"/>
        <v>229.01748914391408</v>
      </c>
      <c r="L70" s="212">
        <f t="shared" ca="1" si="4"/>
        <v>147.55270308471214</v>
      </c>
      <c r="M70" s="212">
        <f t="shared" ca="1" si="5"/>
        <v>5.1694819404232746</v>
      </c>
      <c r="N70" s="212">
        <f t="shared" ca="1" si="6"/>
        <v>5.1694819404232746</v>
      </c>
      <c r="O70" s="210">
        <f t="shared" ca="1" si="0"/>
        <v>229.74968939649986</v>
      </c>
      <c r="P70" s="212">
        <f t="shared" ca="1" si="7"/>
        <v>0</v>
      </c>
      <c r="Q70" s="212">
        <f t="shared" ca="1" si="8"/>
        <v>0.42299999999999999</v>
      </c>
      <c r="R70" s="386"/>
      <c r="S70" s="207">
        <f t="shared" si="12"/>
        <v>1986</v>
      </c>
      <c r="T70" s="207">
        <f t="shared" si="13"/>
        <v>3</v>
      </c>
      <c r="U70" s="384" t="str">
        <f t="shared" ca="1" si="9"/>
        <v/>
      </c>
      <c r="V70" s="384" t="str">
        <f t="shared" ca="1" si="10"/>
        <v>||</v>
      </c>
      <c r="W70" s="385" t="str">
        <f t="shared" ca="1" si="11"/>
        <v/>
      </c>
    </row>
    <row r="71" spans="1:23">
      <c r="A71" s="207">
        <f>+'Anexo Escurrimiento'!A81</f>
        <v>1986</v>
      </c>
      <c r="B71" s="207">
        <f>+'Anexo Escurrimiento'!B81</f>
        <v>4</v>
      </c>
      <c r="C71" s="208">
        <f>+'Anexo Escurrimiento'!O81</f>
        <v>6.0688689174704793</v>
      </c>
      <c r="D71" s="207">
        <f>+'Anexo Escurrimiento'!D81</f>
        <v>310.89999999999998</v>
      </c>
      <c r="E71" s="214">
        <f t="shared" si="17"/>
        <v>73.149999999999991</v>
      </c>
      <c r="F71" s="213">
        <f t="shared" si="17"/>
        <v>0</v>
      </c>
      <c r="G71" s="211">
        <f t="shared" si="16"/>
        <v>2.3774999999999998E-3</v>
      </c>
      <c r="H71" s="212">
        <f>+F71/100000*'Anexo Bal Hídrico'!$G$4</f>
        <v>0</v>
      </c>
      <c r="I71" s="212">
        <v>0</v>
      </c>
      <c r="J71" s="212">
        <f t="shared" ca="1" si="2"/>
        <v>11.238350857893753</v>
      </c>
      <c r="K71" s="212">
        <f t="shared" ca="1" si="3"/>
        <v>378.96207183217501</v>
      </c>
      <c r="L71" s="212">
        <f t="shared" ca="1" si="4"/>
        <v>304.35588061433742</v>
      </c>
      <c r="M71" s="212">
        <f t="shared" ca="1" si="5"/>
        <v>11.259639114735062</v>
      </c>
      <c r="N71" s="212">
        <f t="shared" ca="1" si="6"/>
        <v>7.6368477630678893</v>
      </c>
      <c r="O71" s="210">
        <f t="shared" ref="O71:O134" ca="1" si="18">+g_*N71^h_</f>
        <v>295.43791936297487</v>
      </c>
      <c r="P71" s="212">
        <f t="shared" ca="1" si="7"/>
        <v>3.622791351667173</v>
      </c>
      <c r="Q71" s="212">
        <f t="shared" ca="1" si="8"/>
        <v>0</v>
      </c>
      <c r="R71" s="386"/>
      <c r="S71" s="207">
        <f t="shared" si="12"/>
        <v>1986</v>
      </c>
      <c r="T71" s="207">
        <f t="shared" si="13"/>
        <v>4</v>
      </c>
      <c r="U71" s="384" t="str">
        <f t="shared" ca="1" si="9"/>
        <v/>
      </c>
      <c r="V71" s="384" t="str">
        <f t="shared" ca="1" si="10"/>
        <v/>
      </c>
      <c r="W71" s="385" t="str">
        <f t="shared" ca="1" si="11"/>
        <v>||||||||||||||||||</v>
      </c>
    </row>
    <row r="72" spans="1:23">
      <c r="A72" s="207">
        <f>+'Anexo Escurrimiento'!A82</f>
        <v>1986</v>
      </c>
      <c r="B72" s="207">
        <f>+'Anexo Escurrimiento'!B82</f>
        <v>5</v>
      </c>
      <c r="C72" s="208">
        <f>+'Anexo Escurrimiento'!O82</f>
        <v>5.1492603601121818</v>
      </c>
      <c r="D72" s="207">
        <f>+'Anexo Escurrimiento'!D82</f>
        <v>243.1</v>
      </c>
      <c r="E72" s="214">
        <f t="shared" si="17"/>
        <v>51.24</v>
      </c>
      <c r="F72" s="213">
        <f t="shared" si="17"/>
        <v>0</v>
      </c>
      <c r="G72" s="211">
        <f t="shared" si="16"/>
        <v>1.9185999999999999E-3</v>
      </c>
      <c r="H72" s="212">
        <f>+F72/100000*'Anexo Bal Hídrico'!$G$4</f>
        <v>0</v>
      </c>
      <c r="I72" s="212">
        <v>0</v>
      </c>
      <c r="J72" s="212">
        <f t="shared" ref="J72:J135" ca="1" si="19">+N71+C72-H72-I72</f>
        <v>12.786108123180071</v>
      </c>
      <c r="K72" s="212">
        <f t="shared" ref="K72:K135" ca="1" si="20">+IF(J72&lt;0,0,g_*J72^h_)</f>
        <v>411.81998748697833</v>
      </c>
      <c r="L72" s="212">
        <f t="shared" ref="L72:L135" ca="1" si="21">+(K72+O71)/2</f>
        <v>353.6289534249766</v>
      </c>
      <c r="M72" s="212">
        <f t="shared" ref="M72:M135" ca="1" si="22">+N71+C72*(Ac-L72)/Ac+G72*L72-H72-I72</f>
        <v>12.772212742704429</v>
      </c>
      <c r="N72" s="212">
        <f t="shared" ref="N72:N135" ca="1" si="23">+IF(M72&gt;VolHv,VolHv,IF(M72&lt;VolHt,VolHt,M72))</f>
        <v>7.6368477630678893</v>
      </c>
      <c r="O72" s="210">
        <f t="shared" ca="1" si="18"/>
        <v>295.43791936297487</v>
      </c>
      <c r="P72" s="212">
        <f t="shared" ref="P72:P135" ca="1" si="24">+IF(M72&gt;VolHv,M72-VolHv,0)</f>
        <v>5.1353649796365399</v>
      </c>
      <c r="Q72" s="212">
        <f t="shared" ref="Q72:Q135" ca="1" si="25">+IF(M72&lt;VolHt,IF(H72&lt;(VolHt-M72),0,H72-(VolHt-M72)),H72)</f>
        <v>0</v>
      </c>
      <c r="R72" s="386"/>
      <c r="S72" s="207">
        <f t="shared" si="12"/>
        <v>1986</v>
      </c>
      <c r="T72" s="207">
        <f t="shared" si="13"/>
        <v>5</v>
      </c>
      <c r="U72" s="384" t="str">
        <f t="shared" ref="U72:U135" ca="1" si="26">+REPT("|",(H72-Q72)*$W$4)</f>
        <v/>
      </c>
      <c r="V72" s="384" t="str">
        <f t="shared" ref="V72:V135" ca="1" si="27">+REPT("|",Q72*$W$4)</f>
        <v/>
      </c>
      <c r="W72" s="385" t="str">
        <f t="shared" ref="W72:W135" ca="1" si="28">+REPT("|",P72*$W$4)</f>
        <v>|||||||||||||||||||||||||</v>
      </c>
    </row>
    <row r="73" spans="1:23">
      <c r="A73" s="207">
        <f>+'Anexo Escurrimiento'!A83</f>
        <v>1986</v>
      </c>
      <c r="B73" s="207">
        <f>+'Anexo Escurrimiento'!B83</f>
        <v>6</v>
      </c>
      <c r="C73" s="208">
        <f>+'Anexo Escurrimiento'!O83</f>
        <v>2.6658623830909933</v>
      </c>
      <c r="D73" s="207">
        <f>+'Anexo Escurrimiento'!D83</f>
        <v>113.5</v>
      </c>
      <c r="E73" s="214">
        <f t="shared" ref="E73:F92" si="29">+E61</f>
        <v>41.019999999999996</v>
      </c>
      <c r="F73" s="213">
        <f t="shared" si="29"/>
        <v>0</v>
      </c>
      <c r="G73" s="211">
        <f t="shared" si="16"/>
        <v>7.2480000000000005E-4</v>
      </c>
      <c r="H73" s="212">
        <f>+F73/100000*'Anexo Bal Hídrico'!$G$4</f>
        <v>0</v>
      </c>
      <c r="I73" s="212">
        <v>0</v>
      </c>
      <c r="J73" s="212">
        <f t="shared" ca="1" si="19"/>
        <v>10.302710146158883</v>
      </c>
      <c r="K73" s="212">
        <f t="shared" ca="1" si="20"/>
        <v>358.31702386456726</v>
      </c>
      <c r="L73" s="212">
        <f t="shared" ca="1" si="21"/>
        <v>326.87747161377104</v>
      </c>
      <c r="M73" s="212">
        <f t="shared" ca="1" si="22"/>
        <v>10.208296201670077</v>
      </c>
      <c r="N73" s="212">
        <f t="shared" ca="1" si="23"/>
        <v>7.6368477630678893</v>
      </c>
      <c r="O73" s="210">
        <f t="shared" ca="1" si="18"/>
        <v>295.43791936297487</v>
      </c>
      <c r="P73" s="212">
        <f t="shared" ca="1" si="24"/>
        <v>2.5714484386021876</v>
      </c>
      <c r="Q73" s="212">
        <f t="shared" ca="1" si="25"/>
        <v>0</v>
      </c>
      <c r="R73" s="386"/>
      <c r="S73" s="207">
        <f t="shared" ref="S73:S136" si="30">+A73</f>
        <v>1986</v>
      </c>
      <c r="T73" s="207">
        <f t="shared" ref="T73:T136" si="31">+B73</f>
        <v>6</v>
      </c>
      <c r="U73" s="384" t="str">
        <f t="shared" ca="1" si="26"/>
        <v/>
      </c>
      <c r="V73" s="384" t="str">
        <f t="shared" ca="1" si="27"/>
        <v/>
      </c>
      <c r="W73" s="385" t="str">
        <f t="shared" ca="1" si="28"/>
        <v>||||||||||||</v>
      </c>
    </row>
    <row r="74" spans="1:23">
      <c r="A74" s="207">
        <f>+'Anexo Escurrimiento'!A84</f>
        <v>1986</v>
      </c>
      <c r="B74" s="207">
        <f>+'Anexo Escurrimiento'!B84</f>
        <v>7</v>
      </c>
      <c r="C74" s="208">
        <f>+'Anexo Escurrimiento'!O84</f>
        <v>0.80857784733267313</v>
      </c>
      <c r="D74" s="207">
        <f>+'Anexo Escurrimiento'!D84</f>
        <v>30.6</v>
      </c>
      <c r="E74" s="214">
        <f t="shared" si="29"/>
        <v>50.819999999999993</v>
      </c>
      <c r="F74" s="213">
        <f t="shared" si="29"/>
        <v>0</v>
      </c>
      <c r="G74" s="211">
        <f t="shared" si="16"/>
        <v>-2.0219999999999993E-4</v>
      </c>
      <c r="H74" s="212">
        <f>+F74/100000*'Anexo Bal Hídrico'!$G$4</f>
        <v>0</v>
      </c>
      <c r="I74" s="212">
        <v>0</v>
      </c>
      <c r="J74" s="212">
        <f t="shared" ca="1" si="19"/>
        <v>8.4454256104005623</v>
      </c>
      <c r="K74" s="212">
        <f t="shared" ca="1" si="20"/>
        <v>315.23397391193919</v>
      </c>
      <c r="L74" s="212">
        <f t="shared" ca="1" si="21"/>
        <v>305.33594663745703</v>
      </c>
      <c r="M74" s="212">
        <f t="shared" ca="1" si="22"/>
        <v>8.2898129624294796</v>
      </c>
      <c r="N74" s="212">
        <f t="shared" ca="1" si="23"/>
        <v>7.6368477630678893</v>
      </c>
      <c r="O74" s="210">
        <f t="shared" ca="1" si="18"/>
        <v>295.43791936297487</v>
      </c>
      <c r="P74" s="212">
        <f t="shared" ca="1" si="24"/>
        <v>0.65296519936159036</v>
      </c>
      <c r="Q74" s="212">
        <f t="shared" ca="1" si="25"/>
        <v>0</v>
      </c>
      <c r="R74" s="386"/>
      <c r="S74" s="207">
        <f t="shared" si="30"/>
        <v>1986</v>
      </c>
      <c r="T74" s="207">
        <f t="shared" si="31"/>
        <v>7</v>
      </c>
      <c r="U74" s="384" t="str">
        <f t="shared" ca="1" si="26"/>
        <v/>
      </c>
      <c r="V74" s="384" t="str">
        <f t="shared" ca="1" si="27"/>
        <v/>
      </c>
      <c r="W74" s="385" t="str">
        <f t="shared" ca="1" si="28"/>
        <v>|||</v>
      </c>
    </row>
    <row r="75" spans="1:23">
      <c r="A75" s="207">
        <f>+'Anexo Escurrimiento'!A85</f>
        <v>1986</v>
      </c>
      <c r="B75" s="207">
        <f>+'Anexo Escurrimiento'!B85</f>
        <v>8</v>
      </c>
      <c r="C75" s="208">
        <f>+'Anexo Escurrimiento'!O85</f>
        <v>0.68750832662350281</v>
      </c>
      <c r="D75" s="207">
        <f>+'Anexo Escurrimiento'!D85</f>
        <v>68.5</v>
      </c>
      <c r="E75" s="214">
        <f t="shared" si="29"/>
        <v>72.449999999999989</v>
      </c>
      <c r="F75" s="213">
        <f t="shared" si="29"/>
        <v>0</v>
      </c>
      <c r="G75" s="211">
        <f t="shared" si="16"/>
        <v>-3.9499999999999889E-5</v>
      </c>
      <c r="H75" s="212">
        <f>+F75/100000*'Anexo Bal Hídrico'!$G$4</f>
        <v>0</v>
      </c>
      <c r="I75" s="212">
        <v>0</v>
      </c>
      <c r="J75" s="212">
        <f t="shared" ca="1" si="19"/>
        <v>8.324356089691392</v>
      </c>
      <c r="K75" s="212">
        <f t="shared" ca="1" si="20"/>
        <v>312.31425463088436</v>
      </c>
      <c r="L75" s="212">
        <f t="shared" ca="1" si="21"/>
        <v>303.87608699692964</v>
      </c>
      <c r="M75" s="212">
        <f t="shared" ca="1" si="22"/>
        <v>8.2329167332770083</v>
      </c>
      <c r="N75" s="212">
        <f t="shared" ca="1" si="23"/>
        <v>7.6368477630678893</v>
      </c>
      <c r="O75" s="210">
        <f t="shared" ca="1" si="18"/>
        <v>295.43791936297487</v>
      </c>
      <c r="P75" s="212">
        <f t="shared" ca="1" si="24"/>
        <v>0.59606897020911909</v>
      </c>
      <c r="Q75" s="212">
        <f t="shared" ca="1" si="25"/>
        <v>0</v>
      </c>
      <c r="R75" s="386"/>
      <c r="S75" s="207">
        <f t="shared" si="30"/>
        <v>1986</v>
      </c>
      <c r="T75" s="207">
        <f t="shared" si="31"/>
        <v>8</v>
      </c>
      <c r="U75" s="384" t="str">
        <f t="shared" ca="1" si="26"/>
        <v/>
      </c>
      <c r="V75" s="384" t="str">
        <f t="shared" ca="1" si="27"/>
        <v/>
      </c>
      <c r="W75" s="385" t="str">
        <f t="shared" ca="1" si="28"/>
        <v>||</v>
      </c>
    </row>
    <row r="76" spans="1:23">
      <c r="A76" s="207">
        <f>+'Anexo Escurrimiento'!A86</f>
        <v>1986</v>
      </c>
      <c r="B76" s="207">
        <f>+'Anexo Escurrimiento'!B86</f>
        <v>9</v>
      </c>
      <c r="C76" s="208">
        <f>+'Anexo Escurrimiento'!O86</f>
        <v>1.3150027866349794</v>
      </c>
      <c r="D76" s="207">
        <f>+'Anexo Escurrimiento'!D86</f>
        <v>113.4</v>
      </c>
      <c r="E76" s="214">
        <f t="shared" si="29"/>
        <v>85.89</v>
      </c>
      <c r="F76" s="213">
        <f t="shared" si="29"/>
        <v>0</v>
      </c>
      <c r="G76" s="211">
        <f t="shared" si="16"/>
        <v>2.7510000000000007E-4</v>
      </c>
      <c r="H76" s="212">
        <f>+F76/100000*'Anexo Bal Hídrico'!$G$4</f>
        <v>0</v>
      </c>
      <c r="I76" s="212">
        <v>0</v>
      </c>
      <c r="J76" s="212">
        <f t="shared" ca="1" si="19"/>
        <v>8.9518505497028684</v>
      </c>
      <c r="K76" s="212">
        <f t="shared" ca="1" si="20"/>
        <v>327.28923314960292</v>
      </c>
      <c r="L76" s="212">
        <f t="shared" ca="1" si="21"/>
        <v>311.36357625628887</v>
      </c>
      <c r="M76" s="212">
        <f t="shared" ca="1" si="22"/>
        <v>8.8818245514953631</v>
      </c>
      <c r="N76" s="212">
        <f t="shared" ca="1" si="23"/>
        <v>7.6368477630678893</v>
      </c>
      <c r="O76" s="210">
        <f t="shared" ca="1" si="18"/>
        <v>295.43791936297487</v>
      </c>
      <c r="P76" s="212">
        <f t="shared" ca="1" si="24"/>
        <v>1.2449767884274738</v>
      </c>
      <c r="Q76" s="212">
        <f t="shared" ca="1" si="25"/>
        <v>0</v>
      </c>
      <c r="R76" s="386"/>
      <c r="S76" s="207">
        <f t="shared" si="30"/>
        <v>1986</v>
      </c>
      <c r="T76" s="207">
        <f t="shared" si="31"/>
        <v>9</v>
      </c>
      <c r="U76" s="384" t="str">
        <f t="shared" ca="1" si="26"/>
        <v/>
      </c>
      <c r="V76" s="384" t="str">
        <f t="shared" ca="1" si="27"/>
        <v/>
      </c>
      <c r="W76" s="385" t="str">
        <f t="shared" ca="1" si="28"/>
        <v>||||||</v>
      </c>
    </row>
    <row r="77" spans="1:23">
      <c r="A77" s="207">
        <f>+'Anexo Escurrimiento'!A87</f>
        <v>1986</v>
      </c>
      <c r="B77" s="207">
        <f>+'Anexo Escurrimiento'!B87</f>
        <v>10</v>
      </c>
      <c r="C77" s="208">
        <f>+'Anexo Escurrimiento'!O87</f>
        <v>1.8402389541538222</v>
      </c>
      <c r="D77" s="207">
        <f>+'Anexo Escurrimiento'!D87</f>
        <v>147.9</v>
      </c>
      <c r="E77" s="214">
        <f t="shared" si="29"/>
        <v>114.86999999999999</v>
      </c>
      <c r="F77" s="213">
        <f t="shared" si="29"/>
        <v>59</v>
      </c>
      <c r="G77" s="211">
        <f t="shared" si="16"/>
        <v>3.3030000000000017E-4</v>
      </c>
      <c r="H77" s="212">
        <f>+F77/100000*'Anexo Bal Hídrico'!$G$4</f>
        <v>0.53100000000000003</v>
      </c>
      <c r="I77" s="212">
        <v>0</v>
      </c>
      <c r="J77" s="212">
        <f t="shared" ca="1" si="19"/>
        <v>8.9460867172217107</v>
      </c>
      <c r="K77" s="212">
        <f t="shared" ca="1" si="20"/>
        <v>327.15341364755255</v>
      </c>
      <c r="L77" s="212">
        <f t="shared" ca="1" si="21"/>
        <v>311.29566650526374</v>
      </c>
      <c r="M77" s="212">
        <f t="shared" ca="1" si="22"/>
        <v>8.8310907892667778</v>
      </c>
      <c r="N77" s="212">
        <f t="shared" ca="1" si="23"/>
        <v>7.6368477630678893</v>
      </c>
      <c r="O77" s="210">
        <f t="shared" ca="1" si="18"/>
        <v>295.43791936297487</v>
      </c>
      <c r="P77" s="212">
        <f t="shared" ca="1" si="24"/>
        <v>1.1942430261988886</v>
      </c>
      <c r="Q77" s="212">
        <f t="shared" ca="1" si="25"/>
        <v>0.53100000000000003</v>
      </c>
      <c r="R77" s="386"/>
      <c r="S77" s="207">
        <f t="shared" si="30"/>
        <v>1986</v>
      </c>
      <c r="T77" s="207">
        <f t="shared" si="31"/>
        <v>10</v>
      </c>
      <c r="U77" s="384" t="str">
        <f t="shared" ca="1" si="26"/>
        <v/>
      </c>
      <c r="V77" s="384" t="str">
        <f t="shared" ca="1" si="27"/>
        <v>||</v>
      </c>
      <c r="W77" s="385" t="str">
        <f t="shared" ca="1" si="28"/>
        <v>|||||</v>
      </c>
    </row>
    <row r="78" spans="1:23">
      <c r="A78" s="207">
        <f>+'Anexo Escurrimiento'!A88</f>
        <v>1986</v>
      </c>
      <c r="B78" s="207">
        <f>+'Anexo Escurrimiento'!B88</f>
        <v>11</v>
      </c>
      <c r="C78" s="208">
        <f>+'Anexo Escurrimiento'!O88</f>
        <v>4.6768426349767269</v>
      </c>
      <c r="D78" s="207">
        <f>+'Anexo Escurrimiento'!D88</f>
        <v>312.39999999999998</v>
      </c>
      <c r="E78" s="214">
        <f t="shared" si="29"/>
        <v>144.06</v>
      </c>
      <c r="F78" s="213">
        <f t="shared" si="29"/>
        <v>212</v>
      </c>
      <c r="G78" s="211">
        <f t="shared" si="16"/>
        <v>1.6833999999999998E-3</v>
      </c>
      <c r="H78" s="212">
        <f>+F78/100000*'Anexo Bal Hídrico'!$G$4</f>
        <v>1.9079999999999999</v>
      </c>
      <c r="I78" s="212">
        <v>0</v>
      </c>
      <c r="J78" s="212">
        <f t="shared" ca="1" si="19"/>
        <v>10.405690398044618</v>
      </c>
      <c r="K78" s="212">
        <f t="shared" ca="1" si="20"/>
        <v>360.62102729108767</v>
      </c>
      <c r="L78" s="212">
        <f t="shared" ca="1" si="21"/>
        <v>328.02947332703127</v>
      </c>
      <c r="M78" s="212">
        <f t="shared" ca="1" si="22"/>
        <v>10.374571172992839</v>
      </c>
      <c r="N78" s="212">
        <f t="shared" ca="1" si="23"/>
        <v>7.6368477630678893</v>
      </c>
      <c r="O78" s="210">
        <f t="shared" ca="1" si="18"/>
        <v>295.43791936297487</v>
      </c>
      <c r="P78" s="212">
        <f t="shared" ca="1" si="24"/>
        <v>2.7377234099249499</v>
      </c>
      <c r="Q78" s="212">
        <f t="shared" ca="1" si="25"/>
        <v>1.9079999999999999</v>
      </c>
      <c r="R78" s="386"/>
      <c r="S78" s="207">
        <f t="shared" si="30"/>
        <v>1986</v>
      </c>
      <c r="T78" s="207">
        <f t="shared" si="31"/>
        <v>11</v>
      </c>
      <c r="U78" s="384" t="str">
        <f t="shared" ca="1" si="26"/>
        <v/>
      </c>
      <c r="V78" s="384" t="str">
        <f t="shared" ca="1" si="27"/>
        <v>|||||||||</v>
      </c>
      <c r="W78" s="385" t="str">
        <f t="shared" ca="1" si="28"/>
        <v>|||||||||||||</v>
      </c>
    </row>
    <row r="79" spans="1:23">
      <c r="A79" s="207">
        <f>+'Anexo Escurrimiento'!A89</f>
        <v>1986</v>
      </c>
      <c r="B79" s="207">
        <f>+'Anexo Escurrimiento'!B89</f>
        <v>12</v>
      </c>
      <c r="C79" s="208">
        <f>+'Anexo Escurrimiento'!O89</f>
        <v>1.0932403688626386</v>
      </c>
      <c r="D79" s="207">
        <f>+'Anexo Escurrimiento'!D89</f>
        <v>34.799999999999997</v>
      </c>
      <c r="E79" s="214">
        <f t="shared" si="29"/>
        <v>179.62</v>
      </c>
      <c r="F79" s="213">
        <f t="shared" si="29"/>
        <v>388</v>
      </c>
      <c r="G79" s="211">
        <f t="shared" si="16"/>
        <v>-1.4482E-3</v>
      </c>
      <c r="H79" s="212">
        <f>+F79/100000*'Anexo Bal Hídrico'!$G$4</f>
        <v>3.492</v>
      </c>
      <c r="I79" s="212">
        <v>0</v>
      </c>
      <c r="J79" s="212">
        <f t="shared" ca="1" si="19"/>
        <v>5.2380881319305272</v>
      </c>
      <c r="K79" s="212">
        <f t="shared" ca="1" si="20"/>
        <v>231.71003939402308</v>
      </c>
      <c r="L79" s="212">
        <f t="shared" ca="1" si="21"/>
        <v>263.57397937849896</v>
      </c>
      <c r="M79" s="212">
        <f t="shared" ca="1" si="22"/>
        <v>4.7468176659305774</v>
      </c>
      <c r="N79" s="212">
        <f t="shared" ca="1" si="23"/>
        <v>4.7468176659305774</v>
      </c>
      <c r="O79" s="210">
        <f t="shared" ca="1" si="18"/>
        <v>217.46131551809188</v>
      </c>
      <c r="P79" s="212">
        <f t="shared" ca="1" si="24"/>
        <v>0</v>
      </c>
      <c r="Q79" s="212">
        <f t="shared" ca="1" si="25"/>
        <v>3.492</v>
      </c>
      <c r="R79" s="386"/>
      <c r="S79" s="207">
        <f t="shared" si="30"/>
        <v>1986</v>
      </c>
      <c r="T79" s="207">
        <f t="shared" si="31"/>
        <v>12</v>
      </c>
      <c r="U79" s="384" t="str">
        <f t="shared" ca="1" si="26"/>
        <v/>
      </c>
      <c r="V79" s="384" t="str">
        <f t="shared" ca="1" si="27"/>
        <v>|||||||||||||||||</v>
      </c>
      <c r="W79" s="385" t="str">
        <f t="shared" ca="1" si="28"/>
        <v/>
      </c>
    </row>
    <row r="80" spans="1:23">
      <c r="A80" s="207">
        <f>+'Anexo Escurrimiento'!A90</f>
        <v>1987</v>
      </c>
      <c r="B80" s="207">
        <f>+'Anexo Escurrimiento'!B90</f>
        <v>1</v>
      </c>
      <c r="C80" s="208">
        <f>+'Anexo Escurrimiento'!O90</f>
        <v>1.2563953167350537</v>
      </c>
      <c r="D80" s="207">
        <f>+'Anexo Escurrimiento'!D90</f>
        <v>149.19999999999999</v>
      </c>
      <c r="E80" s="214">
        <f t="shared" si="29"/>
        <v>176.89</v>
      </c>
      <c r="F80" s="213">
        <f t="shared" si="29"/>
        <v>318</v>
      </c>
      <c r="G80" s="211">
        <f t="shared" si="16"/>
        <v>-2.7689999999999995E-4</v>
      </c>
      <c r="H80" s="212">
        <f>+F80/100000*'Anexo Bal Hídrico'!$G$4</f>
        <v>2.8620000000000001</v>
      </c>
      <c r="I80" s="212">
        <v>0</v>
      </c>
      <c r="J80" s="212">
        <f t="shared" ca="1" si="19"/>
        <v>3.141212982665631</v>
      </c>
      <c r="K80" s="212">
        <f t="shared" ca="1" si="20"/>
        <v>166.65973081373886</v>
      </c>
      <c r="L80" s="212">
        <f t="shared" ca="1" si="21"/>
        <v>192.06052316591536</v>
      </c>
      <c r="M80" s="212">
        <f t="shared" ca="1" si="22"/>
        <v>2.996280875574624</v>
      </c>
      <c r="N80" s="212">
        <f t="shared" ca="1" si="23"/>
        <v>2.996280875574624</v>
      </c>
      <c r="O80" s="210">
        <f t="shared" ca="1" si="18"/>
        <v>161.66279706365049</v>
      </c>
      <c r="P80" s="212">
        <f t="shared" ca="1" si="24"/>
        <v>0</v>
      </c>
      <c r="Q80" s="212">
        <f t="shared" ca="1" si="25"/>
        <v>2.8620000000000001</v>
      </c>
      <c r="R80" s="386"/>
      <c r="S80" s="207">
        <f t="shared" si="30"/>
        <v>1987</v>
      </c>
      <c r="T80" s="207">
        <f t="shared" si="31"/>
        <v>1</v>
      </c>
      <c r="U80" s="384" t="str">
        <f t="shared" ca="1" si="26"/>
        <v/>
      </c>
      <c r="V80" s="384" t="str">
        <f t="shared" ca="1" si="27"/>
        <v>||||||||||||||</v>
      </c>
      <c r="W80" s="385" t="str">
        <f t="shared" ca="1" si="28"/>
        <v/>
      </c>
    </row>
    <row r="81" spans="1:23">
      <c r="A81" s="207">
        <f>+'Anexo Escurrimiento'!A91</f>
        <v>1987</v>
      </c>
      <c r="B81" s="207">
        <f>+'Anexo Escurrimiento'!B91</f>
        <v>2</v>
      </c>
      <c r="C81" s="208">
        <f>+'Anexo Escurrimiento'!O91</f>
        <v>0.71544185007040983</v>
      </c>
      <c r="D81" s="207">
        <f>+'Anexo Escurrimiento'!D91</f>
        <v>68.8</v>
      </c>
      <c r="E81" s="214">
        <f t="shared" si="29"/>
        <v>131.73999999999998</v>
      </c>
      <c r="F81" s="213">
        <f t="shared" si="29"/>
        <v>153</v>
      </c>
      <c r="G81" s="211">
        <f t="shared" si="16"/>
        <v>-6.2939999999999979E-4</v>
      </c>
      <c r="H81" s="212">
        <f>+F81/100000*'Anexo Bal Hídrico'!$G$4</f>
        <v>1.377</v>
      </c>
      <c r="I81" s="212">
        <v>0</v>
      </c>
      <c r="J81" s="212">
        <f t="shared" ca="1" si="19"/>
        <v>2.334722725645034</v>
      </c>
      <c r="K81" s="212">
        <f t="shared" ca="1" si="20"/>
        <v>137.65337494482088</v>
      </c>
      <c r="L81" s="212">
        <f t="shared" ca="1" si="21"/>
        <v>149.65808600423568</v>
      </c>
      <c r="M81" s="212">
        <f t="shared" ca="1" si="22"/>
        <v>2.199816269306794</v>
      </c>
      <c r="N81" s="212">
        <f t="shared" ca="1" si="23"/>
        <v>2.199816269306794</v>
      </c>
      <c r="O81" s="210">
        <f t="shared" ca="1" si="18"/>
        <v>132.47343892585388</v>
      </c>
      <c r="P81" s="212">
        <f t="shared" ca="1" si="24"/>
        <v>0</v>
      </c>
      <c r="Q81" s="212">
        <f t="shared" ca="1" si="25"/>
        <v>1.377</v>
      </c>
      <c r="R81" s="386"/>
      <c r="S81" s="207">
        <f t="shared" si="30"/>
        <v>1987</v>
      </c>
      <c r="T81" s="207">
        <f t="shared" si="31"/>
        <v>2</v>
      </c>
      <c r="U81" s="384" t="str">
        <f t="shared" ca="1" si="26"/>
        <v/>
      </c>
      <c r="V81" s="384" t="str">
        <f t="shared" ca="1" si="27"/>
        <v>||||||</v>
      </c>
      <c r="W81" s="385" t="str">
        <f t="shared" ca="1" si="28"/>
        <v/>
      </c>
    </row>
    <row r="82" spans="1:23">
      <c r="A82" s="207">
        <f>+'Anexo Escurrimiento'!A92</f>
        <v>1987</v>
      </c>
      <c r="B82" s="207">
        <f>+'Anexo Escurrimiento'!B92</f>
        <v>3</v>
      </c>
      <c r="C82" s="208">
        <f>+'Anexo Escurrimiento'!O92</f>
        <v>5.6076797468613622</v>
      </c>
      <c r="D82" s="207">
        <f>+'Anexo Escurrimiento'!D92</f>
        <v>358.6</v>
      </c>
      <c r="E82" s="214">
        <f t="shared" si="29"/>
        <v>118.64999999999999</v>
      </c>
      <c r="F82" s="213">
        <f t="shared" si="29"/>
        <v>47</v>
      </c>
      <c r="G82" s="211">
        <f t="shared" si="16"/>
        <v>2.3995000000000006E-3</v>
      </c>
      <c r="H82" s="212">
        <f>+F82/100000*'Anexo Bal Hídrico'!$G$4</f>
        <v>0.42299999999999999</v>
      </c>
      <c r="I82" s="212">
        <v>0</v>
      </c>
      <c r="J82" s="212">
        <f t="shared" ca="1" si="19"/>
        <v>7.3844960161681561</v>
      </c>
      <c r="K82" s="212">
        <f t="shared" ca="1" si="20"/>
        <v>289.10909516976824</v>
      </c>
      <c r="L82" s="212">
        <f t="shared" ca="1" si="21"/>
        <v>210.79126704781106</v>
      </c>
      <c r="M82" s="212">
        <f t="shared" ca="1" si="22"/>
        <v>7.4408410230314113</v>
      </c>
      <c r="N82" s="212">
        <f t="shared" ca="1" si="23"/>
        <v>7.4408410230314113</v>
      </c>
      <c r="O82" s="210">
        <f t="shared" ca="1" si="18"/>
        <v>290.52877692449897</v>
      </c>
      <c r="P82" s="212">
        <f t="shared" ca="1" si="24"/>
        <v>0</v>
      </c>
      <c r="Q82" s="212">
        <f t="shared" ca="1" si="25"/>
        <v>0.42299999999999999</v>
      </c>
      <c r="R82" s="386"/>
      <c r="S82" s="207">
        <f t="shared" si="30"/>
        <v>1987</v>
      </c>
      <c r="T82" s="207">
        <f t="shared" si="31"/>
        <v>3</v>
      </c>
      <c r="U82" s="384" t="str">
        <f t="shared" ca="1" si="26"/>
        <v/>
      </c>
      <c r="V82" s="384" t="str">
        <f t="shared" ca="1" si="27"/>
        <v>||</v>
      </c>
      <c r="W82" s="385" t="str">
        <f t="shared" ca="1" si="28"/>
        <v/>
      </c>
    </row>
    <row r="83" spans="1:23">
      <c r="A83" s="207">
        <f>+'Anexo Escurrimiento'!A93</f>
        <v>1987</v>
      </c>
      <c r="B83" s="207">
        <f>+'Anexo Escurrimiento'!B93</f>
        <v>4</v>
      </c>
      <c r="C83" s="208">
        <f>+'Anexo Escurrimiento'!O93</f>
        <v>3.7131579275384499</v>
      </c>
      <c r="D83" s="207">
        <f>+'Anexo Escurrimiento'!D93</f>
        <v>193.2</v>
      </c>
      <c r="E83" s="214">
        <f t="shared" si="29"/>
        <v>73.149999999999991</v>
      </c>
      <c r="F83" s="213">
        <f t="shared" si="29"/>
        <v>0</v>
      </c>
      <c r="G83" s="211">
        <f t="shared" si="16"/>
        <v>1.2005E-3</v>
      </c>
      <c r="H83" s="212">
        <f>+F83/100000*'Anexo Bal Hídrico'!$G$4</f>
        <v>0</v>
      </c>
      <c r="I83" s="212">
        <v>0</v>
      </c>
      <c r="J83" s="212">
        <f t="shared" ca="1" si="19"/>
        <v>11.153998950569861</v>
      </c>
      <c r="K83" s="212">
        <f t="shared" ca="1" si="20"/>
        <v>377.1265847815057</v>
      </c>
      <c r="L83" s="212">
        <f t="shared" ca="1" si="21"/>
        <v>333.82768085300233</v>
      </c>
      <c r="M83" s="212">
        <f t="shared" ca="1" si="22"/>
        <v>11.083445431399252</v>
      </c>
      <c r="N83" s="212">
        <f t="shared" ca="1" si="23"/>
        <v>7.6368477630678893</v>
      </c>
      <c r="O83" s="210">
        <f t="shared" ca="1" si="18"/>
        <v>295.43791936297487</v>
      </c>
      <c r="P83" s="212">
        <f t="shared" ca="1" si="24"/>
        <v>3.4465976683313624</v>
      </c>
      <c r="Q83" s="212">
        <f t="shared" ca="1" si="25"/>
        <v>0</v>
      </c>
      <c r="R83" s="386"/>
      <c r="S83" s="207">
        <f t="shared" si="30"/>
        <v>1987</v>
      </c>
      <c r="T83" s="207">
        <f t="shared" si="31"/>
        <v>4</v>
      </c>
      <c r="U83" s="384" t="str">
        <f t="shared" ca="1" si="26"/>
        <v/>
      </c>
      <c r="V83" s="384" t="str">
        <f t="shared" ca="1" si="27"/>
        <v/>
      </c>
      <c r="W83" s="385" t="str">
        <f t="shared" ca="1" si="28"/>
        <v>|||||||||||||||||</v>
      </c>
    </row>
    <row r="84" spans="1:23">
      <c r="A84" s="207">
        <f>+'Anexo Escurrimiento'!A94</f>
        <v>1987</v>
      </c>
      <c r="B84" s="207">
        <f>+'Anexo Escurrimiento'!B94</f>
        <v>5</v>
      </c>
      <c r="C84" s="208">
        <f>+'Anexo Escurrimiento'!O94</f>
        <v>1.4424435022225457</v>
      </c>
      <c r="D84" s="207">
        <f>+'Anexo Escurrimiento'!D94</f>
        <v>69.8</v>
      </c>
      <c r="E84" s="214">
        <f t="shared" si="29"/>
        <v>51.24</v>
      </c>
      <c r="F84" s="213">
        <f t="shared" si="29"/>
        <v>0</v>
      </c>
      <c r="G84" s="211">
        <f t="shared" si="16"/>
        <v>1.8559999999999996E-4</v>
      </c>
      <c r="H84" s="212">
        <f>+F84/100000*'Anexo Bal Hídrico'!$G$4</f>
        <v>0</v>
      </c>
      <c r="I84" s="212">
        <v>0</v>
      </c>
      <c r="J84" s="212">
        <f t="shared" ca="1" si="19"/>
        <v>9.0792912652904345</v>
      </c>
      <c r="K84" s="212">
        <f t="shared" ca="1" si="20"/>
        <v>330.28436352493458</v>
      </c>
      <c r="L84" s="212">
        <f t="shared" ca="1" si="21"/>
        <v>312.86114144395469</v>
      </c>
      <c r="M84" s="212">
        <f t="shared" ca="1" si="22"/>
        <v>8.9657672206809256</v>
      </c>
      <c r="N84" s="212">
        <f t="shared" ca="1" si="23"/>
        <v>7.6368477630678893</v>
      </c>
      <c r="O84" s="210">
        <f t="shared" ca="1" si="18"/>
        <v>295.43791936297487</v>
      </c>
      <c r="P84" s="212">
        <f t="shared" ca="1" si="24"/>
        <v>1.3289194576130363</v>
      </c>
      <c r="Q84" s="212">
        <f t="shared" ca="1" si="25"/>
        <v>0</v>
      </c>
      <c r="R84" s="386"/>
      <c r="S84" s="207">
        <f t="shared" si="30"/>
        <v>1987</v>
      </c>
      <c r="T84" s="207">
        <f t="shared" si="31"/>
        <v>5</v>
      </c>
      <c r="U84" s="384" t="str">
        <f t="shared" ca="1" si="26"/>
        <v/>
      </c>
      <c r="V84" s="384" t="str">
        <f t="shared" ca="1" si="27"/>
        <v/>
      </c>
      <c r="W84" s="385" t="str">
        <f t="shared" ca="1" si="28"/>
        <v>||||||</v>
      </c>
    </row>
    <row r="85" spans="1:23">
      <c r="A85" s="207">
        <f>+'Anexo Escurrimiento'!A95</f>
        <v>1987</v>
      </c>
      <c r="B85" s="207">
        <f>+'Anexo Escurrimiento'!B95</f>
        <v>6</v>
      </c>
      <c r="C85" s="208">
        <f>+'Anexo Escurrimiento'!O95</f>
        <v>0.776170677251249</v>
      </c>
      <c r="D85" s="207">
        <f>+'Anexo Escurrimiento'!D95</f>
        <v>54.3</v>
      </c>
      <c r="E85" s="214">
        <f t="shared" si="29"/>
        <v>41.019999999999996</v>
      </c>
      <c r="F85" s="213">
        <f t="shared" si="29"/>
        <v>0</v>
      </c>
      <c r="G85" s="211">
        <f t="shared" si="16"/>
        <v>1.328E-4</v>
      </c>
      <c r="H85" s="212">
        <f>+F85/100000*'Anexo Bal Hídrico'!$G$4</f>
        <v>0</v>
      </c>
      <c r="I85" s="212">
        <v>0</v>
      </c>
      <c r="J85" s="212">
        <f t="shared" ca="1" si="19"/>
        <v>8.4130184403191386</v>
      </c>
      <c r="K85" s="212">
        <f t="shared" ca="1" si="20"/>
        <v>314.45390776343584</v>
      </c>
      <c r="L85" s="212">
        <f t="shared" ca="1" si="21"/>
        <v>304.94591356320535</v>
      </c>
      <c r="M85" s="212">
        <f t="shared" ca="1" si="22"/>
        <v>8.3635190309272698</v>
      </c>
      <c r="N85" s="212">
        <f t="shared" ca="1" si="23"/>
        <v>7.6368477630678893</v>
      </c>
      <c r="O85" s="210">
        <f t="shared" ca="1" si="18"/>
        <v>295.43791936297487</v>
      </c>
      <c r="P85" s="212">
        <f t="shared" ca="1" si="24"/>
        <v>0.72667126785938052</v>
      </c>
      <c r="Q85" s="212">
        <f t="shared" ca="1" si="25"/>
        <v>0</v>
      </c>
      <c r="R85" s="386"/>
      <c r="S85" s="207">
        <f t="shared" si="30"/>
        <v>1987</v>
      </c>
      <c r="T85" s="207">
        <f t="shared" si="31"/>
        <v>6</v>
      </c>
      <c r="U85" s="384" t="str">
        <f t="shared" ca="1" si="26"/>
        <v/>
      </c>
      <c r="V85" s="384" t="str">
        <f t="shared" ca="1" si="27"/>
        <v/>
      </c>
      <c r="W85" s="385" t="str">
        <f t="shared" ca="1" si="28"/>
        <v>|||</v>
      </c>
    </row>
    <row r="86" spans="1:23">
      <c r="A86" s="207">
        <f>+'Anexo Escurrimiento'!A96</f>
        <v>1987</v>
      </c>
      <c r="B86" s="207">
        <f>+'Anexo Escurrimiento'!B96</f>
        <v>7</v>
      </c>
      <c r="C86" s="208">
        <f>+'Anexo Escurrimiento'!O96</f>
        <v>2.4351401581393484</v>
      </c>
      <c r="D86" s="207">
        <f>+'Anexo Escurrimiento'!D96</f>
        <v>155.30000000000001</v>
      </c>
      <c r="E86" s="214">
        <f t="shared" si="29"/>
        <v>50.819999999999993</v>
      </c>
      <c r="F86" s="213">
        <f t="shared" si="29"/>
        <v>0</v>
      </c>
      <c r="G86" s="211">
        <f t="shared" si="16"/>
        <v>1.0448000000000002E-3</v>
      </c>
      <c r="H86" s="212">
        <f>+F86/100000*'Anexo Bal Hídrico'!$G$4</f>
        <v>0</v>
      </c>
      <c r="I86" s="212">
        <v>0</v>
      </c>
      <c r="J86" s="212">
        <f t="shared" ca="1" si="19"/>
        <v>10.071987921207239</v>
      </c>
      <c r="K86" s="212">
        <f t="shared" ca="1" si="20"/>
        <v>353.12506998878172</v>
      </c>
      <c r="L86" s="212">
        <f t="shared" ca="1" si="21"/>
        <v>324.28149467587832</v>
      </c>
      <c r="M86" s="212">
        <f t="shared" ca="1" si="22"/>
        <v>10.110542135503652</v>
      </c>
      <c r="N86" s="212">
        <f t="shared" ca="1" si="23"/>
        <v>7.6368477630678893</v>
      </c>
      <c r="O86" s="210">
        <f t="shared" ca="1" si="18"/>
        <v>295.43791936297487</v>
      </c>
      <c r="P86" s="212">
        <f t="shared" ca="1" si="24"/>
        <v>2.4736943724357623</v>
      </c>
      <c r="Q86" s="212">
        <f t="shared" ca="1" si="25"/>
        <v>0</v>
      </c>
      <c r="R86" s="386"/>
      <c r="S86" s="207">
        <f t="shared" si="30"/>
        <v>1987</v>
      </c>
      <c r="T86" s="207">
        <f t="shared" si="31"/>
        <v>7</v>
      </c>
      <c r="U86" s="384" t="str">
        <f t="shared" ca="1" si="26"/>
        <v/>
      </c>
      <c r="V86" s="384" t="str">
        <f t="shared" ca="1" si="27"/>
        <v/>
      </c>
      <c r="W86" s="385" t="str">
        <f t="shared" ca="1" si="28"/>
        <v>||||||||||||</v>
      </c>
    </row>
    <row r="87" spans="1:23">
      <c r="A87" s="207">
        <f>+'Anexo Escurrimiento'!A97</f>
        <v>1987</v>
      </c>
      <c r="B87" s="207">
        <f>+'Anexo Escurrimiento'!B97</f>
        <v>8</v>
      </c>
      <c r="C87" s="208">
        <f>+'Anexo Escurrimiento'!O97</f>
        <v>1.626200276731576</v>
      </c>
      <c r="D87" s="207">
        <f>+'Anexo Escurrimiento'!D97</f>
        <v>91.4</v>
      </c>
      <c r="E87" s="214">
        <f t="shared" si="29"/>
        <v>72.449999999999989</v>
      </c>
      <c r="F87" s="213">
        <f t="shared" si="29"/>
        <v>0</v>
      </c>
      <c r="G87" s="211">
        <f t="shared" si="16"/>
        <v>1.8950000000000016E-4</v>
      </c>
      <c r="H87" s="212">
        <f>+F87/100000*'Anexo Bal Hídrico'!$G$4</f>
        <v>0</v>
      </c>
      <c r="I87" s="212">
        <v>0</v>
      </c>
      <c r="J87" s="212">
        <f t="shared" ca="1" si="19"/>
        <v>9.2630480397994646</v>
      </c>
      <c r="K87" s="212">
        <f t="shared" ca="1" si="20"/>
        <v>334.57686351151648</v>
      </c>
      <c r="L87" s="212">
        <f t="shared" ca="1" si="21"/>
        <v>315.0073914372457</v>
      </c>
      <c r="M87" s="212">
        <f t="shared" ca="1" si="22"/>
        <v>9.1279643332039182</v>
      </c>
      <c r="N87" s="212">
        <f t="shared" ca="1" si="23"/>
        <v>7.6368477630678893</v>
      </c>
      <c r="O87" s="210">
        <f t="shared" ca="1" si="18"/>
        <v>295.43791936297487</v>
      </c>
      <c r="P87" s="212">
        <f t="shared" ca="1" si="24"/>
        <v>1.4911165701360289</v>
      </c>
      <c r="Q87" s="212">
        <f t="shared" ca="1" si="25"/>
        <v>0</v>
      </c>
      <c r="R87" s="386"/>
      <c r="S87" s="207">
        <f t="shared" si="30"/>
        <v>1987</v>
      </c>
      <c r="T87" s="207">
        <f t="shared" si="31"/>
        <v>8</v>
      </c>
      <c r="U87" s="384" t="str">
        <f t="shared" ca="1" si="26"/>
        <v/>
      </c>
      <c r="V87" s="384" t="str">
        <f t="shared" ca="1" si="27"/>
        <v/>
      </c>
      <c r="W87" s="385" t="str">
        <f t="shared" ca="1" si="28"/>
        <v>|||||||</v>
      </c>
    </row>
    <row r="88" spans="1:23">
      <c r="A88" s="207">
        <f>+'Anexo Escurrimiento'!A98</f>
        <v>1987</v>
      </c>
      <c r="B88" s="207">
        <f>+'Anexo Escurrimiento'!B98</f>
        <v>9</v>
      </c>
      <c r="C88" s="208">
        <f>+'Anexo Escurrimiento'!O98</f>
        <v>2.9664817526222409</v>
      </c>
      <c r="D88" s="207">
        <f>+'Anexo Escurrimiento'!D98</f>
        <v>196.4</v>
      </c>
      <c r="E88" s="214">
        <f t="shared" si="29"/>
        <v>85.89</v>
      </c>
      <c r="F88" s="213">
        <f t="shared" si="29"/>
        <v>0</v>
      </c>
      <c r="G88" s="211">
        <f t="shared" si="16"/>
        <v>1.1051000000000001E-3</v>
      </c>
      <c r="H88" s="212">
        <f>+F88/100000*'Anexo Bal Hídrico'!$G$4</f>
        <v>0</v>
      </c>
      <c r="I88" s="212">
        <v>0</v>
      </c>
      <c r="J88" s="212">
        <f t="shared" ca="1" si="19"/>
        <v>10.603329515690131</v>
      </c>
      <c r="K88" s="212">
        <f t="shared" ca="1" si="20"/>
        <v>365.02027852959367</v>
      </c>
      <c r="L88" s="212">
        <f t="shared" ca="1" si="21"/>
        <v>330.22909894628424</v>
      </c>
      <c r="M88" s="212">
        <f t="shared" ca="1" si="22"/>
        <v>10.59578713924402</v>
      </c>
      <c r="N88" s="212">
        <f t="shared" ca="1" si="23"/>
        <v>7.6368477630678893</v>
      </c>
      <c r="O88" s="210">
        <f t="shared" ca="1" si="18"/>
        <v>295.43791936297487</v>
      </c>
      <c r="P88" s="212">
        <f t="shared" ca="1" si="24"/>
        <v>2.9589393761761311</v>
      </c>
      <c r="Q88" s="212">
        <f t="shared" ca="1" si="25"/>
        <v>0</v>
      </c>
      <c r="R88" s="386"/>
      <c r="S88" s="207">
        <f t="shared" si="30"/>
        <v>1987</v>
      </c>
      <c r="T88" s="207">
        <f t="shared" si="31"/>
        <v>9</v>
      </c>
      <c r="U88" s="384" t="str">
        <f t="shared" ca="1" si="26"/>
        <v/>
      </c>
      <c r="V88" s="384" t="str">
        <f t="shared" ca="1" si="27"/>
        <v/>
      </c>
      <c r="W88" s="385" t="str">
        <f t="shared" ca="1" si="28"/>
        <v>||||||||||||||</v>
      </c>
    </row>
    <row r="89" spans="1:23">
      <c r="A89" s="207">
        <f>+'Anexo Escurrimiento'!A99</f>
        <v>1987</v>
      </c>
      <c r="B89" s="207">
        <f>+'Anexo Escurrimiento'!B99</f>
        <v>10</v>
      </c>
      <c r="C89" s="208">
        <f>+'Anexo Escurrimiento'!O99</f>
        <v>0.96385127403454618</v>
      </c>
      <c r="D89" s="207">
        <f>+'Anexo Escurrimiento'!D99</f>
        <v>50.9</v>
      </c>
      <c r="E89" s="214">
        <f t="shared" si="29"/>
        <v>114.86999999999999</v>
      </c>
      <c r="F89" s="213">
        <f t="shared" si="29"/>
        <v>59</v>
      </c>
      <c r="G89" s="211">
        <f t="shared" si="16"/>
        <v>-6.3969999999999988E-4</v>
      </c>
      <c r="H89" s="212">
        <f>+F89/100000*'Anexo Bal Hídrico'!$G$4</f>
        <v>0.53100000000000003</v>
      </c>
      <c r="I89" s="212">
        <v>0</v>
      </c>
      <c r="J89" s="212">
        <f t="shared" ca="1" si="19"/>
        <v>8.0696990371024349</v>
      </c>
      <c r="K89" s="212">
        <f t="shared" ca="1" si="20"/>
        <v>306.12315689144805</v>
      </c>
      <c r="L89" s="212">
        <f t="shared" ca="1" si="21"/>
        <v>300.78053812721146</v>
      </c>
      <c r="M89" s="212">
        <f t="shared" ca="1" si="22"/>
        <v>7.7670586603686536</v>
      </c>
      <c r="N89" s="212">
        <f t="shared" ca="1" si="23"/>
        <v>7.6368477630678893</v>
      </c>
      <c r="O89" s="210">
        <f t="shared" ca="1" si="18"/>
        <v>295.43791936297487</v>
      </c>
      <c r="P89" s="212">
        <f t="shared" ca="1" si="24"/>
        <v>0.13021089730076429</v>
      </c>
      <c r="Q89" s="212">
        <f t="shared" ca="1" si="25"/>
        <v>0.53100000000000003</v>
      </c>
      <c r="R89" s="386"/>
      <c r="S89" s="207">
        <f t="shared" si="30"/>
        <v>1987</v>
      </c>
      <c r="T89" s="207">
        <f t="shared" si="31"/>
        <v>10</v>
      </c>
      <c r="U89" s="384" t="str">
        <f t="shared" ca="1" si="26"/>
        <v/>
      </c>
      <c r="V89" s="384" t="str">
        <f t="shared" ca="1" si="27"/>
        <v>||</v>
      </c>
      <c r="W89" s="385" t="str">
        <f t="shared" ca="1" si="28"/>
        <v/>
      </c>
    </row>
    <row r="90" spans="1:23">
      <c r="A90" s="207">
        <f>+'Anexo Escurrimiento'!A100</f>
        <v>1987</v>
      </c>
      <c r="B90" s="207">
        <f>+'Anexo Escurrimiento'!B100</f>
        <v>11</v>
      </c>
      <c r="C90" s="208">
        <f>+'Anexo Escurrimiento'!O100</f>
        <v>0.77396578129949178</v>
      </c>
      <c r="D90" s="207">
        <f>+'Anexo Escurrimiento'!D100</f>
        <v>97.7</v>
      </c>
      <c r="E90" s="214">
        <f t="shared" si="29"/>
        <v>144.06</v>
      </c>
      <c r="F90" s="213">
        <f t="shared" si="29"/>
        <v>212</v>
      </c>
      <c r="G90" s="211">
        <f t="shared" si="16"/>
        <v>-4.6359999999999999E-4</v>
      </c>
      <c r="H90" s="212">
        <f>+F90/100000*'Anexo Bal Hídrico'!$G$4</f>
        <v>1.9079999999999999</v>
      </c>
      <c r="I90" s="212">
        <v>0</v>
      </c>
      <c r="J90" s="212">
        <f t="shared" ca="1" si="19"/>
        <v>6.5028135443673811</v>
      </c>
      <c r="K90" s="212">
        <f t="shared" ca="1" si="20"/>
        <v>266.36434375320653</v>
      </c>
      <c r="L90" s="212">
        <f t="shared" ca="1" si="21"/>
        <v>280.9011315580907</v>
      </c>
      <c r="M90" s="212">
        <f t="shared" ca="1" si="22"/>
        <v>6.2899231927982413</v>
      </c>
      <c r="N90" s="212">
        <f t="shared" ca="1" si="23"/>
        <v>6.2899231927982413</v>
      </c>
      <c r="O90" s="210">
        <f t="shared" ca="1" si="18"/>
        <v>260.71144520123335</v>
      </c>
      <c r="P90" s="212">
        <f t="shared" ca="1" si="24"/>
        <v>0</v>
      </c>
      <c r="Q90" s="212">
        <f t="shared" ca="1" si="25"/>
        <v>1.9079999999999999</v>
      </c>
      <c r="R90" s="386"/>
      <c r="S90" s="207">
        <f t="shared" si="30"/>
        <v>1987</v>
      </c>
      <c r="T90" s="207">
        <f t="shared" si="31"/>
        <v>11</v>
      </c>
      <c r="U90" s="384" t="str">
        <f t="shared" ca="1" si="26"/>
        <v/>
      </c>
      <c r="V90" s="384" t="str">
        <f t="shared" ca="1" si="27"/>
        <v>|||||||||</v>
      </c>
      <c r="W90" s="385" t="str">
        <f t="shared" ca="1" si="28"/>
        <v/>
      </c>
    </row>
    <row r="91" spans="1:23">
      <c r="A91" s="207">
        <f>+'Anexo Escurrimiento'!A101</f>
        <v>1987</v>
      </c>
      <c r="B91" s="207">
        <f>+'Anexo Escurrimiento'!B101</f>
        <v>12</v>
      </c>
      <c r="C91" s="208">
        <f>+'Anexo Escurrimiento'!O101</f>
        <v>0.57210372625474881</v>
      </c>
      <c r="D91" s="207">
        <f>+'Anexo Escurrimiento'!D101</f>
        <v>74.900000000000006</v>
      </c>
      <c r="E91" s="214">
        <f t="shared" si="29"/>
        <v>179.62</v>
      </c>
      <c r="F91" s="213">
        <f t="shared" si="29"/>
        <v>388</v>
      </c>
      <c r="G91" s="211">
        <f t="shared" si="16"/>
        <v>-1.0472000000000001E-3</v>
      </c>
      <c r="H91" s="212">
        <f>+F91/100000*'Anexo Bal Hídrico'!$G$4</f>
        <v>3.492</v>
      </c>
      <c r="I91" s="212">
        <v>0</v>
      </c>
      <c r="J91" s="212">
        <f t="shared" ca="1" si="19"/>
        <v>3.3700269190529903</v>
      </c>
      <c r="K91" s="212">
        <f t="shared" ca="1" si="20"/>
        <v>174.38505885644048</v>
      </c>
      <c r="L91" s="212">
        <f t="shared" ca="1" si="21"/>
        <v>217.54825202883691</v>
      </c>
      <c r="M91" s="212">
        <f t="shared" ca="1" si="22"/>
        <v>3.0948871326364129</v>
      </c>
      <c r="N91" s="212">
        <f t="shared" ca="1" si="23"/>
        <v>3.0948871326364129</v>
      </c>
      <c r="O91" s="210">
        <f t="shared" ca="1" si="18"/>
        <v>165.07160956376677</v>
      </c>
      <c r="P91" s="212">
        <f t="shared" ca="1" si="24"/>
        <v>0</v>
      </c>
      <c r="Q91" s="212">
        <f t="shared" ca="1" si="25"/>
        <v>3.492</v>
      </c>
      <c r="R91" s="386"/>
      <c r="S91" s="207">
        <f t="shared" si="30"/>
        <v>1987</v>
      </c>
      <c r="T91" s="207">
        <f t="shared" si="31"/>
        <v>12</v>
      </c>
      <c r="U91" s="384" t="str">
        <f t="shared" ca="1" si="26"/>
        <v/>
      </c>
      <c r="V91" s="384" t="str">
        <f t="shared" ca="1" si="27"/>
        <v>|||||||||||||||||</v>
      </c>
      <c r="W91" s="385" t="str">
        <f t="shared" ca="1" si="28"/>
        <v/>
      </c>
    </row>
    <row r="92" spans="1:23">
      <c r="A92" s="207">
        <f>+'Anexo Escurrimiento'!A102</f>
        <v>1988</v>
      </c>
      <c r="B92" s="207">
        <f>+'Anexo Escurrimiento'!B102</f>
        <v>1</v>
      </c>
      <c r="C92" s="208">
        <f>+'Anexo Escurrimiento'!O102</f>
        <v>5.3243723446951083</v>
      </c>
      <c r="D92" s="207">
        <f>+'Anexo Escurrimiento'!D102</f>
        <v>381.9</v>
      </c>
      <c r="E92" s="214">
        <f t="shared" si="29"/>
        <v>176.89</v>
      </c>
      <c r="F92" s="213">
        <f t="shared" si="29"/>
        <v>318</v>
      </c>
      <c r="G92" s="211">
        <f t="shared" si="16"/>
        <v>2.0501E-3</v>
      </c>
      <c r="H92" s="212">
        <f>+F92/100000*'Anexo Bal Hídrico'!$G$4</f>
        <v>2.8620000000000001</v>
      </c>
      <c r="I92" s="212">
        <v>0</v>
      </c>
      <c r="J92" s="212">
        <f t="shared" ca="1" si="19"/>
        <v>5.557259477331522</v>
      </c>
      <c r="K92" s="212">
        <f t="shared" ca="1" si="20"/>
        <v>240.71277087982344</v>
      </c>
      <c r="L92" s="212">
        <f t="shared" ca="1" si="21"/>
        <v>202.89219022179509</v>
      </c>
      <c r="M92" s="212">
        <f t="shared" ca="1" si="22"/>
        <v>5.5624583509647127</v>
      </c>
      <c r="N92" s="212">
        <f t="shared" ca="1" si="23"/>
        <v>5.5624583509647127</v>
      </c>
      <c r="O92" s="210">
        <f t="shared" ca="1" si="18"/>
        <v>240.85786762726482</v>
      </c>
      <c r="P92" s="212">
        <f t="shared" ca="1" si="24"/>
        <v>0</v>
      </c>
      <c r="Q92" s="212">
        <f t="shared" ca="1" si="25"/>
        <v>2.8620000000000001</v>
      </c>
      <c r="R92" s="386"/>
      <c r="S92" s="207">
        <f t="shared" si="30"/>
        <v>1988</v>
      </c>
      <c r="T92" s="207">
        <f t="shared" si="31"/>
        <v>1</v>
      </c>
      <c r="U92" s="384" t="str">
        <f t="shared" ca="1" si="26"/>
        <v/>
      </c>
      <c r="V92" s="384" t="str">
        <f t="shared" ca="1" si="27"/>
        <v>||||||||||||||</v>
      </c>
      <c r="W92" s="385" t="str">
        <f t="shared" ca="1" si="28"/>
        <v/>
      </c>
    </row>
    <row r="93" spans="1:23">
      <c r="A93" s="207">
        <f>+'Anexo Escurrimiento'!A103</f>
        <v>1988</v>
      </c>
      <c r="B93" s="207">
        <f>+'Anexo Escurrimiento'!B103</f>
        <v>2</v>
      </c>
      <c r="C93" s="208">
        <f>+'Anexo Escurrimiento'!O103</f>
        <v>1.5362369544855854</v>
      </c>
      <c r="D93" s="207">
        <f>+'Anexo Escurrimiento'!D103</f>
        <v>78.3</v>
      </c>
      <c r="E93" s="214">
        <f t="shared" ref="E93:F112" si="32">+E81</f>
        <v>131.73999999999998</v>
      </c>
      <c r="F93" s="213">
        <f t="shared" si="32"/>
        <v>153</v>
      </c>
      <c r="G93" s="211">
        <f t="shared" si="16"/>
        <v>-5.3439999999999987E-4</v>
      </c>
      <c r="H93" s="212">
        <f>+F93/100000*'Anexo Bal Hídrico'!$G$4</f>
        <v>1.377</v>
      </c>
      <c r="I93" s="212">
        <v>0</v>
      </c>
      <c r="J93" s="212">
        <f t="shared" ca="1" si="19"/>
        <v>5.7216953054502984</v>
      </c>
      <c r="K93" s="212">
        <f t="shared" ca="1" si="20"/>
        <v>245.27898903245554</v>
      </c>
      <c r="L93" s="212">
        <f t="shared" ca="1" si="21"/>
        <v>243.06842832986018</v>
      </c>
      <c r="M93" s="212">
        <f t="shared" ca="1" si="22"/>
        <v>5.4498182818112531</v>
      </c>
      <c r="N93" s="212">
        <f t="shared" ca="1" si="23"/>
        <v>5.4498182818112531</v>
      </c>
      <c r="O93" s="210">
        <f t="shared" ca="1" si="18"/>
        <v>237.70326803789672</v>
      </c>
      <c r="P93" s="212">
        <f t="shared" ca="1" si="24"/>
        <v>0</v>
      </c>
      <c r="Q93" s="212">
        <f t="shared" ca="1" si="25"/>
        <v>1.377</v>
      </c>
      <c r="R93" s="386"/>
      <c r="S93" s="207">
        <f t="shared" si="30"/>
        <v>1988</v>
      </c>
      <c r="T93" s="207">
        <f t="shared" si="31"/>
        <v>2</v>
      </c>
      <c r="U93" s="384" t="str">
        <f t="shared" ca="1" si="26"/>
        <v/>
      </c>
      <c r="V93" s="384" t="str">
        <f t="shared" ca="1" si="27"/>
        <v>||||||</v>
      </c>
      <c r="W93" s="385" t="str">
        <f t="shared" ca="1" si="28"/>
        <v/>
      </c>
    </row>
    <row r="94" spans="1:23">
      <c r="A94" s="207">
        <f>+'Anexo Escurrimiento'!A104</f>
        <v>1988</v>
      </c>
      <c r="B94" s="207">
        <f>+'Anexo Escurrimiento'!B104</f>
        <v>3</v>
      </c>
      <c r="C94" s="208">
        <f>+'Anexo Escurrimiento'!O104</f>
        <v>0.47828727925989312</v>
      </c>
      <c r="D94" s="207">
        <f>+'Anexo Escurrimiento'!D104</f>
        <v>51.8</v>
      </c>
      <c r="E94" s="214">
        <f t="shared" si="32"/>
        <v>118.64999999999999</v>
      </c>
      <c r="F94" s="213">
        <f t="shared" si="32"/>
        <v>47</v>
      </c>
      <c r="G94" s="211">
        <f t="shared" si="16"/>
        <v>-6.6849999999999993E-4</v>
      </c>
      <c r="H94" s="212">
        <f>+F94/100000*'Anexo Bal Hídrico'!$G$4</f>
        <v>0.42299999999999999</v>
      </c>
      <c r="I94" s="212">
        <v>0</v>
      </c>
      <c r="J94" s="212">
        <f t="shared" ca="1" si="19"/>
        <v>5.5051055610711463</v>
      </c>
      <c r="K94" s="212">
        <f t="shared" ca="1" si="20"/>
        <v>239.25451203195945</v>
      </c>
      <c r="L94" s="212">
        <f t="shared" ca="1" si="21"/>
        <v>238.4788900349281</v>
      </c>
      <c r="M94" s="212">
        <f t="shared" ca="1" si="22"/>
        <v>5.3023130620654113</v>
      </c>
      <c r="N94" s="212">
        <f t="shared" ca="1" si="23"/>
        <v>5.3023130620654113</v>
      </c>
      <c r="O94" s="210">
        <f t="shared" ca="1" si="18"/>
        <v>233.53694189230777</v>
      </c>
      <c r="P94" s="212">
        <f t="shared" ca="1" si="24"/>
        <v>0</v>
      </c>
      <c r="Q94" s="212">
        <f t="shared" ca="1" si="25"/>
        <v>0.42299999999999999</v>
      </c>
      <c r="R94" s="386"/>
      <c r="S94" s="207">
        <f t="shared" si="30"/>
        <v>1988</v>
      </c>
      <c r="T94" s="207">
        <f t="shared" si="31"/>
        <v>3</v>
      </c>
      <c r="U94" s="384" t="str">
        <f t="shared" ca="1" si="26"/>
        <v/>
      </c>
      <c r="V94" s="384" t="str">
        <f t="shared" ca="1" si="27"/>
        <v>||</v>
      </c>
      <c r="W94" s="385" t="str">
        <f t="shared" ca="1" si="28"/>
        <v/>
      </c>
    </row>
    <row r="95" spans="1:23">
      <c r="A95" s="207">
        <f>+'Anexo Escurrimiento'!A105</f>
        <v>1988</v>
      </c>
      <c r="B95" s="207">
        <f>+'Anexo Escurrimiento'!B105</f>
        <v>4</v>
      </c>
      <c r="C95" s="208">
        <f>+'Anexo Escurrimiento'!O105</f>
        <v>0.24883947992380465</v>
      </c>
      <c r="D95" s="207">
        <f>+'Anexo Escurrimiento'!D105</f>
        <v>36.200000000000003</v>
      </c>
      <c r="E95" s="214">
        <f t="shared" si="32"/>
        <v>73.149999999999991</v>
      </c>
      <c r="F95" s="213">
        <f t="shared" si="32"/>
        <v>0</v>
      </c>
      <c r="G95" s="211">
        <f t="shared" si="16"/>
        <v>-3.6949999999999987E-4</v>
      </c>
      <c r="H95" s="212">
        <f>+F95/100000*'Anexo Bal Hídrico'!$G$4</f>
        <v>0</v>
      </c>
      <c r="I95" s="212">
        <v>0</v>
      </c>
      <c r="J95" s="212">
        <f t="shared" ca="1" si="19"/>
        <v>5.5511525419892163</v>
      </c>
      <c r="K95" s="212">
        <f t="shared" ca="1" si="20"/>
        <v>240.54226913695979</v>
      </c>
      <c r="L95" s="212">
        <f t="shared" ca="1" si="21"/>
        <v>237.03960551463376</v>
      </c>
      <c r="M95" s="212">
        <f t="shared" ca="1" si="22"/>
        <v>5.4411387225205301</v>
      </c>
      <c r="N95" s="212">
        <f t="shared" ca="1" si="23"/>
        <v>5.4411387225205301</v>
      </c>
      <c r="O95" s="210">
        <f t="shared" ca="1" si="18"/>
        <v>237.45923085317028</v>
      </c>
      <c r="P95" s="212">
        <f t="shared" ca="1" si="24"/>
        <v>0</v>
      </c>
      <c r="Q95" s="212">
        <f t="shared" ca="1" si="25"/>
        <v>0</v>
      </c>
      <c r="R95" s="386"/>
      <c r="S95" s="207">
        <f t="shared" si="30"/>
        <v>1988</v>
      </c>
      <c r="T95" s="207">
        <f t="shared" si="31"/>
        <v>4</v>
      </c>
      <c r="U95" s="384" t="str">
        <f t="shared" ca="1" si="26"/>
        <v/>
      </c>
      <c r="V95" s="384" t="str">
        <f t="shared" ca="1" si="27"/>
        <v/>
      </c>
      <c r="W95" s="385" t="str">
        <f t="shared" ca="1" si="28"/>
        <v/>
      </c>
    </row>
    <row r="96" spans="1:23">
      <c r="A96" s="207">
        <f>+'Anexo Escurrimiento'!A106</f>
        <v>1988</v>
      </c>
      <c r="B96" s="207">
        <f>+'Anexo Escurrimiento'!B106</f>
        <v>5</v>
      </c>
      <c r="C96" s="208">
        <f>+'Anexo Escurrimiento'!O106</f>
        <v>7.0021648194232414E-2</v>
      </c>
      <c r="D96" s="207">
        <f>+'Anexo Escurrimiento'!D106</f>
        <v>9.6999999999999993</v>
      </c>
      <c r="E96" s="214">
        <f t="shared" si="32"/>
        <v>51.24</v>
      </c>
      <c r="F96" s="213">
        <f t="shared" si="32"/>
        <v>0</v>
      </c>
      <c r="G96" s="211">
        <f t="shared" si="16"/>
        <v>-4.1540000000000007E-4</v>
      </c>
      <c r="H96" s="212">
        <f>+F96/100000*'Anexo Bal Hídrico'!$G$4</f>
        <v>0</v>
      </c>
      <c r="I96" s="212">
        <v>0</v>
      </c>
      <c r="J96" s="212">
        <f t="shared" ca="1" si="19"/>
        <v>5.5111603707147623</v>
      </c>
      <c r="K96" s="212">
        <f t="shared" ca="1" si="20"/>
        <v>239.4240598711074</v>
      </c>
      <c r="L96" s="212">
        <f t="shared" ca="1" si="21"/>
        <v>238.44164536213884</v>
      </c>
      <c r="M96" s="212">
        <f t="shared" ca="1" si="22"/>
        <v>5.4057633929779456</v>
      </c>
      <c r="N96" s="212">
        <f t="shared" ca="1" si="23"/>
        <v>5.4057633929779456</v>
      </c>
      <c r="O96" s="210">
        <f t="shared" ca="1" si="18"/>
        <v>236.46317182478595</v>
      </c>
      <c r="P96" s="212">
        <f t="shared" ca="1" si="24"/>
        <v>0</v>
      </c>
      <c r="Q96" s="212">
        <f t="shared" ca="1" si="25"/>
        <v>0</v>
      </c>
      <c r="R96" s="386"/>
      <c r="S96" s="207">
        <f t="shared" si="30"/>
        <v>1988</v>
      </c>
      <c r="T96" s="207">
        <f t="shared" si="31"/>
        <v>5</v>
      </c>
      <c r="U96" s="384" t="str">
        <f t="shared" ca="1" si="26"/>
        <v/>
      </c>
      <c r="V96" s="384" t="str">
        <f t="shared" ca="1" si="27"/>
        <v/>
      </c>
      <c r="W96" s="385" t="str">
        <f t="shared" ca="1" si="28"/>
        <v/>
      </c>
    </row>
    <row r="97" spans="1:23">
      <c r="A97" s="207">
        <f>+'Anexo Escurrimiento'!A107</f>
        <v>1988</v>
      </c>
      <c r="B97" s="207">
        <f>+'Anexo Escurrimiento'!B107</f>
        <v>6</v>
      </c>
      <c r="C97" s="208">
        <f>+'Anexo Escurrimiento'!O107</f>
        <v>0.69257865966307652</v>
      </c>
      <c r="D97" s="207">
        <f>+'Anexo Escurrimiento'!D107</f>
        <v>68.2</v>
      </c>
      <c r="E97" s="214">
        <f t="shared" si="32"/>
        <v>41.019999999999996</v>
      </c>
      <c r="F97" s="213">
        <f t="shared" si="32"/>
        <v>0</v>
      </c>
      <c r="G97" s="211">
        <f t="shared" ref="G97:G160" si="33">+(D97-E97)/100000</f>
        <v>2.7180000000000005E-4</v>
      </c>
      <c r="H97" s="212">
        <f>+F97/100000*'Anexo Bal Hídrico'!$G$4</f>
        <v>0</v>
      </c>
      <c r="I97" s="212">
        <v>0</v>
      </c>
      <c r="J97" s="212">
        <f t="shared" ca="1" si="19"/>
        <v>6.0983420526410219</v>
      </c>
      <c r="K97" s="212">
        <f t="shared" ca="1" si="20"/>
        <v>255.56594296418191</v>
      </c>
      <c r="L97" s="212">
        <f t="shared" ca="1" si="21"/>
        <v>246.01455739448392</v>
      </c>
      <c r="M97" s="212">
        <f t="shared" ca="1" si="22"/>
        <v>6.1004238540488753</v>
      </c>
      <c r="N97" s="212">
        <f t="shared" ca="1" si="23"/>
        <v>6.1004238540488753</v>
      </c>
      <c r="O97" s="210">
        <f t="shared" ca="1" si="18"/>
        <v>255.62216237722075</v>
      </c>
      <c r="P97" s="212">
        <f t="shared" ca="1" si="24"/>
        <v>0</v>
      </c>
      <c r="Q97" s="212">
        <f t="shared" ca="1" si="25"/>
        <v>0</v>
      </c>
      <c r="R97" s="386"/>
      <c r="S97" s="207">
        <f t="shared" si="30"/>
        <v>1988</v>
      </c>
      <c r="T97" s="207">
        <f t="shared" si="31"/>
        <v>6</v>
      </c>
      <c r="U97" s="384" t="str">
        <f t="shared" ca="1" si="26"/>
        <v/>
      </c>
      <c r="V97" s="384" t="str">
        <f t="shared" ca="1" si="27"/>
        <v/>
      </c>
      <c r="W97" s="385" t="str">
        <f t="shared" ca="1" si="28"/>
        <v/>
      </c>
    </row>
    <row r="98" spans="1:23">
      <c r="A98" s="207">
        <f>+'Anexo Escurrimiento'!A108</f>
        <v>1988</v>
      </c>
      <c r="B98" s="207">
        <f>+'Anexo Escurrimiento'!B108</f>
        <v>7</v>
      </c>
      <c r="C98" s="208">
        <f>+'Anexo Escurrimiento'!O108</f>
        <v>0.44208096174249184</v>
      </c>
      <c r="D98" s="207">
        <f>+'Anexo Escurrimiento'!D108</f>
        <v>33.9</v>
      </c>
      <c r="E98" s="214">
        <f t="shared" si="32"/>
        <v>50.819999999999993</v>
      </c>
      <c r="F98" s="213">
        <f t="shared" si="32"/>
        <v>0</v>
      </c>
      <c r="G98" s="211">
        <f t="shared" si="33"/>
        <v>-1.6919999999999994E-4</v>
      </c>
      <c r="H98" s="212">
        <f>+F98/100000*'Anexo Bal Hídrico'!$G$4</f>
        <v>0</v>
      </c>
      <c r="I98" s="212">
        <v>0</v>
      </c>
      <c r="J98" s="212">
        <f t="shared" ca="1" si="19"/>
        <v>6.542504815791367</v>
      </c>
      <c r="K98" s="212">
        <f t="shared" ca="1" si="20"/>
        <v>267.41094618982788</v>
      </c>
      <c r="L98" s="212">
        <f t="shared" ca="1" si="21"/>
        <v>261.51655428352433</v>
      </c>
      <c r="M98" s="212">
        <f t="shared" ca="1" si="22"/>
        <v>6.4542974734266538</v>
      </c>
      <c r="N98" s="212">
        <f t="shared" ca="1" si="23"/>
        <v>6.4542974734266538</v>
      </c>
      <c r="O98" s="210">
        <f t="shared" ca="1" si="18"/>
        <v>265.081953587008</v>
      </c>
      <c r="P98" s="212">
        <f t="shared" ca="1" si="24"/>
        <v>0</v>
      </c>
      <c r="Q98" s="212">
        <f t="shared" ca="1" si="25"/>
        <v>0</v>
      </c>
      <c r="R98" s="386"/>
      <c r="S98" s="207">
        <f t="shared" si="30"/>
        <v>1988</v>
      </c>
      <c r="T98" s="207">
        <f t="shared" si="31"/>
        <v>7</v>
      </c>
      <c r="U98" s="384" t="str">
        <f t="shared" ca="1" si="26"/>
        <v/>
      </c>
      <c r="V98" s="384" t="str">
        <f t="shared" ca="1" si="27"/>
        <v/>
      </c>
      <c r="W98" s="385" t="str">
        <f t="shared" ca="1" si="28"/>
        <v/>
      </c>
    </row>
    <row r="99" spans="1:23">
      <c r="A99" s="207">
        <f>+'Anexo Escurrimiento'!A109</f>
        <v>1988</v>
      </c>
      <c r="B99" s="207">
        <f>+'Anexo Escurrimiento'!B109</f>
        <v>8</v>
      </c>
      <c r="C99" s="208">
        <f>+'Anexo Escurrimiento'!O109</f>
        <v>0.60164491853797419</v>
      </c>
      <c r="D99" s="207">
        <f>+'Anexo Escurrimiento'!D109</f>
        <v>65</v>
      </c>
      <c r="E99" s="214">
        <f t="shared" si="32"/>
        <v>72.449999999999989</v>
      </c>
      <c r="F99" s="213">
        <f t="shared" si="32"/>
        <v>0</v>
      </c>
      <c r="G99" s="211">
        <f t="shared" si="33"/>
        <v>-7.4499999999999886E-5</v>
      </c>
      <c r="H99" s="212">
        <f>+F99/100000*'Anexo Bal Hídrico'!$G$4</f>
        <v>0</v>
      </c>
      <c r="I99" s="212">
        <v>0</v>
      </c>
      <c r="J99" s="212">
        <f t="shared" ca="1" si="19"/>
        <v>7.0559423919646278</v>
      </c>
      <c r="K99" s="212">
        <f t="shared" ca="1" si="20"/>
        <v>280.75265362912342</v>
      </c>
      <c r="L99" s="212">
        <f t="shared" ca="1" si="21"/>
        <v>272.91730360806571</v>
      </c>
      <c r="M99" s="212">
        <f t="shared" ca="1" si="22"/>
        <v>6.973176855546634</v>
      </c>
      <c r="N99" s="212">
        <f t="shared" ca="1" si="23"/>
        <v>6.973176855546634</v>
      </c>
      <c r="O99" s="210">
        <f t="shared" ca="1" si="18"/>
        <v>278.62593479949709</v>
      </c>
      <c r="P99" s="212">
        <f t="shared" ca="1" si="24"/>
        <v>0</v>
      </c>
      <c r="Q99" s="212">
        <f t="shared" ca="1" si="25"/>
        <v>0</v>
      </c>
      <c r="R99" s="386"/>
      <c r="S99" s="207">
        <f t="shared" si="30"/>
        <v>1988</v>
      </c>
      <c r="T99" s="207">
        <f t="shared" si="31"/>
        <v>8</v>
      </c>
      <c r="U99" s="384" t="str">
        <f t="shared" ca="1" si="26"/>
        <v/>
      </c>
      <c r="V99" s="384" t="str">
        <f t="shared" ca="1" si="27"/>
        <v/>
      </c>
      <c r="W99" s="385" t="str">
        <f t="shared" ca="1" si="28"/>
        <v/>
      </c>
    </row>
    <row r="100" spans="1:23">
      <c r="A100" s="207">
        <f>+'Anexo Escurrimiento'!A110</f>
        <v>1988</v>
      </c>
      <c r="B100" s="207">
        <f>+'Anexo Escurrimiento'!B110</f>
        <v>9</v>
      </c>
      <c r="C100" s="208">
        <f>+'Anexo Escurrimiento'!O110</f>
        <v>2.1288756423945916</v>
      </c>
      <c r="D100" s="207">
        <f>+'Anexo Escurrimiento'!D110</f>
        <v>162.4</v>
      </c>
      <c r="E100" s="214">
        <f t="shared" si="32"/>
        <v>85.89</v>
      </c>
      <c r="F100" s="213">
        <f t="shared" si="32"/>
        <v>0</v>
      </c>
      <c r="G100" s="211">
        <f t="shared" si="33"/>
        <v>7.651E-4</v>
      </c>
      <c r="H100" s="212">
        <f>+F100/100000*'Anexo Bal Hídrico'!$G$4</f>
        <v>0</v>
      </c>
      <c r="I100" s="212">
        <v>0</v>
      </c>
      <c r="J100" s="212">
        <f t="shared" ca="1" si="19"/>
        <v>9.1020524979412265</v>
      </c>
      <c r="K100" s="212">
        <f t="shared" ca="1" si="20"/>
        <v>330.81772374921633</v>
      </c>
      <c r="L100" s="212">
        <f t="shared" ca="1" si="21"/>
        <v>304.72182927435671</v>
      </c>
      <c r="M100" s="212">
        <f t="shared" ca="1" si="22"/>
        <v>9.0885355193106339</v>
      </c>
      <c r="N100" s="212">
        <f t="shared" ca="1" si="23"/>
        <v>7.6368477630678893</v>
      </c>
      <c r="O100" s="210">
        <f t="shared" ca="1" si="18"/>
        <v>295.43791936297487</v>
      </c>
      <c r="P100" s="212">
        <f t="shared" ca="1" si="24"/>
        <v>1.4516877562427446</v>
      </c>
      <c r="Q100" s="212">
        <f t="shared" ca="1" si="25"/>
        <v>0</v>
      </c>
      <c r="R100" s="386"/>
      <c r="S100" s="207">
        <f t="shared" si="30"/>
        <v>1988</v>
      </c>
      <c r="T100" s="207">
        <f t="shared" si="31"/>
        <v>9</v>
      </c>
      <c r="U100" s="384" t="str">
        <f t="shared" ca="1" si="26"/>
        <v/>
      </c>
      <c r="V100" s="384" t="str">
        <f t="shared" ca="1" si="27"/>
        <v/>
      </c>
      <c r="W100" s="385" t="str">
        <f t="shared" ca="1" si="28"/>
        <v>|||||||</v>
      </c>
    </row>
    <row r="101" spans="1:23">
      <c r="A101" s="207">
        <f>+'Anexo Escurrimiento'!A111</f>
        <v>1988</v>
      </c>
      <c r="B101" s="207">
        <f>+'Anexo Escurrimiento'!B111</f>
        <v>10</v>
      </c>
      <c r="C101" s="208">
        <f>+'Anexo Escurrimiento'!O111</f>
        <v>0.90151391774496881</v>
      </c>
      <c r="D101" s="207">
        <f>+'Anexo Escurrimiento'!D111</f>
        <v>60.9</v>
      </c>
      <c r="E101" s="214">
        <f t="shared" si="32"/>
        <v>114.86999999999999</v>
      </c>
      <c r="F101" s="213">
        <f t="shared" si="32"/>
        <v>59</v>
      </c>
      <c r="G101" s="211">
        <f t="shared" si="33"/>
        <v>-5.3969999999999995E-4</v>
      </c>
      <c r="H101" s="212">
        <f>+F101/100000*'Anexo Bal Hídrico'!$G$4</f>
        <v>0.53100000000000003</v>
      </c>
      <c r="I101" s="212">
        <v>0</v>
      </c>
      <c r="J101" s="212">
        <f t="shared" ca="1" si="19"/>
        <v>8.007361680812858</v>
      </c>
      <c r="K101" s="212">
        <f t="shared" ca="1" si="20"/>
        <v>304.59711133679406</v>
      </c>
      <c r="L101" s="212">
        <f t="shared" ca="1" si="21"/>
        <v>300.01751534988443</v>
      </c>
      <c r="M101" s="212">
        <f t="shared" ca="1" si="22"/>
        <v>7.7426019366548813</v>
      </c>
      <c r="N101" s="212">
        <f t="shared" ca="1" si="23"/>
        <v>7.6368477630678893</v>
      </c>
      <c r="O101" s="210">
        <f t="shared" ca="1" si="18"/>
        <v>295.43791936297487</v>
      </c>
      <c r="P101" s="212">
        <f t="shared" ca="1" si="24"/>
        <v>0.10575417358699202</v>
      </c>
      <c r="Q101" s="212">
        <f t="shared" ca="1" si="25"/>
        <v>0.53100000000000003</v>
      </c>
      <c r="R101" s="386"/>
      <c r="S101" s="207">
        <f t="shared" si="30"/>
        <v>1988</v>
      </c>
      <c r="T101" s="207">
        <f t="shared" si="31"/>
        <v>10</v>
      </c>
      <c r="U101" s="384" t="str">
        <f t="shared" ca="1" si="26"/>
        <v/>
      </c>
      <c r="V101" s="384" t="str">
        <f t="shared" ca="1" si="27"/>
        <v>||</v>
      </c>
      <c r="W101" s="385" t="str">
        <f t="shared" ca="1" si="28"/>
        <v/>
      </c>
    </row>
    <row r="102" spans="1:23">
      <c r="A102" s="207">
        <f>+'Anexo Escurrimiento'!A112</f>
        <v>1988</v>
      </c>
      <c r="B102" s="207">
        <f>+'Anexo Escurrimiento'!B112</f>
        <v>11</v>
      </c>
      <c r="C102" s="208">
        <f>+'Anexo Escurrimiento'!O112</f>
        <v>0.82924490992781763</v>
      </c>
      <c r="D102" s="207">
        <f>+'Anexo Escurrimiento'!D112</f>
        <v>100.9</v>
      </c>
      <c r="E102" s="214">
        <f t="shared" si="32"/>
        <v>144.06</v>
      </c>
      <c r="F102" s="213">
        <f t="shared" si="32"/>
        <v>212</v>
      </c>
      <c r="G102" s="211">
        <f t="shared" si="33"/>
        <v>-4.3159999999999997E-4</v>
      </c>
      <c r="H102" s="212">
        <f>+F102/100000*'Anexo Bal Hídrico'!$G$4</f>
        <v>1.9079999999999999</v>
      </c>
      <c r="I102" s="212">
        <v>0</v>
      </c>
      <c r="J102" s="212">
        <f t="shared" ca="1" si="19"/>
        <v>6.5580926729957074</v>
      </c>
      <c r="K102" s="212">
        <f t="shared" ca="1" si="20"/>
        <v>267.82135806361322</v>
      </c>
      <c r="L102" s="212">
        <f t="shared" ca="1" si="21"/>
        <v>281.62963871329407</v>
      </c>
      <c r="M102" s="212">
        <f t="shared" ca="1" si="22"/>
        <v>6.3477428629849175</v>
      </c>
      <c r="N102" s="212">
        <f t="shared" ca="1" si="23"/>
        <v>6.3477428629849175</v>
      </c>
      <c r="O102" s="210">
        <f t="shared" ca="1" si="18"/>
        <v>262.25337693789118</v>
      </c>
      <c r="P102" s="212">
        <f t="shared" ca="1" si="24"/>
        <v>0</v>
      </c>
      <c r="Q102" s="212">
        <f t="shared" ca="1" si="25"/>
        <v>1.9079999999999999</v>
      </c>
      <c r="R102" s="386"/>
      <c r="S102" s="207">
        <f t="shared" si="30"/>
        <v>1988</v>
      </c>
      <c r="T102" s="207">
        <f t="shared" si="31"/>
        <v>11</v>
      </c>
      <c r="U102" s="384" t="str">
        <f t="shared" ca="1" si="26"/>
        <v/>
      </c>
      <c r="V102" s="384" t="str">
        <f t="shared" ca="1" si="27"/>
        <v>|||||||||</v>
      </c>
      <c r="W102" s="385" t="str">
        <f t="shared" ca="1" si="28"/>
        <v/>
      </c>
    </row>
    <row r="103" spans="1:23">
      <c r="A103" s="207">
        <f>+'Anexo Escurrimiento'!A113</f>
        <v>1988</v>
      </c>
      <c r="B103" s="207">
        <f>+'Anexo Escurrimiento'!B113</f>
        <v>12</v>
      </c>
      <c r="C103" s="208">
        <f>+'Anexo Escurrimiento'!O113</f>
        <v>0.62513822946527597</v>
      </c>
      <c r="D103" s="207">
        <f>+'Anexo Escurrimiento'!D113</f>
        <v>79.400000000000006</v>
      </c>
      <c r="E103" s="214">
        <f t="shared" si="32"/>
        <v>179.62</v>
      </c>
      <c r="F103" s="213">
        <f t="shared" si="32"/>
        <v>388</v>
      </c>
      <c r="G103" s="211">
        <f t="shared" si="33"/>
        <v>-1.0022E-3</v>
      </c>
      <c r="H103" s="212">
        <f>+F103/100000*'Anexo Bal Hídrico'!$G$4</f>
        <v>3.492</v>
      </c>
      <c r="I103" s="212">
        <v>0</v>
      </c>
      <c r="J103" s="212">
        <f t="shared" ca="1" si="19"/>
        <v>3.4808810924501934</v>
      </c>
      <c r="K103" s="212">
        <f t="shared" ca="1" si="20"/>
        <v>178.06042140019815</v>
      </c>
      <c r="L103" s="212">
        <f t="shared" ca="1" si="21"/>
        <v>220.15689916904466</v>
      </c>
      <c r="M103" s="212">
        <f t="shared" ca="1" si="22"/>
        <v>3.2079096221900105</v>
      </c>
      <c r="N103" s="212">
        <f t="shared" ca="1" si="23"/>
        <v>3.2079096221900105</v>
      </c>
      <c r="O103" s="210">
        <f t="shared" ca="1" si="18"/>
        <v>168.93164822592254</v>
      </c>
      <c r="P103" s="212">
        <f t="shared" ca="1" si="24"/>
        <v>0</v>
      </c>
      <c r="Q103" s="212">
        <f t="shared" ca="1" si="25"/>
        <v>3.492</v>
      </c>
      <c r="R103" s="386"/>
      <c r="S103" s="207">
        <f t="shared" si="30"/>
        <v>1988</v>
      </c>
      <c r="T103" s="207">
        <f t="shared" si="31"/>
        <v>12</v>
      </c>
      <c r="U103" s="384" t="str">
        <f t="shared" ca="1" si="26"/>
        <v/>
      </c>
      <c r="V103" s="384" t="str">
        <f t="shared" ca="1" si="27"/>
        <v>|||||||||||||||||</v>
      </c>
      <c r="W103" s="385" t="str">
        <f t="shared" ca="1" si="28"/>
        <v/>
      </c>
    </row>
    <row r="104" spans="1:23">
      <c r="A104" s="207">
        <f>+'Anexo Escurrimiento'!A114</f>
        <v>1989</v>
      </c>
      <c r="B104" s="207">
        <f>+'Anexo Escurrimiento'!B114</f>
        <v>1</v>
      </c>
      <c r="C104" s="208">
        <f>+'Anexo Escurrimiento'!O114</f>
        <v>0.33036872686975627</v>
      </c>
      <c r="D104" s="207">
        <f>+'Anexo Escurrimiento'!D114</f>
        <v>53.7</v>
      </c>
      <c r="E104" s="214">
        <f t="shared" si="32"/>
        <v>176.89</v>
      </c>
      <c r="F104" s="213">
        <f t="shared" si="32"/>
        <v>318</v>
      </c>
      <c r="G104" s="211">
        <f t="shared" si="33"/>
        <v>-1.2318999999999997E-3</v>
      </c>
      <c r="H104" s="212">
        <f>+F104/100000*'Anexo Bal Hídrico'!$G$4</f>
        <v>2.8620000000000001</v>
      </c>
      <c r="I104" s="212">
        <v>0</v>
      </c>
      <c r="J104" s="212">
        <f t="shared" ca="1" si="19"/>
        <v>0.6762783490597668</v>
      </c>
      <c r="K104" s="212">
        <f t="shared" ca="1" si="20"/>
        <v>61.945195269192219</v>
      </c>
      <c r="L104" s="212">
        <f t="shared" ca="1" si="21"/>
        <v>115.43842174755738</v>
      </c>
      <c r="M104" s="212">
        <f t="shared" ca="1" si="22"/>
        <v>0.51956890391556865</v>
      </c>
      <c r="N104" s="212">
        <f t="shared" ca="1" si="23"/>
        <v>0.51956890391556865</v>
      </c>
      <c r="O104" s="210">
        <f t="shared" ca="1" si="18"/>
        <v>52.267374700440307</v>
      </c>
      <c r="P104" s="212">
        <f t="shared" ca="1" si="24"/>
        <v>0</v>
      </c>
      <c r="Q104" s="212">
        <f t="shared" ca="1" si="25"/>
        <v>2.8620000000000001</v>
      </c>
      <c r="R104" s="386"/>
      <c r="S104" s="207">
        <f t="shared" si="30"/>
        <v>1989</v>
      </c>
      <c r="T104" s="207">
        <f t="shared" si="31"/>
        <v>1</v>
      </c>
      <c r="U104" s="384" t="str">
        <f t="shared" ca="1" si="26"/>
        <v/>
      </c>
      <c r="V104" s="384" t="str">
        <f t="shared" ca="1" si="27"/>
        <v>||||||||||||||</v>
      </c>
      <c r="W104" s="385" t="str">
        <f t="shared" ca="1" si="28"/>
        <v/>
      </c>
    </row>
    <row r="105" spans="1:23">
      <c r="A105" s="207">
        <f>+'Anexo Escurrimiento'!A115</f>
        <v>1989</v>
      </c>
      <c r="B105" s="207">
        <f>+'Anexo Escurrimiento'!B115</f>
        <v>2</v>
      </c>
      <c r="C105" s="208">
        <f>+'Anexo Escurrimiento'!O115</f>
        <v>8.4743039245574456E-2</v>
      </c>
      <c r="D105" s="207">
        <f>+'Anexo Escurrimiento'!D115</f>
        <v>11.7</v>
      </c>
      <c r="E105" s="214">
        <f t="shared" si="32"/>
        <v>131.73999999999998</v>
      </c>
      <c r="F105" s="213">
        <f t="shared" si="32"/>
        <v>153</v>
      </c>
      <c r="G105" s="211">
        <f t="shared" si="33"/>
        <v>-1.2003999999999997E-3</v>
      </c>
      <c r="H105" s="212">
        <f>+F105/100000*'Anexo Bal Hídrico'!$G$4</f>
        <v>1.377</v>
      </c>
      <c r="I105" s="212">
        <v>0</v>
      </c>
      <c r="J105" s="212">
        <f t="shared" ca="1" si="19"/>
        <v>-0.77268805683885688</v>
      </c>
      <c r="K105" s="212">
        <f t="shared" ca="1" si="20"/>
        <v>0</v>
      </c>
      <c r="L105" s="212">
        <f t="shared" ca="1" si="21"/>
        <v>26.133687350220153</v>
      </c>
      <c r="M105" s="212">
        <f t="shared" ca="1" si="22"/>
        <v>-0.80490100665221753</v>
      </c>
      <c r="N105" s="212">
        <f t="shared" ca="1" si="23"/>
        <v>0.14364725252241328</v>
      </c>
      <c r="O105" s="210">
        <f t="shared" ca="1" si="18"/>
        <v>22.824988701237128</v>
      </c>
      <c r="P105" s="212">
        <f t="shared" ca="1" si="24"/>
        <v>0</v>
      </c>
      <c r="Q105" s="212">
        <f t="shared" ca="1" si="25"/>
        <v>0.42845174082536919</v>
      </c>
      <c r="R105" s="386"/>
      <c r="S105" s="207">
        <f t="shared" si="30"/>
        <v>1989</v>
      </c>
      <c r="T105" s="207">
        <f t="shared" si="31"/>
        <v>2</v>
      </c>
      <c r="U105" s="384" t="str">
        <f t="shared" ca="1" si="26"/>
        <v>||||</v>
      </c>
      <c r="V105" s="384" t="str">
        <f t="shared" ca="1" si="27"/>
        <v>||</v>
      </c>
      <c r="W105" s="385" t="str">
        <f t="shared" ca="1" si="28"/>
        <v/>
      </c>
    </row>
    <row r="106" spans="1:23">
      <c r="A106" s="207">
        <f>+'Anexo Escurrimiento'!A116</f>
        <v>1989</v>
      </c>
      <c r="B106" s="207">
        <f>+'Anexo Escurrimiento'!B116</f>
        <v>3</v>
      </c>
      <c r="C106" s="208">
        <f>+'Anexo Escurrimiento'!O116</f>
        <v>1.2452626862407248</v>
      </c>
      <c r="D106" s="207">
        <f>+'Anexo Escurrimiento'!D116</f>
        <v>136.6</v>
      </c>
      <c r="E106" s="214">
        <f t="shared" si="32"/>
        <v>118.64999999999999</v>
      </c>
      <c r="F106" s="213">
        <f t="shared" si="32"/>
        <v>47</v>
      </c>
      <c r="G106" s="211">
        <f t="shared" si="33"/>
        <v>1.7950000000000003E-4</v>
      </c>
      <c r="H106" s="212">
        <f>+F106/100000*'Anexo Bal Hídrico'!$G$4</f>
        <v>0.42299999999999999</v>
      </c>
      <c r="I106" s="212">
        <v>0</v>
      </c>
      <c r="J106" s="212">
        <f t="shared" ca="1" si="19"/>
        <v>0.96590993876313802</v>
      </c>
      <c r="K106" s="212">
        <f t="shared" ca="1" si="20"/>
        <v>77.942449423863096</v>
      </c>
      <c r="L106" s="212">
        <f t="shared" ca="1" si="21"/>
        <v>50.383719062550114</v>
      </c>
      <c r="M106" s="212">
        <f t="shared" ca="1" si="22"/>
        <v>0.95109793597645154</v>
      </c>
      <c r="N106" s="212">
        <f t="shared" ca="1" si="23"/>
        <v>0.95109793597645154</v>
      </c>
      <c r="O106" s="210">
        <f t="shared" ca="1" si="18"/>
        <v>77.170081923844222</v>
      </c>
      <c r="P106" s="212">
        <f t="shared" ca="1" si="24"/>
        <v>0</v>
      </c>
      <c r="Q106" s="212">
        <f t="shared" ca="1" si="25"/>
        <v>0.42299999999999999</v>
      </c>
      <c r="R106" s="386"/>
      <c r="S106" s="207">
        <f t="shared" si="30"/>
        <v>1989</v>
      </c>
      <c r="T106" s="207">
        <f t="shared" si="31"/>
        <v>3</v>
      </c>
      <c r="U106" s="384" t="str">
        <f t="shared" ca="1" si="26"/>
        <v/>
      </c>
      <c r="V106" s="384" t="str">
        <f t="shared" ca="1" si="27"/>
        <v>||</v>
      </c>
      <c r="W106" s="385" t="str">
        <f t="shared" ca="1" si="28"/>
        <v/>
      </c>
    </row>
    <row r="107" spans="1:23">
      <c r="A107" s="207">
        <f>+'Anexo Escurrimiento'!A117</f>
        <v>1989</v>
      </c>
      <c r="B107" s="207">
        <f>+'Anexo Escurrimiento'!B117</f>
        <v>4</v>
      </c>
      <c r="C107" s="208">
        <f>+'Anexo Escurrimiento'!O117</f>
        <v>2.0675106188007719</v>
      </c>
      <c r="D107" s="207">
        <f>+'Anexo Escurrimiento'!D117</f>
        <v>144.80000000000001</v>
      </c>
      <c r="E107" s="214">
        <f t="shared" si="32"/>
        <v>73.149999999999991</v>
      </c>
      <c r="F107" s="213">
        <f t="shared" si="32"/>
        <v>0</v>
      </c>
      <c r="G107" s="211">
        <f t="shared" si="33"/>
        <v>7.1650000000000023E-4</v>
      </c>
      <c r="H107" s="212">
        <f>+F107/100000*'Anexo Bal Hídrico'!$G$4</f>
        <v>0</v>
      </c>
      <c r="I107" s="212">
        <v>0</v>
      </c>
      <c r="J107" s="212">
        <f t="shared" ca="1" si="19"/>
        <v>3.0186085547772237</v>
      </c>
      <c r="K107" s="212">
        <f t="shared" ca="1" si="20"/>
        <v>162.43811444169364</v>
      </c>
      <c r="L107" s="212">
        <f t="shared" ca="1" si="21"/>
        <v>119.80409818276894</v>
      </c>
      <c r="M107" s="212">
        <f t="shared" ca="1" si="22"/>
        <v>3.0102671093119739</v>
      </c>
      <c r="N107" s="212">
        <f t="shared" ca="1" si="23"/>
        <v>3.0102671093119739</v>
      </c>
      <c r="O107" s="210">
        <f t="shared" ca="1" si="18"/>
        <v>162.14870133903074</v>
      </c>
      <c r="P107" s="212">
        <f t="shared" ca="1" si="24"/>
        <v>0</v>
      </c>
      <c r="Q107" s="212">
        <f t="shared" ca="1" si="25"/>
        <v>0</v>
      </c>
      <c r="R107" s="386"/>
      <c r="S107" s="207">
        <f t="shared" si="30"/>
        <v>1989</v>
      </c>
      <c r="T107" s="207">
        <f t="shared" si="31"/>
        <v>4</v>
      </c>
      <c r="U107" s="384" t="str">
        <f t="shared" ca="1" si="26"/>
        <v/>
      </c>
      <c r="V107" s="384" t="str">
        <f t="shared" ca="1" si="27"/>
        <v/>
      </c>
      <c r="W107" s="385" t="str">
        <f t="shared" ca="1" si="28"/>
        <v/>
      </c>
    </row>
    <row r="108" spans="1:23">
      <c r="A108" s="207">
        <f>+'Anexo Escurrimiento'!A118</f>
        <v>1989</v>
      </c>
      <c r="B108" s="207">
        <f>+'Anexo Escurrimiento'!B118</f>
        <v>5</v>
      </c>
      <c r="C108" s="208">
        <f>+'Anexo Escurrimiento'!O118</f>
        <v>0.58445778420664352</v>
      </c>
      <c r="D108" s="207">
        <f>+'Anexo Escurrimiento'!D118</f>
        <v>16.600000000000001</v>
      </c>
      <c r="E108" s="214">
        <f t="shared" si="32"/>
        <v>51.24</v>
      </c>
      <c r="F108" s="213">
        <f t="shared" si="32"/>
        <v>0</v>
      </c>
      <c r="G108" s="211">
        <f t="shared" si="33"/>
        <v>-3.4640000000000002E-4</v>
      </c>
      <c r="H108" s="212">
        <f>+F108/100000*'Anexo Bal Hídrico'!$G$4</f>
        <v>0</v>
      </c>
      <c r="I108" s="212">
        <v>0</v>
      </c>
      <c r="J108" s="212">
        <f t="shared" ca="1" si="19"/>
        <v>3.5947248935186176</v>
      </c>
      <c r="K108" s="212">
        <f t="shared" ca="1" si="20"/>
        <v>181.79184077756378</v>
      </c>
      <c r="L108" s="212">
        <f t="shared" ca="1" si="21"/>
        <v>171.97027105829727</v>
      </c>
      <c r="M108" s="212">
        <f t="shared" ca="1" si="22"/>
        <v>3.4969379035737767</v>
      </c>
      <c r="N108" s="212">
        <f t="shared" ca="1" si="23"/>
        <v>3.4969379035737767</v>
      </c>
      <c r="O108" s="210">
        <f t="shared" ca="1" si="18"/>
        <v>178.58930988636763</v>
      </c>
      <c r="P108" s="212">
        <f t="shared" ca="1" si="24"/>
        <v>0</v>
      </c>
      <c r="Q108" s="212">
        <f t="shared" ca="1" si="25"/>
        <v>0</v>
      </c>
      <c r="R108" s="386"/>
      <c r="S108" s="207">
        <f t="shared" si="30"/>
        <v>1989</v>
      </c>
      <c r="T108" s="207">
        <f t="shared" si="31"/>
        <v>5</v>
      </c>
      <c r="U108" s="384" t="str">
        <f t="shared" ca="1" si="26"/>
        <v/>
      </c>
      <c r="V108" s="384" t="str">
        <f t="shared" ca="1" si="27"/>
        <v/>
      </c>
      <c r="W108" s="385" t="str">
        <f t="shared" ca="1" si="28"/>
        <v/>
      </c>
    </row>
    <row r="109" spans="1:23">
      <c r="A109" s="207">
        <f>+'Anexo Escurrimiento'!A119</f>
        <v>1989</v>
      </c>
      <c r="B109" s="207">
        <f>+'Anexo Escurrimiento'!B119</f>
        <v>6</v>
      </c>
      <c r="C109" s="208">
        <f>+'Anexo Escurrimiento'!O119</f>
        <v>0.13060266637193654</v>
      </c>
      <c r="D109" s="207">
        <f>+'Anexo Escurrimiento'!D119</f>
        <v>20.5</v>
      </c>
      <c r="E109" s="214">
        <f t="shared" si="32"/>
        <v>41.019999999999996</v>
      </c>
      <c r="F109" s="213">
        <f t="shared" si="32"/>
        <v>0</v>
      </c>
      <c r="G109" s="211">
        <f t="shared" si="33"/>
        <v>-2.0519999999999997E-4</v>
      </c>
      <c r="H109" s="212">
        <f>+F109/100000*'Anexo Bal Hídrico'!$G$4</f>
        <v>0</v>
      </c>
      <c r="I109" s="212">
        <v>0</v>
      </c>
      <c r="J109" s="212">
        <f t="shared" ca="1" si="19"/>
        <v>3.6275405699457131</v>
      </c>
      <c r="K109" s="212">
        <f t="shared" ca="1" si="20"/>
        <v>182.85959119118172</v>
      </c>
      <c r="L109" s="212">
        <f t="shared" ca="1" si="21"/>
        <v>180.72445053877468</v>
      </c>
      <c r="M109" s="212">
        <f t="shared" ca="1" si="22"/>
        <v>3.5814813518134199</v>
      </c>
      <c r="N109" s="212">
        <f t="shared" ca="1" si="23"/>
        <v>3.5814813518134199</v>
      </c>
      <c r="O109" s="210">
        <f t="shared" ca="1" si="18"/>
        <v>181.35994409612582</v>
      </c>
      <c r="P109" s="212">
        <f t="shared" ca="1" si="24"/>
        <v>0</v>
      </c>
      <c r="Q109" s="212">
        <f t="shared" ca="1" si="25"/>
        <v>0</v>
      </c>
      <c r="R109" s="386"/>
      <c r="S109" s="207">
        <f t="shared" si="30"/>
        <v>1989</v>
      </c>
      <c r="T109" s="207">
        <f t="shared" si="31"/>
        <v>6</v>
      </c>
      <c r="U109" s="384" t="str">
        <f t="shared" ca="1" si="26"/>
        <v/>
      </c>
      <c r="V109" s="384" t="str">
        <f t="shared" ca="1" si="27"/>
        <v/>
      </c>
      <c r="W109" s="385" t="str">
        <f t="shared" ca="1" si="28"/>
        <v/>
      </c>
    </row>
    <row r="110" spans="1:23">
      <c r="A110" s="207">
        <f>+'Anexo Escurrimiento'!A120</f>
        <v>1989</v>
      </c>
      <c r="B110" s="207">
        <f>+'Anexo Escurrimiento'!B120</f>
        <v>7</v>
      </c>
      <c r="C110" s="208">
        <f>+'Anexo Escurrimiento'!O120</f>
        <v>0.12612396158848768</v>
      </c>
      <c r="D110" s="207">
        <f>+'Anexo Escurrimiento'!D120</f>
        <v>24.9</v>
      </c>
      <c r="E110" s="214">
        <f t="shared" si="32"/>
        <v>50.819999999999993</v>
      </c>
      <c r="F110" s="213">
        <f t="shared" si="32"/>
        <v>0</v>
      </c>
      <c r="G110" s="211">
        <f t="shared" si="33"/>
        <v>-2.5919999999999996E-4</v>
      </c>
      <c r="H110" s="212">
        <f>+F110/100000*'Anexo Bal Hídrico'!$G$4</f>
        <v>0</v>
      </c>
      <c r="I110" s="212">
        <v>0</v>
      </c>
      <c r="J110" s="212">
        <f t="shared" ca="1" si="19"/>
        <v>3.7076053134019076</v>
      </c>
      <c r="K110" s="212">
        <f t="shared" ca="1" si="20"/>
        <v>185.45041769395436</v>
      </c>
      <c r="L110" s="212">
        <f t="shared" ca="1" si="21"/>
        <v>183.40518089504008</v>
      </c>
      <c r="M110" s="212">
        <f t="shared" ca="1" si="22"/>
        <v>3.6512713338635954</v>
      </c>
      <c r="N110" s="212">
        <f t="shared" ca="1" si="23"/>
        <v>3.6512713338635954</v>
      </c>
      <c r="O110" s="210">
        <f t="shared" ca="1" si="18"/>
        <v>183.62959957914413</v>
      </c>
      <c r="P110" s="212">
        <f t="shared" ca="1" si="24"/>
        <v>0</v>
      </c>
      <c r="Q110" s="212">
        <f t="shared" ca="1" si="25"/>
        <v>0</v>
      </c>
      <c r="R110" s="386"/>
      <c r="S110" s="207">
        <f t="shared" si="30"/>
        <v>1989</v>
      </c>
      <c r="T110" s="207">
        <f t="shared" si="31"/>
        <v>7</v>
      </c>
      <c r="U110" s="384" t="str">
        <f t="shared" ca="1" si="26"/>
        <v/>
      </c>
      <c r="V110" s="384" t="str">
        <f t="shared" ca="1" si="27"/>
        <v/>
      </c>
      <c r="W110" s="385" t="str">
        <f t="shared" ca="1" si="28"/>
        <v/>
      </c>
    </row>
    <row r="111" spans="1:23">
      <c r="A111" s="207">
        <f>+'Anexo Escurrimiento'!A121</f>
        <v>1989</v>
      </c>
      <c r="B111" s="207">
        <f>+'Anexo Escurrimiento'!B121</f>
        <v>8</v>
      </c>
      <c r="C111" s="208">
        <f>+'Anexo Escurrimiento'!O121</f>
        <v>1.5024548150498713</v>
      </c>
      <c r="D111" s="207">
        <f>+'Anexo Escurrimiento'!D121</f>
        <v>125.5</v>
      </c>
      <c r="E111" s="214">
        <f t="shared" si="32"/>
        <v>72.449999999999989</v>
      </c>
      <c r="F111" s="213">
        <f t="shared" si="32"/>
        <v>0</v>
      </c>
      <c r="G111" s="211">
        <f t="shared" si="33"/>
        <v>5.3050000000000016E-4</v>
      </c>
      <c r="H111" s="212">
        <f>+F111/100000*'Anexo Bal Hídrico'!$G$4</f>
        <v>0</v>
      </c>
      <c r="I111" s="212">
        <v>0</v>
      </c>
      <c r="J111" s="212">
        <f t="shared" ca="1" si="19"/>
        <v>5.1537261489134671</v>
      </c>
      <c r="K111" s="212">
        <f t="shared" ca="1" si="20"/>
        <v>229.29818094721557</v>
      </c>
      <c r="L111" s="212">
        <f t="shared" ca="1" si="21"/>
        <v>206.46389026317985</v>
      </c>
      <c r="M111" s="212">
        <f t="shared" ca="1" si="22"/>
        <v>5.1453074609262801</v>
      </c>
      <c r="N111" s="212">
        <f t="shared" ca="1" si="23"/>
        <v>5.1453074609262801</v>
      </c>
      <c r="O111" s="210">
        <f t="shared" ca="1" si="18"/>
        <v>229.05672825814034</v>
      </c>
      <c r="P111" s="212">
        <f t="shared" ca="1" si="24"/>
        <v>0</v>
      </c>
      <c r="Q111" s="212">
        <f t="shared" ca="1" si="25"/>
        <v>0</v>
      </c>
      <c r="R111" s="386"/>
      <c r="S111" s="207">
        <f t="shared" si="30"/>
        <v>1989</v>
      </c>
      <c r="T111" s="207">
        <f t="shared" si="31"/>
        <v>8</v>
      </c>
      <c r="U111" s="384" t="str">
        <f t="shared" ca="1" si="26"/>
        <v/>
      </c>
      <c r="V111" s="384" t="str">
        <f t="shared" ca="1" si="27"/>
        <v/>
      </c>
      <c r="W111" s="385" t="str">
        <f t="shared" ca="1" si="28"/>
        <v/>
      </c>
    </row>
    <row r="112" spans="1:23">
      <c r="A112" s="207">
        <f>+'Anexo Escurrimiento'!A122</f>
        <v>1989</v>
      </c>
      <c r="B112" s="207">
        <f>+'Anexo Escurrimiento'!B122</f>
        <v>9</v>
      </c>
      <c r="C112" s="208">
        <f>+'Anexo Escurrimiento'!O122</f>
        <v>0.51029773958707625</v>
      </c>
      <c r="D112" s="207">
        <f>+'Anexo Escurrimiento'!D122</f>
        <v>21.4</v>
      </c>
      <c r="E112" s="214">
        <f t="shared" si="32"/>
        <v>85.89</v>
      </c>
      <c r="F112" s="213">
        <f t="shared" si="32"/>
        <v>0</v>
      </c>
      <c r="G112" s="211">
        <f t="shared" si="33"/>
        <v>-6.4490000000000012E-4</v>
      </c>
      <c r="H112" s="212">
        <f>+F112/100000*'Anexo Bal Hídrico'!$G$4</f>
        <v>0</v>
      </c>
      <c r="I112" s="212">
        <v>0</v>
      </c>
      <c r="J112" s="212">
        <f t="shared" ca="1" si="19"/>
        <v>5.6556052005133566</v>
      </c>
      <c r="K112" s="212">
        <f t="shared" ca="1" si="20"/>
        <v>243.44941573341933</v>
      </c>
      <c r="L112" s="212">
        <f t="shared" ca="1" si="21"/>
        <v>236.25307199577983</v>
      </c>
      <c r="M112" s="212">
        <f t="shared" ca="1" si="22"/>
        <v>5.4574055150639058</v>
      </c>
      <c r="N112" s="212">
        <f t="shared" ca="1" si="23"/>
        <v>5.4574055150639058</v>
      </c>
      <c r="O112" s="210">
        <f t="shared" ca="1" si="18"/>
        <v>237.91647986655764</v>
      </c>
      <c r="P112" s="212">
        <f t="shared" ca="1" si="24"/>
        <v>0</v>
      </c>
      <c r="Q112" s="212">
        <f t="shared" ca="1" si="25"/>
        <v>0</v>
      </c>
      <c r="R112" s="386"/>
      <c r="S112" s="207">
        <f t="shared" si="30"/>
        <v>1989</v>
      </c>
      <c r="T112" s="207">
        <f t="shared" si="31"/>
        <v>9</v>
      </c>
      <c r="U112" s="384" t="str">
        <f t="shared" ca="1" si="26"/>
        <v/>
      </c>
      <c r="V112" s="384" t="str">
        <f t="shared" ca="1" si="27"/>
        <v/>
      </c>
      <c r="W112" s="385" t="str">
        <f t="shared" ca="1" si="28"/>
        <v/>
      </c>
    </row>
    <row r="113" spans="1:23">
      <c r="A113" s="207">
        <f>+'Anexo Escurrimiento'!A123</f>
        <v>1989</v>
      </c>
      <c r="B113" s="207">
        <f>+'Anexo Escurrimiento'!B123</f>
        <v>10</v>
      </c>
      <c r="C113" s="208">
        <f>+'Anexo Escurrimiento'!O123</f>
        <v>0.77296632702223811</v>
      </c>
      <c r="D113" s="207">
        <f>+'Anexo Escurrimiento'!D123</f>
        <v>97</v>
      </c>
      <c r="E113" s="214">
        <f t="shared" ref="E113:F132" si="34">+E101</f>
        <v>114.86999999999999</v>
      </c>
      <c r="F113" s="213">
        <f t="shared" si="34"/>
        <v>59</v>
      </c>
      <c r="G113" s="211">
        <f t="shared" si="33"/>
        <v>-1.786999999999999E-4</v>
      </c>
      <c r="H113" s="212">
        <f>+F113/100000*'Anexo Bal Hídrico'!$G$4</f>
        <v>0.53100000000000003</v>
      </c>
      <c r="I113" s="212">
        <v>0</v>
      </c>
      <c r="J113" s="212">
        <f t="shared" ca="1" si="19"/>
        <v>5.6993718420861441</v>
      </c>
      <c r="K113" s="212">
        <f t="shared" ca="1" si="20"/>
        <v>244.66185283436556</v>
      </c>
      <c r="L113" s="212">
        <f t="shared" ca="1" si="21"/>
        <v>241.28916635046158</v>
      </c>
      <c r="M113" s="212">
        <f t="shared" ca="1" si="22"/>
        <v>5.5853377263619128</v>
      </c>
      <c r="N113" s="212">
        <f t="shared" ca="1" si="23"/>
        <v>5.5853377263619128</v>
      </c>
      <c r="O113" s="210">
        <f t="shared" ca="1" si="18"/>
        <v>241.49584208591781</v>
      </c>
      <c r="P113" s="212">
        <f t="shared" ca="1" si="24"/>
        <v>0</v>
      </c>
      <c r="Q113" s="212">
        <f t="shared" ca="1" si="25"/>
        <v>0.53100000000000003</v>
      </c>
      <c r="R113" s="386"/>
      <c r="S113" s="207">
        <f t="shared" si="30"/>
        <v>1989</v>
      </c>
      <c r="T113" s="207">
        <f t="shared" si="31"/>
        <v>10</v>
      </c>
      <c r="U113" s="384" t="str">
        <f t="shared" ca="1" si="26"/>
        <v/>
      </c>
      <c r="V113" s="384" t="str">
        <f t="shared" ca="1" si="27"/>
        <v>||</v>
      </c>
      <c r="W113" s="385" t="str">
        <f t="shared" ca="1" si="28"/>
        <v/>
      </c>
    </row>
    <row r="114" spans="1:23">
      <c r="A114" s="207">
        <f>+'Anexo Escurrimiento'!A124</f>
        <v>1989</v>
      </c>
      <c r="B114" s="207">
        <f>+'Anexo Escurrimiento'!B124</f>
        <v>11</v>
      </c>
      <c r="C114" s="208">
        <f>+'Anexo Escurrimiento'!O124</f>
        <v>1.0190348154765727</v>
      </c>
      <c r="D114" s="207">
        <f>+'Anexo Escurrimiento'!D124</f>
        <v>109.6</v>
      </c>
      <c r="E114" s="214">
        <f t="shared" si="34"/>
        <v>144.06</v>
      </c>
      <c r="F114" s="213">
        <f t="shared" si="34"/>
        <v>212</v>
      </c>
      <c r="G114" s="211">
        <f t="shared" si="33"/>
        <v>-3.4460000000000008E-4</v>
      </c>
      <c r="H114" s="212">
        <f>+F114/100000*'Anexo Bal Hídrico'!$G$4</f>
        <v>1.9079999999999999</v>
      </c>
      <c r="I114" s="212">
        <v>0</v>
      </c>
      <c r="J114" s="212">
        <f t="shared" ca="1" si="19"/>
        <v>4.6963725418384854</v>
      </c>
      <c r="K114" s="212">
        <f t="shared" ca="1" si="20"/>
        <v>215.96919289815432</v>
      </c>
      <c r="L114" s="212">
        <f t="shared" ca="1" si="21"/>
        <v>228.73251749203607</v>
      </c>
      <c r="M114" s="212">
        <f t="shared" ca="1" si="22"/>
        <v>4.5289253091791757</v>
      </c>
      <c r="N114" s="212">
        <f t="shared" ca="1" si="23"/>
        <v>4.5289253091791757</v>
      </c>
      <c r="O114" s="210">
        <f t="shared" ca="1" si="18"/>
        <v>210.97484735291224</v>
      </c>
      <c r="P114" s="212">
        <f t="shared" ca="1" si="24"/>
        <v>0</v>
      </c>
      <c r="Q114" s="212">
        <f t="shared" ca="1" si="25"/>
        <v>1.9079999999999999</v>
      </c>
      <c r="R114" s="386"/>
      <c r="S114" s="207">
        <f t="shared" si="30"/>
        <v>1989</v>
      </c>
      <c r="T114" s="207">
        <f t="shared" si="31"/>
        <v>11</v>
      </c>
      <c r="U114" s="384" t="str">
        <f t="shared" ca="1" si="26"/>
        <v/>
      </c>
      <c r="V114" s="384" t="str">
        <f t="shared" ca="1" si="27"/>
        <v>|||||||||</v>
      </c>
      <c r="W114" s="385" t="str">
        <f t="shared" ca="1" si="28"/>
        <v/>
      </c>
    </row>
    <row r="115" spans="1:23">
      <c r="A115" s="207">
        <f>+'Anexo Escurrimiento'!A125</f>
        <v>1989</v>
      </c>
      <c r="B115" s="207">
        <f>+'Anexo Escurrimiento'!B125</f>
        <v>12</v>
      </c>
      <c r="C115" s="208">
        <f>+'Anexo Escurrimiento'!O125</f>
        <v>2.169429384334451</v>
      </c>
      <c r="D115" s="207">
        <f>+'Anexo Escurrimiento'!D125</f>
        <v>197.7</v>
      </c>
      <c r="E115" s="214">
        <f t="shared" si="34"/>
        <v>179.62</v>
      </c>
      <c r="F115" s="213">
        <f t="shared" si="34"/>
        <v>388</v>
      </c>
      <c r="G115" s="211">
        <f t="shared" si="33"/>
        <v>1.8079999999999984E-4</v>
      </c>
      <c r="H115" s="212">
        <f>+F115/100000*'Anexo Bal Hídrico'!$G$4</f>
        <v>3.492</v>
      </c>
      <c r="I115" s="212">
        <v>0</v>
      </c>
      <c r="J115" s="212">
        <f t="shared" ca="1" si="19"/>
        <v>3.2063546935136271</v>
      </c>
      <c r="K115" s="212">
        <f t="shared" ca="1" si="20"/>
        <v>168.87887435343106</v>
      </c>
      <c r="L115" s="212">
        <f t="shared" ca="1" si="21"/>
        <v>189.92686085317166</v>
      </c>
      <c r="M115" s="212">
        <f t="shared" ca="1" si="22"/>
        <v>3.0840269631842947</v>
      </c>
      <c r="N115" s="212">
        <f t="shared" ca="1" si="23"/>
        <v>3.0840269631842947</v>
      </c>
      <c r="O115" s="210">
        <f t="shared" ca="1" si="18"/>
        <v>164.69808633614286</v>
      </c>
      <c r="P115" s="212">
        <f t="shared" ca="1" si="24"/>
        <v>0</v>
      </c>
      <c r="Q115" s="212">
        <f t="shared" ca="1" si="25"/>
        <v>3.492</v>
      </c>
      <c r="R115" s="386"/>
      <c r="S115" s="207">
        <f t="shared" si="30"/>
        <v>1989</v>
      </c>
      <c r="T115" s="207">
        <f t="shared" si="31"/>
        <v>12</v>
      </c>
      <c r="U115" s="384" t="str">
        <f t="shared" ca="1" si="26"/>
        <v/>
      </c>
      <c r="V115" s="384" t="str">
        <f t="shared" ca="1" si="27"/>
        <v>|||||||||||||||||</v>
      </c>
      <c r="W115" s="385" t="str">
        <f t="shared" ca="1" si="28"/>
        <v/>
      </c>
    </row>
    <row r="116" spans="1:23">
      <c r="A116" s="207">
        <f>+'Anexo Escurrimiento'!A126</f>
        <v>1990</v>
      </c>
      <c r="B116" s="207">
        <f>+'Anexo Escurrimiento'!B126</f>
        <v>1</v>
      </c>
      <c r="C116" s="208">
        <f>+'Anexo Escurrimiento'!O126</f>
        <v>1.9117418686128513</v>
      </c>
      <c r="D116" s="207">
        <f>+'Anexo Escurrimiento'!D126</f>
        <v>163.1</v>
      </c>
      <c r="E116" s="214">
        <f t="shared" si="34"/>
        <v>176.89</v>
      </c>
      <c r="F116" s="213">
        <f t="shared" si="34"/>
        <v>318</v>
      </c>
      <c r="G116" s="211">
        <f t="shared" si="33"/>
        <v>-1.3789999999999991E-4</v>
      </c>
      <c r="H116" s="212">
        <f>+F116/100000*'Anexo Bal Hídrico'!$G$4</f>
        <v>2.8620000000000001</v>
      </c>
      <c r="I116" s="212">
        <v>0</v>
      </c>
      <c r="J116" s="212">
        <f t="shared" ca="1" si="19"/>
        <v>2.1337688317971457</v>
      </c>
      <c r="K116" s="212">
        <f t="shared" ca="1" si="20"/>
        <v>129.89638001965662</v>
      </c>
      <c r="L116" s="212">
        <f t="shared" ca="1" si="21"/>
        <v>147.29723317789973</v>
      </c>
      <c r="M116" s="212">
        <f t="shared" ca="1" si="22"/>
        <v>2.0063864719362021</v>
      </c>
      <c r="N116" s="212">
        <f t="shared" ca="1" si="23"/>
        <v>2.0063864719362021</v>
      </c>
      <c r="O116" s="210">
        <f t="shared" ca="1" si="18"/>
        <v>124.84449325050088</v>
      </c>
      <c r="P116" s="212">
        <f t="shared" ca="1" si="24"/>
        <v>0</v>
      </c>
      <c r="Q116" s="212">
        <f t="shared" ca="1" si="25"/>
        <v>2.8620000000000001</v>
      </c>
      <c r="R116" s="386"/>
      <c r="S116" s="207">
        <f t="shared" si="30"/>
        <v>1990</v>
      </c>
      <c r="T116" s="207">
        <f t="shared" si="31"/>
        <v>1</v>
      </c>
      <c r="U116" s="384" t="str">
        <f t="shared" ca="1" si="26"/>
        <v/>
      </c>
      <c r="V116" s="384" t="str">
        <f t="shared" ca="1" si="27"/>
        <v>||||||||||||||</v>
      </c>
      <c r="W116" s="385" t="str">
        <f t="shared" ca="1" si="28"/>
        <v/>
      </c>
    </row>
    <row r="117" spans="1:23">
      <c r="A117" s="207">
        <f>+'Anexo Escurrimiento'!A127</f>
        <v>1990</v>
      </c>
      <c r="B117" s="207">
        <f>+'Anexo Escurrimiento'!B127</f>
        <v>2</v>
      </c>
      <c r="C117" s="208">
        <f>+'Anexo Escurrimiento'!O127</f>
        <v>3.2987880374625029</v>
      </c>
      <c r="D117" s="207">
        <f>+'Anexo Escurrimiento'!D127</f>
        <v>240.3</v>
      </c>
      <c r="E117" s="214">
        <f t="shared" si="34"/>
        <v>131.73999999999998</v>
      </c>
      <c r="F117" s="213">
        <f t="shared" si="34"/>
        <v>153</v>
      </c>
      <c r="G117" s="211">
        <f t="shared" si="33"/>
        <v>1.0856000000000004E-3</v>
      </c>
      <c r="H117" s="212">
        <f>+F117/100000*'Anexo Bal Hídrico'!$G$4</f>
        <v>1.377</v>
      </c>
      <c r="I117" s="212">
        <v>0</v>
      </c>
      <c r="J117" s="212">
        <f t="shared" ca="1" si="19"/>
        <v>3.9281745093987057</v>
      </c>
      <c r="K117" s="212">
        <f t="shared" ca="1" si="20"/>
        <v>192.48703953417379</v>
      </c>
      <c r="L117" s="212">
        <f t="shared" ca="1" si="21"/>
        <v>158.66576639233733</v>
      </c>
      <c r="M117" s="212">
        <f t="shared" ca="1" si="22"/>
        <v>3.9014088592611991</v>
      </c>
      <c r="N117" s="212">
        <f t="shared" ca="1" si="23"/>
        <v>3.9014088592611991</v>
      </c>
      <c r="O117" s="210">
        <f t="shared" ca="1" si="18"/>
        <v>191.64079072501428</v>
      </c>
      <c r="P117" s="212">
        <f t="shared" ca="1" si="24"/>
        <v>0</v>
      </c>
      <c r="Q117" s="212">
        <f t="shared" ca="1" si="25"/>
        <v>1.377</v>
      </c>
      <c r="R117" s="386"/>
      <c r="S117" s="207">
        <f t="shared" si="30"/>
        <v>1990</v>
      </c>
      <c r="T117" s="207">
        <f t="shared" si="31"/>
        <v>2</v>
      </c>
      <c r="U117" s="384" t="str">
        <f t="shared" ca="1" si="26"/>
        <v/>
      </c>
      <c r="V117" s="384" t="str">
        <f t="shared" ca="1" si="27"/>
        <v>||||||</v>
      </c>
      <c r="W117" s="385" t="str">
        <f t="shared" ca="1" si="28"/>
        <v/>
      </c>
    </row>
    <row r="118" spans="1:23">
      <c r="A118" s="207">
        <f>+'Anexo Escurrimiento'!A128</f>
        <v>1990</v>
      </c>
      <c r="B118" s="207">
        <f>+'Anexo Escurrimiento'!B128</f>
        <v>3</v>
      </c>
      <c r="C118" s="208">
        <f>+'Anexo Escurrimiento'!O128</f>
        <v>3.2755427124288121</v>
      </c>
      <c r="D118" s="207">
        <f>+'Anexo Escurrimiento'!D128</f>
        <v>210.4</v>
      </c>
      <c r="E118" s="214">
        <f t="shared" si="34"/>
        <v>118.64999999999999</v>
      </c>
      <c r="F118" s="213">
        <f t="shared" si="34"/>
        <v>47</v>
      </c>
      <c r="G118" s="211">
        <f t="shared" si="33"/>
        <v>9.1750000000000013E-4</v>
      </c>
      <c r="H118" s="212">
        <f>+F118/100000*'Anexo Bal Hídrico'!$G$4</f>
        <v>0.42299999999999999</v>
      </c>
      <c r="I118" s="212">
        <v>0</v>
      </c>
      <c r="J118" s="212">
        <f t="shared" ca="1" si="19"/>
        <v>6.7539515716900116</v>
      </c>
      <c r="K118" s="212">
        <f t="shared" ca="1" si="20"/>
        <v>272.94893123876898</v>
      </c>
      <c r="L118" s="212">
        <f t="shared" ca="1" si="21"/>
        <v>232.29486098189165</v>
      </c>
      <c r="M118" s="212">
        <f t="shared" ca="1" si="22"/>
        <v>6.6777696583428368</v>
      </c>
      <c r="N118" s="212">
        <f t="shared" ca="1" si="23"/>
        <v>6.6777696583428368</v>
      </c>
      <c r="O118" s="210">
        <f t="shared" ca="1" si="18"/>
        <v>270.96085987280884</v>
      </c>
      <c r="P118" s="212">
        <f t="shared" ca="1" si="24"/>
        <v>0</v>
      </c>
      <c r="Q118" s="212">
        <f t="shared" ca="1" si="25"/>
        <v>0.42299999999999999</v>
      </c>
      <c r="R118" s="386"/>
      <c r="S118" s="207">
        <f t="shared" si="30"/>
        <v>1990</v>
      </c>
      <c r="T118" s="207">
        <f t="shared" si="31"/>
        <v>3</v>
      </c>
      <c r="U118" s="384" t="str">
        <f t="shared" ca="1" si="26"/>
        <v/>
      </c>
      <c r="V118" s="384" t="str">
        <f t="shared" ca="1" si="27"/>
        <v>||</v>
      </c>
      <c r="W118" s="385" t="str">
        <f t="shared" ca="1" si="28"/>
        <v/>
      </c>
    </row>
    <row r="119" spans="1:23">
      <c r="A119" s="207">
        <f>+'Anexo Escurrimiento'!A129</f>
        <v>1990</v>
      </c>
      <c r="B119" s="207">
        <f>+'Anexo Escurrimiento'!B129</f>
        <v>4</v>
      </c>
      <c r="C119" s="208">
        <f>+'Anexo Escurrimiento'!O129</f>
        <v>5.1031988500854801</v>
      </c>
      <c r="D119" s="207">
        <f>+'Anexo Escurrimiento'!D129</f>
        <v>279.60000000000002</v>
      </c>
      <c r="E119" s="214">
        <f t="shared" si="34"/>
        <v>73.149999999999991</v>
      </c>
      <c r="F119" s="213">
        <f t="shared" si="34"/>
        <v>0</v>
      </c>
      <c r="G119" s="211">
        <f t="shared" si="33"/>
        <v>2.0645000000000004E-3</v>
      </c>
      <c r="H119" s="212">
        <f>+F119/100000*'Anexo Bal Hídrico'!$G$4</f>
        <v>0</v>
      </c>
      <c r="I119" s="212">
        <v>0</v>
      </c>
      <c r="J119" s="212">
        <f t="shared" ca="1" si="19"/>
        <v>11.780968508428316</v>
      </c>
      <c r="K119" s="212">
        <f t="shared" ca="1" si="20"/>
        <v>390.65450939819362</v>
      </c>
      <c r="L119" s="212">
        <f t="shared" ca="1" si="21"/>
        <v>330.80768463550123</v>
      </c>
      <c r="M119" s="212">
        <f t="shared" ca="1" si="22"/>
        <v>11.822028427414837</v>
      </c>
      <c r="N119" s="212">
        <f t="shared" ca="1" si="23"/>
        <v>7.6368477630678893</v>
      </c>
      <c r="O119" s="210">
        <f t="shared" ca="1" si="18"/>
        <v>295.43791936297487</v>
      </c>
      <c r="P119" s="212">
        <f t="shared" ca="1" si="24"/>
        <v>4.185180664346948</v>
      </c>
      <c r="Q119" s="212">
        <f t="shared" ca="1" si="25"/>
        <v>0</v>
      </c>
      <c r="R119" s="386"/>
      <c r="S119" s="207">
        <f t="shared" si="30"/>
        <v>1990</v>
      </c>
      <c r="T119" s="207">
        <f t="shared" si="31"/>
        <v>4</v>
      </c>
      <c r="U119" s="384" t="str">
        <f t="shared" ca="1" si="26"/>
        <v/>
      </c>
      <c r="V119" s="384" t="str">
        <f t="shared" ca="1" si="27"/>
        <v/>
      </c>
      <c r="W119" s="385" t="str">
        <f t="shared" ca="1" si="28"/>
        <v>||||||||||||||||||||</v>
      </c>
    </row>
    <row r="120" spans="1:23">
      <c r="A120" s="207">
        <f>+'Anexo Escurrimiento'!A130</f>
        <v>1990</v>
      </c>
      <c r="B120" s="207">
        <f>+'Anexo Escurrimiento'!B130</f>
        <v>5</v>
      </c>
      <c r="C120" s="208">
        <f>+'Anexo Escurrimiento'!O130</f>
        <v>1.7273007222502474</v>
      </c>
      <c r="D120" s="207">
        <f>+'Anexo Escurrimiento'!D130</f>
        <v>72</v>
      </c>
      <c r="E120" s="214">
        <f t="shared" si="34"/>
        <v>51.24</v>
      </c>
      <c r="F120" s="213">
        <f t="shared" si="34"/>
        <v>0</v>
      </c>
      <c r="G120" s="211">
        <f t="shared" si="33"/>
        <v>2.0759999999999998E-4</v>
      </c>
      <c r="H120" s="212">
        <f>+F120/100000*'Anexo Bal Hídrico'!$G$4</f>
        <v>0</v>
      </c>
      <c r="I120" s="212">
        <v>0</v>
      </c>
      <c r="J120" s="212">
        <f t="shared" ca="1" si="19"/>
        <v>9.364148485318136</v>
      </c>
      <c r="K120" s="212">
        <f t="shared" ca="1" si="20"/>
        <v>336.92561924468964</v>
      </c>
      <c r="L120" s="212">
        <f t="shared" ca="1" si="21"/>
        <v>316.18176930383225</v>
      </c>
      <c r="M120" s="212">
        <f t="shared" ca="1" si="22"/>
        <v>9.2221296462982849</v>
      </c>
      <c r="N120" s="212">
        <f t="shared" ca="1" si="23"/>
        <v>7.6368477630678893</v>
      </c>
      <c r="O120" s="210">
        <f t="shared" ca="1" si="18"/>
        <v>295.43791936297487</v>
      </c>
      <c r="P120" s="212">
        <f t="shared" ca="1" si="24"/>
        <v>1.5852818832303956</v>
      </c>
      <c r="Q120" s="212">
        <f t="shared" ca="1" si="25"/>
        <v>0</v>
      </c>
      <c r="R120" s="386"/>
      <c r="S120" s="207">
        <f t="shared" si="30"/>
        <v>1990</v>
      </c>
      <c r="T120" s="207">
        <f t="shared" si="31"/>
        <v>5</v>
      </c>
      <c r="U120" s="384" t="str">
        <f t="shared" ca="1" si="26"/>
        <v/>
      </c>
      <c r="V120" s="384" t="str">
        <f t="shared" ca="1" si="27"/>
        <v/>
      </c>
      <c r="W120" s="385" t="str">
        <f t="shared" ca="1" si="28"/>
        <v>|||||||</v>
      </c>
    </row>
    <row r="121" spans="1:23">
      <c r="A121" s="207">
        <f>+'Anexo Escurrimiento'!A131</f>
        <v>1990</v>
      </c>
      <c r="B121" s="207">
        <f>+'Anexo Escurrimiento'!B131</f>
        <v>6</v>
      </c>
      <c r="C121" s="208">
        <f>+'Anexo Escurrimiento'!O131</f>
        <v>0.43089573194331665</v>
      </c>
      <c r="D121" s="207">
        <f>+'Anexo Escurrimiento'!D131</f>
        <v>23.4</v>
      </c>
      <c r="E121" s="214">
        <f t="shared" si="34"/>
        <v>41.019999999999996</v>
      </c>
      <c r="F121" s="213">
        <f t="shared" si="34"/>
        <v>0</v>
      </c>
      <c r="G121" s="211">
        <f t="shared" si="33"/>
        <v>-1.7619999999999997E-4</v>
      </c>
      <c r="H121" s="212">
        <f>+F121/100000*'Anexo Bal Hídrico'!$G$4</f>
        <v>0</v>
      </c>
      <c r="I121" s="212">
        <v>0</v>
      </c>
      <c r="J121" s="212">
        <f t="shared" ca="1" si="19"/>
        <v>8.0677434950112055</v>
      </c>
      <c r="K121" s="212">
        <f t="shared" ca="1" si="20"/>
        <v>306.07534819640159</v>
      </c>
      <c r="L121" s="212">
        <f t="shared" ca="1" si="21"/>
        <v>300.75663377968823</v>
      </c>
      <c r="M121" s="212">
        <f t="shared" ca="1" si="22"/>
        <v>7.9654746058543173</v>
      </c>
      <c r="N121" s="212">
        <f t="shared" ca="1" si="23"/>
        <v>7.6368477630678893</v>
      </c>
      <c r="O121" s="210">
        <f t="shared" ca="1" si="18"/>
        <v>295.43791936297487</v>
      </c>
      <c r="P121" s="212">
        <f t="shared" ca="1" si="24"/>
        <v>0.32862684278642806</v>
      </c>
      <c r="Q121" s="212">
        <f t="shared" ca="1" si="25"/>
        <v>0</v>
      </c>
      <c r="R121" s="386"/>
      <c r="S121" s="207">
        <f t="shared" si="30"/>
        <v>1990</v>
      </c>
      <c r="T121" s="207">
        <f t="shared" si="31"/>
        <v>6</v>
      </c>
      <c r="U121" s="384" t="str">
        <f t="shared" ca="1" si="26"/>
        <v/>
      </c>
      <c r="V121" s="384" t="str">
        <f t="shared" ca="1" si="27"/>
        <v/>
      </c>
      <c r="W121" s="385" t="str">
        <f t="shared" ca="1" si="28"/>
        <v>|</v>
      </c>
    </row>
    <row r="122" spans="1:23">
      <c r="A122" s="207">
        <f>+'Anexo Escurrimiento'!A132</f>
        <v>1990</v>
      </c>
      <c r="B122" s="207">
        <f>+'Anexo Escurrimiento'!B132</f>
        <v>7</v>
      </c>
      <c r="C122" s="208">
        <f>+'Anexo Escurrimiento'!O132</f>
        <v>0.31522565825328502</v>
      </c>
      <c r="D122" s="207">
        <f>+'Anexo Escurrimiento'!D132</f>
        <v>39.5</v>
      </c>
      <c r="E122" s="214">
        <f t="shared" si="34"/>
        <v>50.819999999999993</v>
      </c>
      <c r="F122" s="213">
        <f t="shared" si="34"/>
        <v>0</v>
      </c>
      <c r="G122" s="211">
        <f t="shared" si="33"/>
        <v>-1.1319999999999993E-4</v>
      </c>
      <c r="H122" s="212">
        <f>+F122/100000*'Anexo Bal Hídrico'!$G$4</f>
        <v>0</v>
      </c>
      <c r="I122" s="212">
        <v>0</v>
      </c>
      <c r="J122" s="212">
        <f t="shared" ca="1" si="19"/>
        <v>7.9520734213211739</v>
      </c>
      <c r="K122" s="212">
        <f t="shared" ca="1" si="20"/>
        <v>303.24009254531825</v>
      </c>
      <c r="L122" s="212">
        <f t="shared" ca="1" si="21"/>
        <v>299.33900595414656</v>
      </c>
      <c r="M122" s="212">
        <f t="shared" ca="1" si="22"/>
        <v>7.8823101716293777</v>
      </c>
      <c r="N122" s="212">
        <f t="shared" ca="1" si="23"/>
        <v>7.6368477630678893</v>
      </c>
      <c r="O122" s="210">
        <f t="shared" ca="1" si="18"/>
        <v>295.43791936297487</v>
      </c>
      <c r="P122" s="212">
        <f t="shared" ca="1" si="24"/>
        <v>0.24546240856148849</v>
      </c>
      <c r="Q122" s="212">
        <f t="shared" ca="1" si="25"/>
        <v>0</v>
      </c>
      <c r="R122" s="386"/>
      <c r="S122" s="207">
        <f t="shared" si="30"/>
        <v>1990</v>
      </c>
      <c r="T122" s="207">
        <f t="shared" si="31"/>
        <v>7</v>
      </c>
      <c r="U122" s="384" t="str">
        <f t="shared" ca="1" si="26"/>
        <v/>
      </c>
      <c r="V122" s="384" t="str">
        <f t="shared" ca="1" si="27"/>
        <v/>
      </c>
      <c r="W122" s="385" t="str">
        <f t="shared" ca="1" si="28"/>
        <v>|</v>
      </c>
    </row>
    <row r="123" spans="1:23">
      <c r="A123" s="207">
        <f>+'Anexo Escurrimiento'!A133</f>
        <v>1990</v>
      </c>
      <c r="B123" s="207">
        <f>+'Anexo Escurrimiento'!B133</f>
        <v>8</v>
      </c>
      <c r="C123" s="208">
        <f>+'Anexo Escurrimiento'!O133</f>
        <v>0.14954038095261399</v>
      </c>
      <c r="D123" s="207">
        <f>+'Anexo Escurrimiento'!D133</f>
        <v>20.9</v>
      </c>
      <c r="E123" s="214">
        <f t="shared" si="34"/>
        <v>72.449999999999989</v>
      </c>
      <c r="F123" s="213">
        <f t="shared" si="34"/>
        <v>0</v>
      </c>
      <c r="G123" s="211">
        <f t="shared" si="33"/>
        <v>-5.154999999999999E-4</v>
      </c>
      <c r="H123" s="212">
        <f>+F123/100000*'Anexo Bal Hídrico'!$G$4</f>
        <v>0</v>
      </c>
      <c r="I123" s="212">
        <v>0</v>
      </c>
      <c r="J123" s="212">
        <f t="shared" ca="1" si="19"/>
        <v>7.7863881440205036</v>
      </c>
      <c r="K123" s="212">
        <f t="shared" ca="1" si="20"/>
        <v>299.15319911445005</v>
      </c>
      <c r="L123" s="212">
        <f t="shared" ca="1" si="21"/>
        <v>297.29555923871249</v>
      </c>
      <c r="M123" s="212">
        <f t="shared" ca="1" si="22"/>
        <v>7.6162282181439442</v>
      </c>
      <c r="N123" s="212">
        <f t="shared" ca="1" si="23"/>
        <v>7.6162282181439442</v>
      </c>
      <c r="O123" s="210">
        <f t="shared" ca="1" si="18"/>
        <v>294.92361286366878</v>
      </c>
      <c r="P123" s="212">
        <f t="shared" ca="1" si="24"/>
        <v>0</v>
      </c>
      <c r="Q123" s="212">
        <f t="shared" ca="1" si="25"/>
        <v>0</v>
      </c>
      <c r="R123" s="386"/>
      <c r="S123" s="207">
        <f t="shared" si="30"/>
        <v>1990</v>
      </c>
      <c r="T123" s="207">
        <f t="shared" si="31"/>
        <v>8</v>
      </c>
      <c r="U123" s="384" t="str">
        <f t="shared" ca="1" si="26"/>
        <v/>
      </c>
      <c r="V123" s="384" t="str">
        <f t="shared" ca="1" si="27"/>
        <v/>
      </c>
      <c r="W123" s="385" t="str">
        <f t="shared" ca="1" si="28"/>
        <v/>
      </c>
    </row>
    <row r="124" spans="1:23">
      <c r="A124" s="207">
        <f>+'Anexo Escurrimiento'!A134</f>
        <v>1990</v>
      </c>
      <c r="B124" s="207">
        <f>+'Anexo Escurrimiento'!B134</f>
        <v>9</v>
      </c>
      <c r="C124" s="208">
        <f>+'Anexo Escurrimiento'!O134</f>
        <v>0.72726937618778598</v>
      </c>
      <c r="D124" s="207">
        <f>+'Anexo Escurrimiento'!D134</f>
        <v>86.4</v>
      </c>
      <c r="E124" s="214">
        <f t="shared" si="34"/>
        <v>85.89</v>
      </c>
      <c r="F124" s="213">
        <f t="shared" si="34"/>
        <v>0</v>
      </c>
      <c r="G124" s="211">
        <f t="shared" si="33"/>
        <v>5.1000000000000511E-6</v>
      </c>
      <c r="H124" s="212">
        <f>+F124/100000*'Anexo Bal Hídrico'!$G$4</f>
        <v>0</v>
      </c>
      <c r="I124" s="212">
        <v>0</v>
      </c>
      <c r="J124" s="212">
        <f t="shared" ca="1" si="19"/>
        <v>8.3434975943317298</v>
      </c>
      <c r="K124" s="212">
        <f t="shared" ca="1" si="20"/>
        <v>312.77687207345218</v>
      </c>
      <c r="L124" s="212">
        <f t="shared" ca="1" si="21"/>
        <v>303.85024246856051</v>
      </c>
      <c r="M124" s="212">
        <f t="shared" ca="1" si="22"/>
        <v>8.2610240456654225</v>
      </c>
      <c r="N124" s="212">
        <f t="shared" ca="1" si="23"/>
        <v>7.6368477630678893</v>
      </c>
      <c r="O124" s="210">
        <f t="shared" ca="1" si="18"/>
        <v>295.43791936297487</v>
      </c>
      <c r="P124" s="212">
        <f t="shared" ca="1" si="24"/>
        <v>0.62417628259753322</v>
      </c>
      <c r="Q124" s="212">
        <f t="shared" ca="1" si="25"/>
        <v>0</v>
      </c>
      <c r="R124" s="386"/>
      <c r="S124" s="207">
        <f t="shared" si="30"/>
        <v>1990</v>
      </c>
      <c r="T124" s="207">
        <f t="shared" si="31"/>
        <v>9</v>
      </c>
      <c r="U124" s="384" t="str">
        <f t="shared" ca="1" si="26"/>
        <v/>
      </c>
      <c r="V124" s="384" t="str">
        <f t="shared" ca="1" si="27"/>
        <v/>
      </c>
      <c r="W124" s="385" t="str">
        <f t="shared" ca="1" si="28"/>
        <v>|||</v>
      </c>
    </row>
    <row r="125" spans="1:23">
      <c r="A125" s="207">
        <f>+'Anexo Escurrimiento'!A135</f>
        <v>1990</v>
      </c>
      <c r="B125" s="207">
        <f>+'Anexo Escurrimiento'!B135</f>
        <v>10</v>
      </c>
      <c r="C125" s="208">
        <f>+'Anexo Escurrimiento'!O135</f>
        <v>1.502943783055201</v>
      </c>
      <c r="D125" s="207">
        <f>+'Anexo Escurrimiento'!D135</f>
        <v>135.1</v>
      </c>
      <c r="E125" s="214">
        <f t="shared" si="34"/>
        <v>114.86999999999999</v>
      </c>
      <c r="F125" s="213">
        <f t="shared" si="34"/>
        <v>59</v>
      </c>
      <c r="G125" s="211">
        <f t="shared" si="33"/>
        <v>2.0230000000000004E-4</v>
      </c>
      <c r="H125" s="212">
        <f>+F125/100000*'Anexo Bal Hídrico'!$G$4</f>
        <v>0.53100000000000003</v>
      </c>
      <c r="I125" s="212">
        <v>0</v>
      </c>
      <c r="J125" s="212">
        <f t="shared" ca="1" si="19"/>
        <v>8.6087915461230899</v>
      </c>
      <c r="K125" s="212">
        <f t="shared" ca="1" si="20"/>
        <v>319.15023839210056</v>
      </c>
      <c r="L125" s="212">
        <f t="shared" ca="1" si="21"/>
        <v>307.29407887753769</v>
      </c>
      <c r="M125" s="212">
        <f t="shared" ca="1" si="22"/>
        <v>8.4953503985771004</v>
      </c>
      <c r="N125" s="212">
        <f t="shared" ca="1" si="23"/>
        <v>7.6368477630678893</v>
      </c>
      <c r="O125" s="210">
        <f t="shared" ca="1" si="18"/>
        <v>295.43791936297487</v>
      </c>
      <c r="P125" s="212">
        <f t="shared" ca="1" si="24"/>
        <v>0.85850263550921113</v>
      </c>
      <c r="Q125" s="212">
        <f t="shared" ca="1" si="25"/>
        <v>0.53100000000000003</v>
      </c>
      <c r="R125" s="386"/>
      <c r="S125" s="207">
        <f t="shared" si="30"/>
        <v>1990</v>
      </c>
      <c r="T125" s="207">
        <f t="shared" si="31"/>
        <v>10</v>
      </c>
      <c r="U125" s="384" t="str">
        <f t="shared" ca="1" si="26"/>
        <v/>
      </c>
      <c r="V125" s="384" t="str">
        <f t="shared" ca="1" si="27"/>
        <v>||</v>
      </c>
      <c r="W125" s="385" t="str">
        <f t="shared" ca="1" si="28"/>
        <v>||||</v>
      </c>
    </row>
    <row r="126" spans="1:23">
      <c r="A126" s="207">
        <f>+'Anexo Escurrimiento'!A136</f>
        <v>1990</v>
      </c>
      <c r="B126" s="207">
        <f>+'Anexo Escurrimiento'!B136</f>
        <v>11</v>
      </c>
      <c r="C126" s="208">
        <f>+'Anexo Escurrimiento'!O136</f>
        <v>2.1142006927963881</v>
      </c>
      <c r="D126" s="207">
        <f>+'Anexo Escurrimiento'!D136</f>
        <v>174.7</v>
      </c>
      <c r="E126" s="214">
        <f t="shared" si="34"/>
        <v>144.06</v>
      </c>
      <c r="F126" s="213">
        <f t="shared" si="34"/>
        <v>212</v>
      </c>
      <c r="G126" s="211">
        <f t="shared" si="33"/>
        <v>3.0639999999999986E-4</v>
      </c>
      <c r="H126" s="212">
        <f>+F126/100000*'Anexo Bal Hídrico'!$G$4</f>
        <v>1.9079999999999999</v>
      </c>
      <c r="I126" s="212">
        <v>0</v>
      </c>
      <c r="J126" s="212">
        <f t="shared" ca="1" si="19"/>
        <v>7.8430484558642775</v>
      </c>
      <c r="K126" s="212">
        <f t="shared" ca="1" si="20"/>
        <v>300.55426438398035</v>
      </c>
      <c r="L126" s="212">
        <f t="shared" ca="1" si="21"/>
        <v>297.99609187347761</v>
      </c>
      <c r="M126" s="212">
        <f t="shared" ca="1" si="22"/>
        <v>7.6948017801293229</v>
      </c>
      <c r="N126" s="212">
        <f t="shared" ca="1" si="23"/>
        <v>7.6368477630678893</v>
      </c>
      <c r="O126" s="210">
        <f t="shared" ca="1" si="18"/>
        <v>295.43791936297487</v>
      </c>
      <c r="P126" s="212">
        <f t="shared" ca="1" si="24"/>
        <v>5.795401706143366E-2</v>
      </c>
      <c r="Q126" s="212">
        <f t="shared" ca="1" si="25"/>
        <v>1.9079999999999999</v>
      </c>
      <c r="R126" s="386"/>
      <c r="S126" s="207">
        <f t="shared" si="30"/>
        <v>1990</v>
      </c>
      <c r="T126" s="207">
        <f t="shared" si="31"/>
        <v>11</v>
      </c>
      <c r="U126" s="384" t="str">
        <f t="shared" ca="1" si="26"/>
        <v/>
      </c>
      <c r="V126" s="384" t="str">
        <f t="shared" ca="1" si="27"/>
        <v>|||||||||</v>
      </c>
      <c r="W126" s="385" t="str">
        <f t="shared" ca="1" si="28"/>
        <v/>
      </c>
    </row>
    <row r="127" spans="1:23">
      <c r="A127" s="207">
        <f>+'Anexo Escurrimiento'!A137</f>
        <v>1990</v>
      </c>
      <c r="B127" s="207">
        <f>+'Anexo Escurrimiento'!B137</f>
        <v>12</v>
      </c>
      <c r="C127" s="208">
        <f>+'Anexo Escurrimiento'!O137</f>
        <v>4.3775984045470135</v>
      </c>
      <c r="D127" s="207">
        <f>+'Anexo Escurrimiento'!D137</f>
        <v>308.39999999999998</v>
      </c>
      <c r="E127" s="214">
        <f t="shared" si="34"/>
        <v>179.62</v>
      </c>
      <c r="F127" s="213">
        <f t="shared" si="34"/>
        <v>388</v>
      </c>
      <c r="G127" s="211">
        <f t="shared" si="33"/>
        <v>1.2877999999999998E-3</v>
      </c>
      <c r="H127" s="212">
        <f>+F127/100000*'Anexo Bal Hídrico'!$G$4</f>
        <v>3.492</v>
      </c>
      <c r="I127" s="212">
        <v>0</v>
      </c>
      <c r="J127" s="212">
        <f t="shared" ca="1" si="19"/>
        <v>8.5224461676149019</v>
      </c>
      <c r="K127" s="212">
        <f t="shared" ca="1" si="20"/>
        <v>317.08366193978054</v>
      </c>
      <c r="L127" s="212">
        <f t="shared" ca="1" si="21"/>
        <v>306.2607906513777</v>
      </c>
      <c r="M127" s="212">
        <f t="shared" ca="1" si="22"/>
        <v>8.4070819892793303</v>
      </c>
      <c r="N127" s="212">
        <f t="shared" ca="1" si="23"/>
        <v>7.6368477630678893</v>
      </c>
      <c r="O127" s="210">
        <f t="shared" ca="1" si="18"/>
        <v>295.43791936297487</v>
      </c>
      <c r="P127" s="212">
        <f t="shared" ca="1" si="24"/>
        <v>0.770234226211441</v>
      </c>
      <c r="Q127" s="212">
        <f t="shared" ca="1" si="25"/>
        <v>3.492</v>
      </c>
      <c r="R127" s="386"/>
      <c r="S127" s="207">
        <f t="shared" si="30"/>
        <v>1990</v>
      </c>
      <c r="T127" s="207">
        <f t="shared" si="31"/>
        <v>12</v>
      </c>
      <c r="U127" s="384" t="str">
        <f t="shared" ca="1" si="26"/>
        <v/>
      </c>
      <c r="V127" s="384" t="str">
        <f t="shared" ca="1" si="27"/>
        <v>|||||||||||||||||</v>
      </c>
      <c r="W127" s="385" t="str">
        <f t="shared" ca="1" si="28"/>
        <v>|||</v>
      </c>
    </row>
    <row r="128" spans="1:23">
      <c r="A128" s="207">
        <f>+'Anexo Escurrimiento'!A138</f>
        <v>1991</v>
      </c>
      <c r="B128" s="207">
        <f>+'Anexo Escurrimiento'!B138</f>
        <v>1</v>
      </c>
      <c r="C128" s="208">
        <f>+'Anexo Escurrimiento'!O138</f>
        <v>1.064710329664095</v>
      </c>
      <c r="D128" s="207">
        <f>+'Anexo Escurrimiento'!D138</f>
        <v>39.5</v>
      </c>
      <c r="E128" s="214">
        <f t="shared" si="34"/>
        <v>176.89</v>
      </c>
      <c r="F128" s="213">
        <f t="shared" si="34"/>
        <v>318</v>
      </c>
      <c r="G128" s="211">
        <f t="shared" si="33"/>
        <v>-1.3738999999999999E-3</v>
      </c>
      <c r="H128" s="212">
        <f>+F128/100000*'Anexo Bal Hídrico'!$G$4</f>
        <v>2.8620000000000001</v>
      </c>
      <c r="I128" s="212">
        <v>0</v>
      </c>
      <c r="J128" s="212">
        <f t="shared" ca="1" si="19"/>
        <v>5.8395580927319841</v>
      </c>
      <c r="K128" s="212">
        <f t="shared" ca="1" si="20"/>
        <v>248.52325016584362</v>
      </c>
      <c r="L128" s="212">
        <f t="shared" ca="1" si="21"/>
        <v>271.98058476440923</v>
      </c>
      <c r="M128" s="212">
        <f t="shared" ca="1" si="22"/>
        <v>5.3557772988577188</v>
      </c>
      <c r="N128" s="212">
        <f t="shared" ca="1" si="23"/>
        <v>5.3557772988577188</v>
      </c>
      <c r="O128" s="210">
        <f t="shared" ca="1" si="18"/>
        <v>235.05175857574682</v>
      </c>
      <c r="P128" s="212">
        <f t="shared" ca="1" si="24"/>
        <v>0</v>
      </c>
      <c r="Q128" s="212">
        <f t="shared" ca="1" si="25"/>
        <v>2.8620000000000001</v>
      </c>
      <c r="R128" s="386"/>
      <c r="S128" s="207">
        <f t="shared" si="30"/>
        <v>1991</v>
      </c>
      <c r="T128" s="207">
        <f t="shared" si="31"/>
        <v>1</v>
      </c>
      <c r="U128" s="384" t="str">
        <f t="shared" ca="1" si="26"/>
        <v/>
      </c>
      <c r="V128" s="384" t="str">
        <f t="shared" ca="1" si="27"/>
        <v>||||||||||||||</v>
      </c>
      <c r="W128" s="385" t="str">
        <f t="shared" ca="1" si="28"/>
        <v/>
      </c>
    </row>
    <row r="129" spans="1:23">
      <c r="A129" s="207">
        <f>+'Anexo Escurrimiento'!A139</f>
        <v>1991</v>
      </c>
      <c r="B129" s="207">
        <f>+'Anexo Escurrimiento'!B139</f>
        <v>2</v>
      </c>
      <c r="C129" s="208">
        <f>+'Anexo Escurrimiento'!O139</f>
        <v>0.35954223353442671</v>
      </c>
      <c r="D129" s="207">
        <f>+'Anexo Escurrimiento'!D139</f>
        <v>57.7</v>
      </c>
      <c r="E129" s="214">
        <f t="shared" si="34"/>
        <v>131.73999999999998</v>
      </c>
      <c r="F129" s="213">
        <f t="shared" si="34"/>
        <v>153</v>
      </c>
      <c r="G129" s="211">
        <f t="shared" si="33"/>
        <v>-7.4039999999999978E-4</v>
      </c>
      <c r="H129" s="212">
        <f>+F129/100000*'Anexo Bal Hídrico'!$G$4</f>
        <v>1.377</v>
      </c>
      <c r="I129" s="212">
        <v>0</v>
      </c>
      <c r="J129" s="212">
        <f t="shared" ca="1" si="19"/>
        <v>4.3383195323921457</v>
      </c>
      <c r="K129" s="212">
        <f t="shared" ca="1" si="20"/>
        <v>205.20912153242566</v>
      </c>
      <c r="L129" s="212">
        <f t="shared" ca="1" si="21"/>
        <v>220.13044005408625</v>
      </c>
      <c r="M129" s="212">
        <f t="shared" ca="1" si="22"/>
        <v>4.1452413461783957</v>
      </c>
      <c r="N129" s="212">
        <f t="shared" ca="1" si="23"/>
        <v>4.1452413461783957</v>
      </c>
      <c r="O129" s="210">
        <f t="shared" ca="1" si="18"/>
        <v>199.27599526376295</v>
      </c>
      <c r="P129" s="212">
        <f t="shared" ca="1" si="24"/>
        <v>0</v>
      </c>
      <c r="Q129" s="212">
        <f t="shared" ca="1" si="25"/>
        <v>1.377</v>
      </c>
      <c r="R129" s="386"/>
      <c r="S129" s="207">
        <f t="shared" si="30"/>
        <v>1991</v>
      </c>
      <c r="T129" s="207">
        <f t="shared" si="31"/>
        <v>2</v>
      </c>
      <c r="U129" s="384" t="str">
        <f t="shared" ca="1" si="26"/>
        <v/>
      </c>
      <c r="V129" s="384" t="str">
        <f t="shared" ca="1" si="27"/>
        <v>||||||</v>
      </c>
      <c r="W129" s="385" t="str">
        <f t="shared" ca="1" si="28"/>
        <v/>
      </c>
    </row>
    <row r="130" spans="1:23">
      <c r="A130" s="207">
        <f>+'Anexo Escurrimiento'!A140</f>
        <v>1991</v>
      </c>
      <c r="B130" s="207">
        <f>+'Anexo Escurrimiento'!B140</f>
        <v>3</v>
      </c>
      <c r="C130" s="208">
        <f>+'Anexo Escurrimiento'!O140</f>
        <v>0.59268656891053217</v>
      </c>
      <c r="D130" s="207">
        <f>+'Anexo Escurrimiento'!D140</f>
        <v>80.3</v>
      </c>
      <c r="E130" s="214">
        <f t="shared" si="34"/>
        <v>118.64999999999999</v>
      </c>
      <c r="F130" s="213">
        <f t="shared" si="34"/>
        <v>47</v>
      </c>
      <c r="G130" s="211">
        <f t="shared" si="33"/>
        <v>-3.8349999999999994E-4</v>
      </c>
      <c r="H130" s="212">
        <f>+F130/100000*'Anexo Bal Hídrico'!$G$4</f>
        <v>0.42299999999999999</v>
      </c>
      <c r="I130" s="212">
        <v>0</v>
      </c>
      <c r="J130" s="212">
        <f t="shared" ca="1" si="19"/>
        <v>4.3149279150889281</v>
      </c>
      <c r="K130" s="212">
        <f t="shared" ca="1" si="20"/>
        <v>204.49539037412606</v>
      </c>
      <c r="L130" s="212">
        <f t="shared" ca="1" si="21"/>
        <v>201.88569281894451</v>
      </c>
      <c r="M130" s="212">
        <f t="shared" ca="1" si="22"/>
        <v>4.1920085775244269</v>
      </c>
      <c r="N130" s="212">
        <f t="shared" ca="1" si="23"/>
        <v>4.1920085775244269</v>
      </c>
      <c r="O130" s="210">
        <f t="shared" ca="1" si="18"/>
        <v>200.72197248697765</v>
      </c>
      <c r="P130" s="212">
        <f t="shared" ca="1" si="24"/>
        <v>0</v>
      </c>
      <c r="Q130" s="212">
        <f t="shared" ca="1" si="25"/>
        <v>0.42299999999999999</v>
      </c>
      <c r="R130" s="386"/>
      <c r="S130" s="207">
        <f t="shared" si="30"/>
        <v>1991</v>
      </c>
      <c r="T130" s="207">
        <f t="shared" si="31"/>
        <v>3</v>
      </c>
      <c r="U130" s="384" t="str">
        <f t="shared" ca="1" si="26"/>
        <v/>
      </c>
      <c r="V130" s="384" t="str">
        <f t="shared" ca="1" si="27"/>
        <v>||</v>
      </c>
      <c r="W130" s="385" t="str">
        <f t="shared" ca="1" si="28"/>
        <v/>
      </c>
    </row>
    <row r="131" spans="1:23">
      <c r="A131" s="207">
        <f>+'Anexo Escurrimiento'!A141</f>
        <v>1991</v>
      </c>
      <c r="B131" s="207">
        <f>+'Anexo Escurrimiento'!B141</f>
        <v>4</v>
      </c>
      <c r="C131" s="208">
        <f>+'Anexo Escurrimiento'!O141</f>
        <v>10.055145195650462</v>
      </c>
      <c r="D131" s="207">
        <f>+'Anexo Escurrimiento'!D141</f>
        <v>520.6</v>
      </c>
      <c r="E131" s="214">
        <f t="shared" si="34"/>
        <v>73.149999999999991</v>
      </c>
      <c r="F131" s="213">
        <f t="shared" si="34"/>
        <v>0</v>
      </c>
      <c r="G131" s="211">
        <f t="shared" si="33"/>
        <v>4.4745000000000002E-3</v>
      </c>
      <c r="H131" s="212">
        <f>+F131/100000*'Anexo Bal Hídrico'!$G$4</f>
        <v>0</v>
      </c>
      <c r="I131" s="212">
        <v>0</v>
      </c>
      <c r="J131" s="212">
        <f t="shared" ca="1" si="19"/>
        <v>14.24715377317489</v>
      </c>
      <c r="K131" s="212">
        <f t="shared" ca="1" si="20"/>
        <v>441.55973691173801</v>
      </c>
      <c r="L131" s="212">
        <f t="shared" ca="1" si="21"/>
        <v>321.14085469935782</v>
      </c>
      <c r="M131" s="212">
        <f t="shared" ca="1" si="22"/>
        <v>14.45629703617457</v>
      </c>
      <c r="N131" s="212">
        <f t="shared" ca="1" si="23"/>
        <v>7.6368477630678893</v>
      </c>
      <c r="O131" s="210">
        <f t="shared" ca="1" si="18"/>
        <v>295.43791936297487</v>
      </c>
      <c r="P131" s="212">
        <f t="shared" ca="1" si="24"/>
        <v>6.8194492731066809</v>
      </c>
      <c r="Q131" s="212">
        <f t="shared" ca="1" si="25"/>
        <v>0</v>
      </c>
      <c r="R131" s="386"/>
      <c r="S131" s="207">
        <f t="shared" si="30"/>
        <v>1991</v>
      </c>
      <c r="T131" s="207">
        <f t="shared" si="31"/>
        <v>4</v>
      </c>
      <c r="U131" s="384" t="str">
        <f t="shared" ca="1" si="26"/>
        <v/>
      </c>
      <c r="V131" s="384" t="str">
        <f t="shared" ca="1" si="27"/>
        <v/>
      </c>
      <c r="W131" s="385" t="str">
        <f t="shared" ca="1" si="28"/>
        <v>||||||||||||||||||||||||||||||||||</v>
      </c>
    </row>
    <row r="132" spans="1:23">
      <c r="A132" s="207">
        <f>+'Anexo Escurrimiento'!A142</f>
        <v>1991</v>
      </c>
      <c r="B132" s="207">
        <f>+'Anexo Escurrimiento'!B142</f>
        <v>5</v>
      </c>
      <c r="C132" s="208">
        <f>+'Anexo Escurrimiento'!O142</f>
        <v>2.845310997850055</v>
      </c>
      <c r="D132" s="207">
        <f>+'Anexo Escurrimiento'!D142</f>
        <v>106.5</v>
      </c>
      <c r="E132" s="214">
        <f t="shared" si="34"/>
        <v>51.24</v>
      </c>
      <c r="F132" s="213">
        <f t="shared" si="34"/>
        <v>0</v>
      </c>
      <c r="G132" s="211">
        <f t="shared" si="33"/>
        <v>5.5259999999999999E-4</v>
      </c>
      <c r="H132" s="212">
        <f>+F132/100000*'Anexo Bal Hídrico'!$G$4</f>
        <v>0</v>
      </c>
      <c r="I132" s="212">
        <v>0</v>
      </c>
      <c r="J132" s="212">
        <f t="shared" ca="1" si="19"/>
        <v>10.482158760917944</v>
      </c>
      <c r="K132" s="212">
        <f t="shared" ca="1" si="20"/>
        <v>362.32663136205156</v>
      </c>
      <c r="L132" s="212">
        <f t="shared" ca="1" si="21"/>
        <v>328.88227536251321</v>
      </c>
      <c r="M132" s="212">
        <f t="shared" ca="1" si="22"/>
        <v>10.308092127162771</v>
      </c>
      <c r="N132" s="212">
        <f t="shared" ca="1" si="23"/>
        <v>7.6368477630678893</v>
      </c>
      <c r="O132" s="210">
        <f t="shared" ca="1" si="18"/>
        <v>295.43791936297487</v>
      </c>
      <c r="P132" s="212">
        <f t="shared" ca="1" si="24"/>
        <v>2.671244364094882</v>
      </c>
      <c r="Q132" s="212">
        <f t="shared" ca="1" si="25"/>
        <v>0</v>
      </c>
      <c r="R132" s="386"/>
      <c r="S132" s="207">
        <f t="shared" si="30"/>
        <v>1991</v>
      </c>
      <c r="T132" s="207">
        <f t="shared" si="31"/>
        <v>5</v>
      </c>
      <c r="U132" s="384" t="str">
        <f t="shared" ca="1" si="26"/>
        <v/>
      </c>
      <c r="V132" s="384" t="str">
        <f t="shared" ca="1" si="27"/>
        <v/>
      </c>
      <c r="W132" s="385" t="str">
        <f t="shared" ca="1" si="28"/>
        <v>|||||||||||||</v>
      </c>
    </row>
    <row r="133" spans="1:23">
      <c r="A133" s="207">
        <f>+'Anexo Escurrimiento'!A143</f>
        <v>1991</v>
      </c>
      <c r="B133" s="207">
        <f>+'Anexo Escurrimiento'!B143</f>
        <v>6</v>
      </c>
      <c r="C133" s="208">
        <f>+'Anexo Escurrimiento'!O143</f>
        <v>3.1772496412462048</v>
      </c>
      <c r="D133" s="207">
        <f>+'Anexo Escurrimiento'!D143</f>
        <v>168.1</v>
      </c>
      <c r="E133" s="214">
        <f t="shared" ref="E133:F152" si="35">+E121</f>
        <v>41.019999999999996</v>
      </c>
      <c r="F133" s="213">
        <f t="shared" si="35"/>
        <v>0</v>
      </c>
      <c r="G133" s="211">
        <f t="shared" si="33"/>
        <v>1.2707999999999999E-3</v>
      </c>
      <c r="H133" s="212">
        <f>+F133/100000*'Anexo Bal Hídrico'!$G$4</f>
        <v>0</v>
      </c>
      <c r="I133" s="212">
        <v>0</v>
      </c>
      <c r="J133" s="212">
        <f t="shared" ca="1" si="19"/>
        <v>10.814097404314094</v>
      </c>
      <c r="K133" s="212">
        <f t="shared" ca="1" si="20"/>
        <v>369.67975985538993</v>
      </c>
      <c r="L133" s="212">
        <f t="shared" ca="1" si="21"/>
        <v>332.55883960918243</v>
      </c>
      <c r="M133" s="212">
        <f t="shared" ca="1" si="22"/>
        <v>10.834955590677454</v>
      </c>
      <c r="N133" s="212">
        <f t="shared" ca="1" si="23"/>
        <v>7.6368477630678893</v>
      </c>
      <c r="O133" s="210">
        <f t="shared" ca="1" si="18"/>
        <v>295.43791936297487</v>
      </c>
      <c r="P133" s="212">
        <f t="shared" ca="1" si="24"/>
        <v>3.1981078276095651</v>
      </c>
      <c r="Q133" s="212">
        <f t="shared" ca="1" si="25"/>
        <v>0</v>
      </c>
      <c r="R133" s="386"/>
      <c r="S133" s="207">
        <f t="shared" si="30"/>
        <v>1991</v>
      </c>
      <c r="T133" s="207">
        <f t="shared" si="31"/>
        <v>6</v>
      </c>
      <c r="U133" s="384" t="str">
        <f t="shared" ca="1" si="26"/>
        <v/>
      </c>
      <c r="V133" s="384" t="str">
        <f t="shared" ca="1" si="27"/>
        <v/>
      </c>
      <c r="W133" s="385" t="str">
        <f t="shared" ca="1" si="28"/>
        <v>|||||||||||||||</v>
      </c>
    </row>
    <row r="134" spans="1:23">
      <c r="A134" s="207">
        <f>+'Anexo Escurrimiento'!A144</f>
        <v>1991</v>
      </c>
      <c r="B134" s="207">
        <f>+'Anexo Escurrimiento'!B144</f>
        <v>7</v>
      </c>
      <c r="C134" s="208">
        <f>+'Anexo Escurrimiento'!O144</f>
        <v>2.6732909213366023</v>
      </c>
      <c r="D134" s="207">
        <f>+'Anexo Escurrimiento'!D144</f>
        <v>130.19999999999999</v>
      </c>
      <c r="E134" s="214">
        <f t="shared" si="35"/>
        <v>50.819999999999993</v>
      </c>
      <c r="F134" s="213">
        <f t="shared" si="35"/>
        <v>0</v>
      </c>
      <c r="G134" s="211">
        <f t="shared" si="33"/>
        <v>7.938E-4</v>
      </c>
      <c r="H134" s="212">
        <f>+F134/100000*'Anexo Bal Hídrico'!$G$4</f>
        <v>0</v>
      </c>
      <c r="I134" s="212">
        <v>0</v>
      </c>
      <c r="J134" s="212">
        <f t="shared" ca="1" si="19"/>
        <v>10.310138684404492</v>
      </c>
      <c r="K134" s="212">
        <f t="shared" ca="1" si="20"/>
        <v>358.48349764161446</v>
      </c>
      <c r="L134" s="212">
        <f t="shared" ca="1" si="21"/>
        <v>326.96070850229466</v>
      </c>
      <c r="M134" s="212">
        <f t="shared" ca="1" si="22"/>
        <v>10.237337473645185</v>
      </c>
      <c r="N134" s="212">
        <f t="shared" ca="1" si="23"/>
        <v>7.6368477630678893</v>
      </c>
      <c r="O134" s="210">
        <f t="shared" ca="1" si="18"/>
        <v>295.43791936297487</v>
      </c>
      <c r="P134" s="212">
        <f t="shared" ca="1" si="24"/>
        <v>2.6004897105772962</v>
      </c>
      <c r="Q134" s="212">
        <f t="shared" ca="1" si="25"/>
        <v>0</v>
      </c>
      <c r="R134" s="386"/>
      <c r="S134" s="207">
        <f t="shared" si="30"/>
        <v>1991</v>
      </c>
      <c r="T134" s="207">
        <f t="shared" si="31"/>
        <v>7</v>
      </c>
      <c r="U134" s="384" t="str">
        <f t="shared" ca="1" si="26"/>
        <v/>
      </c>
      <c r="V134" s="384" t="str">
        <f t="shared" ca="1" si="27"/>
        <v/>
      </c>
      <c r="W134" s="385" t="str">
        <f t="shared" ca="1" si="28"/>
        <v>|||||||||||||</v>
      </c>
    </row>
    <row r="135" spans="1:23">
      <c r="A135" s="207">
        <f>+'Anexo Escurrimiento'!A145</f>
        <v>1991</v>
      </c>
      <c r="B135" s="207">
        <f>+'Anexo Escurrimiento'!B145</f>
        <v>8</v>
      </c>
      <c r="C135" s="208">
        <f>+'Anexo Escurrimiento'!O145</f>
        <v>0.85434156071895118</v>
      </c>
      <c r="D135" s="207">
        <f>+'Anexo Escurrimiento'!D145</f>
        <v>35.9</v>
      </c>
      <c r="E135" s="214">
        <f t="shared" si="35"/>
        <v>72.449999999999989</v>
      </c>
      <c r="F135" s="213">
        <f t="shared" si="35"/>
        <v>0</v>
      </c>
      <c r="G135" s="211">
        <f t="shared" si="33"/>
        <v>-3.6549999999999989E-4</v>
      </c>
      <c r="H135" s="212">
        <f>+F135/100000*'Anexo Bal Hídrico'!$G$4</f>
        <v>0</v>
      </c>
      <c r="I135" s="212">
        <v>0</v>
      </c>
      <c r="J135" s="212">
        <f t="shared" ca="1" si="19"/>
        <v>8.4911893237868412</v>
      </c>
      <c r="K135" s="212">
        <f t="shared" ca="1" si="20"/>
        <v>316.33373244616882</v>
      </c>
      <c r="L135" s="212">
        <f t="shared" ca="1" si="21"/>
        <v>305.88582590457185</v>
      </c>
      <c r="M135" s="212">
        <f t="shared" ca="1" si="22"/>
        <v>8.2800226651011855</v>
      </c>
      <c r="N135" s="212">
        <f t="shared" ca="1" si="23"/>
        <v>7.6368477630678893</v>
      </c>
      <c r="O135" s="210">
        <f t="shared" ref="O135:O198" ca="1" si="36">+g_*N135^h_</f>
        <v>295.43791936297487</v>
      </c>
      <c r="P135" s="212">
        <f t="shared" ca="1" si="24"/>
        <v>0.64317490203329619</v>
      </c>
      <c r="Q135" s="212">
        <f t="shared" ca="1" si="25"/>
        <v>0</v>
      </c>
      <c r="R135" s="386"/>
      <c r="S135" s="207">
        <f t="shared" si="30"/>
        <v>1991</v>
      </c>
      <c r="T135" s="207">
        <f t="shared" si="31"/>
        <v>8</v>
      </c>
      <c r="U135" s="384" t="str">
        <f t="shared" ca="1" si="26"/>
        <v/>
      </c>
      <c r="V135" s="384" t="str">
        <f t="shared" ca="1" si="27"/>
        <v/>
      </c>
      <c r="W135" s="385" t="str">
        <f t="shared" ca="1" si="28"/>
        <v>|||</v>
      </c>
    </row>
    <row r="136" spans="1:23">
      <c r="A136" s="207">
        <f>+'Anexo Escurrimiento'!A146</f>
        <v>1991</v>
      </c>
      <c r="B136" s="207">
        <f>+'Anexo Escurrimiento'!B146</f>
        <v>9</v>
      </c>
      <c r="C136" s="208">
        <f>+'Anexo Escurrimiento'!O146</f>
        <v>0.31559661562587105</v>
      </c>
      <c r="D136" s="207">
        <f>+'Anexo Escurrimiento'!D146</f>
        <v>40.700000000000003</v>
      </c>
      <c r="E136" s="214">
        <f t="shared" si="35"/>
        <v>85.89</v>
      </c>
      <c r="F136" s="213">
        <f t="shared" si="35"/>
        <v>0</v>
      </c>
      <c r="G136" s="211">
        <f t="shared" si="33"/>
        <v>-4.5189999999999998E-4</v>
      </c>
      <c r="H136" s="212">
        <f>+F136/100000*'Anexo Bal Hídrico'!$G$4</f>
        <v>0</v>
      </c>
      <c r="I136" s="212">
        <v>0</v>
      </c>
      <c r="J136" s="212">
        <f t="shared" ref="J136:J199" ca="1" si="37">+N135+C136-H136-I136</f>
        <v>7.9524443786937606</v>
      </c>
      <c r="K136" s="212">
        <f t="shared" ref="K136:K199" ca="1" si="38">+IF(J136&lt;0,0,g_*J136^h_)</f>
        <v>303.24920863961012</v>
      </c>
      <c r="L136" s="212">
        <f t="shared" ref="L136:L199" ca="1" si="39">+(K136+O135)/2</f>
        <v>299.34356400129252</v>
      </c>
      <c r="M136" s="212">
        <f t="shared" ref="M136:M199" ca="1" si="40">+N135+C136*(Ac-L136)/Ac+G136*L136-H136-I136</f>
        <v>7.7812501796469773</v>
      </c>
      <c r="N136" s="212">
        <f t="shared" ref="N136:N199" ca="1" si="41">+IF(M136&gt;VolHv,VolHv,IF(M136&lt;VolHt,VolHt,M136))</f>
        <v>7.6368477630678893</v>
      </c>
      <c r="O136" s="210">
        <f t="shared" ca="1" si="36"/>
        <v>295.43791936297487</v>
      </c>
      <c r="P136" s="212">
        <f t="shared" ref="P136:P199" ca="1" si="42">+IF(M136&gt;VolHv,M136-VolHv,0)</f>
        <v>0.14440241657908803</v>
      </c>
      <c r="Q136" s="212">
        <f t="shared" ref="Q136:Q199" ca="1" si="43">+IF(M136&lt;VolHt,IF(H136&lt;(VolHt-M136),0,H136-(VolHt-M136)),H136)</f>
        <v>0</v>
      </c>
      <c r="R136" s="386"/>
      <c r="S136" s="207">
        <f t="shared" si="30"/>
        <v>1991</v>
      </c>
      <c r="T136" s="207">
        <f t="shared" si="31"/>
        <v>9</v>
      </c>
      <c r="U136" s="384" t="str">
        <f t="shared" ref="U136:U199" ca="1" si="44">+REPT("|",(H136-Q136)*$W$4)</f>
        <v/>
      </c>
      <c r="V136" s="384" t="str">
        <f t="shared" ref="V136:V199" ca="1" si="45">+REPT("|",Q136*$W$4)</f>
        <v/>
      </c>
      <c r="W136" s="385" t="str">
        <f t="shared" ref="W136:W199" ca="1" si="46">+REPT("|",P136*$W$4)</f>
        <v/>
      </c>
    </row>
    <row r="137" spans="1:23">
      <c r="A137" s="207">
        <f>+'Anexo Escurrimiento'!A147</f>
        <v>1991</v>
      </c>
      <c r="B137" s="207">
        <f>+'Anexo Escurrimiento'!B147</f>
        <v>10</v>
      </c>
      <c r="C137" s="208">
        <f>+'Anexo Escurrimiento'!O147</f>
        <v>2.0995902407617644</v>
      </c>
      <c r="D137" s="207">
        <f>+'Anexo Escurrimiento'!D147</f>
        <v>182</v>
      </c>
      <c r="E137" s="214">
        <f t="shared" si="35"/>
        <v>114.86999999999999</v>
      </c>
      <c r="F137" s="213">
        <f t="shared" si="35"/>
        <v>59</v>
      </c>
      <c r="G137" s="211">
        <f t="shared" si="33"/>
        <v>6.7130000000000011E-4</v>
      </c>
      <c r="H137" s="212">
        <f>+F137/100000*'Anexo Bal Hídrico'!$G$4</f>
        <v>0.53100000000000003</v>
      </c>
      <c r="I137" s="212">
        <v>0</v>
      </c>
      <c r="J137" s="212">
        <f t="shared" ca="1" si="37"/>
        <v>9.2054380038296539</v>
      </c>
      <c r="K137" s="212">
        <f t="shared" ca="1" si="38"/>
        <v>333.23439664349701</v>
      </c>
      <c r="L137" s="212">
        <f t="shared" ca="1" si="39"/>
        <v>314.33615800323594</v>
      </c>
      <c r="M137" s="212">
        <f t="shared" ca="1" si="40"/>
        <v>9.165509992300974</v>
      </c>
      <c r="N137" s="212">
        <f t="shared" ca="1" si="41"/>
        <v>7.6368477630678893</v>
      </c>
      <c r="O137" s="210">
        <f t="shared" ca="1" si="36"/>
        <v>295.43791936297487</v>
      </c>
      <c r="P137" s="212">
        <f t="shared" ca="1" si="42"/>
        <v>1.5286622292330847</v>
      </c>
      <c r="Q137" s="212">
        <f t="shared" ca="1" si="43"/>
        <v>0.53100000000000003</v>
      </c>
      <c r="R137" s="386"/>
      <c r="S137" s="207">
        <f t="shared" ref="S137:S200" si="47">+A137</f>
        <v>1991</v>
      </c>
      <c r="T137" s="207">
        <f t="shared" ref="T137:T200" si="48">+B137</f>
        <v>10</v>
      </c>
      <c r="U137" s="384" t="str">
        <f t="shared" ca="1" si="44"/>
        <v/>
      </c>
      <c r="V137" s="384" t="str">
        <f t="shared" ca="1" si="45"/>
        <v>||</v>
      </c>
      <c r="W137" s="385" t="str">
        <f t="shared" ca="1" si="46"/>
        <v>|||||||</v>
      </c>
    </row>
    <row r="138" spans="1:23">
      <c r="A138" s="207">
        <f>+'Anexo Escurrimiento'!A148</f>
        <v>1991</v>
      </c>
      <c r="B138" s="207">
        <f>+'Anexo Escurrimiento'!B148</f>
        <v>11</v>
      </c>
      <c r="C138" s="208">
        <f>+'Anexo Escurrimiento'!O148</f>
        <v>0.85112764119659046</v>
      </c>
      <c r="D138" s="207">
        <f>+'Anexo Escurrimiento'!D148</f>
        <v>59.9</v>
      </c>
      <c r="E138" s="214">
        <f t="shared" si="35"/>
        <v>144.06</v>
      </c>
      <c r="F138" s="213">
        <f t="shared" si="35"/>
        <v>212</v>
      </c>
      <c r="G138" s="211">
        <f t="shared" si="33"/>
        <v>-8.4159999999999997E-4</v>
      </c>
      <c r="H138" s="212">
        <f>+F138/100000*'Anexo Bal Hídrico'!$G$4</f>
        <v>1.9079999999999999</v>
      </c>
      <c r="I138" s="212">
        <v>0</v>
      </c>
      <c r="J138" s="212">
        <f t="shared" ca="1" si="37"/>
        <v>6.5799754042644807</v>
      </c>
      <c r="K138" s="212">
        <f t="shared" ca="1" si="38"/>
        <v>268.39692260928814</v>
      </c>
      <c r="L138" s="212">
        <f t="shared" ca="1" si="39"/>
        <v>281.9174209861315</v>
      </c>
      <c r="M138" s="212">
        <f t="shared" ca="1" si="40"/>
        <v>6.2514788322164865</v>
      </c>
      <c r="N138" s="212">
        <f t="shared" ca="1" si="41"/>
        <v>6.2514788322164865</v>
      </c>
      <c r="O138" s="210">
        <f t="shared" ca="1" si="36"/>
        <v>259.68342294535347</v>
      </c>
      <c r="P138" s="212">
        <f t="shared" ca="1" si="42"/>
        <v>0</v>
      </c>
      <c r="Q138" s="212">
        <f t="shared" ca="1" si="43"/>
        <v>1.9079999999999999</v>
      </c>
      <c r="R138" s="386"/>
      <c r="S138" s="207">
        <f t="shared" si="47"/>
        <v>1991</v>
      </c>
      <c r="T138" s="207">
        <f t="shared" si="48"/>
        <v>11</v>
      </c>
      <c r="U138" s="384" t="str">
        <f t="shared" ca="1" si="44"/>
        <v/>
      </c>
      <c r="V138" s="384" t="str">
        <f t="shared" ca="1" si="45"/>
        <v>|||||||||</v>
      </c>
      <c r="W138" s="385" t="str">
        <f t="shared" ca="1" si="46"/>
        <v/>
      </c>
    </row>
    <row r="139" spans="1:23">
      <c r="A139" s="207">
        <f>+'Anexo Escurrimiento'!A149</f>
        <v>1991</v>
      </c>
      <c r="B139" s="207">
        <f>+'Anexo Escurrimiento'!B149</f>
        <v>12</v>
      </c>
      <c r="C139" s="208">
        <f>+'Anexo Escurrimiento'!O149</f>
        <v>3.6672163746130648</v>
      </c>
      <c r="D139" s="207">
        <f>+'Anexo Escurrimiento'!D149</f>
        <v>292.39999999999998</v>
      </c>
      <c r="E139" s="214">
        <f t="shared" si="35"/>
        <v>179.62</v>
      </c>
      <c r="F139" s="213">
        <f t="shared" si="35"/>
        <v>388</v>
      </c>
      <c r="G139" s="211">
        <f t="shared" si="33"/>
        <v>1.1277999999999998E-3</v>
      </c>
      <c r="H139" s="212">
        <f>+F139/100000*'Anexo Bal Hídrico'!$G$4</f>
        <v>3.492</v>
      </c>
      <c r="I139" s="212">
        <v>0</v>
      </c>
      <c r="J139" s="212">
        <f t="shared" ca="1" si="37"/>
        <v>6.4266952068295504</v>
      </c>
      <c r="K139" s="212">
        <f t="shared" ca="1" si="38"/>
        <v>264.35083336100035</v>
      </c>
      <c r="L139" s="212">
        <f t="shared" ca="1" si="39"/>
        <v>262.01712815317694</v>
      </c>
      <c r="M139" s="212">
        <f t="shared" ca="1" si="40"/>
        <v>6.3568469822145355</v>
      </c>
      <c r="N139" s="212">
        <f t="shared" ca="1" si="41"/>
        <v>6.3568469822145355</v>
      </c>
      <c r="O139" s="210">
        <f t="shared" ca="1" si="36"/>
        <v>262.49570917210866</v>
      </c>
      <c r="P139" s="212">
        <f t="shared" ca="1" si="42"/>
        <v>0</v>
      </c>
      <c r="Q139" s="212">
        <f t="shared" ca="1" si="43"/>
        <v>3.492</v>
      </c>
      <c r="R139" s="386"/>
      <c r="S139" s="207">
        <f t="shared" si="47"/>
        <v>1991</v>
      </c>
      <c r="T139" s="207">
        <f t="shared" si="48"/>
        <v>12</v>
      </c>
      <c r="U139" s="384" t="str">
        <f t="shared" ca="1" si="44"/>
        <v/>
      </c>
      <c r="V139" s="384" t="str">
        <f t="shared" ca="1" si="45"/>
        <v>|||||||||||||||||</v>
      </c>
      <c r="W139" s="385" t="str">
        <f t="shared" ca="1" si="46"/>
        <v/>
      </c>
    </row>
    <row r="140" spans="1:23">
      <c r="A140" s="207">
        <f>+'Anexo Escurrimiento'!A150</f>
        <v>1992</v>
      </c>
      <c r="B140" s="207">
        <f>+'Anexo Escurrimiento'!B150</f>
        <v>1</v>
      </c>
      <c r="C140" s="208">
        <f>+'Anexo Escurrimiento'!O150</f>
        <v>1.123995307352069</v>
      </c>
      <c r="D140" s="207">
        <f>+'Anexo Escurrimiento'!D150</f>
        <v>63.6</v>
      </c>
      <c r="E140" s="214">
        <f t="shared" si="35"/>
        <v>176.89</v>
      </c>
      <c r="F140" s="213">
        <f t="shared" si="35"/>
        <v>318</v>
      </c>
      <c r="G140" s="211">
        <f t="shared" si="33"/>
        <v>-1.1328999999999998E-3</v>
      </c>
      <c r="H140" s="212">
        <f>+F140/100000*'Anexo Bal Hídrico'!$G$4</f>
        <v>2.8620000000000001</v>
      </c>
      <c r="I140" s="212">
        <v>0</v>
      </c>
      <c r="J140" s="212">
        <f t="shared" ca="1" si="37"/>
        <v>4.6188422895666044</v>
      </c>
      <c r="K140" s="212">
        <f t="shared" ca="1" si="38"/>
        <v>213.6647553647947</v>
      </c>
      <c r="L140" s="212">
        <f t="shared" ca="1" si="39"/>
        <v>238.08023226845168</v>
      </c>
      <c r="M140" s="212">
        <f t="shared" ca="1" si="40"/>
        <v>4.2473717404969644</v>
      </c>
      <c r="N140" s="212">
        <f t="shared" ca="1" si="41"/>
        <v>4.2473717404969644</v>
      </c>
      <c r="O140" s="210">
        <f t="shared" ca="1" si="36"/>
        <v>202.42633109663879</v>
      </c>
      <c r="P140" s="212">
        <f t="shared" ca="1" si="42"/>
        <v>0</v>
      </c>
      <c r="Q140" s="212">
        <f t="shared" ca="1" si="43"/>
        <v>2.8620000000000001</v>
      </c>
      <c r="R140" s="386"/>
      <c r="S140" s="207">
        <f t="shared" si="47"/>
        <v>1992</v>
      </c>
      <c r="T140" s="207">
        <f t="shared" si="48"/>
        <v>1</v>
      </c>
      <c r="U140" s="384" t="str">
        <f t="shared" ca="1" si="44"/>
        <v/>
      </c>
      <c r="V140" s="384" t="str">
        <f t="shared" ca="1" si="45"/>
        <v>||||||||||||||</v>
      </c>
      <c r="W140" s="385" t="str">
        <f t="shared" ca="1" si="46"/>
        <v/>
      </c>
    </row>
    <row r="141" spans="1:23">
      <c r="A141" s="207">
        <f>+'Anexo Escurrimiento'!A151</f>
        <v>1992</v>
      </c>
      <c r="B141" s="207">
        <f>+'Anexo Escurrimiento'!B151</f>
        <v>2</v>
      </c>
      <c r="C141" s="208">
        <f>+'Anexo Escurrimiento'!O151</f>
        <v>2.9485198087141691</v>
      </c>
      <c r="D141" s="207">
        <f>+'Anexo Escurrimiento'!D151</f>
        <v>238.1</v>
      </c>
      <c r="E141" s="214">
        <f t="shared" si="35"/>
        <v>131.73999999999998</v>
      </c>
      <c r="F141" s="213">
        <f t="shared" si="35"/>
        <v>153</v>
      </c>
      <c r="G141" s="211">
        <f t="shared" si="33"/>
        <v>1.0636E-3</v>
      </c>
      <c r="H141" s="212">
        <f>+F141/100000*'Anexo Bal Hídrico'!$G$4</f>
        <v>1.377</v>
      </c>
      <c r="I141" s="212">
        <v>0</v>
      </c>
      <c r="J141" s="212">
        <f t="shared" ca="1" si="37"/>
        <v>5.8188915492111333</v>
      </c>
      <c r="K141" s="212">
        <f t="shared" ca="1" si="38"/>
        <v>247.95608356100058</v>
      </c>
      <c r="L141" s="212">
        <f t="shared" ca="1" si="39"/>
        <v>225.1912073288197</v>
      </c>
      <c r="M141" s="212">
        <f t="shared" ca="1" si="40"/>
        <v>5.8059407593194949</v>
      </c>
      <c r="N141" s="212">
        <f t="shared" ca="1" si="41"/>
        <v>5.8059407593194949</v>
      </c>
      <c r="O141" s="210">
        <f t="shared" ca="1" si="36"/>
        <v>247.60030079624926</v>
      </c>
      <c r="P141" s="212">
        <f t="shared" ca="1" si="42"/>
        <v>0</v>
      </c>
      <c r="Q141" s="212">
        <f t="shared" ca="1" si="43"/>
        <v>1.377</v>
      </c>
      <c r="R141" s="386"/>
      <c r="S141" s="207">
        <f t="shared" si="47"/>
        <v>1992</v>
      </c>
      <c r="T141" s="207">
        <f t="shared" si="48"/>
        <v>2</v>
      </c>
      <c r="U141" s="384" t="str">
        <f t="shared" ca="1" si="44"/>
        <v/>
      </c>
      <c r="V141" s="384" t="str">
        <f t="shared" ca="1" si="45"/>
        <v>||||||</v>
      </c>
      <c r="W141" s="385" t="str">
        <f t="shared" ca="1" si="46"/>
        <v/>
      </c>
    </row>
    <row r="142" spans="1:23">
      <c r="A142" s="207">
        <f>+'Anexo Escurrimiento'!A152</f>
        <v>1992</v>
      </c>
      <c r="B142" s="207">
        <f>+'Anexo Escurrimiento'!B152</f>
        <v>3</v>
      </c>
      <c r="C142" s="208">
        <f>+'Anexo Escurrimiento'!O152</f>
        <v>2.450702405132164</v>
      </c>
      <c r="D142" s="207">
        <f>+'Anexo Escurrimiento'!D152</f>
        <v>165</v>
      </c>
      <c r="E142" s="214">
        <f t="shared" si="35"/>
        <v>118.64999999999999</v>
      </c>
      <c r="F142" s="213">
        <f t="shared" si="35"/>
        <v>47</v>
      </c>
      <c r="G142" s="211">
        <f t="shared" si="33"/>
        <v>4.635000000000001E-4</v>
      </c>
      <c r="H142" s="212">
        <f>+F142/100000*'Anexo Bal Hídrico'!$G$4</f>
        <v>0.42299999999999999</v>
      </c>
      <c r="I142" s="212">
        <v>0</v>
      </c>
      <c r="J142" s="212">
        <f t="shared" ca="1" si="37"/>
        <v>7.8336431644516598</v>
      </c>
      <c r="K142" s="212">
        <f t="shared" ca="1" si="38"/>
        <v>300.32194521532017</v>
      </c>
      <c r="L142" s="212">
        <f t="shared" ca="1" si="39"/>
        <v>273.96112300578471</v>
      </c>
      <c r="M142" s="212">
        <f t="shared" ca="1" si="40"/>
        <v>7.7053400449408915</v>
      </c>
      <c r="N142" s="212">
        <f t="shared" ca="1" si="41"/>
        <v>7.6368477630678893</v>
      </c>
      <c r="O142" s="210">
        <f t="shared" ca="1" si="36"/>
        <v>295.43791936297487</v>
      </c>
      <c r="P142" s="212">
        <f t="shared" ca="1" si="42"/>
        <v>6.849228187300227E-2</v>
      </c>
      <c r="Q142" s="212">
        <f t="shared" ca="1" si="43"/>
        <v>0.42299999999999999</v>
      </c>
      <c r="R142" s="386"/>
      <c r="S142" s="207">
        <f t="shared" si="47"/>
        <v>1992</v>
      </c>
      <c r="T142" s="207">
        <f t="shared" si="48"/>
        <v>3</v>
      </c>
      <c r="U142" s="384" t="str">
        <f t="shared" ca="1" si="44"/>
        <v/>
      </c>
      <c r="V142" s="384" t="str">
        <f t="shared" ca="1" si="45"/>
        <v>||</v>
      </c>
      <c r="W142" s="385" t="str">
        <f t="shared" ca="1" si="46"/>
        <v/>
      </c>
    </row>
    <row r="143" spans="1:23">
      <c r="A143" s="207">
        <f>+'Anexo Escurrimiento'!A153</f>
        <v>1992</v>
      </c>
      <c r="B143" s="207">
        <f>+'Anexo Escurrimiento'!B153</f>
        <v>4</v>
      </c>
      <c r="C143" s="208">
        <f>+'Anexo Escurrimiento'!O153</f>
        <v>7.4961555014323569</v>
      </c>
      <c r="D143" s="207">
        <f>+'Anexo Escurrimiento'!D153</f>
        <v>394.7</v>
      </c>
      <c r="E143" s="214">
        <f t="shared" si="35"/>
        <v>73.149999999999991</v>
      </c>
      <c r="F143" s="213">
        <f t="shared" si="35"/>
        <v>0</v>
      </c>
      <c r="G143" s="211">
        <f t="shared" si="33"/>
        <v>3.2155E-3</v>
      </c>
      <c r="H143" s="212">
        <f>+F143/100000*'Anexo Bal Hídrico'!$G$4</f>
        <v>0</v>
      </c>
      <c r="I143" s="212">
        <v>0</v>
      </c>
      <c r="J143" s="212">
        <f t="shared" ca="1" si="37"/>
        <v>15.133003264500246</v>
      </c>
      <c r="K143" s="212">
        <f t="shared" ca="1" si="38"/>
        <v>459.06254175798773</v>
      </c>
      <c r="L143" s="212">
        <f t="shared" ca="1" si="39"/>
        <v>377.25023056048133</v>
      </c>
      <c r="M143" s="212">
        <f t="shared" ca="1" si="40"/>
        <v>15.270794197889307</v>
      </c>
      <c r="N143" s="212">
        <f t="shared" ca="1" si="41"/>
        <v>7.6368477630678893</v>
      </c>
      <c r="O143" s="210">
        <f t="shared" ca="1" si="36"/>
        <v>295.43791936297487</v>
      </c>
      <c r="P143" s="212">
        <f t="shared" ca="1" si="42"/>
        <v>7.6339464348214179</v>
      </c>
      <c r="Q143" s="212">
        <f t="shared" ca="1" si="43"/>
        <v>0</v>
      </c>
      <c r="R143" s="386"/>
      <c r="S143" s="207">
        <f t="shared" si="47"/>
        <v>1992</v>
      </c>
      <c r="T143" s="207">
        <f t="shared" si="48"/>
        <v>4</v>
      </c>
      <c r="U143" s="384" t="str">
        <f t="shared" ca="1" si="44"/>
        <v/>
      </c>
      <c r="V143" s="384" t="str">
        <f t="shared" ca="1" si="45"/>
        <v/>
      </c>
      <c r="W143" s="385" t="str">
        <f t="shared" ca="1" si="46"/>
        <v>||||||||||||||||||||||||||||||||||||||</v>
      </c>
    </row>
    <row r="144" spans="1:23">
      <c r="A144" s="207">
        <f>+'Anexo Escurrimiento'!A154</f>
        <v>1992</v>
      </c>
      <c r="B144" s="207">
        <f>+'Anexo Escurrimiento'!B154</f>
        <v>5</v>
      </c>
      <c r="C144" s="208">
        <f>+'Anexo Escurrimiento'!O154</f>
        <v>6.3437471900394513</v>
      </c>
      <c r="D144" s="207">
        <f>+'Anexo Escurrimiento'!D154</f>
        <v>287.2</v>
      </c>
      <c r="E144" s="214">
        <f t="shared" si="35"/>
        <v>51.24</v>
      </c>
      <c r="F144" s="213">
        <f t="shared" si="35"/>
        <v>0</v>
      </c>
      <c r="G144" s="211">
        <f t="shared" si="33"/>
        <v>2.3595999999999999E-3</v>
      </c>
      <c r="H144" s="212">
        <f>+F144/100000*'Anexo Bal Hídrico'!$G$4</f>
        <v>0</v>
      </c>
      <c r="I144" s="212">
        <v>0</v>
      </c>
      <c r="J144" s="212">
        <f t="shared" ca="1" si="37"/>
        <v>13.980594953107341</v>
      </c>
      <c r="K144" s="212">
        <f t="shared" ca="1" si="38"/>
        <v>436.21789493585698</v>
      </c>
      <c r="L144" s="212">
        <f t="shared" ca="1" si="39"/>
        <v>365.82790714941592</v>
      </c>
      <c r="M144" s="212">
        <f t="shared" ca="1" si="40"/>
        <v>13.961399533000707</v>
      </c>
      <c r="N144" s="212">
        <f t="shared" ca="1" si="41"/>
        <v>7.6368477630678893</v>
      </c>
      <c r="O144" s="210">
        <f t="shared" ca="1" si="36"/>
        <v>295.43791936297487</v>
      </c>
      <c r="P144" s="212">
        <f t="shared" ca="1" si="42"/>
        <v>6.3245517699328175</v>
      </c>
      <c r="Q144" s="212">
        <f t="shared" ca="1" si="43"/>
        <v>0</v>
      </c>
      <c r="R144" s="386"/>
      <c r="S144" s="207">
        <f t="shared" si="47"/>
        <v>1992</v>
      </c>
      <c r="T144" s="207">
        <f t="shared" si="48"/>
        <v>5</v>
      </c>
      <c r="U144" s="384" t="str">
        <f t="shared" ca="1" si="44"/>
        <v/>
      </c>
      <c r="V144" s="384" t="str">
        <f t="shared" ca="1" si="45"/>
        <v/>
      </c>
      <c r="W144" s="385" t="str">
        <f t="shared" ca="1" si="46"/>
        <v>|||||||||||||||||||||||||||||||</v>
      </c>
    </row>
    <row r="145" spans="1:23">
      <c r="A145" s="207">
        <f>+'Anexo Escurrimiento'!A155</f>
        <v>1992</v>
      </c>
      <c r="B145" s="207">
        <f>+'Anexo Escurrimiento'!B155</f>
        <v>6</v>
      </c>
      <c r="C145" s="208">
        <f>+'Anexo Escurrimiento'!O155</f>
        <v>5.7114258684301751</v>
      </c>
      <c r="D145" s="207">
        <f>+'Anexo Escurrimiento'!D155</f>
        <v>247.9</v>
      </c>
      <c r="E145" s="214">
        <f t="shared" si="35"/>
        <v>41.019999999999996</v>
      </c>
      <c r="F145" s="213">
        <f t="shared" si="35"/>
        <v>0</v>
      </c>
      <c r="G145" s="211">
        <f t="shared" si="33"/>
        <v>2.0688E-3</v>
      </c>
      <c r="H145" s="212">
        <f>+F145/100000*'Anexo Bal Hídrico'!$G$4</f>
        <v>0</v>
      </c>
      <c r="I145" s="212">
        <v>0</v>
      </c>
      <c r="J145" s="212">
        <f t="shared" ca="1" si="37"/>
        <v>13.348273631498063</v>
      </c>
      <c r="K145" s="212">
        <f t="shared" ca="1" si="38"/>
        <v>423.39905775178556</v>
      </c>
      <c r="L145" s="212">
        <f t="shared" ca="1" si="39"/>
        <v>359.41848855738021</v>
      </c>
      <c r="M145" s="212">
        <f t="shared" ca="1" si="40"/>
        <v>13.311309302854205</v>
      </c>
      <c r="N145" s="212">
        <f t="shared" ca="1" si="41"/>
        <v>7.6368477630678893</v>
      </c>
      <c r="O145" s="210">
        <f t="shared" ca="1" si="36"/>
        <v>295.43791936297487</v>
      </c>
      <c r="P145" s="212">
        <f t="shared" ca="1" si="42"/>
        <v>5.6744615397863161</v>
      </c>
      <c r="Q145" s="212">
        <f t="shared" ca="1" si="43"/>
        <v>0</v>
      </c>
      <c r="R145" s="386"/>
      <c r="S145" s="207">
        <f t="shared" si="47"/>
        <v>1992</v>
      </c>
      <c r="T145" s="207">
        <f t="shared" si="48"/>
        <v>6</v>
      </c>
      <c r="U145" s="384" t="str">
        <f t="shared" ca="1" si="44"/>
        <v/>
      </c>
      <c r="V145" s="384" t="str">
        <f t="shared" ca="1" si="45"/>
        <v/>
      </c>
      <c r="W145" s="385" t="str">
        <f t="shared" ca="1" si="46"/>
        <v>||||||||||||||||||||||||||||</v>
      </c>
    </row>
    <row r="146" spans="1:23">
      <c r="A146" s="207">
        <f>+'Anexo Escurrimiento'!A156</f>
        <v>1992</v>
      </c>
      <c r="B146" s="207">
        <f>+'Anexo Escurrimiento'!B156</f>
        <v>7</v>
      </c>
      <c r="C146" s="208">
        <f>+'Anexo Escurrimiento'!O156</f>
        <v>2.5595847651183505</v>
      </c>
      <c r="D146" s="207">
        <f>+'Anexo Escurrimiento'!D156</f>
        <v>102.5</v>
      </c>
      <c r="E146" s="214">
        <f t="shared" si="35"/>
        <v>50.819999999999993</v>
      </c>
      <c r="F146" s="213">
        <f t="shared" si="35"/>
        <v>0</v>
      </c>
      <c r="G146" s="211">
        <f t="shared" si="33"/>
        <v>5.1680000000000009E-4</v>
      </c>
      <c r="H146" s="212">
        <f>+F146/100000*'Anexo Bal Hídrico'!$G$4</f>
        <v>0</v>
      </c>
      <c r="I146" s="212">
        <v>0</v>
      </c>
      <c r="J146" s="212">
        <f t="shared" ca="1" si="37"/>
        <v>10.196432528186239</v>
      </c>
      <c r="K146" s="212">
        <f t="shared" ca="1" si="38"/>
        <v>355.93064505084106</v>
      </c>
      <c r="L146" s="212">
        <f t="shared" ca="1" si="39"/>
        <v>325.68428220690794</v>
      </c>
      <c r="M146" s="212">
        <f t="shared" ca="1" si="40"/>
        <v>10.047781706304798</v>
      </c>
      <c r="N146" s="212">
        <f t="shared" ca="1" si="41"/>
        <v>7.6368477630678893</v>
      </c>
      <c r="O146" s="210">
        <f t="shared" ca="1" si="36"/>
        <v>295.43791936297487</v>
      </c>
      <c r="P146" s="212">
        <f t="shared" ca="1" si="42"/>
        <v>2.410933943236909</v>
      </c>
      <c r="Q146" s="212">
        <f t="shared" ca="1" si="43"/>
        <v>0</v>
      </c>
      <c r="R146" s="386"/>
      <c r="S146" s="207">
        <f t="shared" si="47"/>
        <v>1992</v>
      </c>
      <c r="T146" s="207">
        <f t="shared" si="48"/>
        <v>7</v>
      </c>
      <c r="U146" s="384" t="str">
        <f t="shared" ca="1" si="44"/>
        <v/>
      </c>
      <c r="V146" s="384" t="str">
        <f t="shared" ca="1" si="45"/>
        <v/>
      </c>
      <c r="W146" s="385" t="str">
        <f t="shared" ca="1" si="46"/>
        <v>||||||||||||</v>
      </c>
    </row>
    <row r="147" spans="1:23">
      <c r="A147" s="207">
        <f>+'Anexo Escurrimiento'!A157</f>
        <v>1992</v>
      </c>
      <c r="B147" s="207">
        <f>+'Anexo Escurrimiento'!B157</f>
        <v>8</v>
      </c>
      <c r="C147" s="208">
        <f>+'Anexo Escurrimiento'!O157</f>
        <v>0.60839622693770046</v>
      </c>
      <c r="D147" s="207">
        <f>+'Anexo Escurrimiento'!D157</f>
        <v>16.2</v>
      </c>
      <c r="E147" s="214">
        <f t="shared" si="35"/>
        <v>72.449999999999989</v>
      </c>
      <c r="F147" s="213">
        <f t="shared" si="35"/>
        <v>0</v>
      </c>
      <c r="G147" s="211">
        <f t="shared" si="33"/>
        <v>-5.6249999999999985E-4</v>
      </c>
      <c r="H147" s="212">
        <f>+F147/100000*'Anexo Bal Hídrico'!$G$4</f>
        <v>0</v>
      </c>
      <c r="I147" s="212">
        <v>0</v>
      </c>
      <c r="J147" s="212">
        <f t="shared" ca="1" si="37"/>
        <v>8.2452439900055889</v>
      </c>
      <c r="K147" s="212">
        <f t="shared" ca="1" si="38"/>
        <v>310.39822356313209</v>
      </c>
      <c r="L147" s="212">
        <f t="shared" ca="1" si="39"/>
        <v>302.91807146305348</v>
      </c>
      <c r="M147" s="212">
        <f t="shared" ca="1" si="40"/>
        <v>8.0047787300359996</v>
      </c>
      <c r="N147" s="212">
        <f t="shared" ca="1" si="41"/>
        <v>7.6368477630678893</v>
      </c>
      <c r="O147" s="210">
        <f t="shared" ca="1" si="36"/>
        <v>295.43791936297487</v>
      </c>
      <c r="P147" s="212">
        <f t="shared" ca="1" si="42"/>
        <v>0.36793096696811034</v>
      </c>
      <c r="Q147" s="212">
        <f t="shared" ca="1" si="43"/>
        <v>0</v>
      </c>
      <c r="R147" s="386"/>
      <c r="S147" s="207">
        <f t="shared" si="47"/>
        <v>1992</v>
      </c>
      <c r="T147" s="207">
        <f t="shared" si="48"/>
        <v>8</v>
      </c>
      <c r="U147" s="384" t="str">
        <f t="shared" ca="1" si="44"/>
        <v/>
      </c>
      <c r="V147" s="384" t="str">
        <f t="shared" ca="1" si="45"/>
        <v/>
      </c>
      <c r="W147" s="385" t="str">
        <f t="shared" ca="1" si="46"/>
        <v>|</v>
      </c>
    </row>
    <row r="148" spans="1:23">
      <c r="A148" s="207">
        <f>+'Anexo Escurrimiento'!A158</f>
        <v>1992</v>
      </c>
      <c r="B148" s="207">
        <f>+'Anexo Escurrimiento'!B158</f>
        <v>9</v>
      </c>
      <c r="C148" s="208">
        <f>+'Anexo Escurrimiento'!O158</f>
        <v>0.94481338279087956</v>
      </c>
      <c r="D148" s="207">
        <f>+'Anexo Escurrimiento'!D158</f>
        <v>98.6</v>
      </c>
      <c r="E148" s="214">
        <f t="shared" si="35"/>
        <v>85.89</v>
      </c>
      <c r="F148" s="213">
        <f t="shared" si="35"/>
        <v>0</v>
      </c>
      <c r="G148" s="211">
        <f t="shared" si="33"/>
        <v>1.2709999999999995E-4</v>
      </c>
      <c r="H148" s="212">
        <f>+F148/100000*'Anexo Bal Hídrico'!$G$4</f>
        <v>0</v>
      </c>
      <c r="I148" s="212">
        <v>0</v>
      </c>
      <c r="J148" s="212">
        <f t="shared" ca="1" si="37"/>
        <v>8.581661145858769</v>
      </c>
      <c r="K148" s="212">
        <f t="shared" ca="1" si="38"/>
        <v>318.50170110942764</v>
      </c>
      <c r="L148" s="212">
        <f t="shared" ca="1" si="39"/>
        <v>306.96981023620128</v>
      </c>
      <c r="M148" s="212">
        <f t="shared" ca="1" si="40"/>
        <v>8.5103997521527397</v>
      </c>
      <c r="N148" s="212">
        <f t="shared" ca="1" si="41"/>
        <v>7.6368477630678893</v>
      </c>
      <c r="O148" s="210">
        <f t="shared" ca="1" si="36"/>
        <v>295.43791936297487</v>
      </c>
      <c r="P148" s="212">
        <f t="shared" ca="1" si="42"/>
        <v>0.87355198908485043</v>
      </c>
      <c r="Q148" s="212">
        <f t="shared" ca="1" si="43"/>
        <v>0</v>
      </c>
      <c r="R148" s="386"/>
      <c r="S148" s="207">
        <f t="shared" si="47"/>
        <v>1992</v>
      </c>
      <c r="T148" s="207">
        <f t="shared" si="48"/>
        <v>9</v>
      </c>
      <c r="U148" s="384" t="str">
        <f t="shared" ca="1" si="44"/>
        <v/>
      </c>
      <c r="V148" s="384" t="str">
        <f t="shared" ca="1" si="45"/>
        <v/>
      </c>
      <c r="W148" s="385" t="str">
        <f t="shared" ca="1" si="46"/>
        <v>||||</v>
      </c>
    </row>
    <row r="149" spans="1:23">
      <c r="A149" s="207">
        <f>+'Anexo Escurrimiento'!A159</f>
        <v>1992</v>
      </c>
      <c r="B149" s="207">
        <f>+'Anexo Escurrimiento'!B159</f>
        <v>10</v>
      </c>
      <c r="C149" s="208">
        <f>+'Anexo Escurrimiento'!O159</f>
        <v>0.92435160460304922</v>
      </c>
      <c r="D149" s="207">
        <f>+'Anexo Escurrimiento'!D159</f>
        <v>89.1</v>
      </c>
      <c r="E149" s="214">
        <f t="shared" si="35"/>
        <v>114.86999999999999</v>
      </c>
      <c r="F149" s="213">
        <f t="shared" si="35"/>
        <v>59</v>
      </c>
      <c r="G149" s="211">
        <f t="shared" si="33"/>
        <v>-2.5769999999999998E-4</v>
      </c>
      <c r="H149" s="212">
        <f>+F149/100000*'Anexo Bal Hídrico'!$G$4</f>
        <v>0.53100000000000003</v>
      </c>
      <c r="I149" s="212">
        <v>0</v>
      </c>
      <c r="J149" s="212">
        <f t="shared" ca="1" si="37"/>
        <v>8.0301993676709387</v>
      </c>
      <c r="K149" s="212">
        <f t="shared" ca="1" si="38"/>
        <v>305.15667645490493</v>
      </c>
      <c r="L149" s="212">
        <f t="shared" ca="1" si="39"/>
        <v>300.29729790893987</v>
      </c>
      <c r="M149" s="212">
        <f t="shared" ca="1" si="40"/>
        <v>7.8472689178096564</v>
      </c>
      <c r="N149" s="212">
        <f t="shared" ca="1" si="41"/>
        <v>7.6368477630678893</v>
      </c>
      <c r="O149" s="210">
        <f t="shared" ca="1" si="36"/>
        <v>295.43791936297487</v>
      </c>
      <c r="P149" s="212">
        <f t="shared" ca="1" si="42"/>
        <v>0.21042115474176715</v>
      </c>
      <c r="Q149" s="212">
        <f t="shared" ca="1" si="43"/>
        <v>0.53100000000000003</v>
      </c>
      <c r="R149" s="386"/>
      <c r="S149" s="207">
        <f t="shared" si="47"/>
        <v>1992</v>
      </c>
      <c r="T149" s="207">
        <f t="shared" si="48"/>
        <v>10</v>
      </c>
      <c r="U149" s="384" t="str">
        <f t="shared" ca="1" si="44"/>
        <v/>
      </c>
      <c r="V149" s="384" t="str">
        <f t="shared" ca="1" si="45"/>
        <v>||</v>
      </c>
      <c r="W149" s="385" t="str">
        <f t="shared" ca="1" si="46"/>
        <v>|</v>
      </c>
    </row>
    <row r="150" spans="1:23">
      <c r="A150" s="207">
        <f>+'Anexo Escurrimiento'!A160</f>
        <v>1992</v>
      </c>
      <c r="B150" s="207">
        <f>+'Anexo Escurrimiento'!B160</f>
        <v>11</v>
      </c>
      <c r="C150" s="208">
        <f>+'Anexo Escurrimiento'!O160</f>
        <v>0.49495101196294117</v>
      </c>
      <c r="D150" s="207">
        <f>+'Anexo Escurrimiento'!D160</f>
        <v>59.4</v>
      </c>
      <c r="E150" s="214">
        <f t="shared" si="35"/>
        <v>144.06</v>
      </c>
      <c r="F150" s="213">
        <f t="shared" si="35"/>
        <v>212</v>
      </c>
      <c r="G150" s="211">
        <f t="shared" si="33"/>
        <v>-8.4659999999999998E-4</v>
      </c>
      <c r="H150" s="212">
        <f>+F150/100000*'Anexo Bal Hídrico'!$G$4</f>
        <v>1.9079999999999999</v>
      </c>
      <c r="I150" s="212">
        <v>0</v>
      </c>
      <c r="J150" s="212">
        <f t="shared" ca="1" si="37"/>
        <v>6.223798775030831</v>
      </c>
      <c r="K150" s="212">
        <f t="shared" ca="1" si="38"/>
        <v>258.94185145863844</v>
      </c>
      <c r="L150" s="212">
        <f t="shared" ca="1" si="39"/>
        <v>277.18988541080665</v>
      </c>
      <c r="M150" s="212">
        <f t="shared" ca="1" si="40"/>
        <v>5.9369642612777938</v>
      </c>
      <c r="N150" s="212">
        <f t="shared" ca="1" si="41"/>
        <v>5.9369642612777938</v>
      </c>
      <c r="O150" s="210">
        <f t="shared" ca="1" si="36"/>
        <v>251.18689010015018</v>
      </c>
      <c r="P150" s="212">
        <f t="shared" ca="1" si="42"/>
        <v>0</v>
      </c>
      <c r="Q150" s="212">
        <f t="shared" ca="1" si="43"/>
        <v>1.9079999999999999</v>
      </c>
      <c r="R150" s="386"/>
      <c r="S150" s="207">
        <f t="shared" si="47"/>
        <v>1992</v>
      </c>
      <c r="T150" s="207">
        <f t="shared" si="48"/>
        <v>11</v>
      </c>
      <c r="U150" s="384" t="str">
        <f t="shared" ca="1" si="44"/>
        <v/>
      </c>
      <c r="V150" s="384" t="str">
        <f t="shared" ca="1" si="45"/>
        <v>|||||||||</v>
      </c>
      <c r="W150" s="385" t="str">
        <f t="shared" ca="1" si="46"/>
        <v/>
      </c>
    </row>
    <row r="151" spans="1:23">
      <c r="A151" s="207">
        <f>+'Anexo Escurrimiento'!A161</f>
        <v>1992</v>
      </c>
      <c r="B151" s="207">
        <f>+'Anexo Escurrimiento'!B161</f>
        <v>12</v>
      </c>
      <c r="C151" s="208">
        <f>+'Anexo Escurrimiento'!O161</f>
        <v>0.87608838647687404</v>
      </c>
      <c r="D151" s="207">
        <f>+'Anexo Escurrimiento'!D161</f>
        <v>116.8</v>
      </c>
      <c r="E151" s="214">
        <f t="shared" si="35"/>
        <v>179.62</v>
      </c>
      <c r="F151" s="213">
        <f t="shared" si="35"/>
        <v>388</v>
      </c>
      <c r="G151" s="211">
        <f t="shared" si="33"/>
        <v>-6.2820000000000009E-4</v>
      </c>
      <c r="H151" s="212">
        <f>+F151/100000*'Anexo Bal Hídrico'!$G$4</f>
        <v>3.492</v>
      </c>
      <c r="I151" s="212">
        <v>0</v>
      </c>
      <c r="J151" s="212">
        <f t="shared" ca="1" si="37"/>
        <v>3.3210526477546676</v>
      </c>
      <c r="K151" s="212">
        <f t="shared" ca="1" si="38"/>
        <v>172.74766167231698</v>
      </c>
      <c r="L151" s="212">
        <f t="shared" ca="1" si="39"/>
        <v>211.96727588623358</v>
      </c>
      <c r="M151" s="212">
        <f t="shared" ca="1" si="40"/>
        <v>3.1172856534394873</v>
      </c>
      <c r="N151" s="212">
        <f t="shared" ca="1" si="41"/>
        <v>3.1172856534394873</v>
      </c>
      <c r="O151" s="210">
        <f t="shared" ca="1" si="36"/>
        <v>165.84051291452843</v>
      </c>
      <c r="P151" s="212">
        <f t="shared" ca="1" si="42"/>
        <v>0</v>
      </c>
      <c r="Q151" s="212">
        <f t="shared" ca="1" si="43"/>
        <v>3.492</v>
      </c>
      <c r="R151" s="386"/>
      <c r="S151" s="207">
        <f t="shared" si="47"/>
        <v>1992</v>
      </c>
      <c r="T151" s="207">
        <f t="shared" si="48"/>
        <v>12</v>
      </c>
      <c r="U151" s="384" t="str">
        <f t="shared" ca="1" si="44"/>
        <v/>
      </c>
      <c r="V151" s="384" t="str">
        <f t="shared" ca="1" si="45"/>
        <v>|||||||||||||||||</v>
      </c>
      <c r="W151" s="385" t="str">
        <f t="shared" ca="1" si="46"/>
        <v/>
      </c>
    </row>
    <row r="152" spans="1:23">
      <c r="A152" s="207">
        <f>+'Anexo Escurrimiento'!A162</f>
        <v>1993</v>
      </c>
      <c r="B152" s="207">
        <f>+'Anexo Escurrimiento'!B162</f>
        <v>1</v>
      </c>
      <c r="C152" s="208">
        <f>+'Anexo Escurrimiento'!O162</f>
        <v>3.0157966842199424</v>
      </c>
      <c r="D152" s="207">
        <f>+'Anexo Escurrimiento'!D162</f>
        <v>253.3</v>
      </c>
      <c r="E152" s="214">
        <f t="shared" si="35"/>
        <v>176.89</v>
      </c>
      <c r="F152" s="213">
        <f t="shared" si="35"/>
        <v>318</v>
      </c>
      <c r="G152" s="211">
        <f t="shared" si="33"/>
        <v>7.641000000000003E-4</v>
      </c>
      <c r="H152" s="212">
        <f>+F152/100000*'Anexo Bal Hídrico'!$G$4</f>
        <v>2.8620000000000001</v>
      </c>
      <c r="I152" s="212">
        <v>0</v>
      </c>
      <c r="J152" s="212">
        <f t="shared" ca="1" si="37"/>
        <v>3.2710823376594291</v>
      </c>
      <c r="K152" s="212">
        <f t="shared" ca="1" si="38"/>
        <v>171.06808919480704</v>
      </c>
      <c r="L152" s="212">
        <f t="shared" ca="1" si="39"/>
        <v>168.45430105466772</v>
      </c>
      <c r="M152" s="212">
        <f t="shared" ca="1" si="40"/>
        <v>3.2066332795275239</v>
      </c>
      <c r="N152" s="212">
        <f t="shared" ca="1" si="41"/>
        <v>3.2066332795275239</v>
      </c>
      <c r="O152" s="210">
        <f t="shared" ca="1" si="36"/>
        <v>168.88833015887127</v>
      </c>
      <c r="P152" s="212">
        <f t="shared" ca="1" si="42"/>
        <v>0</v>
      </c>
      <c r="Q152" s="212">
        <f t="shared" ca="1" si="43"/>
        <v>2.8620000000000001</v>
      </c>
      <c r="R152" s="386"/>
      <c r="S152" s="207">
        <f t="shared" si="47"/>
        <v>1993</v>
      </c>
      <c r="T152" s="207">
        <f t="shared" si="48"/>
        <v>1</v>
      </c>
      <c r="U152" s="384" t="str">
        <f t="shared" ca="1" si="44"/>
        <v/>
      </c>
      <c r="V152" s="384" t="str">
        <f t="shared" ca="1" si="45"/>
        <v>||||||||||||||</v>
      </c>
      <c r="W152" s="385" t="str">
        <f t="shared" ca="1" si="46"/>
        <v/>
      </c>
    </row>
    <row r="153" spans="1:23">
      <c r="A153" s="207">
        <f>+'Anexo Escurrimiento'!A163</f>
        <v>1993</v>
      </c>
      <c r="B153" s="207">
        <f>+'Anexo Escurrimiento'!B163</f>
        <v>2</v>
      </c>
      <c r="C153" s="208">
        <f>+'Anexo Escurrimiento'!O163</f>
        <v>1.1391347941772403</v>
      </c>
      <c r="D153" s="207">
        <f>+'Anexo Escurrimiento'!D163</f>
        <v>73.599999999999994</v>
      </c>
      <c r="E153" s="214">
        <f t="shared" ref="E153:F172" si="49">+E141</f>
        <v>131.73999999999998</v>
      </c>
      <c r="F153" s="213">
        <f t="shared" si="49"/>
        <v>153</v>
      </c>
      <c r="G153" s="211">
        <f t="shared" si="33"/>
        <v>-5.8139999999999982E-4</v>
      </c>
      <c r="H153" s="212">
        <f>+F153/100000*'Anexo Bal Hídrico'!$G$4</f>
        <v>1.377</v>
      </c>
      <c r="I153" s="212">
        <v>0</v>
      </c>
      <c r="J153" s="212">
        <f t="shared" ca="1" si="37"/>
        <v>2.9687680737047648</v>
      </c>
      <c r="K153" s="212">
        <f t="shared" ca="1" si="38"/>
        <v>160.7045976889672</v>
      </c>
      <c r="L153" s="212">
        <f t="shared" ca="1" si="39"/>
        <v>164.79646392391925</v>
      </c>
      <c r="M153" s="212">
        <f t="shared" ca="1" si="40"/>
        <v>2.8015769358101537</v>
      </c>
      <c r="N153" s="212">
        <f t="shared" ca="1" si="41"/>
        <v>2.8015769358101537</v>
      </c>
      <c r="O153" s="210">
        <f t="shared" ca="1" si="36"/>
        <v>154.81226458323513</v>
      </c>
      <c r="P153" s="212">
        <f t="shared" ca="1" si="42"/>
        <v>0</v>
      </c>
      <c r="Q153" s="212">
        <f t="shared" ca="1" si="43"/>
        <v>1.377</v>
      </c>
      <c r="R153" s="386"/>
      <c r="S153" s="207">
        <f t="shared" si="47"/>
        <v>1993</v>
      </c>
      <c r="T153" s="207">
        <f t="shared" si="48"/>
        <v>2</v>
      </c>
      <c r="U153" s="384" t="str">
        <f t="shared" ca="1" si="44"/>
        <v/>
      </c>
      <c r="V153" s="384" t="str">
        <f t="shared" ca="1" si="45"/>
        <v>||||||</v>
      </c>
      <c r="W153" s="385" t="str">
        <f t="shared" ca="1" si="46"/>
        <v/>
      </c>
    </row>
    <row r="154" spans="1:23">
      <c r="A154" s="207">
        <f>+'Anexo Escurrimiento'!A164</f>
        <v>1993</v>
      </c>
      <c r="B154" s="207">
        <f>+'Anexo Escurrimiento'!B164</f>
        <v>3</v>
      </c>
      <c r="C154" s="208">
        <f>+'Anexo Escurrimiento'!O164</f>
        <v>0.54525131074230671</v>
      </c>
      <c r="D154" s="207">
        <f>+'Anexo Escurrimiento'!D164</f>
        <v>64.900000000000006</v>
      </c>
      <c r="E154" s="214">
        <f t="shared" si="49"/>
        <v>118.64999999999999</v>
      </c>
      <c r="F154" s="213">
        <f t="shared" si="49"/>
        <v>47</v>
      </c>
      <c r="G154" s="211">
        <f t="shared" si="33"/>
        <v>-5.3749999999999989E-4</v>
      </c>
      <c r="H154" s="212">
        <f>+F154/100000*'Anexo Bal Hídrico'!$G$4</f>
        <v>0.42299999999999999</v>
      </c>
      <c r="I154" s="212">
        <v>0</v>
      </c>
      <c r="J154" s="212">
        <f t="shared" ca="1" si="37"/>
        <v>2.9238282465524605</v>
      </c>
      <c r="K154" s="212">
        <f t="shared" ca="1" si="38"/>
        <v>159.13264011341275</v>
      </c>
      <c r="L154" s="212">
        <f t="shared" ca="1" si="39"/>
        <v>156.97245234832394</v>
      </c>
      <c r="M154" s="212">
        <f t="shared" ca="1" si="40"/>
        <v>2.8069120418588263</v>
      </c>
      <c r="N154" s="212">
        <f t="shared" ca="1" si="41"/>
        <v>2.8069120418588263</v>
      </c>
      <c r="O154" s="210">
        <f t="shared" ca="1" si="36"/>
        <v>155.00218913125445</v>
      </c>
      <c r="P154" s="212">
        <f t="shared" ca="1" si="42"/>
        <v>0</v>
      </c>
      <c r="Q154" s="212">
        <f t="shared" ca="1" si="43"/>
        <v>0.42299999999999999</v>
      </c>
      <c r="R154" s="386"/>
      <c r="S154" s="207">
        <f t="shared" si="47"/>
        <v>1993</v>
      </c>
      <c r="T154" s="207">
        <f t="shared" si="48"/>
        <v>3</v>
      </c>
      <c r="U154" s="384" t="str">
        <f t="shared" ca="1" si="44"/>
        <v/>
      </c>
      <c r="V154" s="384" t="str">
        <f t="shared" ca="1" si="45"/>
        <v>||</v>
      </c>
      <c r="W154" s="385" t="str">
        <f t="shared" ca="1" si="46"/>
        <v/>
      </c>
    </row>
    <row r="155" spans="1:23">
      <c r="A155" s="207">
        <f>+'Anexo Escurrimiento'!A165</f>
        <v>1993</v>
      </c>
      <c r="B155" s="207">
        <f>+'Anexo Escurrimiento'!B165</f>
        <v>4</v>
      </c>
      <c r="C155" s="208">
        <f>+'Anexo Escurrimiento'!O165</f>
        <v>1.380005780457698</v>
      </c>
      <c r="D155" s="207">
        <f>+'Anexo Escurrimiento'!D165</f>
        <v>119.8</v>
      </c>
      <c r="E155" s="214">
        <f t="shared" si="49"/>
        <v>73.149999999999991</v>
      </c>
      <c r="F155" s="213">
        <f t="shared" si="49"/>
        <v>0</v>
      </c>
      <c r="G155" s="211">
        <f t="shared" si="33"/>
        <v>4.6650000000000006E-4</v>
      </c>
      <c r="H155" s="212">
        <f>+F155/100000*'Anexo Bal Hídrico'!$G$4</f>
        <v>0</v>
      </c>
      <c r="I155" s="212">
        <v>0</v>
      </c>
      <c r="J155" s="212">
        <f t="shared" ca="1" si="37"/>
        <v>4.1869178223165244</v>
      </c>
      <c r="K155" s="212">
        <f t="shared" ca="1" si="38"/>
        <v>200.56485268052714</v>
      </c>
      <c r="L155" s="212">
        <f t="shared" ca="1" si="39"/>
        <v>177.78352090589078</v>
      </c>
      <c r="M155" s="212">
        <f t="shared" ca="1" si="40"/>
        <v>4.1765677943171262</v>
      </c>
      <c r="N155" s="212">
        <f t="shared" ca="1" si="41"/>
        <v>4.1765677943171262</v>
      </c>
      <c r="O155" s="210">
        <f t="shared" ca="1" si="36"/>
        <v>200.24520238360904</v>
      </c>
      <c r="P155" s="212">
        <f t="shared" ca="1" si="42"/>
        <v>0</v>
      </c>
      <c r="Q155" s="212">
        <f t="shared" ca="1" si="43"/>
        <v>0</v>
      </c>
      <c r="R155" s="386"/>
      <c r="S155" s="207">
        <f t="shared" si="47"/>
        <v>1993</v>
      </c>
      <c r="T155" s="207">
        <f t="shared" si="48"/>
        <v>4</v>
      </c>
      <c r="U155" s="384" t="str">
        <f t="shared" ca="1" si="44"/>
        <v/>
      </c>
      <c r="V155" s="384" t="str">
        <f t="shared" ca="1" si="45"/>
        <v/>
      </c>
      <c r="W155" s="385" t="str">
        <f t="shared" ca="1" si="46"/>
        <v/>
      </c>
    </row>
    <row r="156" spans="1:23">
      <c r="A156" s="207">
        <f>+'Anexo Escurrimiento'!A166</f>
        <v>1993</v>
      </c>
      <c r="B156" s="207">
        <f>+'Anexo Escurrimiento'!B166</f>
        <v>5</v>
      </c>
      <c r="C156" s="208">
        <f>+'Anexo Escurrimiento'!O166</f>
        <v>7.1774993841081658</v>
      </c>
      <c r="D156" s="207">
        <f>+'Anexo Escurrimiento'!D166</f>
        <v>367.4</v>
      </c>
      <c r="E156" s="214">
        <f t="shared" si="49"/>
        <v>51.24</v>
      </c>
      <c r="F156" s="213">
        <f t="shared" si="49"/>
        <v>0</v>
      </c>
      <c r="G156" s="211">
        <f t="shared" si="33"/>
        <v>3.1615999999999997E-3</v>
      </c>
      <c r="H156" s="212">
        <f>+F156/100000*'Anexo Bal Hídrico'!$G$4</f>
        <v>0</v>
      </c>
      <c r="I156" s="212">
        <v>0</v>
      </c>
      <c r="J156" s="212">
        <f t="shared" ca="1" si="37"/>
        <v>11.354067178425293</v>
      </c>
      <c r="K156" s="212">
        <f t="shared" ca="1" si="38"/>
        <v>381.47209602539158</v>
      </c>
      <c r="L156" s="212">
        <f t="shared" ca="1" si="39"/>
        <v>290.8586492045003</v>
      </c>
      <c r="M156" s="212">
        <f t="shared" ca="1" si="40"/>
        <v>11.479867261876539</v>
      </c>
      <c r="N156" s="212">
        <f t="shared" ca="1" si="41"/>
        <v>7.6368477630678893</v>
      </c>
      <c r="O156" s="210">
        <f t="shared" ca="1" si="36"/>
        <v>295.43791936297487</v>
      </c>
      <c r="P156" s="212">
        <f t="shared" ca="1" si="42"/>
        <v>3.8430194988086495</v>
      </c>
      <c r="Q156" s="212">
        <f t="shared" ca="1" si="43"/>
        <v>0</v>
      </c>
      <c r="R156" s="386"/>
      <c r="S156" s="207">
        <f t="shared" si="47"/>
        <v>1993</v>
      </c>
      <c r="T156" s="207">
        <f t="shared" si="48"/>
        <v>5</v>
      </c>
      <c r="U156" s="384" t="str">
        <f t="shared" ca="1" si="44"/>
        <v/>
      </c>
      <c r="V156" s="384" t="str">
        <f t="shared" ca="1" si="45"/>
        <v/>
      </c>
      <c r="W156" s="385" t="str">
        <f t="shared" ca="1" si="46"/>
        <v>|||||||||||||||||||</v>
      </c>
    </row>
    <row r="157" spans="1:23">
      <c r="A157" s="207">
        <f>+'Anexo Escurrimiento'!A167</f>
        <v>1993</v>
      </c>
      <c r="B157" s="207">
        <f>+'Anexo Escurrimiento'!B167</f>
        <v>6</v>
      </c>
      <c r="C157" s="208">
        <f>+'Anexo Escurrimiento'!O167</f>
        <v>2.2085488624040517</v>
      </c>
      <c r="D157" s="207">
        <f>+'Anexo Escurrimiento'!D167</f>
        <v>72.8</v>
      </c>
      <c r="E157" s="214">
        <f t="shared" si="49"/>
        <v>41.019999999999996</v>
      </c>
      <c r="F157" s="213">
        <f t="shared" si="49"/>
        <v>0</v>
      </c>
      <c r="G157" s="211">
        <f t="shared" si="33"/>
        <v>3.1780000000000003E-4</v>
      </c>
      <c r="H157" s="212">
        <f>+F157/100000*'Anexo Bal Hídrico'!$G$4</f>
        <v>0</v>
      </c>
      <c r="I157" s="212">
        <v>0</v>
      </c>
      <c r="J157" s="212">
        <f t="shared" ca="1" si="37"/>
        <v>9.8453966254719418</v>
      </c>
      <c r="K157" s="212">
        <f t="shared" ca="1" si="38"/>
        <v>347.98475083137606</v>
      </c>
      <c r="L157" s="212">
        <f t="shared" ca="1" si="39"/>
        <v>321.71133509717549</v>
      </c>
      <c r="M157" s="212">
        <f t="shared" ca="1" si="40"/>
        <v>9.6774786158451551</v>
      </c>
      <c r="N157" s="212">
        <f t="shared" ca="1" si="41"/>
        <v>7.6368477630678893</v>
      </c>
      <c r="O157" s="210">
        <f t="shared" ca="1" si="36"/>
        <v>295.43791936297487</v>
      </c>
      <c r="P157" s="212">
        <f t="shared" ca="1" si="42"/>
        <v>2.0406308527772659</v>
      </c>
      <c r="Q157" s="212">
        <f t="shared" ca="1" si="43"/>
        <v>0</v>
      </c>
      <c r="R157" s="386"/>
      <c r="S157" s="207">
        <f t="shared" si="47"/>
        <v>1993</v>
      </c>
      <c r="T157" s="207">
        <f t="shared" si="48"/>
        <v>6</v>
      </c>
      <c r="U157" s="384" t="str">
        <f t="shared" ca="1" si="44"/>
        <v/>
      </c>
      <c r="V157" s="384" t="str">
        <f t="shared" ca="1" si="45"/>
        <v/>
      </c>
      <c r="W157" s="385" t="str">
        <f t="shared" ca="1" si="46"/>
        <v>||||||||||</v>
      </c>
    </row>
    <row r="158" spans="1:23">
      <c r="A158" s="207">
        <f>+'Anexo Escurrimiento'!A168</f>
        <v>1993</v>
      </c>
      <c r="B158" s="207">
        <f>+'Anexo Escurrimiento'!B168</f>
        <v>7</v>
      </c>
      <c r="C158" s="208">
        <f>+'Anexo Escurrimiento'!O168</f>
        <v>0.8995147004337436</v>
      </c>
      <c r="D158" s="207">
        <f>+'Anexo Escurrimiento'!D168</f>
        <v>51</v>
      </c>
      <c r="E158" s="214">
        <f t="shared" si="49"/>
        <v>50.819999999999993</v>
      </c>
      <c r="F158" s="213">
        <f t="shared" si="49"/>
        <v>0</v>
      </c>
      <c r="G158" s="211">
        <f t="shared" si="33"/>
        <v>1.8000000000000683E-6</v>
      </c>
      <c r="H158" s="212">
        <f>+F158/100000*'Anexo Bal Hídrico'!$G$4</f>
        <v>0</v>
      </c>
      <c r="I158" s="212">
        <v>0</v>
      </c>
      <c r="J158" s="212">
        <f t="shared" ca="1" si="37"/>
        <v>8.5363624635016322</v>
      </c>
      <c r="K158" s="212">
        <f t="shared" ca="1" si="38"/>
        <v>317.41723380769184</v>
      </c>
      <c r="L158" s="212">
        <f t="shared" ca="1" si="39"/>
        <v>306.42757658533333</v>
      </c>
      <c r="M158" s="212">
        <f t="shared" ca="1" si="40"/>
        <v>8.4321094286692215</v>
      </c>
      <c r="N158" s="212">
        <f t="shared" ca="1" si="41"/>
        <v>7.6368477630678893</v>
      </c>
      <c r="O158" s="210">
        <f t="shared" ca="1" si="36"/>
        <v>295.43791936297487</v>
      </c>
      <c r="P158" s="212">
        <f t="shared" ca="1" si="42"/>
        <v>0.79526166560133227</v>
      </c>
      <c r="Q158" s="212">
        <f t="shared" ca="1" si="43"/>
        <v>0</v>
      </c>
      <c r="R158" s="386"/>
      <c r="S158" s="207">
        <f t="shared" si="47"/>
        <v>1993</v>
      </c>
      <c r="T158" s="207">
        <f t="shared" si="48"/>
        <v>7</v>
      </c>
      <c r="U158" s="384" t="str">
        <f t="shared" ca="1" si="44"/>
        <v/>
      </c>
      <c r="V158" s="384" t="str">
        <f t="shared" ca="1" si="45"/>
        <v/>
      </c>
      <c r="W158" s="385" t="str">
        <f t="shared" ca="1" si="46"/>
        <v>|||</v>
      </c>
    </row>
    <row r="159" spans="1:23">
      <c r="A159" s="207">
        <f>+'Anexo Escurrimiento'!A169</f>
        <v>1993</v>
      </c>
      <c r="B159" s="207">
        <f>+'Anexo Escurrimiento'!B169</f>
        <v>8</v>
      </c>
      <c r="C159" s="208">
        <f>+'Anexo Escurrimiento'!O169</f>
        <v>0.21850563953958732</v>
      </c>
      <c r="D159" s="207">
        <f>+'Anexo Escurrimiento'!D169</f>
        <v>9.5</v>
      </c>
      <c r="E159" s="214">
        <f t="shared" si="49"/>
        <v>72.449999999999989</v>
      </c>
      <c r="F159" s="213">
        <f t="shared" si="49"/>
        <v>0</v>
      </c>
      <c r="G159" s="211">
        <f t="shared" si="33"/>
        <v>-6.2949999999999985E-4</v>
      </c>
      <c r="H159" s="212">
        <f>+F159/100000*'Anexo Bal Hídrico'!$G$4</f>
        <v>0</v>
      </c>
      <c r="I159" s="212">
        <v>0</v>
      </c>
      <c r="J159" s="212">
        <f t="shared" ca="1" si="37"/>
        <v>7.8553534026074763</v>
      </c>
      <c r="K159" s="212">
        <f t="shared" ca="1" si="38"/>
        <v>300.85805813378533</v>
      </c>
      <c r="L159" s="212">
        <f t="shared" ca="1" si="39"/>
        <v>298.1479887483801</v>
      </c>
      <c r="M159" s="212">
        <f t="shared" ca="1" si="40"/>
        <v>7.6428985148086577</v>
      </c>
      <c r="N159" s="212">
        <f t="shared" ca="1" si="41"/>
        <v>7.6368477630678893</v>
      </c>
      <c r="O159" s="210">
        <f t="shared" ca="1" si="36"/>
        <v>295.43791936297487</v>
      </c>
      <c r="P159" s="212">
        <f t="shared" ca="1" si="42"/>
        <v>6.0507517407684119E-3</v>
      </c>
      <c r="Q159" s="212">
        <f t="shared" ca="1" si="43"/>
        <v>0</v>
      </c>
      <c r="R159" s="386"/>
      <c r="S159" s="207">
        <f t="shared" si="47"/>
        <v>1993</v>
      </c>
      <c r="T159" s="207">
        <f t="shared" si="48"/>
        <v>8</v>
      </c>
      <c r="U159" s="384" t="str">
        <f t="shared" ca="1" si="44"/>
        <v/>
      </c>
      <c r="V159" s="384" t="str">
        <f t="shared" ca="1" si="45"/>
        <v/>
      </c>
      <c r="W159" s="385" t="str">
        <f t="shared" ca="1" si="46"/>
        <v/>
      </c>
    </row>
    <row r="160" spans="1:23">
      <c r="A160" s="207">
        <f>+'Anexo Escurrimiento'!A170</f>
        <v>1993</v>
      </c>
      <c r="B160" s="207">
        <f>+'Anexo Escurrimiento'!B170</f>
        <v>9</v>
      </c>
      <c r="C160" s="208">
        <f>+'Anexo Escurrimiento'!O170</f>
        <v>0.20359504800048703</v>
      </c>
      <c r="D160" s="207">
        <f>+'Anexo Escurrimiento'!D170</f>
        <v>41.9</v>
      </c>
      <c r="E160" s="214">
        <f t="shared" si="49"/>
        <v>85.89</v>
      </c>
      <c r="F160" s="213">
        <f t="shared" si="49"/>
        <v>0</v>
      </c>
      <c r="G160" s="211">
        <f t="shared" si="33"/>
        <v>-4.3990000000000001E-4</v>
      </c>
      <c r="H160" s="212">
        <f>+F160/100000*'Anexo Bal Hídrico'!$G$4</f>
        <v>0</v>
      </c>
      <c r="I160" s="212">
        <v>0</v>
      </c>
      <c r="J160" s="212">
        <f t="shared" ca="1" si="37"/>
        <v>7.8404428110683764</v>
      </c>
      <c r="K160" s="212">
        <f t="shared" ca="1" si="38"/>
        <v>300.48991253555863</v>
      </c>
      <c r="L160" s="212">
        <f t="shared" ca="1" si="39"/>
        <v>297.96391594926672</v>
      </c>
      <c r="M160" s="212">
        <f t="shared" ca="1" si="40"/>
        <v>7.686302333198908</v>
      </c>
      <c r="N160" s="212">
        <f t="shared" ca="1" si="41"/>
        <v>7.6368477630678893</v>
      </c>
      <c r="O160" s="210">
        <f t="shared" ca="1" si="36"/>
        <v>295.43791936297487</v>
      </c>
      <c r="P160" s="212">
        <f t="shared" ca="1" si="42"/>
        <v>4.9454570131018727E-2</v>
      </c>
      <c r="Q160" s="212">
        <f t="shared" ca="1" si="43"/>
        <v>0</v>
      </c>
      <c r="R160" s="386"/>
      <c r="S160" s="207">
        <f t="shared" si="47"/>
        <v>1993</v>
      </c>
      <c r="T160" s="207">
        <f t="shared" si="48"/>
        <v>9</v>
      </c>
      <c r="U160" s="384" t="str">
        <f t="shared" ca="1" si="44"/>
        <v/>
      </c>
      <c r="V160" s="384" t="str">
        <f t="shared" ca="1" si="45"/>
        <v/>
      </c>
      <c r="W160" s="385" t="str">
        <f t="shared" ca="1" si="46"/>
        <v/>
      </c>
    </row>
    <row r="161" spans="1:23">
      <c r="A161" s="207">
        <f>+'Anexo Escurrimiento'!A171</f>
        <v>1993</v>
      </c>
      <c r="B161" s="207">
        <f>+'Anexo Escurrimiento'!B171</f>
        <v>10</v>
      </c>
      <c r="C161" s="208">
        <f>+'Anexo Escurrimiento'!O171</f>
        <v>4.0399405482483672</v>
      </c>
      <c r="D161" s="207">
        <f>+'Anexo Escurrimiento'!D171</f>
        <v>284.3</v>
      </c>
      <c r="E161" s="214">
        <f t="shared" si="49"/>
        <v>114.86999999999999</v>
      </c>
      <c r="F161" s="213">
        <f t="shared" si="49"/>
        <v>59</v>
      </c>
      <c r="G161" s="211">
        <f t="shared" ref="G161:G224" si="50">+(D161-E161)/100000</f>
        <v>1.6943000000000001E-3</v>
      </c>
      <c r="H161" s="212">
        <f>+F161/100000*'Anexo Bal Hídrico'!$G$4</f>
        <v>0.53100000000000003</v>
      </c>
      <c r="I161" s="212">
        <v>0</v>
      </c>
      <c r="J161" s="212">
        <f t="shared" ca="1" si="37"/>
        <v>11.145788311316256</v>
      </c>
      <c r="K161" s="212">
        <f t="shared" ca="1" si="38"/>
        <v>376.94765916008652</v>
      </c>
      <c r="L161" s="212">
        <f t="shared" ca="1" si="39"/>
        <v>336.19278926153072</v>
      </c>
      <c r="M161" s="212">
        <f t="shared" ca="1" si="40"/>
        <v>11.198974323984737</v>
      </c>
      <c r="N161" s="212">
        <f t="shared" ca="1" si="41"/>
        <v>7.6368477630678893</v>
      </c>
      <c r="O161" s="210">
        <f t="shared" ca="1" si="36"/>
        <v>295.43791936297487</v>
      </c>
      <c r="P161" s="212">
        <f t="shared" ca="1" si="42"/>
        <v>3.5621265609168482</v>
      </c>
      <c r="Q161" s="212">
        <f t="shared" ca="1" si="43"/>
        <v>0.53100000000000003</v>
      </c>
      <c r="R161" s="386"/>
      <c r="S161" s="207">
        <f t="shared" si="47"/>
        <v>1993</v>
      </c>
      <c r="T161" s="207">
        <f t="shared" si="48"/>
        <v>10</v>
      </c>
      <c r="U161" s="384" t="str">
        <f t="shared" ca="1" si="44"/>
        <v/>
      </c>
      <c r="V161" s="384" t="str">
        <f t="shared" ca="1" si="45"/>
        <v>||</v>
      </c>
      <c r="W161" s="385" t="str">
        <f t="shared" ca="1" si="46"/>
        <v>|||||||||||||||||</v>
      </c>
    </row>
    <row r="162" spans="1:23">
      <c r="A162" s="207">
        <f>+'Anexo Escurrimiento'!A172</f>
        <v>1993</v>
      </c>
      <c r="B162" s="207">
        <f>+'Anexo Escurrimiento'!B172</f>
        <v>11</v>
      </c>
      <c r="C162" s="208">
        <f>+'Anexo Escurrimiento'!O172</f>
        <v>3.5196205700245167</v>
      </c>
      <c r="D162" s="207">
        <f>+'Anexo Escurrimiento'!D172</f>
        <v>227.5</v>
      </c>
      <c r="E162" s="214">
        <f t="shared" si="49"/>
        <v>144.06</v>
      </c>
      <c r="F162" s="213">
        <f t="shared" si="49"/>
        <v>212</v>
      </c>
      <c r="G162" s="211">
        <f t="shared" si="50"/>
        <v>8.3440000000000001E-4</v>
      </c>
      <c r="H162" s="212">
        <f>+F162/100000*'Anexo Bal Hídrico'!$G$4</f>
        <v>1.9079999999999999</v>
      </c>
      <c r="I162" s="212">
        <v>0</v>
      </c>
      <c r="J162" s="212">
        <f t="shared" ca="1" si="37"/>
        <v>9.248468333092406</v>
      </c>
      <c r="K162" s="212">
        <f t="shared" ca="1" si="38"/>
        <v>334.2373988782067</v>
      </c>
      <c r="L162" s="212">
        <f t="shared" ca="1" si="39"/>
        <v>314.83765912059079</v>
      </c>
      <c r="M162" s="212">
        <f t="shared" ca="1" si="40"/>
        <v>9.0898346168287105</v>
      </c>
      <c r="N162" s="212">
        <f t="shared" ca="1" si="41"/>
        <v>7.6368477630678893</v>
      </c>
      <c r="O162" s="210">
        <f t="shared" ca="1" si="36"/>
        <v>295.43791936297487</v>
      </c>
      <c r="P162" s="212">
        <f t="shared" ca="1" si="42"/>
        <v>1.4529868537608213</v>
      </c>
      <c r="Q162" s="212">
        <f t="shared" ca="1" si="43"/>
        <v>1.9079999999999999</v>
      </c>
      <c r="R162" s="386"/>
      <c r="S162" s="207">
        <f t="shared" si="47"/>
        <v>1993</v>
      </c>
      <c r="T162" s="207">
        <f t="shared" si="48"/>
        <v>11</v>
      </c>
      <c r="U162" s="384" t="str">
        <f t="shared" ca="1" si="44"/>
        <v/>
      </c>
      <c r="V162" s="384" t="str">
        <f t="shared" ca="1" si="45"/>
        <v>|||||||||</v>
      </c>
      <c r="W162" s="385" t="str">
        <f t="shared" ca="1" si="46"/>
        <v>|||||||</v>
      </c>
    </row>
    <row r="163" spans="1:23">
      <c r="A163" s="207">
        <f>+'Anexo Escurrimiento'!A173</f>
        <v>1993</v>
      </c>
      <c r="B163" s="207">
        <f>+'Anexo Escurrimiento'!B173</f>
        <v>12</v>
      </c>
      <c r="C163" s="208">
        <f>+'Anexo Escurrimiento'!O173</f>
        <v>1.7754616934199599</v>
      </c>
      <c r="D163" s="207">
        <f>+'Anexo Escurrimiento'!D173</f>
        <v>134.4</v>
      </c>
      <c r="E163" s="214">
        <f t="shared" si="49"/>
        <v>179.62</v>
      </c>
      <c r="F163" s="213">
        <f t="shared" si="49"/>
        <v>388</v>
      </c>
      <c r="G163" s="211">
        <f t="shared" si="50"/>
        <v>-4.5219999999999999E-4</v>
      </c>
      <c r="H163" s="212">
        <f>+F163/100000*'Anexo Bal Hídrico'!$G$4</f>
        <v>3.492</v>
      </c>
      <c r="I163" s="212">
        <v>0</v>
      </c>
      <c r="J163" s="212">
        <f t="shared" ca="1" si="37"/>
        <v>5.9203094564878489</v>
      </c>
      <c r="K163" s="212">
        <f t="shared" ca="1" si="38"/>
        <v>250.73256047296479</v>
      </c>
      <c r="L163" s="212">
        <f t="shared" ca="1" si="39"/>
        <v>273.08523991796983</v>
      </c>
      <c r="M163" s="212">
        <f t="shared" ca="1" si="40"/>
        <v>5.6124657929312578</v>
      </c>
      <c r="N163" s="212">
        <f t="shared" ca="1" si="41"/>
        <v>5.6124657929312578</v>
      </c>
      <c r="O163" s="210">
        <f t="shared" ca="1" si="36"/>
        <v>242.25108538397942</v>
      </c>
      <c r="P163" s="212">
        <f t="shared" ca="1" si="42"/>
        <v>0</v>
      </c>
      <c r="Q163" s="212">
        <f t="shared" ca="1" si="43"/>
        <v>3.492</v>
      </c>
      <c r="R163" s="386"/>
      <c r="S163" s="207">
        <f t="shared" si="47"/>
        <v>1993</v>
      </c>
      <c r="T163" s="207">
        <f t="shared" si="48"/>
        <v>12</v>
      </c>
      <c r="U163" s="384" t="str">
        <f t="shared" ca="1" si="44"/>
        <v/>
      </c>
      <c r="V163" s="384" t="str">
        <f t="shared" ca="1" si="45"/>
        <v>|||||||||||||||||</v>
      </c>
      <c r="W163" s="385" t="str">
        <f t="shared" ca="1" si="46"/>
        <v/>
      </c>
    </row>
    <row r="164" spans="1:23">
      <c r="A164" s="207">
        <f>+'Anexo Escurrimiento'!A174</f>
        <v>1994</v>
      </c>
      <c r="B164" s="207">
        <f>+'Anexo Escurrimiento'!B174</f>
        <v>1</v>
      </c>
      <c r="C164" s="208">
        <f>+'Anexo Escurrimiento'!O174</f>
        <v>0.41876719818921965</v>
      </c>
      <c r="D164" s="207">
        <f>+'Anexo Escurrimiento'!D174</f>
        <v>14.4</v>
      </c>
      <c r="E164" s="214">
        <f t="shared" si="49"/>
        <v>176.89</v>
      </c>
      <c r="F164" s="213">
        <f t="shared" si="49"/>
        <v>318</v>
      </c>
      <c r="G164" s="211">
        <f t="shared" si="50"/>
        <v>-1.6248999999999999E-3</v>
      </c>
      <c r="H164" s="212">
        <f>+F164/100000*'Anexo Bal Hídrico'!$G$4</f>
        <v>2.8620000000000001</v>
      </c>
      <c r="I164" s="212">
        <v>0</v>
      </c>
      <c r="J164" s="212">
        <f t="shared" ca="1" si="37"/>
        <v>3.1692329911204773</v>
      </c>
      <c r="K164" s="212">
        <f t="shared" ca="1" si="38"/>
        <v>167.61625779288252</v>
      </c>
      <c r="L164" s="212">
        <f t="shared" ca="1" si="39"/>
        <v>204.93367158843097</v>
      </c>
      <c r="M164" s="212">
        <f t="shared" ca="1" si="40"/>
        <v>2.8036052797664297</v>
      </c>
      <c r="N164" s="212">
        <f t="shared" ca="1" si="41"/>
        <v>2.8036052797664297</v>
      </c>
      <c r="O164" s="210">
        <f t="shared" ca="1" si="36"/>
        <v>154.88448677964053</v>
      </c>
      <c r="P164" s="212">
        <f t="shared" ca="1" si="42"/>
        <v>0</v>
      </c>
      <c r="Q164" s="212">
        <f t="shared" ca="1" si="43"/>
        <v>2.8620000000000001</v>
      </c>
      <c r="R164" s="386"/>
      <c r="S164" s="207">
        <f t="shared" si="47"/>
        <v>1994</v>
      </c>
      <c r="T164" s="207">
        <f t="shared" si="48"/>
        <v>1</v>
      </c>
      <c r="U164" s="384" t="str">
        <f t="shared" ca="1" si="44"/>
        <v/>
      </c>
      <c r="V164" s="384" t="str">
        <f t="shared" ca="1" si="45"/>
        <v>||||||||||||||</v>
      </c>
      <c r="W164" s="385" t="str">
        <f t="shared" ca="1" si="46"/>
        <v/>
      </c>
    </row>
    <row r="165" spans="1:23">
      <c r="A165" s="207">
        <f>+'Anexo Escurrimiento'!A175</f>
        <v>1994</v>
      </c>
      <c r="B165" s="207">
        <f>+'Anexo Escurrimiento'!B175</f>
        <v>2</v>
      </c>
      <c r="C165" s="208">
        <f>+'Anexo Escurrimiento'!O175</f>
        <v>2.2368779178405997</v>
      </c>
      <c r="D165" s="207">
        <f>+'Anexo Escurrimiento'!D175</f>
        <v>205.4</v>
      </c>
      <c r="E165" s="214">
        <f t="shared" si="49"/>
        <v>131.73999999999998</v>
      </c>
      <c r="F165" s="213">
        <f t="shared" si="49"/>
        <v>153</v>
      </c>
      <c r="G165" s="211">
        <f t="shared" si="50"/>
        <v>7.3660000000000023E-4</v>
      </c>
      <c r="H165" s="212">
        <f>+F165/100000*'Anexo Bal Hídrico'!$G$4</f>
        <v>1.377</v>
      </c>
      <c r="I165" s="212">
        <v>0</v>
      </c>
      <c r="J165" s="212">
        <f t="shared" ca="1" si="37"/>
        <v>3.6634831976070297</v>
      </c>
      <c r="K165" s="212">
        <f t="shared" ca="1" si="38"/>
        <v>184.02515266531256</v>
      </c>
      <c r="L165" s="212">
        <f t="shared" ca="1" si="39"/>
        <v>169.45481972247654</v>
      </c>
      <c r="M165" s="212">
        <f t="shared" ca="1" si="40"/>
        <v>3.6441782397503975</v>
      </c>
      <c r="N165" s="212">
        <f t="shared" ca="1" si="41"/>
        <v>3.6441782397503975</v>
      </c>
      <c r="O165" s="210">
        <f t="shared" ca="1" si="36"/>
        <v>183.39963202780052</v>
      </c>
      <c r="P165" s="212">
        <f t="shared" ca="1" si="42"/>
        <v>0</v>
      </c>
      <c r="Q165" s="212">
        <f t="shared" ca="1" si="43"/>
        <v>1.377</v>
      </c>
      <c r="R165" s="386"/>
      <c r="S165" s="207">
        <f t="shared" si="47"/>
        <v>1994</v>
      </c>
      <c r="T165" s="207">
        <f t="shared" si="48"/>
        <v>2</v>
      </c>
      <c r="U165" s="384" t="str">
        <f t="shared" ca="1" si="44"/>
        <v/>
      </c>
      <c r="V165" s="384" t="str">
        <f t="shared" ca="1" si="45"/>
        <v>||||||</v>
      </c>
      <c r="W165" s="385" t="str">
        <f t="shared" ca="1" si="46"/>
        <v/>
      </c>
    </row>
    <row r="166" spans="1:23">
      <c r="A166" s="207">
        <f>+'Anexo Escurrimiento'!A176</f>
        <v>1994</v>
      </c>
      <c r="B166" s="207">
        <f>+'Anexo Escurrimiento'!B176</f>
        <v>3</v>
      </c>
      <c r="C166" s="208">
        <f>+'Anexo Escurrimiento'!O176</f>
        <v>1.3738967012974468</v>
      </c>
      <c r="D166" s="207">
        <f>+'Anexo Escurrimiento'!D176</f>
        <v>100.6</v>
      </c>
      <c r="E166" s="214">
        <f t="shared" si="49"/>
        <v>118.64999999999999</v>
      </c>
      <c r="F166" s="213">
        <f t="shared" si="49"/>
        <v>47</v>
      </c>
      <c r="G166" s="211">
        <f t="shared" si="50"/>
        <v>-1.8049999999999997E-4</v>
      </c>
      <c r="H166" s="212">
        <f>+F166/100000*'Anexo Bal Hídrico'!$G$4</f>
        <v>0.42299999999999999</v>
      </c>
      <c r="I166" s="212">
        <v>0</v>
      </c>
      <c r="J166" s="212">
        <f t="shared" ca="1" si="37"/>
        <v>4.5950749410478444</v>
      </c>
      <c r="K166" s="212">
        <f t="shared" ca="1" si="38"/>
        <v>212.95556847850088</v>
      </c>
      <c r="L166" s="212">
        <f t="shared" ca="1" si="39"/>
        <v>198.1776002531507</v>
      </c>
      <c r="M166" s="212">
        <f t="shared" ca="1" si="40"/>
        <v>4.4557770586284438</v>
      </c>
      <c r="N166" s="212">
        <f t="shared" ca="1" si="41"/>
        <v>4.4557770586284438</v>
      </c>
      <c r="O166" s="210">
        <f t="shared" ca="1" si="36"/>
        <v>208.77254960319189</v>
      </c>
      <c r="P166" s="212">
        <f t="shared" ca="1" si="42"/>
        <v>0</v>
      </c>
      <c r="Q166" s="212">
        <f t="shared" ca="1" si="43"/>
        <v>0.42299999999999999</v>
      </c>
      <c r="R166" s="386"/>
      <c r="S166" s="207">
        <f t="shared" si="47"/>
        <v>1994</v>
      </c>
      <c r="T166" s="207">
        <f t="shared" si="48"/>
        <v>3</v>
      </c>
      <c r="U166" s="384" t="str">
        <f t="shared" ca="1" si="44"/>
        <v/>
      </c>
      <c r="V166" s="384" t="str">
        <f t="shared" ca="1" si="45"/>
        <v>||</v>
      </c>
      <c r="W166" s="385" t="str">
        <f t="shared" ca="1" si="46"/>
        <v/>
      </c>
    </row>
    <row r="167" spans="1:23">
      <c r="A167" s="207">
        <f>+'Anexo Escurrimiento'!A177</f>
        <v>1994</v>
      </c>
      <c r="B167" s="207">
        <f>+'Anexo Escurrimiento'!B177</f>
        <v>4</v>
      </c>
      <c r="C167" s="208">
        <f>+'Anexo Escurrimiento'!O177</f>
        <v>0.8450054134208721</v>
      </c>
      <c r="D167" s="207">
        <f>+'Anexo Escurrimiento'!D177</f>
        <v>71.599999999999994</v>
      </c>
      <c r="E167" s="214">
        <f t="shared" si="49"/>
        <v>73.149999999999991</v>
      </c>
      <c r="F167" s="213">
        <f t="shared" si="49"/>
        <v>0</v>
      </c>
      <c r="G167" s="211">
        <f t="shared" si="50"/>
        <v>-1.549999999999997E-5</v>
      </c>
      <c r="H167" s="212">
        <f>+F167/100000*'Anexo Bal Hídrico'!$G$4</f>
        <v>0</v>
      </c>
      <c r="I167" s="212">
        <v>0</v>
      </c>
      <c r="J167" s="212">
        <f t="shared" ca="1" si="37"/>
        <v>5.300782472049316</v>
      </c>
      <c r="K167" s="212">
        <f t="shared" ca="1" si="38"/>
        <v>233.49349551664446</v>
      </c>
      <c r="L167" s="212">
        <f t="shared" ca="1" si="39"/>
        <v>221.13302255991817</v>
      </c>
      <c r="M167" s="212">
        <f t="shared" ca="1" si="40"/>
        <v>5.2263060124242564</v>
      </c>
      <c r="N167" s="212">
        <f t="shared" ca="1" si="41"/>
        <v>5.2263060124242564</v>
      </c>
      <c r="O167" s="210">
        <f t="shared" ca="1" si="36"/>
        <v>231.37402997876819</v>
      </c>
      <c r="P167" s="212">
        <f t="shared" ca="1" si="42"/>
        <v>0</v>
      </c>
      <c r="Q167" s="212">
        <f t="shared" ca="1" si="43"/>
        <v>0</v>
      </c>
      <c r="R167" s="386"/>
      <c r="S167" s="207">
        <f t="shared" si="47"/>
        <v>1994</v>
      </c>
      <c r="T167" s="207">
        <f t="shared" si="48"/>
        <v>4</v>
      </c>
      <c r="U167" s="384" t="str">
        <f t="shared" ca="1" si="44"/>
        <v/>
      </c>
      <c r="V167" s="384" t="str">
        <f t="shared" ca="1" si="45"/>
        <v/>
      </c>
      <c r="W167" s="385" t="str">
        <f t="shared" ca="1" si="46"/>
        <v/>
      </c>
    </row>
    <row r="168" spans="1:23">
      <c r="A168" s="207">
        <f>+'Anexo Escurrimiento'!A178</f>
        <v>1994</v>
      </c>
      <c r="B168" s="207">
        <f>+'Anexo Escurrimiento'!B178</f>
        <v>5</v>
      </c>
      <c r="C168" s="208">
        <f>+'Anexo Escurrimiento'!O178</f>
        <v>0.8745357486316041</v>
      </c>
      <c r="D168" s="207">
        <f>+'Anexo Escurrimiento'!D178</f>
        <v>71.8</v>
      </c>
      <c r="E168" s="214">
        <f t="shared" si="49"/>
        <v>51.24</v>
      </c>
      <c r="F168" s="213">
        <f t="shared" si="49"/>
        <v>0</v>
      </c>
      <c r="G168" s="211">
        <f t="shared" si="50"/>
        <v>2.0559999999999996E-4</v>
      </c>
      <c r="H168" s="212">
        <f>+F168/100000*'Anexo Bal Hídrico'!$G$4</f>
        <v>0</v>
      </c>
      <c r="I168" s="212">
        <v>0</v>
      </c>
      <c r="J168" s="212">
        <f t="shared" ca="1" si="37"/>
        <v>6.100841761055861</v>
      </c>
      <c r="K168" s="212">
        <f t="shared" ca="1" si="38"/>
        <v>255.63344720724069</v>
      </c>
      <c r="L168" s="212">
        <f t="shared" ca="1" si="39"/>
        <v>243.50373859300444</v>
      </c>
      <c r="M168" s="212">
        <f t="shared" ca="1" si="40"/>
        <v>6.0699355120965031</v>
      </c>
      <c r="N168" s="212">
        <f t="shared" ca="1" si="41"/>
        <v>6.0699355120965031</v>
      </c>
      <c r="O168" s="210">
        <f t="shared" ca="1" si="36"/>
        <v>254.79813614554672</v>
      </c>
      <c r="P168" s="212">
        <f t="shared" ca="1" si="42"/>
        <v>0</v>
      </c>
      <c r="Q168" s="212">
        <f t="shared" ca="1" si="43"/>
        <v>0</v>
      </c>
      <c r="R168" s="386"/>
      <c r="S168" s="207">
        <f t="shared" si="47"/>
        <v>1994</v>
      </c>
      <c r="T168" s="207">
        <f t="shared" si="48"/>
        <v>5</v>
      </c>
      <c r="U168" s="384" t="str">
        <f t="shared" ca="1" si="44"/>
        <v/>
      </c>
      <c r="V168" s="384" t="str">
        <f t="shared" ca="1" si="45"/>
        <v/>
      </c>
      <c r="W168" s="385" t="str">
        <f t="shared" ca="1" si="46"/>
        <v/>
      </c>
    </row>
    <row r="169" spans="1:23">
      <c r="A169" s="207">
        <f>+'Anexo Escurrimiento'!A179</f>
        <v>1994</v>
      </c>
      <c r="B169" s="207">
        <f>+'Anexo Escurrimiento'!B179</f>
        <v>6</v>
      </c>
      <c r="C169" s="208">
        <f>+'Anexo Escurrimiento'!O179</f>
        <v>2.0541116506810591</v>
      </c>
      <c r="D169" s="207">
        <f>+'Anexo Escurrimiento'!D179</f>
        <v>129.80000000000001</v>
      </c>
      <c r="E169" s="214">
        <f t="shared" si="49"/>
        <v>41.019999999999996</v>
      </c>
      <c r="F169" s="213">
        <f t="shared" si="49"/>
        <v>0</v>
      </c>
      <c r="G169" s="211">
        <f t="shared" si="50"/>
        <v>8.8780000000000011E-4</v>
      </c>
      <c r="H169" s="212">
        <f>+F169/100000*'Anexo Bal Hídrico'!$G$4</f>
        <v>0</v>
      </c>
      <c r="I169" s="212">
        <v>0</v>
      </c>
      <c r="J169" s="212">
        <f t="shared" ca="1" si="37"/>
        <v>8.1240471627775612</v>
      </c>
      <c r="K169" s="212">
        <f t="shared" ca="1" si="38"/>
        <v>307.45020557993621</v>
      </c>
      <c r="L169" s="212">
        <f t="shared" ca="1" si="39"/>
        <v>281.12417086274149</v>
      </c>
      <c r="M169" s="212">
        <f t="shared" ca="1" si="40"/>
        <v>8.1540624964766479</v>
      </c>
      <c r="N169" s="212">
        <f t="shared" ca="1" si="41"/>
        <v>7.6368477630678893</v>
      </c>
      <c r="O169" s="210">
        <f t="shared" ca="1" si="36"/>
        <v>295.43791936297487</v>
      </c>
      <c r="P169" s="212">
        <f t="shared" ca="1" si="42"/>
        <v>0.51721473340875868</v>
      </c>
      <c r="Q169" s="212">
        <f t="shared" ca="1" si="43"/>
        <v>0</v>
      </c>
      <c r="R169" s="386"/>
      <c r="S169" s="207">
        <f t="shared" si="47"/>
        <v>1994</v>
      </c>
      <c r="T169" s="207">
        <f t="shared" si="48"/>
        <v>6</v>
      </c>
      <c r="U169" s="384" t="str">
        <f t="shared" ca="1" si="44"/>
        <v/>
      </c>
      <c r="V169" s="384" t="str">
        <f t="shared" ca="1" si="45"/>
        <v/>
      </c>
      <c r="W169" s="385" t="str">
        <f t="shared" ca="1" si="46"/>
        <v>||</v>
      </c>
    </row>
    <row r="170" spans="1:23">
      <c r="A170" s="207">
        <f>+'Anexo Escurrimiento'!A180</f>
        <v>1994</v>
      </c>
      <c r="B170" s="207">
        <f>+'Anexo Escurrimiento'!B180</f>
        <v>7</v>
      </c>
      <c r="C170" s="208">
        <f>+'Anexo Escurrimiento'!O180</f>
        <v>1.1870659107322468</v>
      </c>
      <c r="D170" s="207">
        <f>+'Anexo Escurrimiento'!D180</f>
        <v>60.9</v>
      </c>
      <c r="E170" s="214">
        <f t="shared" si="49"/>
        <v>50.819999999999993</v>
      </c>
      <c r="F170" s="213">
        <f t="shared" si="49"/>
        <v>0</v>
      </c>
      <c r="G170" s="211">
        <f t="shared" si="50"/>
        <v>1.0080000000000005E-4</v>
      </c>
      <c r="H170" s="212">
        <f>+F170/100000*'Anexo Bal Hídrico'!$G$4</f>
        <v>0</v>
      </c>
      <c r="I170" s="212">
        <v>0</v>
      </c>
      <c r="J170" s="212">
        <f t="shared" ca="1" si="37"/>
        <v>8.8239136738001367</v>
      </c>
      <c r="K170" s="212">
        <f t="shared" ca="1" si="38"/>
        <v>324.26715274585979</v>
      </c>
      <c r="L170" s="212">
        <f t="shared" ca="1" si="39"/>
        <v>309.85253605441733</v>
      </c>
      <c r="M170" s="212">
        <f t="shared" ca="1" si="40"/>
        <v>8.7152930516761948</v>
      </c>
      <c r="N170" s="212">
        <f t="shared" ca="1" si="41"/>
        <v>7.6368477630678893</v>
      </c>
      <c r="O170" s="210">
        <f t="shared" ca="1" si="36"/>
        <v>295.43791936297487</v>
      </c>
      <c r="P170" s="212">
        <f t="shared" ca="1" si="42"/>
        <v>1.0784452886083056</v>
      </c>
      <c r="Q170" s="212">
        <f t="shared" ca="1" si="43"/>
        <v>0</v>
      </c>
      <c r="R170" s="386"/>
      <c r="S170" s="207">
        <f t="shared" si="47"/>
        <v>1994</v>
      </c>
      <c r="T170" s="207">
        <f t="shared" si="48"/>
        <v>7</v>
      </c>
      <c r="U170" s="384" t="str">
        <f t="shared" ca="1" si="44"/>
        <v/>
      </c>
      <c r="V170" s="384" t="str">
        <f t="shared" ca="1" si="45"/>
        <v/>
      </c>
      <c r="W170" s="385" t="str">
        <f t="shared" ca="1" si="46"/>
        <v>|||||</v>
      </c>
    </row>
    <row r="171" spans="1:23">
      <c r="A171" s="207">
        <f>+'Anexo Escurrimiento'!A181</f>
        <v>1994</v>
      </c>
      <c r="B171" s="207">
        <f>+'Anexo Escurrimiento'!B181</f>
        <v>8</v>
      </c>
      <c r="C171" s="208">
        <f>+'Anexo Escurrimiento'!O181</f>
        <v>0.76644238197810455</v>
      </c>
      <c r="D171" s="207">
        <f>+'Anexo Escurrimiento'!D181</f>
        <v>63</v>
      </c>
      <c r="E171" s="214">
        <f t="shared" si="49"/>
        <v>72.449999999999989</v>
      </c>
      <c r="F171" s="213">
        <f t="shared" si="49"/>
        <v>0</v>
      </c>
      <c r="G171" s="211">
        <f t="shared" si="50"/>
        <v>-9.4499999999999885E-5</v>
      </c>
      <c r="H171" s="212">
        <f>+F171/100000*'Anexo Bal Hídrico'!$G$4</f>
        <v>0</v>
      </c>
      <c r="I171" s="212">
        <v>0</v>
      </c>
      <c r="J171" s="212">
        <f t="shared" ca="1" si="37"/>
        <v>8.4032901450459931</v>
      </c>
      <c r="K171" s="212">
        <f t="shared" ca="1" si="38"/>
        <v>314.2195316326102</v>
      </c>
      <c r="L171" s="212">
        <f t="shared" ca="1" si="39"/>
        <v>304.82872549779256</v>
      </c>
      <c r="M171" s="212">
        <f t="shared" ca="1" si="40"/>
        <v>8.2856497413359289</v>
      </c>
      <c r="N171" s="212">
        <f t="shared" ca="1" si="41"/>
        <v>7.6368477630678893</v>
      </c>
      <c r="O171" s="210">
        <f t="shared" ca="1" si="36"/>
        <v>295.43791936297487</v>
      </c>
      <c r="P171" s="212">
        <f t="shared" ca="1" si="42"/>
        <v>0.64880197826803965</v>
      </c>
      <c r="Q171" s="212">
        <f t="shared" ca="1" si="43"/>
        <v>0</v>
      </c>
      <c r="R171" s="386"/>
      <c r="S171" s="207">
        <f t="shared" si="47"/>
        <v>1994</v>
      </c>
      <c r="T171" s="207">
        <f t="shared" si="48"/>
        <v>8</v>
      </c>
      <c r="U171" s="384" t="str">
        <f t="shared" ca="1" si="44"/>
        <v/>
      </c>
      <c r="V171" s="384" t="str">
        <f t="shared" ca="1" si="45"/>
        <v/>
      </c>
      <c r="W171" s="385" t="str">
        <f t="shared" ca="1" si="46"/>
        <v>|||</v>
      </c>
    </row>
    <row r="172" spans="1:23">
      <c r="A172" s="207">
        <f>+'Anexo Escurrimiento'!A182</f>
        <v>1994</v>
      </c>
      <c r="B172" s="207">
        <f>+'Anexo Escurrimiento'!B182</f>
        <v>9</v>
      </c>
      <c r="C172" s="208">
        <f>+'Anexo Escurrimiento'!O182</f>
        <v>0.73081880291737267</v>
      </c>
      <c r="D172" s="207">
        <f>+'Anexo Escurrimiento'!D182</f>
        <v>73.099999999999994</v>
      </c>
      <c r="E172" s="214">
        <f t="shared" si="49"/>
        <v>85.89</v>
      </c>
      <c r="F172" s="213">
        <f t="shared" si="49"/>
        <v>0</v>
      </c>
      <c r="G172" s="211">
        <f t="shared" si="50"/>
        <v>-1.2790000000000007E-4</v>
      </c>
      <c r="H172" s="212">
        <f>+F172/100000*'Anexo Bal Hídrico'!$G$4</f>
        <v>0</v>
      </c>
      <c r="I172" s="212">
        <v>0</v>
      </c>
      <c r="J172" s="212">
        <f t="shared" ca="1" si="37"/>
        <v>8.367666565985262</v>
      </c>
      <c r="K172" s="212">
        <f t="shared" ca="1" si="38"/>
        <v>313.36045611023309</v>
      </c>
      <c r="L172" s="212">
        <f t="shared" ca="1" si="39"/>
        <v>304.39918773660395</v>
      </c>
      <c r="M172" s="212">
        <f t="shared" ca="1" si="40"/>
        <v>8.2441481113982054</v>
      </c>
      <c r="N172" s="212">
        <f t="shared" ca="1" si="41"/>
        <v>7.6368477630678893</v>
      </c>
      <c r="O172" s="210">
        <f t="shared" ca="1" si="36"/>
        <v>295.43791936297487</v>
      </c>
      <c r="P172" s="212">
        <f t="shared" ca="1" si="42"/>
        <v>0.6073003483303161</v>
      </c>
      <c r="Q172" s="212">
        <f t="shared" ca="1" si="43"/>
        <v>0</v>
      </c>
      <c r="R172" s="386"/>
      <c r="S172" s="207">
        <f t="shared" si="47"/>
        <v>1994</v>
      </c>
      <c r="T172" s="207">
        <f t="shared" si="48"/>
        <v>9</v>
      </c>
      <c r="U172" s="384" t="str">
        <f t="shared" ca="1" si="44"/>
        <v/>
      </c>
      <c r="V172" s="384" t="str">
        <f t="shared" ca="1" si="45"/>
        <v/>
      </c>
      <c r="W172" s="385" t="str">
        <f t="shared" ca="1" si="46"/>
        <v>|||</v>
      </c>
    </row>
    <row r="173" spans="1:23">
      <c r="A173" s="207">
        <f>+'Anexo Escurrimiento'!A183</f>
        <v>1994</v>
      </c>
      <c r="B173" s="207">
        <f>+'Anexo Escurrimiento'!B183</f>
        <v>10</v>
      </c>
      <c r="C173" s="208">
        <f>+'Anexo Escurrimiento'!O183</f>
        <v>2.2283668943362724</v>
      </c>
      <c r="D173" s="207">
        <f>+'Anexo Escurrimiento'!D183</f>
        <v>181.8</v>
      </c>
      <c r="E173" s="214">
        <f t="shared" ref="E173:F192" si="51">+E161</f>
        <v>114.86999999999999</v>
      </c>
      <c r="F173" s="213">
        <f t="shared" si="51"/>
        <v>59</v>
      </c>
      <c r="G173" s="211">
        <f t="shared" si="50"/>
        <v>6.6930000000000017E-4</v>
      </c>
      <c r="H173" s="212">
        <f>+F173/100000*'Anexo Bal Hídrico'!$G$4</f>
        <v>0.53100000000000003</v>
      </c>
      <c r="I173" s="212">
        <v>0</v>
      </c>
      <c r="J173" s="212">
        <f t="shared" ca="1" si="37"/>
        <v>9.3342146574041607</v>
      </c>
      <c r="K173" s="212">
        <f t="shared" ca="1" si="38"/>
        <v>336.23114321282657</v>
      </c>
      <c r="L173" s="212">
        <f t="shared" ca="1" si="39"/>
        <v>315.83453128790075</v>
      </c>
      <c r="M173" s="212">
        <f t="shared" ca="1" si="40"/>
        <v>9.2779999663775978</v>
      </c>
      <c r="N173" s="212">
        <f t="shared" ca="1" si="41"/>
        <v>7.6368477630678893</v>
      </c>
      <c r="O173" s="210">
        <f t="shared" ca="1" si="36"/>
        <v>295.43791936297487</v>
      </c>
      <c r="P173" s="212">
        <f t="shared" ca="1" si="42"/>
        <v>1.6411522033097086</v>
      </c>
      <c r="Q173" s="212">
        <f t="shared" ca="1" si="43"/>
        <v>0.53100000000000003</v>
      </c>
      <c r="R173" s="386"/>
      <c r="S173" s="207">
        <f t="shared" si="47"/>
        <v>1994</v>
      </c>
      <c r="T173" s="207">
        <f t="shared" si="48"/>
        <v>10</v>
      </c>
      <c r="U173" s="384" t="str">
        <f t="shared" ca="1" si="44"/>
        <v/>
      </c>
      <c r="V173" s="384" t="str">
        <f t="shared" ca="1" si="45"/>
        <v>||</v>
      </c>
      <c r="W173" s="385" t="str">
        <f t="shared" ca="1" si="46"/>
        <v>||||||||</v>
      </c>
    </row>
    <row r="174" spans="1:23">
      <c r="A174" s="207">
        <f>+'Anexo Escurrimiento'!A184</f>
        <v>1994</v>
      </c>
      <c r="B174" s="207">
        <f>+'Anexo Escurrimiento'!B184</f>
        <v>11</v>
      </c>
      <c r="C174" s="208">
        <f>+'Anexo Escurrimiento'!O184</f>
        <v>0.77002237604564638</v>
      </c>
      <c r="D174" s="207">
        <f>+'Anexo Escurrimiento'!D184</f>
        <v>47.3</v>
      </c>
      <c r="E174" s="214">
        <f t="shared" si="51"/>
        <v>144.06</v>
      </c>
      <c r="F174" s="213">
        <f t="shared" si="51"/>
        <v>212</v>
      </c>
      <c r="G174" s="211">
        <f t="shared" si="50"/>
        <v>-9.676000000000001E-4</v>
      </c>
      <c r="H174" s="212">
        <f>+F174/100000*'Anexo Bal Hídrico'!$G$4</f>
        <v>1.9079999999999999</v>
      </c>
      <c r="I174" s="212">
        <v>0</v>
      </c>
      <c r="J174" s="212">
        <f t="shared" ca="1" si="37"/>
        <v>6.4988701391135368</v>
      </c>
      <c r="K174" s="212">
        <f t="shared" ca="1" si="38"/>
        <v>266.26023788920941</v>
      </c>
      <c r="L174" s="212">
        <f t="shared" ca="1" si="39"/>
        <v>280.84907862609214</v>
      </c>
      <c r="M174" s="212">
        <f t="shared" ca="1" si="40"/>
        <v>6.1448924052988492</v>
      </c>
      <c r="N174" s="212">
        <f t="shared" ca="1" si="41"/>
        <v>6.1448924052988492</v>
      </c>
      <c r="O174" s="210">
        <f t="shared" ca="1" si="36"/>
        <v>256.8214195182681</v>
      </c>
      <c r="P174" s="212">
        <f t="shared" ca="1" si="42"/>
        <v>0</v>
      </c>
      <c r="Q174" s="212">
        <f t="shared" ca="1" si="43"/>
        <v>1.9079999999999999</v>
      </c>
      <c r="R174" s="386"/>
      <c r="S174" s="207">
        <f t="shared" si="47"/>
        <v>1994</v>
      </c>
      <c r="T174" s="207">
        <f t="shared" si="48"/>
        <v>11</v>
      </c>
      <c r="U174" s="384" t="str">
        <f t="shared" ca="1" si="44"/>
        <v/>
      </c>
      <c r="V174" s="384" t="str">
        <f t="shared" ca="1" si="45"/>
        <v>|||||||||</v>
      </c>
      <c r="W174" s="385" t="str">
        <f t="shared" ca="1" si="46"/>
        <v/>
      </c>
    </row>
    <row r="175" spans="1:23">
      <c r="A175" s="207">
        <f>+'Anexo Escurrimiento'!A185</f>
        <v>1994</v>
      </c>
      <c r="B175" s="207">
        <f>+'Anexo Escurrimiento'!B185</f>
        <v>12</v>
      </c>
      <c r="C175" s="208">
        <f>+'Anexo Escurrimiento'!O185</f>
        <v>1.2067068538325647</v>
      </c>
      <c r="D175" s="207">
        <f>+'Anexo Escurrimiento'!D185</f>
        <v>143.30000000000001</v>
      </c>
      <c r="E175" s="214">
        <f t="shared" si="51"/>
        <v>179.62</v>
      </c>
      <c r="F175" s="213">
        <f t="shared" si="51"/>
        <v>388</v>
      </c>
      <c r="G175" s="211">
        <f t="shared" si="50"/>
        <v>-3.6319999999999994E-4</v>
      </c>
      <c r="H175" s="212">
        <f>+F175/100000*'Anexo Bal Hídrico'!$G$4</f>
        <v>3.492</v>
      </c>
      <c r="I175" s="212">
        <v>0</v>
      </c>
      <c r="J175" s="212">
        <f t="shared" ca="1" si="37"/>
        <v>3.8595992591314134</v>
      </c>
      <c r="K175" s="212">
        <f t="shared" ca="1" si="38"/>
        <v>190.31475471925921</v>
      </c>
      <c r="L175" s="212">
        <f t="shared" ca="1" si="39"/>
        <v>223.56808711876366</v>
      </c>
      <c r="M175" s="212">
        <f t="shared" ca="1" si="40"/>
        <v>3.6758209485117614</v>
      </c>
      <c r="N175" s="212">
        <f t="shared" ca="1" si="41"/>
        <v>3.6758209485117614</v>
      </c>
      <c r="O175" s="210">
        <f t="shared" ca="1" si="36"/>
        <v>184.42430754244285</v>
      </c>
      <c r="P175" s="212">
        <f t="shared" ca="1" si="42"/>
        <v>0</v>
      </c>
      <c r="Q175" s="212">
        <f t="shared" ca="1" si="43"/>
        <v>3.492</v>
      </c>
      <c r="R175" s="386"/>
      <c r="S175" s="207">
        <f t="shared" si="47"/>
        <v>1994</v>
      </c>
      <c r="T175" s="207">
        <f t="shared" si="48"/>
        <v>12</v>
      </c>
      <c r="U175" s="384" t="str">
        <f t="shared" ca="1" si="44"/>
        <v/>
      </c>
      <c r="V175" s="384" t="str">
        <f t="shared" ca="1" si="45"/>
        <v>|||||||||||||||||</v>
      </c>
      <c r="W175" s="385" t="str">
        <f t="shared" ca="1" si="46"/>
        <v/>
      </c>
    </row>
    <row r="176" spans="1:23">
      <c r="A176" s="207">
        <f>+'Anexo Escurrimiento'!A186</f>
        <v>1995</v>
      </c>
      <c r="B176" s="207">
        <f>+'Anexo Escurrimiento'!B186</f>
        <v>1</v>
      </c>
      <c r="C176" s="208">
        <f>+'Anexo Escurrimiento'!O186</f>
        <v>0.52572956517308989</v>
      </c>
      <c r="D176" s="207">
        <f>+'Anexo Escurrimiento'!D186</f>
        <v>50.9</v>
      </c>
      <c r="E176" s="214">
        <f t="shared" si="51"/>
        <v>176.89</v>
      </c>
      <c r="F176" s="213">
        <f t="shared" si="51"/>
        <v>318</v>
      </c>
      <c r="G176" s="211">
        <f t="shared" si="50"/>
        <v>-1.2598999999999998E-3</v>
      </c>
      <c r="H176" s="212">
        <f>+F176/100000*'Anexo Bal Hídrico'!$G$4</f>
        <v>2.8620000000000001</v>
      </c>
      <c r="I176" s="212">
        <v>0</v>
      </c>
      <c r="J176" s="212">
        <f t="shared" ca="1" si="37"/>
        <v>1.3395505136848511</v>
      </c>
      <c r="K176" s="212">
        <f t="shared" ca="1" si="38"/>
        <v>96.227440813376177</v>
      </c>
      <c r="L176" s="212">
        <f t="shared" ca="1" si="39"/>
        <v>140.3258741779095</v>
      </c>
      <c r="M176" s="212">
        <f t="shared" ca="1" si="40"/>
        <v>1.1347031992514158</v>
      </c>
      <c r="N176" s="212">
        <f t="shared" ca="1" si="41"/>
        <v>1.1347031992514158</v>
      </c>
      <c r="O176" s="210">
        <f t="shared" ca="1" si="36"/>
        <v>86.466879755089408</v>
      </c>
      <c r="P176" s="212">
        <f t="shared" ca="1" si="42"/>
        <v>0</v>
      </c>
      <c r="Q176" s="212">
        <f t="shared" ca="1" si="43"/>
        <v>2.8620000000000001</v>
      </c>
      <c r="R176" s="386"/>
      <c r="S176" s="207">
        <f t="shared" si="47"/>
        <v>1995</v>
      </c>
      <c r="T176" s="207">
        <f t="shared" si="48"/>
        <v>1</v>
      </c>
      <c r="U176" s="384" t="str">
        <f t="shared" ca="1" si="44"/>
        <v/>
      </c>
      <c r="V176" s="384" t="str">
        <f t="shared" ca="1" si="45"/>
        <v>||||||||||||||</v>
      </c>
      <c r="W176" s="385" t="str">
        <f t="shared" ca="1" si="46"/>
        <v/>
      </c>
    </row>
    <row r="177" spans="1:23">
      <c r="A177" s="207">
        <f>+'Anexo Escurrimiento'!A187</f>
        <v>1995</v>
      </c>
      <c r="B177" s="207">
        <f>+'Anexo Escurrimiento'!B187</f>
        <v>2</v>
      </c>
      <c r="C177" s="208">
        <f>+'Anexo Escurrimiento'!O187</f>
        <v>2.0082099557297304</v>
      </c>
      <c r="D177" s="207">
        <f>+'Anexo Escurrimiento'!D187</f>
        <v>188.6</v>
      </c>
      <c r="E177" s="214">
        <f t="shared" si="51"/>
        <v>131.73999999999998</v>
      </c>
      <c r="F177" s="213">
        <f t="shared" si="51"/>
        <v>153</v>
      </c>
      <c r="G177" s="211">
        <f t="shared" si="50"/>
        <v>5.6860000000000016E-4</v>
      </c>
      <c r="H177" s="212">
        <f>+F177/100000*'Anexo Bal Hídrico'!$G$4</f>
        <v>1.377</v>
      </c>
      <c r="I177" s="212">
        <v>0</v>
      </c>
      <c r="J177" s="212">
        <f t="shared" ca="1" si="37"/>
        <v>1.7659131549811462</v>
      </c>
      <c r="K177" s="212">
        <f t="shared" ca="1" si="38"/>
        <v>114.98422999177421</v>
      </c>
      <c r="L177" s="212">
        <f t="shared" ca="1" si="39"/>
        <v>100.7255548734318</v>
      </c>
      <c r="M177" s="212">
        <f t="shared" ca="1" si="40"/>
        <v>1.7462738948003442</v>
      </c>
      <c r="N177" s="212">
        <f t="shared" ca="1" si="41"/>
        <v>1.7462738948003442</v>
      </c>
      <c r="O177" s="210">
        <f t="shared" ca="1" si="36"/>
        <v>114.15849939170025</v>
      </c>
      <c r="P177" s="212">
        <f t="shared" ca="1" si="42"/>
        <v>0</v>
      </c>
      <c r="Q177" s="212">
        <f t="shared" ca="1" si="43"/>
        <v>1.377</v>
      </c>
      <c r="R177" s="386"/>
      <c r="S177" s="207">
        <f t="shared" si="47"/>
        <v>1995</v>
      </c>
      <c r="T177" s="207">
        <f t="shared" si="48"/>
        <v>2</v>
      </c>
      <c r="U177" s="384" t="str">
        <f t="shared" ca="1" si="44"/>
        <v/>
      </c>
      <c r="V177" s="384" t="str">
        <f t="shared" ca="1" si="45"/>
        <v>||||||</v>
      </c>
      <c r="W177" s="385" t="str">
        <f t="shared" ca="1" si="46"/>
        <v/>
      </c>
    </row>
    <row r="178" spans="1:23">
      <c r="A178" s="207">
        <f>+'Anexo Escurrimiento'!A188</f>
        <v>1995</v>
      </c>
      <c r="B178" s="207">
        <f>+'Anexo Escurrimiento'!B188</f>
        <v>3</v>
      </c>
      <c r="C178" s="208">
        <f>+'Anexo Escurrimiento'!O188</f>
        <v>1.7798740888773319</v>
      </c>
      <c r="D178" s="207">
        <f>+'Anexo Escurrimiento'!D188</f>
        <v>133.9</v>
      </c>
      <c r="E178" s="214">
        <f t="shared" si="51"/>
        <v>118.64999999999999</v>
      </c>
      <c r="F178" s="213">
        <f t="shared" si="51"/>
        <v>47</v>
      </c>
      <c r="G178" s="211">
        <f t="shared" si="50"/>
        <v>1.5250000000000013E-4</v>
      </c>
      <c r="H178" s="212">
        <f>+F178/100000*'Anexo Bal Hídrico'!$G$4</f>
        <v>0.42299999999999999</v>
      </c>
      <c r="I178" s="212">
        <v>0</v>
      </c>
      <c r="J178" s="212">
        <f t="shared" ca="1" si="37"/>
        <v>3.1031479836776761</v>
      </c>
      <c r="K178" s="212">
        <f t="shared" ca="1" si="38"/>
        <v>165.35542018189082</v>
      </c>
      <c r="L178" s="212">
        <f t="shared" ca="1" si="39"/>
        <v>139.75695978679553</v>
      </c>
      <c r="M178" s="212">
        <f t="shared" ca="1" si="40"/>
        <v>3.0298792502866876</v>
      </c>
      <c r="N178" s="212">
        <f t="shared" ca="1" si="41"/>
        <v>3.0298792502866876</v>
      </c>
      <c r="O178" s="210">
        <f t="shared" ca="1" si="36"/>
        <v>162.82870895099717</v>
      </c>
      <c r="P178" s="212">
        <f t="shared" ca="1" si="42"/>
        <v>0</v>
      </c>
      <c r="Q178" s="212">
        <f t="shared" ca="1" si="43"/>
        <v>0.42299999999999999</v>
      </c>
      <c r="R178" s="386"/>
      <c r="S178" s="207">
        <f t="shared" si="47"/>
        <v>1995</v>
      </c>
      <c r="T178" s="207">
        <f t="shared" si="48"/>
        <v>3</v>
      </c>
      <c r="U178" s="384" t="str">
        <f t="shared" ca="1" si="44"/>
        <v/>
      </c>
      <c r="V178" s="384" t="str">
        <f t="shared" ca="1" si="45"/>
        <v>||</v>
      </c>
      <c r="W178" s="385" t="str">
        <f t="shared" ca="1" si="46"/>
        <v/>
      </c>
    </row>
    <row r="179" spans="1:23">
      <c r="A179" s="207">
        <f>+'Anexo Escurrimiento'!A189</f>
        <v>1995</v>
      </c>
      <c r="B179" s="207">
        <f>+'Anexo Escurrimiento'!B189</f>
        <v>4</v>
      </c>
      <c r="C179" s="208">
        <f>+'Anexo Escurrimiento'!O189</f>
        <v>0.86305963052308188</v>
      </c>
      <c r="D179" s="207">
        <f>+'Anexo Escurrimiento'!D189</f>
        <v>62.6</v>
      </c>
      <c r="E179" s="214">
        <f t="shared" si="51"/>
        <v>73.149999999999991</v>
      </c>
      <c r="F179" s="213">
        <f t="shared" si="51"/>
        <v>0</v>
      </c>
      <c r="G179" s="211">
        <f t="shared" si="50"/>
        <v>-1.0549999999999989E-4</v>
      </c>
      <c r="H179" s="212">
        <f>+F179/100000*'Anexo Bal Hídrico'!$G$4</f>
        <v>0</v>
      </c>
      <c r="I179" s="212">
        <v>0</v>
      </c>
      <c r="J179" s="212">
        <f t="shared" ca="1" si="37"/>
        <v>3.8929388808097696</v>
      </c>
      <c r="K179" s="212">
        <f t="shared" ca="1" si="38"/>
        <v>191.37256606022325</v>
      </c>
      <c r="L179" s="212">
        <f t="shared" ca="1" si="39"/>
        <v>177.10063750561022</v>
      </c>
      <c r="M179" s="212">
        <f t="shared" ca="1" si="40"/>
        <v>3.8161374971000779</v>
      </c>
      <c r="N179" s="212">
        <f t="shared" ca="1" si="41"/>
        <v>3.8161374971000779</v>
      </c>
      <c r="O179" s="210">
        <f t="shared" ca="1" si="36"/>
        <v>188.93089285691346</v>
      </c>
      <c r="P179" s="212">
        <f t="shared" ca="1" si="42"/>
        <v>0</v>
      </c>
      <c r="Q179" s="212">
        <f t="shared" ca="1" si="43"/>
        <v>0</v>
      </c>
      <c r="R179" s="386"/>
      <c r="S179" s="207">
        <f t="shared" si="47"/>
        <v>1995</v>
      </c>
      <c r="T179" s="207">
        <f t="shared" si="48"/>
        <v>4</v>
      </c>
      <c r="U179" s="384" t="str">
        <f t="shared" ca="1" si="44"/>
        <v/>
      </c>
      <c r="V179" s="384" t="str">
        <f t="shared" ca="1" si="45"/>
        <v/>
      </c>
      <c r="W179" s="385" t="str">
        <f t="shared" ca="1" si="46"/>
        <v/>
      </c>
    </row>
    <row r="180" spans="1:23">
      <c r="A180" s="207">
        <f>+'Anexo Escurrimiento'!A190</f>
        <v>1995</v>
      </c>
      <c r="B180" s="207">
        <f>+'Anexo Escurrimiento'!B190</f>
        <v>5</v>
      </c>
      <c r="C180" s="208">
        <f>+'Anexo Escurrimiento'!O190</f>
        <v>0.65727743455393761</v>
      </c>
      <c r="D180" s="207">
        <f>+'Anexo Escurrimiento'!D190</f>
        <v>58.5</v>
      </c>
      <c r="E180" s="214">
        <f t="shared" si="51"/>
        <v>51.24</v>
      </c>
      <c r="F180" s="213">
        <f t="shared" si="51"/>
        <v>0</v>
      </c>
      <c r="G180" s="211">
        <f t="shared" si="50"/>
        <v>7.2599999999999976E-5</v>
      </c>
      <c r="H180" s="212">
        <f>+F180/100000*'Anexo Bal Hídrico'!$G$4</f>
        <v>0</v>
      </c>
      <c r="I180" s="212">
        <v>0</v>
      </c>
      <c r="J180" s="212">
        <f t="shared" ca="1" si="37"/>
        <v>4.4734149316540153</v>
      </c>
      <c r="K180" s="212">
        <f t="shared" ca="1" si="38"/>
        <v>209.30474747046964</v>
      </c>
      <c r="L180" s="212">
        <f t="shared" ca="1" si="39"/>
        <v>199.11782016369153</v>
      </c>
      <c r="M180" s="212">
        <f t="shared" ca="1" si="40"/>
        <v>4.4381082808309174</v>
      </c>
      <c r="N180" s="212">
        <f t="shared" ca="1" si="41"/>
        <v>4.4381082808309174</v>
      </c>
      <c r="O180" s="210">
        <f t="shared" ca="1" si="36"/>
        <v>208.23866767732451</v>
      </c>
      <c r="P180" s="212">
        <f t="shared" ca="1" si="42"/>
        <v>0</v>
      </c>
      <c r="Q180" s="212">
        <f t="shared" ca="1" si="43"/>
        <v>0</v>
      </c>
      <c r="R180" s="386"/>
      <c r="S180" s="207">
        <f t="shared" si="47"/>
        <v>1995</v>
      </c>
      <c r="T180" s="207">
        <f t="shared" si="48"/>
        <v>5</v>
      </c>
      <c r="U180" s="384" t="str">
        <f t="shared" ca="1" si="44"/>
        <v/>
      </c>
      <c r="V180" s="384" t="str">
        <f t="shared" ca="1" si="45"/>
        <v/>
      </c>
      <c r="W180" s="385" t="str">
        <f t="shared" ca="1" si="46"/>
        <v/>
      </c>
    </row>
    <row r="181" spans="1:23">
      <c r="A181" s="207">
        <f>+'Anexo Escurrimiento'!A191</f>
        <v>1995</v>
      </c>
      <c r="B181" s="207">
        <f>+'Anexo Escurrimiento'!B191</f>
        <v>6</v>
      </c>
      <c r="C181" s="208">
        <f>+'Anexo Escurrimiento'!O191</f>
        <v>0.98094142699067477</v>
      </c>
      <c r="D181" s="207">
        <f>+'Anexo Escurrimiento'!D191</f>
        <v>74.599999999999994</v>
      </c>
      <c r="E181" s="214">
        <f t="shared" si="51"/>
        <v>41.019999999999996</v>
      </c>
      <c r="F181" s="213">
        <f t="shared" si="51"/>
        <v>0</v>
      </c>
      <c r="G181" s="211">
        <f t="shared" si="50"/>
        <v>3.3579999999999998E-4</v>
      </c>
      <c r="H181" s="212">
        <f>+F181/100000*'Anexo Bal Hídrico'!$G$4</f>
        <v>0</v>
      </c>
      <c r="I181" s="212">
        <v>0</v>
      </c>
      <c r="J181" s="212">
        <f t="shared" ca="1" si="37"/>
        <v>5.4190497078215918</v>
      </c>
      <c r="K181" s="212">
        <f t="shared" ca="1" si="38"/>
        <v>236.83754401995958</v>
      </c>
      <c r="L181" s="212">
        <f t="shared" ca="1" si="39"/>
        <v>222.53810584864203</v>
      </c>
      <c r="M181" s="212">
        <f t="shared" ca="1" si="40"/>
        <v>5.4107754003013193</v>
      </c>
      <c r="N181" s="212">
        <f t="shared" ca="1" si="41"/>
        <v>5.4107754003013193</v>
      </c>
      <c r="O181" s="210">
        <f t="shared" ca="1" si="36"/>
        <v>236.60443493951368</v>
      </c>
      <c r="P181" s="212">
        <f t="shared" ca="1" si="42"/>
        <v>0</v>
      </c>
      <c r="Q181" s="212">
        <f t="shared" ca="1" si="43"/>
        <v>0</v>
      </c>
      <c r="R181" s="386"/>
      <c r="S181" s="207">
        <f t="shared" si="47"/>
        <v>1995</v>
      </c>
      <c r="T181" s="207">
        <f t="shared" si="48"/>
        <v>6</v>
      </c>
      <c r="U181" s="384" t="str">
        <f t="shared" ca="1" si="44"/>
        <v/>
      </c>
      <c r="V181" s="384" t="str">
        <f t="shared" ca="1" si="45"/>
        <v/>
      </c>
      <c r="W181" s="385" t="str">
        <f t="shared" ca="1" si="46"/>
        <v/>
      </c>
    </row>
    <row r="182" spans="1:23">
      <c r="A182" s="207">
        <f>+'Anexo Escurrimiento'!A192</f>
        <v>1995</v>
      </c>
      <c r="B182" s="207">
        <f>+'Anexo Escurrimiento'!B192</f>
        <v>7</v>
      </c>
      <c r="C182" s="208">
        <f>+'Anexo Escurrimiento'!O192</f>
        <v>1.7330227172185215</v>
      </c>
      <c r="D182" s="207">
        <f>+'Anexo Escurrimiento'!D192</f>
        <v>111.8</v>
      </c>
      <c r="E182" s="214">
        <f t="shared" si="51"/>
        <v>50.819999999999993</v>
      </c>
      <c r="F182" s="213">
        <f t="shared" si="51"/>
        <v>0</v>
      </c>
      <c r="G182" s="211">
        <f t="shared" si="50"/>
        <v>6.0980000000000008E-4</v>
      </c>
      <c r="H182" s="212">
        <f>+F182/100000*'Anexo Bal Hídrico'!$G$4</f>
        <v>0</v>
      </c>
      <c r="I182" s="212">
        <v>0</v>
      </c>
      <c r="J182" s="212">
        <f t="shared" ca="1" si="37"/>
        <v>7.1437981175198413</v>
      </c>
      <c r="K182" s="212">
        <f t="shared" ca="1" si="38"/>
        <v>283.00048661567553</v>
      </c>
      <c r="L182" s="212">
        <f t="shared" ca="1" si="39"/>
        <v>259.8024607775946</v>
      </c>
      <c r="M182" s="212">
        <f t="shared" ca="1" si="40"/>
        <v>7.1310303856621529</v>
      </c>
      <c r="N182" s="212">
        <f t="shared" ca="1" si="41"/>
        <v>7.1310303856621529</v>
      </c>
      <c r="O182" s="210">
        <f t="shared" ca="1" si="36"/>
        <v>282.67443075724401</v>
      </c>
      <c r="P182" s="212">
        <f t="shared" ca="1" si="42"/>
        <v>0</v>
      </c>
      <c r="Q182" s="212">
        <f t="shared" ca="1" si="43"/>
        <v>0</v>
      </c>
      <c r="R182" s="386"/>
      <c r="S182" s="207">
        <f t="shared" si="47"/>
        <v>1995</v>
      </c>
      <c r="T182" s="207">
        <f t="shared" si="48"/>
        <v>7</v>
      </c>
      <c r="U182" s="384" t="str">
        <f t="shared" ca="1" si="44"/>
        <v/>
      </c>
      <c r="V182" s="384" t="str">
        <f t="shared" ca="1" si="45"/>
        <v/>
      </c>
      <c r="W182" s="385" t="str">
        <f t="shared" ca="1" si="46"/>
        <v/>
      </c>
    </row>
    <row r="183" spans="1:23">
      <c r="A183" s="207">
        <f>+'Anexo Escurrimiento'!A193</f>
        <v>1995</v>
      </c>
      <c r="B183" s="207">
        <f>+'Anexo Escurrimiento'!B193</f>
        <v>8</v>
      </c>
      <c r="C183" s="208">
        <f>+'Anexo Escurrimiento'!O193</f>
        <v>0.48965447857490396</v>
      </c>
      <c r="D183" s="207">
        <f>+'Anexo Escurrimiento'!D193</f>
        <v>3</v>
      </c>
      <c r="E183" s="214">
        <f t="shared" si="51"/>
        <v>72.449999999999989</v>
      </c>
      <c r="F183" s="213">
        <f t="shared" si="51"/>
        <v>0</v>
      </c>
      <c r="G183" s="211">
        <f t="shared" si="50"/>
        <v>-6.9449999999999991E-4</v>
      </c>
      <c r="H183" s="212">
        <f>+F183/100000*'Anexo Bal Hídrico'!$G$4</f>
        <v>0</v>
      </c>
      <c r="I183" s="212">
        <v>0</v>
      </c>
      <c r="J183" s="212">
        <f t="shared" ca="1" si="37"/>
        <v>7.6206848642370568</v>
      </c>
      <c r="K183" s="212">
        <f t="shared" ca="1" si="38"/>
        <v>295.03481541178076</v>
      </c>
      <c r="L183" s="212">
        <f t="shared" ca="1" si="39"/>
        <v>288.85462308451235</v>
      </c>
      <c r="M183" s="212">
        <f t="shared" ca="1" si="40"/>
        <v>7.3662962563184005</v>
      </c>
      <c r="N183" s="212">
        <f t="shared" ca="1" si="41"/>
        <v>7.3662962563184005</v>
      </c>
      <c r="O183" s="210">
        <f t="shared" ca="1" si="36"/>
        <v>288.64970766905026</v>
      </c>
      <c r="P183" s="212">
        <f t="shared" ca="1" si="42"/>
        <v>0</v>
      </c>
      <c r="Q183" s="212">
        <f t="shared" ca="1" si="43"/>
        <v>0</v>
      </c>
      <c r="R183" s="386"/>
      <c r="S183" s="207">
        <f t="shared" si="47"/>
        <v>1995</v>
      </c>
      <c r="T183" s="207">
        <f t="shared" si="48"/>
        <v>8</v>
      </c>
      <c r="U183" s="384" t="str">
        <f t="shared" ca="1" si="44"/>
        <v/>
      </c>
      <c r="V183" s="384" t="str">
        <f t="shared" ca="1" si="45"/>
        <v/>
      </c>
      <c r="W183" s="385" t="str">
        <f t="shared" ca="1" si="46"/>
        <v/>
      </c>
    </row>
    <row r="184" spans="1:23">
      <c r="A184" s="207">
        <f>+'Anexo Escurrimiento'!A194</f>
        <v>1995</v>
      </c>
      <c r="B184" s="207">
        <f>+'Anexo Escurrimiento'!B194</f>
        <v>9</v>
      </c>
      <c r="C184" s="208">
        <f>+'Anexo Escurrimiento'!O194</f>
        <v>0.89281672080141983</v>
      </c>
      <c r="D184" s="207">
        <f>+'Anexo Escurrimiento'!D194</f>
        <v>96.7</v>
      </c>
      <c r="E184" s="214">
        <f t="shared" si="51"/>
        <v>85.89</v>
      </c>
      <c r="F184" s="213">
        <f t="shared" si="51"/>
        <v>0</v>
      </c>
      <c r="G184" s="211">
        <f t="shared" si="50"/>
        <v>1.0810000000000003E-4</v>
      </c>
      <c r="H184" s="212">
        <f>+F184/100000*'Anexo Bal Hídrico'!$G$4</f>
        <v>0</v>
      </c>
      <c r="I184" s="212">
        <v>0</v>
      </c>
      <c r="J184" s="212">
        <f t="shared" ca="1" si="37"/>
        <v>8.2591129771198197</v>
      </c>
      <c r="K184" s="212">
        <f t="shared" ca="1" si="38"/>
        <v>310.73459013837123</v>
      </c>
      <c r="L184" s="212">
        <f t="shared" ca="1" si="39"/>
        <v>299.69214890371074</v>
      </c>
      <c r="M184" s="212">
        <f t="shared" ca="1" si="40"/>
        <v>8.1897719943729115</v>
      </c>
      <c r="N184" s="212">
        <f t="shared" ca="1" si="41"/>
        <v>7.6368477630678893</v>
      </c>
      <c r="O184" s="210">
        <f t="shared" ca="1" si="36"/>
        <v>295.43791936297487</v>
      </c>
      <c r="P184" s="212">
        <f t="shared" ca="1" si="42"/>
        <v>0.55292423130502222</v>
      </c>
      <c r="Q184" s="212">
        <f t="shared" ca="1" si="43"/>
        <v>0</v>
      </c>
      <c r="R184" s="386"/>
      <c r="S184" s="207">
        <f t="shared" si="47"/>
        <v>1995</v>
      </c>
      <c r="T184" s="207">
        <f t="shared" si="48"/>
        <v>9</v>
      </c>
      <c r="U184" s="384" t="str">
        <f t="shared" ca="1" si="44"/>
        <v/>
      </c>
      <c r="V184" s="384" t="str">
        <f t="shared" ca="1" si="45"/>
        <v/>
      </c>
      <c r="W184" s="385" t="str">
        <f t="shared" ca="1" si="46"/>
        <v>||</v>
      </c>
    </row>
    <row r="185" spans="1:23">
      <c r="A185" s="207">
        <f>+'Anexo Escurrimiento'!A195</f>
        <v>1995</v>
      </c>
      <c r="B185" s="207">
        <f>+'Anexo Escurrimiento'!B195</f>
        <v>10</v>
      </c>
      <c r="C185" s="208">
        <f>+'Anexo Escurrimiento'!O195</f>
        <v>2.272372124129153</v>
      </c>
      <c r="D185" s="207">
        <f>+'Anexo Escurrimiento'!D195</f>
        <v>179.3</v>
      </c>
      <c r="E185" s="214">
        <f t="shared" si="51"/>
        <v>114.86999999999999</v>
      </c>
      <c r="F185" s="213">
        <f t="shared" si="51"/>
        <v>59</v>
      </c>
      <c r="G185" s="211">
        <f t="shared" si="50"/>
        <v>6.4430000000000021E-4</v>
      </c>
      <c r="H185" s="212">
        <f>+F185/100000*'Anexo Bal Hídrico'!$G$4</f>
        <v>0.53100000000000003</v>
      </c>
      <c r="I185" s="212">
        <v>0</v>
      </c>
      <c r="J185" s="212">
        <f t="shared" ca="1" si="37"/>
        <v>9.3782198871970426</v>
      </c>
      <c r="K185" s="212">
        <f t="shared" ca="1" si="38"/>
        <v>337.25180824865407</v>
      </c>
      <c r="L185" s="212">
        <f t="shared" ca="1" si="39"/>
        <v>316.3448638058145</v>
      </c>
      <c r="M185" s="212">
        <f t="shared" ca="1" si="40"/>
        <v>9.3087126509609064</v>
      </c>
      <c r="N185" s="212">
        <f t="shared" ca="1" si="41"/>
        <v>7.6368477630678893</v>
      </c>
      <c r="O185" s="210">
        <f t="shared" ca="1" si="36"/>
        <v>295.43791936297487</v>
      </c>
      <c r="P185" s="212">
        <f t="shared" ca="1" si="42"/>
        <v>1.6718648878930171</v>
      </c>
      <c r="Q185" s="212">
        <f t="shared" ca="1" si="43"/>
        <v>0.53100000000000003</v>
      </c>
      <c r="R185" s="386"/>
      <c r="S185" s="207">
        <f t="shared" si="47"/>
        <v>1995</v>
      </c>
      <c r="T185" s="207">
        <f t="shared" si="48"/>
        <v>10</v>
      </c>
      <c r="U185" s="384" t="str">
        <f t="shared" ca="1" si="44"/>
        <v/>
      </c>
      <c r="V185" s="384" t="str">
        <f t="shared" ca="1" si="45"/>
        <v>||</v>
      </c>
      <c r="W185" s="385" t="str">
        <f t="shared" ca="1" si="46"/>
        <v>||||||||</v>
      </c>
    </row>
    <row r="186" spans="1:23">
      <c r="A186" s="207">
        <f>+'Anexo Escurrimiento'!A196</f>
        <v>1995</v>
      </c>
      <c r="B186" s="207">
        <f>+'Anexo Escurrimiento'!B196</f>
        <v>11</v>
      </c>
      <c r="C186" s="208">
        <f>+'Anexo Escurrimiento'!O196</f>
        <v>0.8178666112538413</v>
      </c>
      <c r="D186" s="207">
        <f>+'Anexo Escurrimiento'!D196</f>
        <v>54.2</v>
      </c>
      <c r="E186" s="214">
        <f t="shared" si="51"/>
        <v>144.06</v>
      </c>
      <c r="F186" s="213">
        <f t="shared" si="51"/>
        <v>212</v>
      </c>
      <c r="G186" s="211">
        <f t="shared" si="50"/>
        <v>-8.9859999999999994E-4</v>
      </c>
      <c r="H186" s="212">
        <f>+F186/100000*'Anexo Bal Hídrico'!$G$4</f>
        <v>1.9079999999999999</v>
      </c>
      <c r="I186" s="212">
        <v>0</v>
      </c>
      <c r="J186" s="212">
        <f t="shared" ca="1" si="37"/>
        <v>6.5467143743217306</v>
      </c>
      <c r="K186" s="212">
        <f t="shared" ca="1" si="38"/>
        <v>267.52181367086979</v>
      </c>
      <c r="L186" s="212">
        <f t="shared" ca="1" si="39"/>
        <v>281.47986651692236</v>
      </c>
      <c r="M186" s="212">
        <f t="shared" ca="1" si="40"/>
        <v>6.2062431120626371</v>
      </c>
      <c r="N186" s="212">
        <f t="shared" ca="1" si="41"/>
        <v>6.2062431120626371</v>
      </c>
      <c r="O186" s="210">
        <f t="shared" ca="1" si="36"/>
        <v>258.47091304768384</v>
      </c>
      <c r="P186" s="212">
        <f t="shared" ca="1" si="42"/>
        <v>0</v>
      </c>
      <c r="Q186" s="212">
        <f t="shared" ca="1" si="43"/>
        <v>1.9079999999999999</v>
      </c>
      <c r="R186" s="386"/>
      <c r="S186" s="207">
        <f t="shared" si="47"/>
        <v>1995</v>
      </c>
      <c r="T186" s="207">
        <f t="shared" si="48"/>
        <v>11</v>
      </c>
      <c r="U186" s="384" t="str">
        <f t="shared" ca="1" si="44"/>
        <v/>
      </c>
      <c r="V186" s="384" t="str">
        <f t="shared" ca="1" si="45"/>
        <v>|||||||||</v>
      </c>
      <c r="W186" s="385" t="str">
        <f t="shared" ca="1" si="46"/>
        <v/>
      </c>
    </row>
    <row r="187" spans="1:23">
      <c r="A187" s="207">
        <f>+'Anexo Escurrimiento'!A197</f>
        <v>1995</v>
      </c>
      <c r="B187" s="207">
        <f>+'Anexo Escurrimiento'!B197</f>
        <v>12</v>
      </c>
      <c r="C187" s="208">
        <f>+'Anexo Escurrimiento'!O197</f>
        <v>0.14152461496823857</v>
      </c>
      <c r="D187" s="207">
        <f>+'Anexo Escurrimiento'!D197</f>
        <v>11</v>
      </c>
      <c r="E187" s="214">
        <f t="shared" si="51"/>
        <v>179.62</v>
      </c>
      <c r="F187" s="213">
        <f t="shared" si="51"/>
        <v>388</v>
      </c>
      <c r="G187" s="211">
        <f t="shared" si="50"/>
        <v>-1.6862000000000001E-3</v>
      </c>
      <c r="H187" s="212">
        <f>+F187/100000*'Anexo Bal Hídrico'!$G$4</f>
        <v>3.492</v>
      </c>
      <c r="I187" s="212">
        <v>0</v>
      </c>
      <c r="J187" s="212">
        <f t="shared" ca="1" si="37"/>
        <v>2.8557677270308757</v>
      </c>
      <c r="K187" s="212">
        <f t="shared" ca="1" si="38"/>
        <v>156.73547761436387</v>
      </c>
      <c r="L187" s="212">
        <f t="shared" ca="1" si="39"/>
        <v>207.60319533102387</v>
      </c>
      <c r="M187" s="212">
        <f t="shared" ca="1" si="40"/>
        <v>2.4945357505141219</v>
      </c>
      <c r="N187" s="212">
        <f t="shared" ca="1" si="41"/>
        <v>2.4945357505141219</v>
      </c>
      <c r="O187" s="210">
        <f t="shared" ca="1" si="36"/>
        <v>143.65387635031664</v>
      </c>
      <c r="P187" s="212">
        <f t="shared" ca="1" si="42"/>
        <v>0</v>
      </c>
      <c r="Q187" s="212">
        <f t="shared" ca="1" si="43"/>
        <v>3.492</v>
      </c>
      <c r="R187" s="386"/>
      <c r="S187" s="207">
        <f t="shared" si="47"/>
        <v>1995</v>
      </c>
      <c r="T187" s="207">
        <f t="shared" si="48"/>
        <v>12</v>
      </c>
      <c r="U187" s="384" t="str">
        <f t="shared" ca="1" si="44"/>
        <v/>
      </c>
      <c r="V187" s="384" t="str">
        <f t="shared" ca="1" si="45"/>
        <v>|||||||||||||||||</v>
      </c>
      <c r="W187" s="385" t="str">
        <f t="shared" ca="1" si="46"/>
        <v/>
      </c>
    </row>
    <row r="188" spans="1:23">
      <c r="A188" s="207">
        <f>+'Anexo Escurrimiento'!A198</f>
        <v>1996</v>
      </c>
      <c r="B188" s="207">
        <f>+'Anexo Escurrimiento'!B198</f>
        <v>1</v>
      </c>
      <c r="C188" s="208">
        <f>+'Anexo Escurrimiento'!O198</f>
        <v>4.721192703338625</v>
      </c>
      <c r="D188" s="207">
        <f>+'Anexo Escurrimiento'!D198</f>
        <v>358.7</v>
      </c>
      <c r="E188" s="214">
        <f t="shared" si="51"/>
        <v>176.89</v>
      </c>
      <c r="F188" s="213">
        <f t="shared" si="51"/>
        <v>318</v>
      </c>
      <c r="G188" s="211">
        <f t="shared" si="50"/>
        <v>1.8181E-3</v>
      </c>
      <c r="H188" s="212">
        <f>+F188/100000*'Anexo Bal Hídrico'!$G$4</f>
        <v>2.8620000000000001</v>
      </c>
      <c r="I188" s="212">
        <v>0</v>
      </c>
      <c r="J188" s="212">
        <f t="shared" ca="1" si="37"/>
        <v>4.3537284538527468</v>
      </c>
      <c r="K188" s="212">
        <f t="shared" ca="1" si="38"/>
        <v>205.67853511453208</v>
      </c>
      <c r="L188" s="212">
        <f t="shared" ca="1" si="39"/>
        <v>174.66620573242437</v>
      </c>
      <c r="M188" s="212">
        <f t="shared" ca="1" si="40"/>
        <v>4.357740483246288</v>
      </c>
      <c r="N188" s="212">
        <f t="shared" ca="1" si="41"/>
        <v>4.357740483246288</v>
      </c>
      <c r="O188" s="210">
        <f t="shared" ca="1" si="36"/>
        <v>205.8006596084777</v>
      </c>
      <c r="P188" s="212">
        <f t="shared" ca="1" si="42"/>
        <v>0</v>
      </c>
      <c r="Q188" s="212">
        <f t="shared" ca="1" si="43"/>
        <v>2.8620000000000001</v>
      </c>
      <c r="R188" s="386"/>
      <c r="S188" s="207">
        <f t="shared" si="47"/>
        <v>1996</v>
      </c>
      <c r="T188" s="207">
        <f t="shared" si="48"/>
        <v>1</v>
      </c>
      <c r="U188" s="384" t="str">
        <f t="shared" ca="1" si="44"/>
        <v/>
      </c>
      <c r="V188" s="384" t="str">
        <f t="shared" ca="1" si="45"/>
        <v>||||||||||||||</v>
      </c>
      <c r="W188" s="385" t="str">
        <f t="shared" ca="1" si="46"/>
        <v/>
      </c>
    </row>
    <row r="189" spans="1:23">
      <c r="A189" s="207">
        <f>+'Anexo Escurrimiento'!A199</f>
        <v>1996</v>
      </c>
      <c r="B189" s="207">
        <f>+'Anexo Escurrimiento'!B199</f>
        <v>2</v>
      </c>
      <c r="C189" s="208">
        <f>+'Anexo Escurrimiento'!O199</f>
        <v>1.5984929857180759</v>
      </c>
      <c r="D189" s="207">
        <f>+'Anexo Escurrimiento'!D199</f>
        <v>91.1</v>
      </c>
      <c r="E189" s="214">
        <f t="shared" si="51"/>
        <v>131.73999999999998</v>
      </c>
      <c r="F189" s="213">
        <f t="shared" si="51"/>
        <v>153</v>
      </c>
      <c r="G189" s="211">
        <f t="shared" si="50"/>
        <v>-4.0639999999999985E-4</v>
      </c>
      <c r="H189" s="212">
        <f>+F189/100000*'Anexo Bal Hídrico'!$G$4</f>
        <v>1.377</v>
      </c>
      <c r="I189" s="212">
        <v>0</v>
      </c>
      <c r="J189" s="212">
        <f t="shared" ca="1" si="37"/>
        <v>4.5792334689643637</v>
      </c>
      <c r="K189" s="212">
        <f t="shared" ca="1" si="38"/>
        <v>212.48215500561739</v>
      </c>
      <c r="L189" s="212">
        <f t="shared" ca="1" si="39"/>
        <v>209.14140730704753</v>
      </c>
      <c r="M189" s="212">
        <f t="shared" ca="1" si="40"/>
        <v>4.3671239247596763</v>
      </c>
      <c r="N189" s="212">
        <f t="shared" ca="1" si="41"/>
        <v>4.3671239247596763</v>
      </c>
      <c r="O189" s="210">
        <f t="shared" ca="1" si="36"/>
        <v>206.0861316572884</v>
      </c>
      <c r="P189" s="212">
        <f t="shared" ca="1" si="42"/>
        <v>0</v>
      </c>
      <c r="Q189" s="212">
        <f t="shared" ca="1" si="43"/>
        <v>1.377</v>
      </c>
      <c r="R189" s="386"/>
      <c r="S189" s="207">
        <f t="shared" si="47"/>
        <v>1996</v>
      </c>
      <c r="T189" s="207">
        <f t="shared" si="48"/>
        <v>2</v>
      </c>
      <c r="U189" s="384" t="str">
        <f t="shared" ca="1" si="44"/>
        <v/>
      </c>
      <c r="V189" s="384" t="str">
        <f t="shared" ca="1" si="45"/>
        <v>||||||</v>
      </c>
      <c r="W189" s="385" t="str">
        <f t="shared" ca="1" si="46"/>
        <v/>
      </c>
    </row>
    <row r="190" spans="1:23">
      <c r="A190" s="207">
        <f>+'Anexo Escurrimiento'!A200</f>
        <v>1996</v>
      </c>
      <c r="B190" s="207">
        <f>+'Anexo Escurrimiento'!B200</f>
        <v>3</v>
      </c>
      <c r="C190" s="208">
        <f>+'Anexo Escurrimiento'!O200</f>
        <v>1.0094538423990449</v>
      </c>
      <c r="D190" s="207">
        <f>+'Anexo Escurrimiento'!D200</f>
        <v>98.3</v>
      </c>
      <c r="E190" s="214">
        <f t="shared" si="51"/>
        <v>118.64999999999999</v>
      </c>
      <c r="F190" s="213">
        <f t="shared" si="51"/>
        <v>47</v>
      </c>
      <c r="G190" s="211">
        <f t="shared" si="50"/>
        <v>-2.0349999999999993E-4</v>
      </c>
      <c r="H190" s="212">
        <f>+F190/100000*'Anexo Bal Hídrico'!$G$4</f>
        <v>0.42299999999999999</v>
      </c>
      <c r="I190" s="212">
        <v>0</v>
      </c>
      <c r="J190" s="212">
        <f t="shared" ca="1" si="37"/>
        <v>4.9535777671587216</v>
      </c>
      <c r="K190" s="212">
        <f t="shared" ca="1" si="38"/>
        <v>223.5191481753308</v>
      </c>
      <c r="L190" s="212">
        <f t="shared" ca="1" si="39"/>
        <v>214.8026399163096</v>
      </c>
      <c r="M190" s="212">
        <f t="shared" ca="1" si="40"/>
        <v>4.8274192891673202</v>
      </c>
      <c r="N190" s="212">
        <f t="shared" ca="1" si="41"/>
        <v>4.8274192891673202</v>
      </c>
      <c r="O190" s="210">
        <f t="shared" ca="1" si="36"/>
        <v>219.83379464795527</v>
      </c>
      <c r="P190" s="212">
        <f t="shared" ca="1" si="42"/>
        <v>0</v>
      </c>
      <c r="Q190" s="212">
        <f t="shared" ca="1" si="43"/>
        <v>0.42299999999999999</v>
      </c>
      <c r="R190" s="386"/>
      <c r="S190" s="207">
        <f t="shared" si="47"/>
        <v>1996</v>
      </c>
      <c r="T190" s="207">
        <f t="shared" si="48"/>
        <v>3</v>
      </c>
      <c r="U190" s="384" t="str">
        <f t="shared" ca="1" si="44"/>
        <v/>
      </c>
      <c r="V190" s="384" t="str">
        <f t="shared" ca="1" si="45"/>
        <v>||</v>
      </c>
      <c r="W190" s="385" t="str">
        <f t="shared" ca="1" si="46"/>
        <v/>
      </c>
    </row>
    <row r="191" spans="1:23">
      <c r="A191" s="207">
        <f>+'Anexo Escurrimiento'!A201</f>
        <v>1996</v>
      </c>
      <c r="B191" s="207">
        <f>+'Anexo Escurrimiento'!B201</f>
        <v>4</v>
      </c>
      <c r="C191" s="208">
        <f>+'Anexo Escurrimiento'!O201</f>
        <v>5.0738029597072147</v>
      </c>
      <c r="D191" s="207">
        <f>+'Anexo Escurrimiento'!D201</f>
        <v>300.8</v>
      </c>
      <c r="E191" s="214">
        <f t="shared" si="51"/>
        <v>73.149999999999991</v>
      </c>
      <c r="F191" s="213">
        <f t="shared" si="51"/>
        <v>0</v>
      </c>
      <c r="G191" s="211">
        <f t="shared" si="50"/>
        <v>2.2765000000000003E-3</v>
      </c>
      <c r="H191" s="212">
        <f>+F191/100000*'Anexo Bal Hídrico'!$G$4</f>
        <v>0</v>
      </c>
      <c r="I191" s="212">
        <v>0</v>
      </c>
      <c r="J191" s="212">
        <f t="shared" ca="1" si="37"/>
        <v>9.9012222488745358</v>
      </c>
      <c r="K191" s="212">
        <f t="shared" ca="1" si="38"/>
        <v>349.25504951495964</v>
      </c>
      <c r="L191" s="212">
        <f t="shared" ca="1" si="39"/>
        <v>284.54442208145747</v>
      </c>
      <c r="M191" s="212">
        <f t="shared" ca="1" si="40"/>
        <v>10.000043773680206</v>
      </c>
      <c r="N191" s="212">
        <f t="shared" ca="1" si="41"/>
        <v>7.6368477630678893</v>
      </c>
      <c r="O191" s="210">
        <f t="shared" ca="1" si="36"/>
        <v>295.43791936297487</v>
      </c>
      <c r="P191" s="212">
        <f t="shared" ca="1" si="42"/>
        <v>2.3631960106123167</v>
      </c>
      <c r="Q191" s="212">
        <f t="shared" ca="1" si="43"/>
        <v>0</v>
      </c>
      <c r="R191" s="386"/>
      <c r="S191" s="207">
        <f t="shared" si="47"/>
        <v>1996</v>
      </c>
      <c r="T191" s="207">
        <f t="shared" si="48"/>
        <v>4</v>
      </c>
      <c r="U191" s="384" t="str">
        <f t="shared" ca="1" si="44"/>
        <v/>
      </c>
      <c r="V191" s="384" t="str">
        <f t="shared" ca="1" si="45"/>
        <v/>
      </c>
      <c r="W191" s="385" t="str">
        <f t="shared" ca="1" si="46"/>
        <v>|||||||||||</v>
      </c>
    </row>
    <row r="192" spans="1:23">
      <c r="A192" s="207">
        <f>+'Anexo Escurrimiento'!A202</f>
        <v>1996</v>
      </c>
      <c r="B192" s="207">
        <f>+'Anexo Escurrimiento'!B202</f>
        <v>5</v>
      </c>
      <c r="C192" s="208">
        <f>+'Anexo Escurrimiento'!O202</f>
        <v>1.0938720677932481</v>
      </c>
      <c r="D192" s="207">
        <f>+'Anexo Escurrimiento'!D202</f>
        <v>10.7</v>
      </c>
      <c r="E192" s="214">
        <f t="shared" si="51"/>
        <v>51.24</v>
      </c>
      <c r="F192" s="213">
        <f t="shared" si="51"/>
        <v>0</v>
      </c>
      <c r="G192" s="211">
        <f t="shared" si="50"/>
        <v>-4.0540000000000004E-4</v>
      </c>
      <c r="H192" s="212">
        <f>+F192/100000*'Anexo Bal Hídrico'!$G$4</f>
        <v>0</v>
      </c>
      <c r="I192" s="212">
        <v>0</v>
      </c>
      <c r="J192" s="212">
        <f t="shared" ca="1" si="37"/>
        <v>8.7307198308611369</v>
      </c>
      <c r="K192" s="212">
        <f t="shared" ca="1" si="38"/>
        <v>322.05594432497026</v>
      </c>
      <c r="L192" s="212">
        <f t="shared" ca="1" si="39"/>
        <v>308.74693184397256</v>
      </c>
      <c r="M192" s="212">
        <f t="shared" ca="1" si="40"/>
        <v>8.4771395110942578</v>
      </c>
      <c r="N192" s="212">
        <f t="shared" ca="1" si="41"/>
        <v>7.6368477630678893</v>
      </c>
      <c r="O192" s="210">
        <f t="shared" ca="1" si="36"/>
        <v>295.43791936297487</v>
      </c>
      <c r="P192" s="212">
        <f t="shared" ca="1" si="42"/>
        <v>0.84029174802636852</v>
      </c>
      <c r="Q192" s="212">
        <f t="shared" ca="1" si="43"/>
        <v>0</v>
      </c>
      <c r="R192" s="386"/>
      <c r="S192" s="207">
        <f t="shared" si="47"/>
        <v>1996</v>
      </c>
      <c r="T192" s="207">
        <f t="shared" si="48"/>
        <v>5</v>
      </c>
      <c r="U192" s="384" t="str">
        <f t="shared" ca="1" si="44"/>
        <v/>
      </c>
      <c r="V192" s="384" t="str">
        <f t="shared" ca="1" si="45"/>
        <v/>
      </c>
      <c r="W192" s="385" t="str">
        <f t="shared" ca="1" si="46"/>
        <v>||||</v>
      </c>
    </row>
    <row r="193" spans="1:23">
      <c r="A193" s="207">
        <f>+'Anexo Escurrimiento'!A203</f>
        <v>1996</v>
      </c>
      <c r="B193" s="207">
        <f>+'Anexo Escurrimiento'!B203</f>
        <v>6</v>
      </c>
      <c r="C193" s="208">
        <f>+'Anexo Escurrimiento'!O203</f>
        <v>0.17107481196927027</v>
      </c>
      <c r="D193" s="207">
        <f>+'Anexo Escurrimiento'!D203</f>
        <v>20.2</v>
      </c>
      <c r="E193" s="214">
        <f t="shared" ref="E193:F212" si="52">+E181</f>
        <v>41.019999999999996</v>
      </c>
      <c r="F193" s="213">
        <f t="shared" si="52"/>
        <v>0</v>
      </c>
      <c r="G193" s="211">
        <f t="shared" si="50"/>
        <v>-2.0819999999999996E-4</v>
      </c>
      <c r="H193" s="212">
        <f>+F193/100000*'Anexo Bal Hídrico'!$G$4</f>
        <v>0</v>
      </c>
      <c r="I193" s="212">
        <v>0</v>
      </c>
      <c r="J193" s="212">
        <f t="shared" ca="1" si="37"/>
        <v>7.8079225750371597</v>
      </c>
      <c r="K193" s="212">
        <f t="shared" ca="1" si="38"/>
        <v>299.68611645118938</v>
      </c>
      <c r="L193" s="212">
        <f t="shared" ca="1" si="39"/>
        <v>297.56201790708212</v>
      </c>
      <c r="M193" s="212">
        <f t="shared" ca="1" si="40"/>
        <v>7.726614510337555</v>
      </c>
      <c r="N193" s="212">
        <f t="shared" ca="1" si="41"/>
        <v>7.6368477630678893</v>
      </c>
      <c r="O193" s="210">
        <f t="shared" ca="1" si="36"/>
        <v>295.43791936297487</v>
      </c>
      <c r="P193" s="212">
        <f t="shared" ca="1" si="42"/>
        <v>8.9766747269665714E-2</v>
      </c>
      <c r="Q193" s="212">
        <f t="shared" ca="1" si="43"/>
        <v>0</v>
      </c>
      <c r="R193" s="386"/>
      <c r="S193" s="207">
        <f t="shared" si="47"/>
        <v>1996</v>
      </c>
      <c r="T193" s="207">
        <f t="shared" si="48"/>
        <v>6</v>
      </c>
      <c r="U193" s="384" t="str">
        <f t="shared" ca="1" si="44"/>
        <v/>
      </c>
      <c r="V193" s="384" t="str">
        <f t="shared" ca="1" si="45"/>
        <v/>
      </c>
      <c r="W193" s="385" t="str">
        <f t="shared" ca="1" si="46"/>
        <v/>
      </c>
    </row>
    <row r="194" spans="1:23">
      <c r="A194" s="207">
        <f>+'Anexo Escurrimiento'!A204</f>
        <v>1996</v>
      </c>
      <c r="B194" s="207">
        <f>+'Anexo Escurrimiento'!B204</f>
        <v>7</v>
      </c>
      <c r="C194" s="208">
        <f>+'Anexo Escurrimiento'!O204</f>
        <v>0.11672546968216982</v>
      </c>
      <c r="D194" s="207">
        <f>+'Anexo Escurrimiento'!D204</f>
        <v>23.4</v>
      </c>
      <c r="E194" s="214">
        <f t="shared" si="52"/>
        <v>50.819999999999993</v>
      </c>
      <c r="F194" s="213">
        <f t="shared" si="52"/>
        <v>0</v>
      </c>
      <c r="G194" s="211">
        <f t="shared" si="50"/>
        <v>-2.7419999999999994E-4</v>
      </c>
      <c r="H194" s="212">
        <f>+F194/100000*'Anexo Bal Hídrico'!$G$4</f>
        <v>0</v>
      </c>
      <c r="I194" s="212">
        <v>0</v>
      </c>
      <c r="J194" s="212">
        <f t="shared" ca="1" si="37"/>
        <v>7.7535732327500595</v>
      </c>
      <c r="K194" s="212">
        <f t="shared" ca="1" si="38"/>
        <v>298.34011235521757</v>
      </c>
      <c r="L194" s="212">
        <f t="shared" ca="1" si="39"/>
        <v>296.88901585909622</v>
      </c>
      <c r="M194" s="212">
        <f t="shared" ca="1" si="40"/>
        <v>7.6589896448982131</v>
      </c>
      <c r="N194" s="212">
        <f t="shared" ca="1" si="41"/>
        <v>7.6368477630678893</v>
      </c>
      <c r="O194" s="210">
        <f t="shared" ca="1" si="36"/>
        <v>295.43791936297487</v>
      </c>
      <c r="P194" s="212">
        <f t="shared" ca="1" si="42"/>
        <v>2.214188183032384E-2</v>
      </c>
      <c r="Q194" s="212">
        <f t="shared" ca="1" si="43"/>
        <v>0</v>
      </c>
      <c r="R194" s="386"/>
      <c r="S194" s="207">
        <f t="shared" si="47"/>
        <v>1996</v>
      </c>
      <c r="T194" s="207">
        <f t="shared" si="48"/>
        <v>7</v>
      </c>
      <c r="U194" s="384" t="str">
        <f t="shared" ca="1" si="44"/>
        <v/>
      </c>
      <c r="V194" s="384" t="str">
        <f t="shared" ca="1" si="45"/>
        <v/>
      </c>
      <c r="W194" s="385" t="str">
        <f t="shared" ca="1" si="46"/>
        <v/>
      </c>
    </row>
    <row r="195" spans="1:23">
      <c r="A195" s="207">
        <f>+'Anexo Escurrimiento'!A205</f>
        <v>1996</v>
      </c>
      <c r="B195" s="207">
        <f>+'Anexo Escurrimiento'!B205</f>
        <v>8</v>
      </c>
      <c r="C195" s="208">
        <f>+'Anexo Escurrimiento'!O205</f>
        <v>0.1984378821467927</v>
      </c>
      <c r="D195" s="207">
        <f>+'Anexo Escurrimiento'!D205</f>
        <v>35.9</v>
      </c>
      <c r="E195" s="214">
        <f t="shared" si="52"/>
        <v>72.449999999999989</v>
      </c>
      <c r="F195" s="213">
        <f t="shared" si="52"/>
        <v>0</v>
      </c>
      <c r="G195" s="211">
        <f t="shared" si="50"/>
        <v>-3.6549999999999989E-4</v>
      </c>
      <c r="H195" s="212">
        <f>+F195/100000*'Anexo Bal Hídrico'!$G$4</f>
        <v>0</v>
      </c>
      <c r="I195" s="212">
        <v>0</v>
      </c>
      <c r="J195" s="212">
        <f t="shared" ca="1" si="37"/>
        <v>7.8352856452146824</v>
      </c>
      <c r="K195" s="212">
        <f t="shared" ca="1" si="38"/>
        <v>300.36252311388188</v>
      </c>
      <c r="L195" s="212">
        <f t="shared" ca="1" si="39"/>
        <v>297.90022123842834</v>
      </c>
      <c r="M195" s="212">
        <f t="shared" ca="1" si="40"/>
        <v>7.7039260462936276</v>
      </c>
      <c r="N195" s="212">
        <f t="shared" ca="1" si="41"/>
        <v>7.6368477630678893</v>
      </c>
      <c r="O195" s="210">
        <f t="shared" ca="1" si="36"/>
        <v>295.43791936297487</v>
      </c>
      <c r="P195" s="212">
        <f t="shared" ca="1" si="42"/>
        <v>6.7078283225738389E-2</v>
      </c>
      <c r="Q195" s="212">
        <f t="shared" ca="1" si="43"/>
        <v>0</v>
      </c>
      <c r="R195" s="386"/>
      <c r="S195" s="207">
        <f t="shared" si="47"/>
        <v>1996</v>
      </c>
      <c r="T195" s="207">
        <f t="shared" si="48"/>
        <v>8</v>
      </c>
      <c r="U195" s="384" t="str">
        <f t="shared" ca="1" si="44"/>
        <v/>
      </c>
      <c r="V195" s="384" t="str">
        <f t="shared" ca="1" si="45"/>
        <v/>
      </c>
      <c r="W195" s="385" t="str">
        <f t="shared" ca="1" si="46"/>
        <v/>
      </c>
    </row>
    <row r="196" spans="1:23">
      <c r="A196" s="207">
        <f>+'Anexo Escurrimiento'!A206</f>
        <v>1996</v>
      </c>
      <c r="B196" s="207">
        <f>+'Anexo Escurrimiento'!B206</f>
        <v>9</v>
      </c>
      <c r="C196" s="208">
        <f>+'Anexo Escurrimiento'!O206</f>
        <v>0.67536493750691695</v>
      </c>
      <c r="D196" s="207">
        <f>+'Anexo Escurrimiento'!D206</f>
        <v>79.7</v>
      </c>
      <c r="E196" s="214">
        <f t="shared" si="52"/>
        <v>85.89</v>
      </c>
      <c r="F196" s="213">
        <f t="shared" si="52"/>
        <v>0</v>
      </c>
      <c r="G196" s="211">
        <f t="shared" si="50"/>
        <v>-6.1899999999999973E-5</v>
      </c>
      <c r="H196" s="212">
        <f>+F196/100000*'Anexo Bal Hídrico'!$G$4</f>
        <v>0</v>
      </c>
      <c r="I196" s="212">
        <v>0</v>
      </c>
      <c r="J196" s="212">
        <f t="shared" ca="1" si="37"/>
        <v>8.3122127005748059</v>
      </c>
      <c r="K196" s="212">
        <f t="shared" ca="1" si="38"/>
        <v>312.02057358158174</v>
      </c>
      <c r="L196" s="212">
        <f t="shared" ca="1" si="39"/>
        <v>303.72924647227831</v>
      </c>
      <c r="M196" s="212">
        <f t="shared" ca="1" si="40"/>
        <v>8.215416391182897</v>
      </c>
      <c r="N196" s="212">
        <f t="shared" ca="1" si="41"/>
        <v>7.6368477630678893</v>
      </c>
      <c r="O196" s="210">
        <f t="shared" ca="1" si="36"/>
        <v>295.43791936297487</v>
      </c>
      <c r="P196" s="212">
        <f t="shared" ca="1" si="42"/>
        <v>0.57856862811500775</v>
      </c>
      <c r="Q196" s="212">
        <f t="shared" ca="1" si="43"/>
        <v>0</v>
      </c>
      <c r="R196" s="386"/>
      <c r="S196" s="207">
        <f t="shared" si="47"/>
        <v>1996</v>
      </c>
      <c r="T196" s="207">
        <f t="shared" si="48"/>
        <v>9</v>
      </c>
      <c r="U196" s="384" t="str">
        <f t="shared" ca="1" si="44"/>
        <v/>
      </c>
      <c r="V196" s="384" t="str">
        <f t="shared" ca="1" si="45"/>
        <v/>
      </c>
      <c r="W196" s="385" t="str">
        <f t="shared" ca="1" si="46"/>
        <v>||</v>
      </c>
    </row>
    <row r="197" spans="1:23">
      <c r="A197" s="207">
        <f>+'Anexo Escurrimiento'!A207</f>
        <v>1996</v>
      </c>
      <c r="B197" s="207">
        <f>+'Anexo Escurrimiento'!B207</f>
        <v>10</v>
      </c>
      <c r="C197" s="208">
        <f>+'Anexo Escurrimiento'!O207</f>
        <v>1.2664734520006768</v>
      </c>
      <c r="D197" s="207">
        <f>+'Anexo Escurrimiento'!D207</f>
        <v>120.9</v>
      </c>
      <c r="E197" s="214">
        <f t="shared" si="52"/>
        <v>114.86999999999999</v>
      </c>
      <c r="F197" s="213">
        <f t="shared" si="52"/>
        <v>59</v>
      </c>
      <c r="G197" s="211">
        <f t="shared" si="50"/>
        <v>6.0300000000000151E-5</v>
      </c>
      <c r="H197" s="212">
        <f>+F197/100000*'Anexo Bal Hídrico'!$G$4</f>
        <v>0.53100000000000003</v>
      </c>
      <c r="I197" s="212">
        <v>0</v>
      </c>
      <c r="J197" s="212">
        <f t="shared" ca="1" si="37"/>
        <v>8.3723212150685651</v>
      </c>
      <c r="K197" s="212">
        <f t="shared" ca="1" si="38"/>
        <v>313.47277841168813</v>
      </c>
      <c r="L197" s="212">
        <f t="shared" ca="1" si="39"/>
        <v>304.45534888733152</v>
      </c>
      <c r="M197" s="212">
        <f t="shared" ca="1" si="40"/>
        <v>8.2440697521937683</v>
      </c>
      <c r="N197" s="212">
        <f t="shared" ca="1" si="41"/>
        <v>7.6368477630678893</v>
      </c>
      <c r="O197" s="210">
        <f t="shared" ca="1" si="36"/>
        <v>295.43791936297487</v>
      </c>
      <c r="P197" s="212">
        <f t="shared" ca="1" si="42"/>
        <v>0.60722198912587899</v>
      </c>
      <c r="Q197" s="212">
        <f t="shared" ca="1" si="43"/>
        <v>0.53100000000000003</v>
      </c>
      <c r="R197" s="386"/>
      <c r="S197" s="207">
        <f t="shared" si="47"/>
        <v>1996</v>
      </c>
      <c r="T197" s="207">
        <f t="shared" si="48"/>
        <v>10</v>
      </c>
      <c r="U197" s="384" t="str">
        <f t="shared" ca="1" si="44"/>
        <v/>
      </c>
      <c r="V197" s="384" t="str">
        <f t="shared" ca="1" si="45"/>
        <v>||</v>
      </c>
      <c r="W197" s="385" t="str">
        <f t="shared" ca="1" si="46"/>
        <v>|||</v>
      </c>
    </row>
    <row r="198" spans="1:23">
      <c r="A198" s="207">
        <f>+'Anexo Escurrimiento'!A208</f>
        <v>1996</v>
      </c>
      <c r="B198" s="207">
        <f>+'Anexo Escurrimiento'!B208</f>
        <v>11</v>
      </c>
      <c r="C198" s="208">
        <f>+'Anexo Escurrimiento'!O208</f>
        <v>1.1212041818026688</v>
      </c>
      <c r="D198" s="207">
        <f>+'Anexo Escurrimiento'!D208</f>
        <v>108.6</v>
      </c>
      <c r="E198" s="214">
        <f t="shared" si="52"/>
        <v>144.06</v>
      </c>
      <c r="F198" s="213">
        <f t="shared" si="52"/>
        <v>212</v>
      </c>
      <c r="G198" s="211">
        <f t="shared" si="50"/>
        <v>-3.5460000000000005E-4</v>
      </c>
      <c r="H198" s="212">
        <f>+F198/100000*'Anexo Bal Hídrico'!$G$4</f>
        <v>1.9079999999999999</v>
      </c>
      <c r="I198" s="212">
        <v>0</v>
      </c>
      <c r="J198" s="212">
        <f t="shared" ca="1" si="37"/>
        <v>6.8500519448705592</v>
      </c>
      <c r="K198" s="212">
        <f t="shared" ca="1" si="38"/>
        <v>275.44546668347908</v>
      </c>
      <c r="L198" s="212">
        <f t="shared" ca="1" si="39"/>
        <v>285.441693023227</v>
      </c>
      <c r="M198" s="212">
        <f t="shared" ca="1" si="40"/>
        <v>6.6271467084034281</v>
      </c>
      <c r="N198" s="212">
        <f t="shared" ca="1" si="41"/>
        <v>6.6271467084034281</v>
      </c>
      <c r="O198" s="210">
        <f t="shared" ca="1" si="36"/>
        <v>269.63532345252668</v>
      </c>
      <c r="P198" s="212">
        <f t="shared" ca="1" si="42"/>
        <v>0</v>
      </c>
      <c r="Q198" s="212">
        <f t="shared" ca="1" si="43"/>
        <v>1.9079999999999999</v>
      </c>
      <c r="R198" s="386"/>
      <c r="S198" s="207">
        <f t="shared" si="47"/>
        <v>1996</v>
      </c>
      <c r="T198" s="207">
        <f t="shared" si="48"/>
        <v>11</v>
      </c>
      <c r="U198" s="384" t="str">
        <f t="shared" ca="1" si="44"/>
        <v/>
      </c>
      <c r="V198" s="384" t="str">
        <f t="shared" ca="1" si="45"/>
        <v>|||||||||</v>
      </c>
      <c r="W198" s="385" t="str">
        <f t="shared" ca="1" si="46"/>
        <v/>
      </c>
    </row>
    <row r="199" spans="1:23">
      <c r="A199" s="207">
        <f>+'Anexo Escurrimiento'!A209</f>
        <v>1996</v>
      </c>
      <c r="B199" s="207">
        <f>+'Anexo Escurrimiento'!B209</f>
        <v>12</v>
      </c>
      <c r="C199" s="208">
        <f>+'Anexo Escurrimiento'!O209</f>
        <v>0.80347538058367485</v>
      </c>
      <c r="D199" s="207">
        <f>+'Anexo Escurrimiento'!D209</f>
        <v>93.1</v>
      </c>
      <c r="E199" s="214">
        <f t="shared" si="52"/>
        <v>179.62</v>
      </c>
      <c r="F199" s="213">
        <f t="shared" si="52"/>
        <v>388</v>
      </c>
      <c r="G199" s="211">
        <f t="shared" si="50"/>
        <v>-8.6520000000000011E-4</v>
      </c>
      <c r="H199" s="212">
        <f>+F199/100000*'Anexo Bal Hídrico'!$G$4</f>
        <v>3.492</v>
      </c>
      <c r="I199" s="212">
        <v>0</v>
      </c>
      <c r="J199" s="212">
        <f t="shared" ca="1" si="37"/>
        <v>3.9386220889871026</v>
      </c>
      <c r="K199" s="212">
        <f t="shared" ca="1" si="38"/>
        <v>192.81680366996579</v>
      </c>
      <c r="L199" s="212">
        <f t="shared" ca="1" si="39"/>
        <v>231.22606356124624</v>
      </c>
      <c r="M199" s="212">
        <f t="shared" ca="1" si="40"/>
        <v>3.6679248237289936</v>
      </c>
      <c r="N199" s="212">
        <f t="shared" ca="1" si="41"/>
        <v>3.6679248237289936</v>
      </c>
      <c r="O199" s="210">
        <f t="shared" ref="O199:O262" ca="1" si="53">+g_*N199^h_</f>
        <v>184.1689045601741</v>
      </c>
      <c r="P199" s="212">
        <f t="shared" ca="1" si="42"/>
        <v>0</v>
      </c>
      <c r="Q199" s="212">
        <f t="shared" ca="1" si="43"/>
        <v>3.492</v>
      </c>
      <c r="R199" s="386"/>
      <c r="S199" s="207">
        <f t="shared" si="47"/>
        <v>1996</v>
      </c>
      <c r="T199" s="207">
        <f t="shared" si="48"/>
        <v>12</v>
      </c>
      <c r="U199" s="384" t="str">
        <f t="shared" ca="1" si="44"/>
        <v/>
      </c>
      <c r="V199" s="384" t="str">
        <f t="shared" ca="1" si="45"/>
        <v>|||||||||||||||||</v>
      </c>
      <c r="W199" s="385" t="str">
        <f t="shared" ca="1" si="46"/>
        <v/>
      </c>
    </row>
    <row r="200" spans="1:23">
      <c r="A200" s="207">
        <f>+'Anexo Escurrimiento'!A210</f>
        <v>1997</v>
      </c>
      <c r="B200" s="207">
        <f>+'Anexo Escurrimiento'!B210</f>
        <v>1</v>
      </c>
      <c r="C200" s="208">
        <f>+'Anexo Escurrimiento'!O210</f>
        <v>0.5637495369989024</v>
      </c>
      <c r="D200" s="207">
        <f>+'Anexo Escurrimiento'!D210</f>
        <v>78.3</v>
      </c>
      <c r="E200" s="214">
        <f t="shared" si="52"/>
        <v>176.89</v>
      </c>
      <c r="F200" s="213">
        <f t="shared" si="52"/>
        <v>318</v>
      </c>
      <c r="G200" s="211">
        <f t="shared" si="50"/>
        <v>-9.8589999999999984E-4</v>
      </c>
      <c r="H200" s="212">
        <f>+F200/100000*'Anexo Bal Hídrico'!$G$4</f>
        <v>2.8620000000000001</v>
      </c>
      <c r="I200" s="212">
        <v>0</v>
      </c>
      <c r="J200" s="212">
        <f t="shared" ref="J200:J263" ca="1" si="54">+N199+C200-H200-I200</f>
        <v>1.3696743607278963</v>
      </c>
      <c r="K200" s="212">
        <f t="shared" ref="K200:K263" ca="1" si="55">+IF(J200&lt;0,0,g_*J200^h_)</f>
        <v>97.616466135681421</v>
      </c>
      <c r="L200" s="212">
        <f t="shared" ref="L200:L263" ca="1" si="56">+(K200+O199)/2</f>
        <v>140.89268534792777</v>
      </c>
      <c r="M200" s="212">
        <f t="shared" ref="M200:M263" ca="1" si="57">+N199+C200*(Ac-L200)/Ac+G200*L200-H200-I200</f>
        <v>1.2005674310146945</v>
      </c>
      <c r="N200" s="212">
        <f t="shared" ref="N200:N263" ca="1" si="58">+IF(M200&gt;VolHv,VolHv,IF(M200&lt;VolHt,VolHt,M200))</f>
        <v>1.2005674310146945</v>
      </c>
      <c r="O200" s="210">
        <f t="shared" ca="1" si="53"/>
        <v>89.668790663993903</v>
      </c>
      <c r="P200" s="212">
        <f t="shared" ref="P200:P263" ca="1" si="59">+IF(M200&gt;VolHv,M200-VolHv,0)</f>
        <v>0</v>
      </c>
      <c r="Q200" s="212">
        <f t="shared" ref="Q200:Q263" ca="1" si="60">+IF(M200&lt;VolHt,IF(H200&lt;(VolHt-M200),0,H200-(VolHt-M200)),H200)</f>
        <v>2.8620000000000001</v>
      </c>
      <c r="R200" s="386"/>
      <c r="S200" s="207">
        <f t="shared" si="47"/>
        <v>1997</v>
      </c>
      <c r="T200" s="207">
        <f t="shared" si="48"/>
        <v>1</v>
      </c>
      <c r="U200" s="384" t="str">
        <f t="shared" ref="U200:U263" ca="1" si="61">+REPT("|",(H200-Q200)*$W$4)</f>
        <v/>
      </c>
      <c r="V200" s="384" t="str">
        <f t="shared" ref="V200:V263" ca="1" si="62">+REPT("|",Q200*$W$4)</f>
        <v>||||||||||||||</v>
      </c>
      <c r="W200" s="385" t="str">
        <f t="shared" ref="W200:W263" ca="1" si="63">+REPT("|",P200*$W$4)</f>
        <v/>
      </c>
    </row>
    <row r="201" spans="1:23">
      <c r="A201" s="207">
        <f>+'Anexo Escurrimiento'!A211</f>
        <v>1997</v>
      </c>
      <c r="B201" s="207">
        <f>+'Anexo Escurrimiento'!B211</f>
        <v>2</v>
      </c>
      <c r="C201" s="208">
        <f>+'Anexo Escurrimiento'!O211</f>
        <v>3.0546624997943197</v>
      </c>
      <c r="D201" s="207">
        <f>+'Anexo Escurrimiento'!D211</f>
        <v>245.2</v>
      </c>
      <c r="E201" s="214">
        <f t="shared" si="52"/>
        <v>131.73999999999998</v>
      </c>
      <c r="F201" s="213">
        <f t="shared" si="52"/>
        <v>153</v>
      </c>
      <c r="G201" s="211">
        <f t="shared" si="50"/>
        <v>1.1346000000000001E-3</v>
      </c>
      <c r="H201" s="212">
        <f>+F201/100000*'Anexo Bal Hídrico'!$G$4</f>
        <v>1.377</v>
      </c>
      <c r="I201" s="212">
        <v>0</v>
      </c>
      <c r="J201" s="212">
        <f t="shared" ca="1" si="54"/>
        <v>2.878229930809014</v>
      </c>
      <c r="K201" s="212">
        <f t="shared" ca="1" si="55"/>
        <v>157.52884326262816</v>
      </c>
      <c r="L201" s="212">
        <f t="shared" ca="1" si="56"/>
        <v>123.59881696331104</v>
      </c>
      <c r="M201" s="212">
        <f t="shared" ca="1" si="57"/>
        <v>2.8749089997915682</v>
      </c>
      <c r="N201" s="212">
        <f t="shared" ca="1" si="58"/>
        <v>2.8749089997915682</v>
      </c>
      <c r="O201" s="210">
        <f t="shared" ca="1" si="53"/>
        <v>157.41168693783362</v>
      </c>
      <c r="P201" s="212">
        <f t="shared" ca="1" si="59"/>
        <v>0</v>
      </c>
      <c r="Q201" s="212">
        <f t="shared" ca="1" si="60"/>
        <v>1.377</v>
      </c>
      <c r="R201" s="386"/>
      <c r="S201" s="207">
        <f t="shared" ref="S201:S264" si="64">+A201</f>
        <v>1997</v>
      </c>
      <c r="T201" s="207">
        <f t="shared" ref="T201:T264" si="65">+B201</f>
        <v>2</v>
      </c>
      <c r="U201" s="384" t="str">
        <f t="shared" ca="1" si="61"/>
        <v/>
      </c>
      <c r="V201" s="384" t="str">
        <f t="shared" ca="1" si="62"/>
        <v>||||||</v>
      </c>
      <c r="W201" s="385" t="str">
        <f t="shared" ca="1" si="63"/>
        <v/>
      </c>
    </row>
    <row r="202" spans="1:23">
      <c r="A202" s="207">
        <f>+'Anexo Escurrimiento'!A212</f>
        <v>1997</v>
      </c>
      <c r="B202" s="207">
        <f>+'Anexo Escurrimiento'!B212</f>
        <v>3</v>
      </c>
      <c r="C202" s="208">
        <f>+'Anexo Escurrimiento'!O212</f>
        <v>0.93413372951097884</v>
      </c>
      <c r="D202" s="207">
        <f>+'Anexo Escurrimiento'!D212</f>
        <v>43.1</v>
      </c>
      <c r="E202" s="214">
        <f t="shared" si="52"/>
        <v>118.64999999999999</v>
      </c>
      <c r="F202" s="213">
        <f t="shared" si="52"/>
        <v>47</v>
      </c>
      <c r="G202" s="211">
        <f t="shared" si="50"/>
        <v>-7.5549999999999988E-4</v>
      </c>
      <c r="H202" s="212">
        <f>+F202/100000*'Anexo Bal Hídrico'!$G$4</f>
        <v>0.42299999999999999</v>
      </c>
      <c r="I202" s="212">
        <v>0</v>
      </c>
      <c r="J202" s="212">
        <f t="shared" ca="1" si="54"/>
        <v>3.386042729302547</v>
      </c>
      <c r="K202" s="212">
        <f t="shared" ca="1" si="55"/>
        <v>174.91868940369628</v>
      </c>
      <c r="L202" s="212">
        <f t="shared" ca="1" si="56"/>
        <v>166.16518817076496</v>
      </c>
      <c r="M202" s="212">
        <f t="shared" ca="1" si="57"/>
        <v>3.201485725479515</v>
      </c>
      <c r="N202" s="212">
        <f t="shared" ca="1" si="58"/>
        <v>3.201485725479515</v>
      </c>
      <c r="O202" s="210">
        <f t="shared" ca="1" si="53"/>
        <v>168.71356396012266</v>
      </c>
      <c r="P202" s="212">
        <f t="shared" ca="1" si="59"/>
        <v>0</v>
      </c>
      <c r="Q202" s="212">
        <f t="shared" ca="1" si="60"/>
        <v>0.42299999999999999</v>
      </c>
      <c r="R202" s="386"/>
      <c r="S202" s="207">
        <f t="shared" si="64"/>
        <v>1997</v>
      </c>
      <c r="T202" s="207">
        <f t="shared" si="65"/>
        <v>3</v>
      </c>
      <c r="U202" s="384" t="str">
        <f t="shared" ca="1" si="61"/>
        <v/>
      </c>
      <c r="V202" s="384" t="str">
        <f t="shared" ca="1" si="62"/>
        <v>||</v>
      </c>
      <c r="W202" s="385" t="str">
        <f t="shared" ca="1" si="63"/>
        <v/>
      </c>
    </row>
    <row r="203" spans="1:23">
      <c r="A203" s="207">
        <f>+'Anexo Escurrimiento'!A213</f>
        <v>1997</v>
      </c>
      <c r="B203" s="207">
        <f>+'Anexo Escurrimiento'!B213</f>
        <v>4</v>
      </c>
      <c r="C203" s="208">
        <f>+'Anexo Escurrimiento'!O213</f>
        <v>1.0063512731512976</v>
      </c>
      <c r="D203" s="207">
        <f>+'Anexo Escurrimiento'!D213</f>
        <v>96.8</v>
      </c>
      <c r="E203" s="214">
        <f t="shared" si="52"/>
        <v>73.149999999999991</v>
      </c>
      <c r="F203" s="213">
        <f t="shared" si="52"/>
        <v>0</v>
      </c>
      <c r="G203" s="211">
        <f t="shared" si="50"/>
        <v>2.3650000000000006E-4</v>
      </c>
      <c r="H203" s="212">
        <f>+F203/100000*'Anexo Bal Hídrico'!$G$4</f>
        <v>0</v>
      </c>
      <c r="I203" s="212">
        <v>0</v>
      </c>
      <c r="J203" s="212">
        <f t="shared" ca="1" si="54"/>
        <v>4.2078369986308122</v>
      </c>
      <c r="K203" s="212">
        <f t="shared" ca="1" si="55"/>
        <v>201.21006414176625</v>
      </c>
      <c r="L203" s="212">
        <f t="shared" ca="1" si="56"/>
        <v>184.96181405094444</v>
      </c>
      <c r="M203" s="212">
        <f t="shared" ca="1" si="57"/>
        <v>4.1808061113593586</v>
      </c>
      <c r="N203" s="212">
        <f t="shared" ca="1" si="58"/>
        <v>4.1808061113593586</v>
      </c>
      <c r="O203" s="210">
        <f t="shared" ca="1" si="53"/>
        <v>200.37613259450754</v>
      </c>
      <c r="P203" s="212">
        <f t="shared" ca="1" si="59"/>
        <v>0</v>
      </c>
      <c r="Q203" s="212">
        <f t="shared" ca="1" si="60"/>
        <v>0</v>
      </c>
      <c r="R203" s="386"/>
      <c r="S203" s="207">
        <f t="shared" si="64"/>
        <v>1997</v>
      </c>
      <c r="T203" s="207">
        <f t="shared" si="65"/>
        <v>4</v>
      </c>
      <c r="U203" s="384" t="str">
        <f t="shared" ca="1" si="61"/>
        <v/>
      </c>
      <c r="V203" s="384" t="str">
        <f t="shared" ca="1" si="62"/>
        <v/>
      </c>
      <c r="W203" s="385" t="str">
        <f t="shared" ca="1" si="63"/>
        <v/>
      </c>
    </row>
    <row r="204" spans="1:23">
      <c r="A204" s="207">
        <f>+'Anexo Escurrimiento'!A214</f>
        <v>1997</v>
      </c>
      <c r="B204" s="207">
        <f>+'Anexo Escurrimiento'!B214</f>
        <v>5</v>
      </c>
      <c r="C204" s="208">
        <f>+'Anexo Escurrimiento'!O214</f>
        <v>1.8250709270352528</v>
      </c>
      <c r="D204" s="207">
        <f>+'Anexo Escurrimiento'!D214</f>
        <v>122.7</v>
      </c>
      <c r="E204" s="214">
        <f t="shared" si="52"/>
        <v>51.24</v>
      </c>
      <c r="F204" s="213">
        <f t="shared" si="52"/>
        <v>0</v>
      </c>
      <c r="G204" s="211">
        <f t="shared" si="50"/>
        <v>7.1460000000000013E-4</v>
      </c>
      <c r="H204" s="212">
        <f>+F204/100000*'Anexo Bal Hídrico'!$G$4</f>
        <v>0</v>
      </c>
      <c r="I204" s="212">
        <v>0</v>
      </c>
      <c r="J204" s="212">
        <f t="shared" ca="1" si="54"/>
        <v>6.0058770383946118</v>
      </c>
      <c r="K204" s="212">
        <f t="shared" ca="1" si="55"/>
        <v>253.0619796198138</v>
      </c>
      <c r="L204" s="212">
        <f t="shared" ca="1" si="56"/>
        <v>226.71905610716067</v>
      </c>
      <c r="M204" s="212">
        <f t="shared" ca="1" si="57"/>
        <v>6.0105603017800222</v>
      </c>
      <c r="N204" s="212">
        <f t="shared" ca="1" si="58"/>
        <v>6.0105603017800222</v>
      </c>
      <c r="O204" s="210">
        <f t="shared" ca="1" si="53"/>
        <v>253.18913098366946</v>
      </c>
      <c r="P204" s="212">
        <f t="shared" ca="1" si="59"/>
        <v>0</v>
      </c>
      <c r="Q204" s="212">
        <f t="shared" ca="1" si="60"/>
        <v>0</v>
      </c>
      <c r="R204" s="386"/>
      <c r="S204" s="207">
        <f t="shared" si="64"/>
        <v>1997</v>
      </c>
      <c r="T204" s="207">
        <f t="shared" si="65"/>
        <v>5</v>
      </c>
      <c r="U204" s="384" t="str">
        <f t="shared" ca="1" si="61"/>
        <v/>
      </c>
      <c r="V204" s="384" t="str">
        <f t="shared" ca="1" si="62"/>
        <v/>
      </c>
      <c r="W204" s="385" t="str">
        <f t="shared" ca="1" si="63"/>
        <v/>
      </c>
    </row>
    <row r="205" spans="1:23">
      <c r="A205" s="207">
        <f>+'Anexo Escurrimiento'!A215</f>
        <v>1997</v>
      </c>
      <c r="B205" s="207">
        <f>+'Anexo Escurrimiento'!B215</f>
        <v>6</v>
      </c>
      <c r="C205" s="208">
        <f>+'Anexo Escurrimiento'!O215</f>
        <v>1.1501441087750466</v>
      </c>
      <c r="D205" s="207">
        <f>+'Anexo Escurrimiento'!D215</f>
        <v>65</v>
      </c>
      <c r="E205" s="214">
        <f t="shared" si="52"/>
        <v>41.019999999999996</v>
      </c>
      <c r="F205" s="213">
        <f t="shared" si="52"/>
        <v>0</v>
      </c>
      <c r="G205" s="211">
        <f t="shared" si="50"/>
        <v>2.3980000000000003E-4</v>
      </c>
      <c r="H205" s="212">
        <f>+F205/100000*'Anexo Bal Hídrico'!$G$4</f>
        <v>0</v>
      </c>
      <c r="I205" s="212">
        <v>0</v>
      </c>
      <c r="J205" s="212">
        <f t="shared" ca="1" si="54"/>
        <v>7.160704410555069</v>
      </c>
      <c r="K205" s="212">
        <f t="shared" ca="1" si="55"/>
        <v>283.43191230543664</v>
      </c>
      <c r="L205" s="212">
        <f t="shared" ca="1" si="56"/>
        <v>268.31052164455303</v>
      </c>
      <c r="M205" s="212">
        <f t="shared" ca="1" si="57"/>
        <v>7.1077084805686868</v>
      </c>
      <c r="N205" s="212">
        <f t="shared" ca="1" si="58"/>
        <v>7.1077084805686868</v>
      </c>
      <c r="O205" s="210">
        <f t="shared" ca="1" si="53"/>
        <v>282.07831138155262</v>
      </c>
      <c r="P205" s="212">
        <f t="shared" ca="1" si="59"/>
        <v>0</v>
      </c>
      <c r="Q205" s="212">
        <f t="shared" ca="1" si="60"/>
        <v>0</v>
      </c>
      <c r="R205" s="386"/>
      <c r="S205" s="207">
        <f t="shared" si="64"/>
        <v>1997</v>
      </c>
      <c r="T205" s="207">
        <f t="shared" si="65"/>
        <v>6</v>
      </c>
      <c r="U205" s="384" t="str">
        <f t="shared" ca="1" si="61"/>
        <v/>
      </c>
      <c r="V205" s="384" t="str">
        <f t="shared" ca="1" si="62"/>
        <v/>
      </c>
      <c r="W205" s="385" t="str">
        <f t="shared" ca="1" si="63"/>
        <v/>
      </c>
    </row>
    <row r="206" spans="1:23">
      <c r="A206" s="207">
        <f>+'Anexo Escurrimiento'!A216</f>
        <v>1997</v>
      </c>
      <c r="B206" s="207">
        <f>+'Anexo Escurrimiento'!B216</f>
        <v>7</v>
      </c>
      <c r="C206" s="208">
        <f>+'Anexo Escurrimiento'!O216</f>
        <v>1.9253908067903287</v>
      </c>
      <c r="D206" s="207">
        <f>+'Anexo Escurrimiento'!D216</f>
        <v>123.7</v>
      </c>
      <c r="E206" s="214">
        <f t="shared" si="52"/>
        <v>50.819999999999993</v>
      </c>
      <c r="F206" s="213">
        <f t="shared" si="52"/>
        <v>0</v>
      </c>
      <c r="G206" s="211">
        <f t="shared" si="50"/>
        <v>7.2880000000000015E-4</v>
      </c>
      <c r="H206" s="212">
        <f>+F206/100000*'Anexo Bal Hídrico'!$G$4</f>
        <v>0</v>
      </c>
      <c r="I206" s="212">
        <v>0</v>
      </c>
      <c r="J206" s="212">
        <f t="shared" ca="1" si="54"/>
        <v>9.0330992873590148</v>
      </c>
      <c r="K206" s="212">
        <f t="shared" ca="1" si="55"/>
        <v>329.2004907055055</v>
      </c>
      <c r="L206" s="212">
        <f t="shared" ca="1" si="56"/>
        <v>305.63940104352906</v>
      </c>
      <c r="M206" s="212">
        <f t="shared" ca="1" si="57"/>
        <v>9.0320944185953884</v>
      </c>
      <c r="N206" s="212">
        <f t="shared" ca="1" si="58"/>
        <v>7.6368477630678893</v>
      </c>
      <c r="O206" s="210">
        <f t="shared" ca="1" si="53"/>
        <v>295.43791936297487</v>
      </c>
      <c r="P206" s="212">
        <f t="shared" ca="1" si="59"/>
        <v>1.3952466555274992</v>
      </c>
      <c r="Q206" s="212">
        <f t="shared" ca="1" si="60"/>
        <v>0</v>
      </c>
      <c r="R206" s="386"/>
      <c r="S206" s="207">
        <f t="shared" si="64"/>
        <v>1997</v>
      </c>
      <c r="T206" s="207">
        <f t="shared" si="65"/>
        <v>7</v>
      </c>
      <c r="U206" s="384" t="str">
        <f t="shared" ca="1" si="61"/>
        <v/>
      </c>
      <c r="V206" s="384" t="str">
        <f t="shared" ca="1" si="62"/>
        <v/>
      </c>
      <c r="W206" s="385" t="str">
        <f t="shared" ca="1" si="63"/>
        <v>||||||</v>
      </c>
    </row>
    <row r="207" spans="1:23">
      <c r="A207" s="207">
        <f>+'Anexo Escurrimiento'!A217</f>
        <v>1997</v>
      </c>
      <c r="B207" s="207">
        <f>+'Anexo Escurrimiento'!B217</f>
        <v>8</v>
      </c>
      <c r="C207" s="208">
        <f>+'Anexo Escurrimiento'!O217</f>
        <v>0.84492966231634103</v>
      </c>
      <c r="D207" s="207">
        <f>+'Anexo Escurrimiento'!D217</f>
        <v>46.4</v>
      </c>
      <c r="E207" s="214">
        <f t="shared" si="52"/>
        <v>72.449999999999989</v>
      </c>
      <c r="F207" s="213">
        <f t="shared" si="52"/>
        <v>0</v>
      </c>
      <c r="G207" s="211">
        <f t="shared" si="50"/>
        <v>-2.6049999999999988E-4</v>
      </c>
      <c r="H207" s="212">
        <f>+F207/100000*'Anexo Bal Hídrico'!$G$4</f>
        <v>0</v>
      </c>
      <c r="I207" s="212">
        <v>0</v>
      </c>
      <c r="J207" s="212">
        <f t="shared" ca="1" si="54"/>
        <v>8.4817774253842302</v>
      </c>
      <c r="K207" s="212">
        <f t="shared" ca="1" si="55"/>
        <v>316.10772539370146</v>
      </c>
      <c r="L207" s="212">
        <f t="shared" ca="1" si="56"/>
        <v>305.77282237833816</v>
      </c>
      <c r="M207" s="212">
        <f t="shared" ca="1" si="57"/>
        <v>8.3038891840300924</v>
      </c>
      <c r="N207" s="212">
        <f t="shared" ca="1" si="58"/>
        <v>7.6368477630678893</v>
      </c>
      <c r="O207" s="210">
        <f t="shared" ca="1" si="53"/>
        <v>295.43791936297487</v>
      </c>
      <c r="P207" s="212">
        <f t="shared" ca="1" si="59"/>
        <v>0.66704142096220309</v>
      </c>
      <c r="Q207" s="212">
        <f t="shared" ca="1" si="60"/>
        <v>0</v>
      </c>
      <c r="R207" s="386"/>
      <c r="S207" s="207">
        <f t="shared" si="64"/>
        <v>1997</v>
      </c>
      <c r="T207" s="207">
        <f t="shared" si="65"/>
        <v>8</v>
      </c>
      <c r="U207" s="384" t="str">
        <f t="shared" ca="1" si="61"/>
        <v/>
      </c>
      <c r="V207" s="384" t="str">
        <f t="shared" ca="1" si="62"/>
        <v/>
      </c>
      <c r="W207" s="385" t="str">
        <f t="shared" ca="1" si="63"/>
        <v>|||</v>
      </c>
    </row>
    <row r="208" spans="1:23">
      <c r="A208" s="207">
        <f>+'Anexo Escurrimiento'!A218</f>
        <v>1997</v>
      </c>
      <c r="B208" s="207">
        <f>+'Anexo Escurrimiento'!B218</f>
        <v>9</v>
      </c>
      <c r="C208" s="208">
        <f>+'Anexo Escurrimiento'!O218</f>
        <v>0.39525669827797</v>
      </c>
      <c r="D208" s="207">
        <f>+'Anexo Escurrimiento'!D218</f>
        <v>46.6</v>
      </c>
      <c r="E208" s="214">
        <f t="shared" si="52"/>
        <v>85.89</v>
      </c>
      <c r="F208" s="213">
        <f t="shared" si="52"/>
        <v>0</v>
      </c>
      <c r="G208" s="211">
        <f t="shared" si="50"/>
        <v>-3.9290000000000001E-4</v>
      </c>
      <c r="H208" s="212">
        <f>+F208/100000*'Anexo Bal Hídrico'!$G$4</f>
        <v>0</v>
      </c>
      <c r="I208" s="212">
        <v>0</v>
      </c>
      <c r="J208" s="212">
        <f t="shared" ca="1" si="54"/>
        <v>8.0321044613458596</v>
      </c>
      <c r="K208" s="212">
        <f t="shared" ca="1" si="55"/>
        <v>305.20332914940781</v>
      </c>
      <c r="L208" s="212">
        <f t="shared" ca="1" si="56"/>
        <v>300.32062425619131</v>
      </c>
      <c r="M208" s="212">
        <f t="shared" ca="1" si="57"/>
        <v>7.8689739867948862</v>
      </c>
      <c r="N208" s="212">
        <f t="shared" ca="1" si="58"/>
        <v>7.6368477630678893</v>
      </c>
      <c r="O208" s="210">
        <f t="shared" ca="1" si="53"/>
        <v>295.43791936297487</v>
      </c>
      <c r="P208" s="212">
        <f t="shared" ca="1" si="59"/>
        <v>0.23212622372699698</v>
      </c>
      <c r="Q208" s="212">
        <f t="shared" ca="1" si="60"/>
        <v>0</v>
      </c>
      <c r="R208" s="386"/>
      <c r="S208" s="207">
        <f t="shared" si="64"/>
        <v>1997</v>
      </c>
      <c r="T208" s="207">
        <f t="shared" si="65"/>
        <v>9</v>
      </c>
      <c r="U208" s="384" t="str">
        <f t="shared" ca="1" si="61"/>
        <v/>
      </c>
      <c r="V208" s="384" t="str">
        <f t="shared" ca="1" si="62"/>
        <v/>
      </c>
      <c r="W208" s="385" t="str">
        <f t="shared" ca="1" si="63"/>
        <v>|</v>
      </c>
    </row>
    <row r="209" spans="1:23">
      <c r="A209" s="207">
        <f>+'Anexo Escurrimiento'!A219</f>
        <v>1997</v>
      </c>
      <c r="B209" s="207">
        <f>+'Anexo Escurrimiento'!B219</f>
        <v>10</v>
      </c>
      <c r="C209" s="208">
        <f>+'Anexo Escurrimiento'!O219</f>
        <v>2.7392752632538877</v>
      </c>
      <c r="D209" s="207">
        <f>+'Anexo Escurrimiento'!D219</f>
        <v>216.2</v>
      </c>
      <c r="E209" s="214">
        <f t="shared" si="52"/>
        <v>114.86999999999999</v>
      </c>
      <c r="F209" s="213">
        <f t="shared" si="52"/>
        <v>59</v>
      </c>
      <c r="G209" s="211">
        <f t="shared" si="50"/>
        <v>1.0133E-3</v>
      </c>
      <c r="H209" s="212">
        <f>+F209/100000*'Anexo Bal Hídrico'!$G$4</f>
        <v>0.53100000000000003</v>
      </c>
      <c r="I209" s="212">
        <v>0</v>
      </c>
      <c r="J209" s="212">
        <f t="shared" ca="1" si="54"/>
        <v>9.8451230263217759</v>
      </c>
      <c r="K209" s="212">
        <f t="shared" ca="1" si="55"/>
        <v>347.97851885138476</v>
      </c>
      <c r="L209" s="212">
        <f t="shared" ca="1" si="56"/>
        <v>321.70821910717984</v>
      </c>
      <c r="M209" s="212">
        <f t="shared" ca="1" si="57"/>
        <v>9.8360349204138959</v>
      </c>
      <c r="N209" s="212">
        <f t="shared" ca="1" si="58"/>
        <v>7.6368477630678893</v>
      </c>
      <c r="O209" s="210">
        <f t="shared" ca="1" si="53"/>
        <v>295.43791936297487</v>
      </c>
      <c r="P209" s="212">
        <f t="shared" ca="1" si="59"/>
        <v>2.1991871573460067</v>
      </c>
      <c r="Q209" s="212">
        <f t="shared" ca="1" si="60"/>
        <v>0.53100000000000003</v>
      </c>
      <c r="R209" s="386"/>
      <c r="S209" s="207">
        <f t="shared" si="64"/>
        <v>1997</v>
      </c>
      <c r="T209" s="207">
        <f t="shared" si="65"/>
        <v>10</v>
      </c>
      <c r="U209" s="384" t="str">
        <f t="shared" ca="1" si="61"/>
        <v/>
      </c>
      <c r="V209" s="384" t="str">
        <f t="shared" ca="1" si="62"/>
        <v>||</v>
      </c>
      <c r="W209" s="385" t="str">
        <f t="shared" ca="1" si="63"/>
        <v>||||||||||</v>
      </c>
    </row>
    <row r="210" spans="1:23">
      <c r="A210" s="207">
        <f>+'Anexo Escurrimiento'!A220</f>
        <v>1997</v>
      </c>
      <c r="B210" s="207">
        <f>+'Anexo Escurrimiento'!B220</f>
        <v>11</v>
      </c>
      <c r="C210" s="208">
        <f>+'Anexo Escurrimiento'!O220</f>
        <v>2.588228913195707</v>
      </c>
      <c r="D210" s="207">
        <f>+'Anexo Escurrimiento'!D220</f>
        <v>185.7</v>
      </c>
      <c r="E210" s="214">
        <f t="shared" si="52"/>
        <v>144.06</v>
      </c>
      <c r="F210" s="213">
        <f t="shared" si="52"/>
        <v>212</v>
      </c>
      <c r="G210" s="211">
        <f t="shared" si="50"/>
        <v>4.1639999999999988E-4</v>
      </c>
      <c r="H210" s="212">
        <f>+F210/100000*'Anexo Bal Hídrico'!$G$4</f>
        <v>1.9079999999999999</v>
      </c>
      <c r="I210" s="212">
        <v>0</v>
      </c>
      <c r="J210" s="212">
        <f t="shared" ca="1" si="54"/>
        <v>8.3170766762635964</v>
      </c>
      <c r="K210" s="212">
        <f t="shared" ca="1" si="55"/>
        <v>312.13822440545391</v>
      </c>
      <c r="L210" s="212">
        <f t="shared" ca="1" si="56"/>
        <v>303.78807188421439</v>
      </c>
      <c r="M210" s="212">
        <f t="shared" ca="1" si="57"/>
        <v>8.1446108844780465</v>
      </c>
      <c r="N210" s="212">
        <f t="shared" ca="1" si="58"/>
        <v>7.6368477630678893</v>
      </c>
      <c r="O210" s="210">
        <f t="shared" ca="1" si="53"/>
        <v>295.43791936297487</v>
      </c>
      <c r="P210" s="212">
        <f t="shared" ca="1" si="59"/>
        <v>0.50776312141015723</v>
      </c>
      <c r="Q210" s="212">
        <f t="shared" ca="1" si="60"/>
        <v>1.9079999999999999</v>
      </c>
      <c r="R210" s="386"/>
      <c r="S210" s="207">
        <f t="shared" si="64"/>
        <v>1997</v>
      </c>
      <c r="T210" s="207">
        <f t="shared" si="65"/>
        <v>11</v>
      </c>
      <c r="U210" s="384" t="str">
        <f t="shared" ca="1" si="61"/>
        <v/>
      </c>
      <c r="V210" s="384" t="str">
        <f t="shared" ca="1" si="62"/>
        <v>|||||||||</v>
      </c>
      <c r="W210" s="385" t="str">
        <f t="shared" ca="1" si="63"/>
        <v>||</v>
      </c>
    </row>
    <row r="211" spans="1:23">
      <c r="A211" s="207">
        <f>+'Anexo Escurrimiento'!A221</f>
        <v>1997</v>
      </c>
      <c r="B211" s="207">
        <f>+'Anexo Escurrimiento'!B221</f>
        <v>12</v>
      </c>
      <c r="C211" s="208">
        <f>+'Anexo Escurrimiento'!O221</f>
        <v>7.0610983456772765</v>
      </c>
      <c r="D211" s="207">
        <f>+'Anexo Escurrimiento'!D221</f>
        <v>436.9</v>
      </c>
      <c r="E211" s="214">
        <f t="shared" si="52"/>
        <v>179.62</v>
      </c>
      <c r="F211" s="213">
        <f t="shared" si="52"/>
        <v>388</v>
      </c>
      <c r="G211" s="211">
        <f t="shared" si="50"/>
        <v>2.5727999999999997E-3</v>
      </c>
      <c r="H211" s="212">
        <f>+F211/100000*'Anexo Bal Hídrico'!$G$4</f>
        <v>3.492</v>
      </c>
      <c r="I211" s="212">
        <v>0</v>
      </c>
      <c r="J211" s="212">
        <f t="shared" ca="1" si="54"/>
        <v>11.205946108745167</v>
      </c>
      <c r="K211" s="212">
        <f t="shared" ca="1" si="55"/>
        <v>378.25752990033686</v>
      </c>
      <c r="L211" s="212">
        <f t="shared" ca="1" si="56"/>
        <v>336.84772463165586</v>
      </c>
      <c r="M211" s="212">
        <f t="shared" ca="1" si="57"/>
        <v>11.168209641467701</v>
      </c>
      <c r="N211" s="212">
        <f t="shared" ca="1" si="58"/>
        <v>7.6368477630678893</v>
      </c>
      <c r="O211" s="210">
        <f t="shared" ca="1" si="53"/>
        <v>295.43791936297487</v>
      </c>
      <c r="P211" s="212">
        <f t="shared" ca="1" si="59"/>
        <v>3.531361878399812</v>
      </c>
      <c r="Q211" s="212">
        <f t="shared" ca="1" si="60"/>
        <v>3.492</v>
      </c>
      <c r="R211" s="386"/>
      <c r="S211" s="207">
        <f t="shared" si="64"/>
        <v>1997</v>
      </c>
      <c r="T211" s="207">
        <f t="shared" si="65"/>
        <v>12</v>
      </c>
      <c r="U211" s="384" t="str">
        <f t="shared" ca="1" si="61"/>
        <v/>
      </c>
      <c r="V211" s="384" t="str">
        <f t="shared" ca="1" si="62"/>
        <v>|||||||||||||||||</v>
      </c>
      <c r="W211" s="385" t="str">
        <f t="shared" ca="1" si="63"/>
        <v>|||||||||||||||||</v>
      </c>
    </row>
    <row r="212" spans="1:23">
      <c r="A212" s="207">
        <f>+'Anexo Escurrimiento'!A222</f>
        <v>1998</v>
      </c>
      <c r="B212" s="207">
        <f>+'Anexo Escurrimiento'!B222</f>
        <v>1</v>
      </c>
      <c r="C212" s="208">
        <f>+'Anexo Escurrimiento'!O222</f>
        <v>7.8953274343088387</v>
      </c>
      <c r="D212" s="207">
        <f>+'Anexo Escurrimiento'!D222</f>
        <v>449.7</v>
      </c>
      <c r="E212" s="214">
        <f t="shared" si="52"/>
        <v>176.89</v>
      </c>
      <c r="F212" s="213">
        <f t="shared" si="52"/>
        <v>318</v>
      </c>
      <c r="G212" s="211">
        <f t="shared" si="50"/>
        <v>2.7281000000000002E-3</v>
      </c>
      <c r="H212" s="212">
        <f>+F212/100000*'Anexo Bal Hídrico'!$G$4</f>
        <v>2.8620000000000001</v>
      </c>
      <c r="I212" s="212">
        <v>0</v>
      </c>
      <c r="J212" s="212">
        <f t="shared" ca="1" si="54"/>
        <v>12.670175197376727</v>
      </c>
      <c r="K212" s="212">
        <f t="shared" ca="1" si="55"/>
        <v>409.4097469538562</v>
      </c>
      <c r="L212" s="212">
        <f t="shared" ca="1" si="56"/>
        <v>352.4238331584155</v>
      </c>
      <c r="M212" s="212">
        <f t="shared" ca="1" si="57"/>
        <v>12.573637273178969</v>
      </c>
      <c r="N212" s="212">
        <f t="shared" ca="1" si="58"/>
        <v>7.6368477630678893</v>
      </c>
      <c r="O212" s="210">
        <f t="shared" ca="1" si="53"/>
        <v>295.43791936297487</v>
      </c>
      <c r="P212" s="212">
        <f t="shared" ca="1" si="59"/>
        <v>4.9367895101110797</v>
      </c>
      <c r="Q212" s="212">
        <f t="shared" ca="1" si="60"/>
        <v>2.8620000000000001</v>
      </c>
      <c r="R212" s="386"/>
      <c r="S212" s="207">
        <f t="shared" si="64"/>
        <v>1998</v>
      </c>
      <c r="T212" s="207">
        <f t="shared" si="65"/>
        <v>1</v>
      </c>
      <c r="U212" s="384" t="str">
        <f t="shared" ca="1" si="61"/>
        <v/>
      </c>
      <c r="V212" s="384" t="str">
        <f t="shared" ca="1" si="62"/>
        <v>||||||||||||||</v>
      </c>
      <c r="W212" s="385" t="str">
        <f t="shared" ca="1" si="63"/>
        <v>||||||||||||||||||||||||</v>
      </c>
    </row>
    <row r="213" spans="1:23">
      <c r="A213" s="207">
        <f>+'Anexo Escurrimiento'!A223</f>
        <v>1998</v>
      </c>
      <c r="B213" s="207">
        <f>+'Anexo Escurrimiento'!B223</f>
        <v>2</v>
      </c>
      <c r="C213" s="208">
        <f>+'Anexo Escurrimiento'!O223</f>
        <v>3.5880927394766715</v>
      </c>
      <c r="D213" s="207">
        <f>+'Anexo Escurrimiento'!D223</f>
        <v>205.7</v>
      </c>
      <c r="E213" s="214">
        <f t="shared" ref="E213:F232" si="66">+E201</f>
        <v>131.73999999999998</v>
      </c>
      <c r="F213" s="213">
        <f t="shared" si="66"/>
        <v>153</v>
      </c>
      <c r="G213" s="211">
        <f t="shared" si="50"/>
        <v>7.3960000000000009E-4</v>
      </c>
      <c r="H213" s="212">
        <f>+F213/100000*'Anexo Bal Hídrico'!$G$4</f>
        <v>1.377</v>
      </c>
      <c r="I213" s="212">
        <v>0</v>
      </c>
      <c r="J213" s="212">
        <f t="shared" ca="1" si="54"/>
        <v>9.8479405025445601</v>
      </c>
      <c r="K213" s="212">
        <f t="shared" ca="1" si="55"/>
        <v>348.0426917443595</v>
      </c>
      <c r="L213" s="212">
        <f t="shared" ca="1" si="56"/>
        <v>321.74030555366721</v>
      </c>
      <c r="M213" s="212">
        <f t="shared" ca="1" si="57"/>
        <v>9.6469513228917041</v>
      </c>
      <c r="N213" s="212">
        <f t="shared" ca="1" si="58"/>
        <v>7.6368477630678893</v>
      </c>
      <c r="O213" s="210">
        <f t="shared" ca="1" si="53"/>
        <v>295.43791936297487</v>
      </c>
      <c r="P213" s="212">
        <f t="shared" ca="1" si="59"/>
        <v>2.0101035598238148</v>
      </c>
      <c r="Q213" s="212">
        <f t="shared" ca="1" si="60"/>
        <v>1.377</v>
      </c>
      <c r="R213" s="386"/>
      <c r="S213" s="207">
        <f t="shared" si="64"/>
        <v>1998</v>
      </c>
      <c r="T213" s="207">
        <f t="shared" si="65"/>
        <v>2</v>
      </c>
      <c r="U213" s="384" t="str">
        <f t="shared" ca="1" si="61"/>
        <v/>
      </c>
      <c r="V213" s="384" t="str">
        <f t="shared" ca="1" si="62"/>
        <v>||||||</v>
      </c>
      <c r="W213" s="385" t="str">
        <f t="shared" ca="1" si="63"/>
        <v>||||||||||</v>
      </c>
    </row>
    <row r="214" spans="1:23">
      <c r="A214" s="207">
        <f>+'Anexo Escurrimiento'!A224</f>
        <v>1998</v>
      </c>
      <c r="B214" s="207">
        <f>+'Anexo Escurrimiento'!B224</f>
        <v>3</v>
      </c>
      <c r="C214" s="208">
        <f>+'Anexo Escurrimiento'!O224</f>
        <v>4.9682294139700245</v>
      </c>
      <c r="D214" s="207">
        <f>+'Anexo Escurrimiento'!D224</f>
        <v>299.2</v>
      </c>
      <c r="E214" s="214">
        <f t="shared" si="66"/>
        <v>118.64999999999999</v>
      </c>
      <c r="F214" s="213">
        <f t="shared" si="66"/>
        <v>47</v>
      </c>
      <c r="G214" s="211">
        <f t="shared" si="50"/>
        <v>1.8055E-3</v>
      </c>
      <c r="H214" s="212">
        <f>+F214/100000*'Anexo Bal Hídrico'!$G$4</f>
        <v>0.42299999999999999</v>
      </c>
      <c r="I214" s="212">
        <v>0</v>
      </c>
      <c r="J214" s="212">
        <f t="shared" ca="1" si="54"/>
        <v>12.182077177037913</v>
      </c>
      <c r="K214" s="212">
        <f t="shared" ca="1" si="55"/>
        <v>399.17489425274516</v>
      </c>
      <c r="L214" s="212">
        <f t="shared" ca="1" si="56"/>
        <v>347.30640680786001</v>
      </c>
      <c r="M214" s="212">
        <f t="shared" ca="1" si="57"/>
        <v>12.153056040551158</v>
      </c>
      <c r="N214" s="212">
        <f t="shared" ca="1" si="58"/>
        <v>7.6368477630678893</v>
      </c>
      <c r="O214" s="210">
        <f t="shared" ca="1" si="53"/>
        <v>295.43791936297487</v>
      </c>
      <c r="P214" s="212">
        <f t="shared" ca="1" si="59"/>
        <v>4.516208277483269</v>
      </c>
      <c r="Q214" s="212">
        <f t="shared" ca="1" si="60"/>
        <v>0.42299999999999999</v>
      </c>
      <c r="R214" s="386"/>
      <c r="S214" s="207">
        <f t="shared" si="64"/>
        <v>1998</v>
      </c>
      <c r="T214" s="207">
        <f t="shared" si="65"/>
        <v>3</v>
      </c>
      <c r="U214" s="384" t="str">
        <f t="shared" ca="1" si="61"/>
        <v/>
      </c>
      <c r="V214" s="384" t="str">
        <f t="shared" ca="1" si="62"/>
        <v>||</v>
      </c>
      <c r="W214" s="385" t="str">
        <f t="shared" ca="1" si="63"/>
        <v>||||||||||||||||||||||</v>
      </c>
    </row>
    <row r="215" spans="1:23">
      <c r="A215" s="207">
        <f>+'Anexo Escurrimiento'!A225</f>
        <v>1998</v>
      </c>
      <c r="B215" s="207">
        <f>+'Anexo Escurrimiento'!B225</f>
        <v>4</v>
      </c>
      <c r="C215" s="208">
        <f>+'Anexo Escurrimiento'!O225</f>
        <v>5.8550879681411914</v>
      </c>
      <c r="D215" s="207">
        <f>+'Anexo Escurrimiento'!D225</f>
        <v>301.2</v>
      </c>
      <c r="E215" s="214">
        <f t="shared" si="66"/>
        <v>73.149999999999991</v>
      </c>
      <c r="F215" s="213">
        <f t="shared" si="66"/>
        <v>0</v>
      </c>
      <c r="G215" s="211">
        <f t="shared" si="50"/>
        <v>2.2805E-3</v>
      </c>
      <c r="H215" s="212">
        <f>+F215/100000*'Anexo Bal Hídrico'!$G$4</f>
        <v>0</v>
      </c>
      <c r="I215" s="212">
        <v>0</v>
      </c>
      <c r="J215" s="212">
        <f t="shared" ca="1" si="54"/>
        <v>13.491935731209081</v>
      </c>
      <c r="K215" s="212">
        <f t="shared" ca="1" si="55"/>
        <v>426.33009554487717</v>
      </c>
      <c r="L215" s="212">
        <f t="shared" ca="1" si="56"/>
        <v>360.88400745392602</v>
      </c>
      <c r="M215" s="212">
        <f t="shared" ca="1" si="57"/>
        <v>13.511506763463251</v>
      </c>
      <c r="N215" s="212">
        <f t="shared" ca="1" si="58"/>
        <v>7.6368477630678893</v>
      </c>
      <c r="O215" s="210">
        <f t="shared" ca="1" si="53"/>
        <v>295.43791936297487</v>
      </c>
      <c r="P215" s="212">
        <f t="shared" ca="1" si="59"/>
        <v>5.8746590003953614</v>
      </c>
      <c r="Q215" s="212">
        <f t="shared" ca="1" si="60"/>
        <v>0</v>
      </c>
      <c r="R215" s="386"/>
      <c r="S215" s="207">
        <f t="shared" si="64"/>
        <v>1998</v>
      </c>
      <c r="T215" s="207">
        <f t="shared" si="65"/>
        <v>4</v>
      </c>
      <c r="U215" s="384" t="str">
        <f t="shared" ca="1" si="61"/>
        <v/>
      </c>
      <c r="V215" s="384" t="str">
        <f t="shared" ca="1" si="62"/>
        <v/>
      </c>
      <c r="W215" s="385" t="str">
        <f t="shared" ca="1" si="63"/>
        <v>|||||||||||||||||||||||||||||</v>
      </c>
    </row>
    <row r="216" spans="1:23">
      <c r="A216" s="207">
        <f>+'Anexo Escurrimiento'!A226</f>
        <v>1998</v>
      </c>
      <c r="B216" s="207">
        <f>+'Anexo Escurrimiento'!B226</f>
        <v>5</v>
      </c>
      <c r="C216" s="208">
        <f>+'Anexo Escurrimiento'!O226</f>
        <v>2.7954028888846847</v>
      </c>
      <c r="D216" s="207">
        <f>+'Anexo Escurrimiento'!D226</f>
        <v>129.30000000000001</v>
      </c>
      <c r="E216" s="214">
        <f t="shared" si="66"/>
        <v>51.24</v>
      </c>
      <c r="F216" s="213">
        <f t="shared" si="66"/>
        <v>0</v>
      </c>
      <c r="G216" s="211">
        <f t="shared" si="50"/>
        <v>7.806E-4</v>
      </c>
      <c r="H216" s="212">
        <f>+F216/100000*'Anexo Bal Hídrico'!$G$4</f>
        <v>0</v>
      </c>
      <c r="I216" s="212">
        <v>0</v>
      </c>
      <c r="J216" s="212">
        <f t="shared" ca="1" si="54"/>
        <v>10.432250651952574</v>
      </c>
      <c r="K216" s="212">
        <f t="shared" ca="1" si="55"/>
        <v>361.2139493951546</v>
      </c>
      <c r="L216" s="212">
        <f t="shared" ca="1" si="56"/>
        <v>328.32593437906473</v>
      </c>
      <c r="M216" s="212">
        <f t="shared" ca="1" si="57"/>
        <v>10.339567250679062</v>
      </c>
      <c r="N216" s="212">
        <f t="shared" ca="1" si="58"/>
        <v>7.6368477630678893</v>
      </c>
      <c r="O216" s="210">
        <f t="shared" ca="1" si="53"/>
        <v>295.43791936297487</v>
      </c>
      <c r="P216" s="212">
        <f t="shared" ca="1" si="59"/>
        <v>2.7027194876111729</v>
      </c>
      <c r="Q216" s="212">
        <f t="shared" ca="1" si="60"/>
        <v>0</v>
      </c>
      <c r="R216" s="386"/>
      <c r="S216" s="207">
        <f t="shared" si="64"/>
        <v>1998</v>
      </c>
      <c r="T216" s="207">
        <f t="shared" si="65"/>
        <v>5</v>
      </c>
      <c r="U216" s="384" t="str">
        <f t="shared" ca="1" si="61"/>
        <v/>
      </c>
      <c r="V216" s="384" t="str">
        <f t="shared" ca="1" si="62"/>
        <v/>
      </c>
      <c r="W216" s="385" t="str">
        <f t="shared" ca="1" si="63"/>
        <v>|||||||||||||</v>
      </c>
    </row>
    <row r="217" spans="1:23">
      <c r="A217" s="207">
        <f>+'Anexo Escurrimiento'!A227</f>
        <v>1998</v>
      </c>
      <c r="B217" s="207">
        <f>+'Anexo Escurrimiento'!B227</f>
        <v>6</v>
      </c>
      <c r="C217" s="208">
        <f>+'Anexo Escurrimiento'!O227</f>
        <v>4.3011689228409962</v>
      </c>
      <c r="D217" s="207">
        <f>+'Anexo Escurrimiento'!D227</f>
        <v>219.1</v>
      </c>
      <c r="E217" s="214">
        <f t="shared" si="66"/>
        <v>41.019999999999996</v>
      </c>
      <c r="F217" s="213">
        <f t="shared" si="66"/>
        <v>0</v>
      </c>
      <c r="G217" s="211">
        <f t="shared" si="50"/>
        <v>1.7807999999999999E-3</v>
      </c>
      <c r="H217" s="212">
        <f>+F217/100000*'Anexo Bal Hídrico'!$G$4</f>
        <v>0</v>
      </c>
      <c r="I217" s="212">
        <v>0</v>
      </c>
      <c r="J217" s="212">
        <f t="shared" ca="1" si="54"/>
        <v>11.938016685908885</v>
      </c>
      <c r="K217" s="212">
        <f t="shared" ca="1" si="55"/>
        <v>394.00264168538263</v>
      </c>
      <c r="L217" s="212">
        <f t="shared" ca="1" si="56"/>
        <v>344.72028052417875</v>
      </c>
      <c r="M217" s="212">
        <f t="shared" ca="1" si="57"/>
        <v>11.988130242963063</v>
      </c>
      <c r="N217" s="212">
        <f t="shared" ca="1" si="58"/>
        <v>7.6368477630678893</v>
      </c>
      <c r="O217" s="210">
        <f t="shared" ca="1" si="53"/>
        <v>295.43791936297487</v>
      </c>
      <c r="P217" s="212">
        <f t="shared" ca="1" si="59"/>
        <v>4.3512824798951737</v>
      </c>
      <c r="Q217" s="212">
        <f t="shared" ca="1" si="60"/>
        <v>0</v>
      </c>
      <c r="R217" s="386"/>
      <c r="S217" s="207">
        <f t="shared" si="64"/>
        <v>1998</v>
      </c>
      <c r="T217" s="207">
        <f t="shared" si="65"/>
        <v>6</v>
      </c>
      <c r="U217" s="384" t="str">
        <f t="shared" ca="1" si="61"/>
        <v/>
      </c>
      <c r="V217" s="384" t="str">
        <f t="shared" ca="1" si="62"/>
        <v/>
      </c>
      <c r="W217" s="385" t="str">
        <f t="shared" ca="1" si="63"/>
        <v>|||||||||||||||||||||</v>
      </c>
    </row>
    <row r="218" spans="1:23">
      <c r="A218" s="207">
        <f>+'Anexo Escurrimiento'!A228</f>
        <v>1998</v>
      </c>
      <c r="B218" s="207">
        <f>+'Anexo Escurrimiento'!B228</f>
        <v>7</v>
      </c>
      <c r="C218" s="208">
        <f>+'Anexo Escurrimiento'!O228</f>
        <v>2.8647837656870787</v>
      </c>
      <c r="D218" s="207">
        <f>+'Anexo Escurrimiento'!D228</f>
        <v>129.1</v>
      </c>
      <c r="E218" s="214">
        <f t="shared" si="66"/>
        <v>50.819999999999993</v>
      </c>
      <c r="F218" s="213">
        <f t="shared" si="66"/>
        <v>0</v>
      </c>
      <c r="G218" s="211">
        <f t="shared" si="50"/>
        <v>7.8280000000000005E-4</v>
      </c>
      <c r="H218" s="212">
        <f>+F218/100000*'Anexo Bal Hídrico'!$G$4</f>
        <v>0</v>
      </c>
      <c r="I218" s="212">
        <v>0</v>
      </c>
      <c r="J218" s="212">
        <f t="shared" ca="1" si="54"/>
        <v>10.501631528754968</v>
      </c>
      <c r="K218" s="212">
        <f t="shared" ca="1" si="55"/>
        <v>362.76025808488629</v>
      </c>
      <c r="L218" s="212">
        <f t="shared" ca="1" si="56"/>
        <v>329.09908872393055</v>
      </c>
      <c r="M218" s="212">
        <f t="shared" ca="1" si="57"/>
        <v>10.4007720723363</v>
      </c>
      <c r="N218" s="212">
        <f t="shared" ca="1" si="58"/>
        <v>7.6368477630678893</v>
      </c>
      <c r="O218" s="210">
        <f t="shared" ca="1" si="53"/>
        <v>295.43791936297487</v>
      </c>
      <c r="P218" s="212">
        <f t="shared" ca="1" si="59"/>
        <v>2.7639243092684112</v>
      </c>
      <c r="Q218" s="212">
        <f t="shared" ca="1" si="60"/>
        <v>0</v>
      </c>
      <c r="R218" s="386"/>
      <c r="S218" s="207">
        <f t="shared" si="64"/>
        <v>1998</v>
      </c>
      <c r="T218" s="207">
        <f t="shared" si="65"/>
        <v>7</v>
      </c>
      <c r="U218" s="384" t="str">
        <f t="shared" ca="1" si="61"/>
        <v/>
      </c>
      <c r="V218" s="384" t="str">
        <f t="shared" ca="1" si="62"/>
        <v/>
      </c>
      <c r="W218" s="385" t="str">
        <f t="shared" ca="1" si="63"/>
        <v>|||||||||||||</v>
      </c>
    </row>
    <row r="219" spans="1:23">
      <c r="A219" s="207">
        <f>+'Anexo Escurrimiento'!A229</f>
        <v>1998</v>
      </c>
      <c r="B219" s="207">
        <f>+'Anexo Escurrimiento'!B229</f>
        <v>8</v>
      </c>
      <c r="C219" s="208">
        <f>+'Anexo Escurrimiento'!O229</f>
        <v>0.99571820744324291</v>
      </c>
      <c r="D219" s="207">
        <f>+'Anexo Escurrimiento'!D229</f>
        <v>46.4</v>
      </c>
      <c r="E219" s="214">
        <f t="shared" si="66"/>
        <v>72.449999999999989</v>
      </c>
      <c r="F219" s="213">
        <f t="shared" si="66"/>
        <v>0</v>
      </c>
      <c r="G219" s="211">
        <f t="shared" si="50"/>
        <v>-2.6049999999999988E-4</v>
      </c>
      <c r="H219" s="212">
        <f>+F219/100000*'Anexo Bal Hídrico'!$G$4</f>
        <v>0</v>
      </c>
      <c r="I219" s="212">
        <v>0</v>
      </c>
      <c r="J219" s="212">
        <f t="shared" ca="1" si="54"/>
        <v>8.6325659705111324</v>
      </c>
      <c r="K219" s="212">
        <f t="shared" ca="1" si="55"/>
        <v>319.71795571467243</v>
      </c>
      <c r="L219" s="212">
        <f t="shared" ca="1" si="56"/>
        <v>307.57793753882368</v>
      </c>
      <c r="M219" s="212">
        <f t="shared" ca="1" si="57"/>
        <v>8.4359928863696272</v>
      </c>
      <c r="N219" s="212">
        <f t="shared" ca="1" si="58"/>
        <v>7.6368477630678893</v>
      </c>
      <c r="O219" s="210">
        <f t="shared" ca="1" si="53"/>
        <v>295.43791936297487</v>
      </c>
      <c r="P219" s="212">
        <f t="shared" ca="1" si="59"/>
        <v>0.79914512330173793</v>
      </c>
      <c r="Q219" s="212">
        <f t="shared" ca="1" si="60"/>
        <v>0</v>
      </c>
      <c r="R219" s="386"/>
      <c r="S219" s="207">
        <f t="shared" si="64"/>
        <v>1998</v>
      </c>
      <c r="T219" s="207">
        <f t="shared" si="65"/>
        <v>8</v>
      </c>
      <c r="U219" s="384" t="str">
        <f t="shared" ca="1" si="61"/>
        <v/>
      </c>
      <c r="V219" s="384" t="str">
        <f t="shared" ca="1" si="62"/>
        <v/>
      </c>
      <c r="W219" s="385" t="str">
        <f t="shared" ca="1" si="63"/>
        <v>|||</v>
      </c>
    </row>
    <row r="220" spans="1:23">
      <c r="A220" s="207">
        <f>+'Anexo Escurrimiento'!A230</f>
        <v>1998</v>
      </c>
      <c r="B220" s="207">
        <f>+'Anexo Escurrimiento'!B230</f>
        <v>9</v>
      </c>
      <c r="C220" s="208">
        <f>+'Anexo Escurrimiento'!O230</f>
        <v>2.7384022710393836</v>
      </c>
      <c r="D220" s="207">
        <f>+'Anexo Escurrimiento'!D230</f>
        <v>195.2</v>
      </c>
      <c r="E220" s="214">
        <f t="shared" si="66"/>
        <v>85.89</v>
      </c>
      <c r="F220" s="213">
        <f t="shared" si="66"/>
        <v>0</v>
      </c>
      <c r="G220" s="211">
        <f t="shared" si="50"/>
        <v>1.0930999999999998E-3</v>
      </c>
      <c r="H220" s="212">
        <f>+F220/100000*'Anexo Bal Hídrico'!$G$4</f>
        <v>0</v>
      </c>
      <c r="I220" s="212">
        <v>0</v>
      </c>
      <c r="J220" s="212">
        <f t="shared" ca="1" si="54"/>
        <v>10.375250034107273</v>
      </c>
      <c r="K220" s="212">
        <f t="shared" ca="1" si="55"/>
        <v>359.94082474262416</v>
      </c>
      <c r="L220" s="212">
        <f t="shared" ca="1" si="56"/>
        <v>327.68937205279951</v>
      </c>
      <c r="M220" s="212">
        <f t="shared" ca="1" si="57"/>
        <v>10.392251347297103</v>
      </c>
      <c r="N220" s="212">
        <f t="shared" ca="1" si="58"/>
        <v>7.6368477630678893</v>
      </c>
      <c r="O220" s="210">
        <f t="shared" ca="1" si="53"/>
        <v>295.43791936297487</v>
      </c>
      <c r="P220" s="212">
        <f t="shared" ca="1" si="59"/>
        <v>2.7554035842292137</v>
      </c>
      <c r="Q220" s="212">
        <f t="shared" ca="1" si="60"/>
        <v>0</v>
      </c>
      <c r="R220" s="386"/>
      <c r="S220" s="207">
        <f t="shared" si="64"/>
        <v>1998</v>
      </c>
      <c r="T220" s="207">
        <f t="shared" si="65"/>
        <v>9</v>
      </c>
      <c r="U220" s="384" t="str">
        <f t="shared" ca="1" si="61"/>
        <v/>
      </c>
      <c r="V220" s="384" t="str">
        <f t="shared" ca="1" si="62"/>
        <v/>
      </c>
      <c r="W220" s="385" t="str">
        <f t="shared" ca="1" si="63"/>
        <v>|||||||||||||</v>
      </c>
    </row>
    <row r="221" spans="1:23">
      <c r="A221" s="207">
        <f>+'Anexo Escurrimiento'!A231</f>
        <v>1998</v>
      </c>
      <c r="B221" s="207">
        <f>+'Anexo Escurrimiento'!B231</f>
        <v>10</v>
      </c>
      <c r="C221" s="208">
        <f>+'Anexo Escurrimiento'!O231</f>
        <v>0.81418534234094764</v>
      </c>
      <c r="D221" s="207">
        <f>+'Anexo Escurrimiento'!D231</f>
        <v>33.5</v>
      </c>
      <c r="E221" s="214">
        <f t="shared" si="66"/>
        <v>114.86999999999999</v>
      </c>
      <c r="F221" s="213">
        <f t="shared" si="66"/>
        <v>59</v>
      </c>
      <c r="G221" s="211">
        <f t="shared" si="50"/>
        <v>-8.1369999999999988E-4</v>
      </c>
      <c r="H221" s="212">
        <f>+F221/100000*'Anexo Bal Hídrico'!$G$4</f>
        <v>0.53100000000000003</v>
      </c>
      <c r="I221" s="212">
        <v>0</v>
      </c>
      <c r="J221" s="212">
        <f t="shared" ca="1" si="54"/>
        <v>7.9200331054088364</v>
      </c>
      <c r="K221" s="212">
        <f t="shared" ca="1" si="55"/>
        <v>302.45214603299007</v>
      </c>
      <c r="L221" s="212">
        <f t="shared" ca="1" si="56"/>
        <v>298.94503269798247</v>
      </c>
      <c r="M221" s="212">
        <f t="shared" ca="1" si="57"/>
        <v>7.5842352723069242</v>
      </c>
      <c r="N221" s="212">
        <f t="shared" ca="1" si="58"/>
        <v>7.5842352723069242</v>
      </c>
      <c r="O221" s="210">
        <f t="shared" ca="1" si="53"/>
        <v>294.12464223715892</v>
      </c>
      <c r="P221" s="212">
        <f t="shared" ca="1" si="59"/>
        <v>0</v>
      </c>
      <c r="Q221" s="212">
        <f t="shared" ca="1" si="60"/>
        <v>0.53100000000000003</v>
      </c>
      <c r="R221" s="386"/>
      <c r="S221" s="207">
        <f t="shared" si="64"/>
        <v>1998</v>
      </c>
      <c r="T221" s="207">
        <f t="shared" si="65"/>
        <v>10</v>
      </c>
      <c r="U221" s="384" t="str">
        <f t="shared" ca="1" si="61"/>
        <v/>
      </c>
      <c r="V221" s="384" t="str">
        <f t="shared" ca="1" si="62"/>
        <v>||</v>
      </c>
      <c r="W221" s="385" t="str">
        <f t="shared" ca="1" si="63"/>
        <v/>
      </c>
    </row>
    <row r="222" spans="1:23">
      <c r="A222" s="207">
        <f>+'Anexo Escurrimiento'!A232</f>
        <v>1998</v>
      </c>
      <c r="B222" s="207">
        <f>+'Anexo Escurrimiento'!B232</f>
        <v>11</v>
      </c>
      <c r="C222" s="208">
        <f>+'Anexo Escurrimiento'!O232</f>
        <v>0.92347090854610969</v>
      </c>
      <c r="D222" s="207">
        <f>+'Anexo Escurrimiento'!D232</f>
        <v>114.4</v>
      </c>
      <c r="E222" s="214">
        <f t="shared" si="66"/>
        <v>144.06</v>
      </c>
      <c r="F222" s="213">
        <f t="shared" si="66"/>
        <v>212</v>
      </c>
      <c r="G222" s="211">
        <f t="shared" si="50"/>
        <v>-2.9659999999999995E-4</v>
      </c>
      <c r="H222" s="212">
        <f>+F222/100000*'Anexo Bal Hídrico'!$G$4</f>
        <v>1.9079999999999999</v>
      </c>
      <c r="I222" s="212">
        <v>0</v>
      </c>
      <c r="J222" s="212">
        <f t="shared" ca="1" si="54"/>
        <v>6.5997061808530351</v>
      </c>
      <c r="K222" s="212">
        <f t="shared" ca="1" si="55"/>
        <v>268.91530272822303</v>
      </c>
      <c r="L222" s="212">
        <f t="shared" ca="1" si="56"/>
        <v>281.51997248269095</v>
      </c>
      <c r="M222" s="212">
        <f t="shared" ca="1" si="57"/>
        <v>6.4173573552038441</v>
      </c>
      <c r="N222" s="212">
        <f t="shared" ca="1" si="58"/>
        <v>6.4173573552038441</v>
      </c>
      <c r="O222" s="210">
        <f t="shared" ca="1" si="53"/>
        <v>264.1032426450771</v>
      </c>
      <c r="P222" s="212">
        <f t="shared" ca="1" si="59"/>
        <v>0</v>
      </c>
      <c r="Q222" s="212">
        <f t="shared" ca="1" si="60"/>
        <v>1.9079999999999999</v>
      </c>
      <c r="R222" s="386"/>
      <c r="S222" s="207">
        <f t="shared" si="64"/>
        <v>1998</v>
      </c>
      <c r="T222" s="207">
        <f t="shared" si="65"/>
        <v>11</v>
      </c>
      <c r="U222" s="384" t="str">
        <f t="shared" ca="1" si="61"/>
        <v/>
      </c>
      <c r="V222" s="384" t="str">
        <f t="shared" ca="1" si="62"/>
        <v>|||||||||</v>
      </c>
      <c r="W222" s="385" t="str">
        <f t="shared" ca="1" si="63"/>
        <v/>
      </c>
    </row>
    <row r="223" spans="1:23">
      <c r="A223" s="207">
        <f>+'Anexo Escurrimiento'!A233</f>
        <v>1998</v>
      </c>
      <c r="B223" s="207">
        <f>+'Anexo Escurrimiento'!B233</f>
        <v>12</v>
      </c>
      <c r="C223" s="208">
        <f>+'Anexo Escurrimiento'!O233</f>
        <v>0.78043345449184931</v>
      </c>
      <c r="D223" s="207">
        <f>+'Anexo Escurrimiento'!D233</f>
        <v>91.2</v>
      </c>
      <c r="E223" s="214">
        <f t="shared" si="66"/>
        <v>179.62</v>
      </c>
      <c r="F223" s="213">
        <f t="shared" si="66"/>
        <v>388</v>
      </c>
      <c r="G223" s="211">
        <f t="shared" si="50"/>
        <v>-8.8420000000000002E-4</v>
      </c>
      <c r="H223" s="212">
        <f>+F223/100000*'Anexo Bal Hídrico'!$G$4</f>
        <v>3.492</v>
      </c>
      <c r="I223" s="212">
        <v>0</v>
      </c>
      <c r="J223" s="212">
        <f t="shared" ca="1" si="54"/>
        <v>3.7057908096956931</v>
      </c>
      <c r="K223" s="212">
        <f t="shared" ca="1" si="55"/>
        <v>185.39192358408107</v>
      </c>
      <c r="L223" s="212">
        <f t="shared" ca="1" si="56"/>
        <v>224.74758311457907</v>
      </c>
      <c r="M223" s="212">
        <f t="shared" ca="1" si="57"/>
        <v>3.4403767789571873</v>
      </c>
      <c r="N223" s="212">
        <f t="shared" ca="1" si="58"/>
        <v>3.4403767789571873</v>
      </c>
      <c r="O223" s="210">
        <f t="shared" ca="1" si="53"/>
        <v>176.72239744666825</v>
      </c>
      <c r="P223" s="212">
        <f t="shared" ca="1" si="59"/>
        <v>0</v>
      </c>
      <c r="Q223" s="212">
        <f t="shared" ca="1" si="60"/>
        <v>3.492</v>
      </c>
      <c r="R223" s="386"/>
      <c r="S223" s="207">
        <f t="shared" si="64"/>
        <v>1998</v>
      </c>
      <c r="T223" s="207">
        <f t="shared" si="65"/>
        <v>12</v>
      </c>
      <c r="U223" s="384" t="str">
        <f t="shared" ca="1" si="61"/>
        <v/>
      </c>
      <c r="V223" s="384" t="str">
        <f t="shared" ca="1" si="62"/>
        <v>|||||||||||||||||</v>
      </c>
      <c r="W223" s="385" t="str">
        <f t="shared" ca="1" si="63"/>
        <v/>
      </c>
    </row>
    <row r="224" spans="1:23">
      <c r="A224" s="207">
        <f>+'Anexo Escurrimiento'!A234</f>
        <v>1999</v>
      </c>
      <c r="B224" s="207">
        <f>+'Anexo Escurrimiento'!B234</f>
        <v>1</v>
      </c>
      <c r="C224" s="208">
        <f>+'Anexo Escurrimiento'!O234</f>
        <v>0.21872461701640933</v>
      </c>
      <c r="D224" s="207">
        <f>+'Anexo Escurrimiento'!D234</f>
        <v>16.7</v>
      </c>
      <c r="E224" s="214">
        <f t="shared" si="66"/>
        <v>176.89</v>
      </c>
      <c r="F224" s="213">
        <f t="shared" si="66"/>
        <v>318</v>
      </c>
      <c r="G224" s="211">
        <f t="shared" si="50"/>
        <v>-1.6019000000000001E-3</v>
      </c>
      <c r="H224" s="212">
        <f>+F224/100000*'Anexo Bal Hídrico'!$G$4</f>
        <v>2.8620000000000001</v>
      </c>
      <c r="I224" s="212">
        <v>0</v>
      </c>
      <c r="J224" s="212">
        <f t="shared" ca="1" si="54"/>
        <v>0.79710139597359664</v>
      </c>
      <c r="K224" s="212">
        <f t="shared" ca="1" si="55"/>
        <v>68.86727994916788</v>
      </c>
      <c r="L224" s="212">
        <f t="shared" ca="1" si="56"/>
        <v>122.79483869791807</v>
      </c>
      <c r="M224" s="212">
        <f t="shared" ca="1" si="57"/>
        <v>0.59018407996005795</v>
      </c>
      <c r="N224" s="212">
        <f t="shared" ca="1" si="58"/>
        <v>0.59018407996005795</v>
      </c>
      <c r="O224" s="210">
        <f t="shared" ca="1" si="53"/>
        <v>56.740971363996394</v>
      </c>
      <c r="P224" s="212">
        <f t="shared" ca="1" si="59"/>
        <v>0</v>
      </c>
      <c r="Q224" s="212">
        <f t="shared" ca="1" si="60"/>
        <v>2.8620000000000001</v>
      </c>
      <c r="R224" s="386"/>
      <c r="S224" s="207">
        <f t="shared" si="64"/>
        <v>1999</v>
      </c>
      <c r="T224" s="207">
        <f t="shared" si="65"/>
        <v>1</v>
      </c>
      <c r="U224" s="384" t="str">
        <f t="shared" ca="1" si="61"/>
        <v/>
      </c>
      <c r="V224" s="384" t="str">
        <f t="shared" ca="1" si="62"/>
        <v>||||||||||||||</v>
      </c>
      <c r="W224" s="385" t="str">
        <f t="shared" ca="1" si="63"/>
        <v/>
      </c>
    </row>
    <row r="225" spans="1:23">
      <c r="A225" s="207">
        <f>+'Anexo Escurrimiento'!A235</f>
        <v>1999</v>
      </c>
      <c r="B225" s="207">
        <f>+'Anexo Escurrimiento'!B235</f>
        <v>2</v>
      </c>
      <c r="C225" s="208">
        <f>+'Anexo Escurrimiento'!O235</f>
        <v>1.6106490957828623</v>
      </c>
      <c r="D225" s="207">
        <f>+'Anexo Escurrimiento'!D235</f>
        <v>168.2</v>
      </c>
      <c r="E225" s="214">
        <f t="shared" si="66"/>
        <v>131.73999999999998</v>
      </c>
      <c r="F225" s="213">
        <f t="shared" si="66"/>
        <v>153</v>
      </c>
      <c r="G225" s="211">
        <f t="shared" ref="G225:G271" si="67">+(D225-E225)/100000</f>
        <v>3.6460000000000008E-4</v>
      </c>
      <c r="H225" s="212">
        <f>+F225/100000*'Anexo Bal Hídrico'!$G$4</f>
        <v>1.377</v>
      </c>
      <c r="I225" s="212">
        <v>0</v>
      </c>
      <c r="J225" s="212">
        <f t="shared" ca="1" si="54"/>
        <v>0.82383317574292003</v>
      </c>
      <c r="K225" s="212">
        <f t="shared" ca="1" si="55"/>
        <v>70.346902899290953</v>
      </c>
      <c r="L225" s="212">
        <f t="shared" ca="1" si="56"/>
        <v>63.543937131643673</v>
      </c>
      <c r="M225" s="212">
        <f t="shared" ca="1" si="57"/>
        <v>0.80808609184333613</v>
      </c>
      <c r="N225" s="212">
        <f t="shared" ca="1" si="58"/>
        <v>0.80808609184333613</v>
      </c>
      <c r="O225" s="210">
        <f t="shared" ca="1" si="53"/>
        <v>69.477393741494495</v>
      </c>
      <c r="P225" s="212">
        <f t="shared" ca="1" si="59"/>
        <v>0</v>
      </c>
      <c r="Q225" s="212">
        <f t="shared" ca="1" si="60"/>
        <v>1.377</v>
      </c>
      <c r="R225" s="386"/>
      <c r="S225" s="207">
        <f t="shared" si="64"/>
        <v>1999</v>
      </c>
      <c r="T225" s="207">
        <f t="shared" si="65"/>
        <v>2</v>
      </c>
      <c r="U225" s="384" t="str">
        <f t="shared" ca="1" si="61"/>
        <v/>
      </c>
      <c r="V225" s="384" t="str">
        <f t="shared" ca="1" si="62"/>
        <v>||||||</v>
      </c>
      <c r="W225" s="385" t="str">
        <f t="shared" ca="1" si="63"/>
        <v/>
      </c>
    </row>
    <row r="226" spans="1:23">
      <c r="A226" s="207">
        <f>+'Anexo Escurrimiento'!A236</f>
        <v>1999</v>
      </c>
      <c r="B226" s="207">
        <f>+'Anexo Escurrimiento'!B236</f>
        <v>3</v>
      </c>
      <c r="C226" s="208">
        <f>+'Anexo Escurrimiento'!O236</f>
        <v>0.74465444644105538</v>
      </c>
      <c r="D226" s="207">
        <f>+'Anexo Escurrimiento'!D236</f>
        <v>55.6</v>
      </c>
      <c r="E226" s="214">
        <f t="shared" si="66"/>
        <v>118.64999999999999</v>
      </c>
      <c r="F226" s="213">
        <f t="shared" si="66"/>
        <v>47</v>
      </c>
      <c r="G226" s="211">
        <f t="shared" si="67"/>
        <v>-6.3049999999999988E-4</v>
      </c>
      <c r="H226" s="212">
        <f>+F226/100000*'Anexo Bal Hídrico'!$G$4</f>
        <v>0.42299999999999999</v>
      </c>
      <c r="I226" s="212">
        <v>0</v>
      </c>
      <c r="J226" s="212">
        <f t="shared" ca="1" si="54"/>
        <v>1.1297405382843915</v>
      </c>
      <c r="K226" s="212">
        <f t="shared" ca="1" si="55"/>
        <v>86.222984982595037</v>
      </c>
      <c r="L226" s="212">
        <f t="shared" ca="1" si="56"/>
        <v>77.850189362044773</v>
      </c>
      <c r="M226" s="212">
        <f t="shared" ca="1" si="57"/>
        <v>1.0586136023841224</v>
      </c>
      <c r="N226" s="212">
        <f t="shared" ca="1" si="58"/>
        <v>1.0586136023841224</v>
      </c>
      <c r="O226" s="210">
        <f t="shared" ca="1" si="53"/>
        <v>82.684343196660308</v>
      </c>
      <c r="P226" s="212">
        <f t="shared" ca="1" si="59"/>
        <v>0</v>
      </c>
      <c r="Q226" s="212">
        <f t="shared" ca="1" si="60"/>
        <v>0.42299999999999999</v>
      </c>
      <c r="R226" s="386"/>
      <c r="S226" s="207">
        <f t="shared" si="64"/>
        <v>1999</v>
      </c>
      <c r="T226" s="207">
        <f t="shared" si="65"/>
        <v>3</v>
      </c>
      <c r="U226" s="384" t="str">
        <f t="shared" ca="1" si="61"/>
        <v/>
      </c>
      <c r="V226" s="384" t="str">
        <f t="shared" ca="1" si="62"/>
        <v>||</v>
      </c>
      <c r="W226" s="385" t="str">
        <f t="shared" ca="1" si="63"/>
        <v/>
      </c>
    </row>
    <row r="227" spans="1:23">
      <c r="A227" s="207">
        <f>+'Anexo Escurrimiento'!A237</f>
        <v>1999</v>
      </c>
      <c r="B227" s="207">
        <f>+'Anexo Escurrimiento'!B237</f>
        <v>4</v>
      </c>
      <c r="C227" s="208">
        <f>+'Anexo Escurrimiento'!O237</f>
        <v>1.9126080506193481</v>
      </c>
      <c r="D227" s="207">
        <f>+'Anexo Escurrimiento'!D237</f>
        <v>151</v>
      </c>
      <c r="E227" s="214">
        <f t="shared" si="66"/>
        <v>73.149999999999991</v>
      </c>
      <c r="F227" s="213">
        <f t="shared" si="66"/>
        <v>0</v>
      </c>
      <c r="G227" s="211">
        <f t="shared" si="67"/>
        <v>7.7850000000000011E-4</v>
      </c>
      <c r="H227" s="212">
        <f>+F227/100000*'Anexo Bal Hídrico'!$G$4</f>
        <v>0</v>
      </c>
      <c r="I227" s="212">
        <v>0</v>
      </c>
      <c r="J227" s="212">
        <f t="shared" ca="1" si="54"/>
        <v>2.9712216530034707</v>
      </c>
      <c r="K227" s="212">
        <f t="shared" ca="1" si="55"/>
        <v>160.79017733830051</v>
      </c>
      <c r="L227" s="212">
        <f t="shared" ca="1" si="56"/>
        <v>121.73726026748041</v>
      </c>
      <c r="M227" s="212">
        <f t="shared" ca="1" si="57"/>
        <v>2.9774634393810477</v>
      </c>
      <c r="N227" s="212">
        <f t="shared" ca="1" si="58"/>
        <v>2.9774634393810477</v>
      </c>
      <c r="O227" s="210">
        <f t="shared" ca="1" si="53"/>
        <v>161.00777461463969</v>
      </c>
      <c r="P227" s="212">
        <f t="shared" ca="1" si="59"/>
        <v>0</v>
      </c>
      <c r="Q227" s="212">
        <f t="shared" ca="1" si="60"/>
        <v>0</v>
      </c>
      <c r="R227" s="386"/>
      <c r="S227" s="207">
        <f t="shared" si="64"/>
        <v>1999</v>
      </c>
      <c r="T227" s="207">
        <f t="shared" si="65"/>
        <v>4</v>
      </c>
      <c r="U227" s="384" t="str">
        <f t="shared" ca="1" si="61"/>
        <v/>
      </c>
      <c r="V227" s="384" t="str">
        <f t="shared" ca="1" si="62"/>
        <v/>
      </c>
      <c r="W227" s="385" t="str">
        <f t="shared" ca="1" si="63"/>
        <v/>
      </c>
    </row>
    <row r="228" spans="1:23">
      <c r="A228" s="207">
        <f>+'Anexo Escurrimiento'!A238</f>
        <v>1999</v>
      </c>
      <c r="B228" s="207">
        <f>+'Anexo Escurrimiento'!B238</f>
        <v>5</v>
      </c>
      <c r="C228" s="208">
        <f>+'Anexo Escurrimiento'!O238</f>
        <v>1.0319578447879716</v>
      </c>
      <c r="D228" s="207">
        <f>+'Anexo Escurrimiento'!D238</f>
        <v>59.8</v>
      </c>
      <c r="E228" s="214">
        <f t="shared" si="66"/>
        <v>51.24</v>
      </c>
      <c r="F228" s="213">
        <f t="shared" si="66"/>
        <v>0</v>
      </c>
      <c r="G228" s="211">
        <f t="shared" si="67"/>
        <v>8.5599999999999953E-5</v>
      </c>
      <c r="H228" s="212">
        <f>+F228/100000*'Anexo Bal Hídrico'!$G$4</f>
        <v>0</v>
      </c>
      <c r="I228" s="212">
        <v>0</v>
      </c>
      <c r="J228" s="212">
        <f t="shared" ca="1" si="54"/>
        <v>4.0094212841690196</v>
      </c>
      <c r="K228" s="212">
        <f t="shared" ca="1" si="55"/>
        <v>195.04335207213154</v>
      </c>
      <c r="L228" s="212">
        <f t="shared" ca="1" si="56"/>
        <v>178.02556334338561</v>
      </c>
      <c r="M228" s="212">
        <f t="shared" ca="1" si="57"/>
        <v>3.9548067071193485</v>
      </c>
      <c r="N228" s="212">
        <f t="shared" ca="1" si="58"/>
        <v>3.9548067071193485</v>
      </c>
      <c r="O228" s="210">
        <f t="shared" ca="1" si="53"/>
        <v>193.32703649225002</v>
      </c>
      <c r="P228" s="212">
        <f t="shared" ca="1" si="59"/>
        <v>0</v>
      </c>
      <c r="Q228" s="212">
        <f t="shared" ca="1" si="60"/>
        <v>0</v>
      </c>
      <c r="R228" s="386"/>
      <c r="S228" s="207">
        <f t="shared" si="64"/>
        <v>1999</v>
      </c>
      <c r="T228" s="207">
        <f t="shared" si="65"/>
        <v>5</v>
      </c>
      <c r="U228" s="384" t="str">
        <f t="shared" ca="1" si="61"/>
        <v/>
      </c>
      <c r="V228" s="384" t="str">
        <f t="shared" ca="1" si="62"/>
        <v/>
      </c>
      <c r="W228" s="385" t="str">
        <f t="shared" ca="1" si="63"/>
        <v/>
      </c>
    </row>
    <row r="229" spans="1:23">
      <c r="A229" s="207">
        <f>+'Anexo Escurrimiento'!A239</f>
        <v>1999</v>
      </c>
      <c r="B229" s="207">
        <f>+'Anexo Escurrimiento'!B239</f>
        <v>6</v>
      </c>
      <c r="C229" s="208">
        <f>+'Anexo Escurrimiento'!O239</f>
        <v>0.9691423471695223</v>
      </c>
      <c r="D229" s="207">
        <f>+'Anexo Escurrimiento'!D239</f>
        <v>71.400000000000006</v>
      </c>
      <c r="E229" s="214">
        <f t="shared" si="66"/>
        <v>41.019999999999996</v>
      </c>
      <c r="F229" s="213">
        <f t="shared" si="66"/>
        <v>0</v>
      </c>
      <c r="G229" s="211">
        <f t="shared" si="67"/>
        <v>3.0380000000000012E-4</v>
      </c>
      <c r="H229" s="212">
        <f>+F229/100000*'Anexo Bal Hídrico'!$G$4</f>
        <v>0</v>
      </c>
      <c r="I229" s="212">
        <v>0</v>
      </c>
      <c r="J229" s="212">
        <f t="shared" ca="1" si="54"/>
        <v>4.9239490542888706</v>
      </c>
      <c r="K229" s="212">
        <f t="shared" ca="1" si="55"/>
        <v>222.65665928103365</v>
      </c>
      <c r="L229" s="212">
        <f t="shared" ca="1" si="56"/>
        <v>207.99184788664184</v>
      </c>
      <c r="M229" s="212">
        <f t="shared" ca="1" si="57"/>
        <v>4.9104929823715144</v>
      </c>
      <c r="N229" s="212">
        <f t="shared" ca="1" si="58"/>
        <v>4.9104929823715144</v>
      </c>
      <c r="O229" s="210">
        <f t="shared" ca="1" si="53"/>
        <v>222.26434528117883</v>
      </c>
      <c r="P229" s="212">
        <f t="shared" ca="1" si="59"/>
        <v>0</v>
      </c>
      <c r="Q229" s="212">
        <f t="shared" ca="1" si="60"/>
        <v>0</v>
      </c>
      <c r="R229" s="386"/>
      <c r="S229" s="207">
        <f t="shared" si="64"/>
        <v>1999</v>
      </c>
      <c r="T229" s="207">
        <f t="shared" si="65"/>
        <v>6</v>
      </c>
      <c r="U229" s="384" t="str">
        <f t="shared" ca="1" si="61"/>
        <v/>
      </c>
      <c r="V229" s="384" t="str">
        <f t="shared" ca="1" si="62"/>
        <v/>
      </c>
      <c r="W229" s="385" t="str">
        <f t="shared" ca="1" si="63"/>
        <v/>
      </c>
    </row>
    <row r="230" spans="1:23">
      <c r="A230" s="207">
        <f>+'Anexo Escurrimiento'!A240</f>
        <v>1999</v>
      </c>
      <c r="B230" s="207">
        <f>+'Anexo Escurrimiento'!B240</f>
        <v>7</v>
      </c>
      <c r="C230" s="208">
        <f>+'Anexo Escurrimiento'!O240</f>
        <v>1.4684905011764331</v>
      </c>
      <c r="D230" s="207">
        <f>+'Anexo Escurrimiento'!D240</f>
        <v>98.3</v>
      </c>
      <c r="E230" s="214">
        <f t="shared" si="66"/>
        <v>50.819999999999993</v>
      </c>
      <c r="F230" s="213">
        <f t="shared" si="66"/>
        <v>0</v>
      </c>
      <c r="G230" s="211">
        <f t="shared" si="67"/>
        <v>4.7480000000000005E-4</v>
      </c>
      <c r="H230" s="212">
        <f>+F230/100000*'Anexo Bal Hídrico'!$G$4</f>
        <v>0</v>
      </c>
      <c r="I230" s="212">
        <v>0</v>
      </c>
      <c r="J230" s="212">
        <f t="shared" ca="1" si="54"/>
        <v>6.3789834835479473</v>
      </c>
      <c r="K230" s="212">
        <f t="shared" ca="1" si="55"/>
        <v>263.08442141964116</v>
      </c>
      <c r="L230" s="212">
        <f t="shared" ca="1" si="56"/>
        <v>242.67438335040998</v>
      </c>
      <c r="M230" s="212">
        <f t="shared" ca="1" si="57"/>
        <v>6.3587052705616101</v>
      </c>
      <c r="N230" s="212">
        <f t="shared" ca="1" si="58"/>
        <v>6.3587052705616101</v>
      </c>
      <c r="O230" s="210">
        <f t="shared" ca="1" si="53"/>
        <v>262.54515767539851</v>
      </c>
      <c r="P230" s="212">
        <f t="shared" ca="1" si="59"/>
        <v>0</v>
      </c>
      <c r="Q230" s="212">
        <f t="shared" ca="1" si="60"/>
        <v>0</v>
      </c>
      <c r="R230" s="386"/>
      <c r="S230" s="207">
        <f t="shared" si="64"/>
        <v>1999</v>
      </c>
      <c r="T230" s="207">
        <f t="shared" si="65"/>
        <v>7</v>
      </c>
      <c r="U230" s="384" t="str">
        <f t="shared" ca="1" si="61"/>
        <v/>
      </c>
      <c r="V230" s="384" t="str">
        <f t="shared" ca="1" si="62"/>
        <v/>
      </c>
      <c r="W230" s="385" t="str">
        <f t="shared" ca="1" si="63"/>
        <v/>
      </c>
    </row>
    <row r="231" spans="1:23">
      <c r="A231" s="207">
        <f>+'Anexo Escurrimiento'!A241</f>
        <v>1999</v>
      </c>
      <c r="B231" s="207">
        <f>+'Anexo Escurrimiento'!B241</f>
        <v>8</v>
      </c>
      <c r="C231" s="208">
        <f>+'Anexo Escurrimiento'!O241</f>
        <v>0.46056974024328939</v>
      </c>
      <c r="D231" s="207">
        <f>+'Anexo Escurrimiento'!D241</f>
        <v>17.899999999999999</v>
      </c>
      <c r="E231" s="214">
        <f t="shared" si="66"/>
        <v>72.449999999999989</v>
      </c>
      <c r="F231" s="213">
        <f t="shared" si="66"/>
        <v>0</v>
      </c>
      <c r="G231" s="211">
        <f t="shared" si="67"/>
        <v>-5.4549999999999987E-4</v>
      </c>
      <c r="H231" s="212">
        <f>+F231/100000*'Anexo Bal Hídrico'!$G$4</f>
        <v>0</v>
      </c>
      <c r="I231" s="212">
        <v>0</v>
      </c>
      <c r="J231" s="212">
        <f t="shared" ca="1" si="54"/>
        <v>6.8192750108048994</v>
      </c>
      <c r="K231" s="212">
        <f t="shared" ca="1" si="55"/>
        <v>274.64729421104965</v>
      </c>
      <c r="L231" s="212">
        <f t="shared" ca="1" si="56"/>
        <v>268.59622594322411</v>
      </c>
      <c r="M231" s="212">
        <f t="shared" ca="1" si="57"/>
        <v>6.6257187756315785</v>
      </c>
      <c r="N231" s="212">
        <f t="shared" ca="1" si="58"/>
        <v>6.6257187756315785</v>
      </c>
      <c r="O231" s="210">
        <f t="shared" ca="1" si="53"/>
        <v>269.59788164868053</v>
      </c>
      <c r="P231" s="212">
        <f t="shared" ca="1" si="59"/>
        <v>0</v>
      </c>
      <c r="Q231" s="212">
        <f t="shared" ca="1" si="60"/>
        <v>0</v>
      </c>
      <c r="R231" s="386"/>
      <c r="S231" s="207">
        <f t="shared" si="64"/>
        <v>1999</v>
      </c>
      <c r="T231" s="207">
        <f t="shared" si="65"/>
        <v>8</v>
      </c>
      <c r="U231" s="384" t="str">
        <f t="shared" ca="1" si="61"/>
        <v/>
      </c>
      <c r="V231" s="384" t="str">
        <f t="shared" ca="1" si="62"/>
        <v/>
      </c>
      <c r="W231" s="385" t="str">
        <f t="shared" ca="1" si="63"/>
        <v/>
      </c>
    </row>
    <row r="232" spans="1:23">
      <c r="A232" s="207">
        <f>+'Anexo Escurrimiento'!A242</f>
        <v>1999</v>
      </c>
      <c r="B232" s="207">
        <f>+'Anexo Escurrimiento'!B242</f>
        <v>9</v>
      </c>
      <c r="C232" s="208">
        <f>+'Anexo Escurrimiento'!O242</f>
        <v>0.22787781037732352</v>
      </c>
      <c r="D232" s="207">
        <f>+'Anexo Escurrimiento'!D242</f>
        <v>40.700000000000003</v>
      </c>
      <c r="E232" s="214">
        <f t="shared" si="66"/>
        <v>85.89</v>
      </c>
      <c r="F232" s="213">
        <f t="shared" si="66"/>
        <v>0</v>
      </c>
      <c r="G232" s="211">
        <f t="shared" si="67"/>
        <v>-4.5189999999999998E-4</v>
      </c>
      <c r="H232" s="212">
        <f>+F232/100000*'Anexo Bal Hídrico'!$G$4</f>
        <v>0</v>
      </c>
      <c r="I232" s="212">
        <v>0</v>
      </c>
      <c r="J232" s="212">
        <f t="shared" ca="1" si="54"/>
        <v>6.8535965860089023</v>
      </c>
      <c r="K232" s="212">
        <f t="shared" ca="1" si="55"/>
        <v>275.53731183960167</v>
      </c>
      <c r="L232" s="212">
        <f t="shared" ca="1" si="56"/>
        <v>272.5675967441411</v>
      </c>
      <c r="M232" s="212">
        <f t="shared" ca="1" si="57"/>
        <v>6.7068065182699339</v>
      </c>
      <c r="N232" s="212">
        <f t="shared" ca="1" si="58"/>
        <v>6.7068065182699339</v>
      </c>
      <c r="O232" s="210">
        <f t="shared" ca="1" si="53"/>
        <v>271.71956277068523</v>
      </c>
      <c r="P232" s="212">
        <f t="shared" ca="1" si="59"/>
        <v>0</v>
      </c>
      <c r="Q232" s="212">
        <f t="shared" ca="1" si="60"/>
        <v>0</v>
      </c>
      <c r="R232" s="386"/>
      <c r="S232" s="207">
        <f t="shared" si="64"/>
        <v>1999</v>
      </c>
      <c r="T232" s="207">
        <f t="shared" si="65"/>
        <v>9</v>
      </c>
      <c r="U232" s="384" t="str">
        <f t="shared" ca="1" si="61"/>
        <v/>
      </c>
      <c r="V232" s="384" t="str">
        <f t="shared" ca="1" si="62"/>
        <v/>
      </c>
      <c r="W232" s="385" t="str">
        <f t="shared" ca="1" si="63"/>
        <v/>
      </c>
    </row>
    <row r="233" spans="1:23">
      <c r="A233" s="207">
        <f>+'Anexo Escurrimiento'!A243</f>
        <v>1999</v>
      </c>
      <c r="B233" s="207">
        <f>+'Anexo Escurrimiento'!B243</f>
        <v>10</v>
      </c>
      <c r="C233" s="208">
        <f>+'Anexo Escurrimiento'!O243</f>
        <v>0.61115697884345166</v>
      </c>
      <c r="D233" s="207">
        <f>+'Anexo Escurrimiento'!D243</f>
        <v>82.9</v>
      </c>
      <c r="E233" s="214">
        <f t="shared" ref="E233:F252" si="68">+E221</f>
        <v>114.86999999999999</v>
      </c>
      <c r="F233" s="213">
        <f t="shared" si="68"/>
        <v>59</v>
      </c>
      <c r="G233" s="211">
        <f t="shared" si="67"/>
        <v>-3.1969999999999986E-4</v>
      </c>
      <c r="H233" s="212">
        <f>+F233/100000*'Anexo Bal Hídrico'!$G$4</f>
        <v>0.53100000000000003</v>
      </c>
      <c r="I233" s="212">
        <v>0</v>
      </c>
      <c r="J233" s="212">
        <f t="shared" ca="1" si="54"/>
        <v>6.7869634971133861</v>
      </c>
      <c r="K233" s="212">
        <f t="shared" ca="1" si="55"/>
        <v>273.80794428851897</v>
      </c>
      <c r="L233" s="212">
        <f t="shared" ca="1" si="56"/>
        <v>272.76375352960213</v>
      </c>
      <c r="M233" s="212">
        <f t="shared" ca="1" si="57"/>
        <v>6.6363763351688494</v>
      </c>
      <c r="N233" s="212">
        <f t="shared" ca="1" si="58"/>
        <v>6.6363763351688494</v>
      </c>
      <c r="O233" s="210">
        <f t="shared" ca="1" si="53"/>
        <v>269.87726420655957</v>
      </c>
      <c r="P233" s="212">
        <f t="shared" ca="1" si="59"/>
        <v>0</v>
      </c>
      <c r="Q233" s="212">
        <f t="shared" ca="1" si="60"/>
        <v>0.53100000000000003</v>
      </c>
      <c r="R233" s="386"/>
      <c r="S233" s="207">
        <f t="shared" si="64"/>
        <v>1999</v>
      </c>
      <c r="T233" s="207">
        <f t="shared" si="65"/>
        <v>10</v>
      </c>
      <c r="U233" s="384" t="str">
        <f t="shared" ca="1" si="61"/>
        <v/>
      </c>
      <c r="V233" s="384" t="str">
        <f t="shared" ca="1" si="62"/>
        <v>||</v>
      </c>
      <c r="W233" s="385" t="str">
        <f t="shared" ca="1" si="63"/>
        <v/>
      </c>
    </row>
    <row r="234" spans="1:23">
      <c r="A234" s="207">
        <f>+'Anexo Escurrimiento'!A244</f>
        <v>1999</v>
      </c>
      <c r="B234" s="207">
        <f>+'Anexo Escurrimiento'!B244</f>
        <v>11</v>
      </c>
      <c r="C234" s="208">
        <f>+'Anexo Escurrimiento'!O244</f>
        <v>0.20629452361074468</v>
      </c>
      <c r="D234" s="207">
        <f>+'Anexo Escurrimiento'!D244</f>
        <v>3.5</v>
      </c>
      <c r="E234" s="214">
        <f t="shared" si="68"/>
        <v>144.06</v>
      </c>
      <c r="F234" s="213">
        <f t="shared" si="68"/>
        <v>212</v>
      </c>
      <c r="G234" s="211">
        <f t="shared" si="67"/>
        <v>-1.4056000000000001E-3</v>
      </c>
      <c r="H234" s="212">
        <f>+F234/100000*'Anexo Bal Hídrico'!$G$4</f>
        <v>1.9079999999999999</v>
      </c>
      <c r="I234" s="212">
        <v>0</v>
      </c>
      <c r="J234" s="212">
        <f t="shared" ca="1" si="54"/>
        <v>4.9346708587795938</v>
      </c>
      <c r="K234" s="212">
        <f t="shared" ca="1" si="55"/>
        <v>222.96898244625453</v>
      </c>
      <c r="L234" s="212">
        <f t="shared" ca="1" si="56"/>
        <v>246.42312332640705</v>
      </c>
      <c r="M234" s="212">
        <f t="shared" ca="1" si="57"/>
        <v>4.5689693376079301</v>
      </c>
      <c r="N234" s="212">
        <f t="shared" ca="1" si="58"/>
        <v>4.5689693376079301</v>
      </c>
      <c r="O234" s="210">
        <f t="shared" ca="1" si="53"/>
        <v>212.17510631994003</v>
      </c>
      <c r="P234" s="212">
        <f t="shared" ca="1" si="59"/>
        <v>0</v>
      </c>
      <c r="Q234" s="212">
        <f t="shared" ca="1" si="60"/>
        <v>1.9079999999999999</v>
      </c>
      <c r="R234" s="386"/>
      <c r="S234" s="207">
        <f t="shared" si="64"/>
        <v>1999</v>
      </c>
      <c r="T234" s="207">
        <f t="shared" si="65"/>
        <v>11</v>
      </c>
      <c r="U234" s="384" t="str">
        <f t="shared" ca="1" si="61"/>
        <v/>
      </c>
      <c r="V234" s="384" t="str">
        <f t="shared" ca="1" si="62"/>
        <v>|||||||||</v>
      </c>
      <c r="W234" s="385" t="str">
        <f t="shared" ca="1" si="63"/>
        <v/>
      </c>
    </row>
    <row r="235" spans="1:23">
      <c r="A235" s="207">
        <f>+'Anexo Escurrimiento'!A245</f>
        <v>1999</v>
      </c>
      <c r="B235" s="207">
        <f>+'Anexo Escurrimiento'!B245</f>
        <v>12</v>
      </c>
      <c r="C235" s="208">
        <f>+'Anexo Escurrimiento'!O245</f>
        <v>0.1007997047968858</v>
      </c>
      <c r="D235" s="207">
        <f>+'Anexo Escurrimiento'!D245</f>
        <v>37.799999999999997</v>
      </c>
      <c r="E235" s="214">
        <f t="shared" si="68"/>
        <v>179.62</v>
      </c>
      <c r="F235" s="213">
        <f t="shared" si="68"/>
        <v>388</v>
      </c>
      <c r="G235" s="211">
        <f t="shared" si="67"/>
        <v>-1.4181999999999999E-3</v>
      </c>
      <c r="H235" s="212">
        <f>+F235/100000*'Anexo Bal Hídrico'!$G$4</f>
        <v>3.492</v>
      </c>
      <c r="I235" s="212">
        <v>0</v>
      </c>
      <c r="J235" s="212">
        <f t="shared" ca="1" si="54"/>
        <v>1.1777690424048162</v>
      </c>
      <c r="K235" s="212">
        <f t="shared" ca="1" si="55"/>
        <v>88.567714260540328</v>
      </c>
      <c r="L235" s="212">
        <f t="shared" ca="1" si="56"/>
        <v>150.37141029024019</v>
      </c>
      <c r="M235" s="212">
        <f t="shared" ca="1" si="57"/>
        <v>0.95874904073912592</v>
      </c>
      <c r="N235" s="212">
        <f t="shared" ca="1" si="58"/>
        <v>0.95874904073912592</v>
      </c>
      <c r="O235" s="210">
        <f t="shared" ca="1" si="53"/>
        <v>77.56957635810511</v>
      </c>
      <c r="P235" s="212">
        <f t="shared" ca="1" si="59"/>
        <v>0</v>
      </c>
      <c r="Q235" s="212">
        <f t="shared" ca="1" si="60"/>
        <v>3.492</v>
      </c>
      <c r="R235" s="386"/>
      <c r="S235" s="207">
        <f t="shared" si="64"/>
        <v>1999</v>
      </c>
      <c r="T235" s="207">
        <f t="shared" si="65"/>
        <v>12</v>
      </c>
      <c r="U235" s="384" t="str">
        <f t="shared" ca="1" si="61"/>
        <v/>
      </c>
      <c r="V235" s="384" t="str">
        <f t="shared" ca="1" si="62"/>
        <v>|||||||||||||||||</v>
      </c>
      <c r="W235" s="385" t="str">
        <f t="shared" ca="1" si="63"/>
        <v/>
      </c>
    </row>
    <row r="236" spans="1:23">
      <c r="A236" s="207">
        <f>+'Anexo Escurrimiento'!A246</f>
        <v>2000</v>
      </c>
      <c r="B236" s="207">
        <f>+'Anexo Escurrimiento'!B246</f>
        <v>1</v>
      </c>
      <c r="C236" s="208">
        <f>+'Anexo Escurrimiento'!O246</f>
        <v>0.92575102317146174</v>
      </c>
      <c r="D236" s="207">
        <f>+'Anexo Escurrimiento'!D246</f>
        <v>130.4</v>
      </c>
      <c r="E236" s="214">
        <f t="shared" si="68"/>
        <v>176.89</v>
      </c>
      <c r="F236" s="213">
        <f t="shared" si="68"/>
        <v>318</v>
      </c>
      <c r="G236" s="211">
        <f t="shared" si="67"/>
        <v>-4.6489999999999981E-4</v>
      </c>
      <c r="H236" s="212">
        <f>+F236/100000*'Anexo Bal Hídrico'!$G$4</f>
        <v>2.8620000000000001</v>
      </c>
      <c r="I236" s="212">
        <v>0</v>
      </c>
      <c r="J236" s="212">
        <f t="shared" ca="1" si="54"/>
        <v>-0.97749993608941255</v>
      </c>
      <c r="K236" s="212">
        <f t="shared" ca="1" si="55"/>
        <v>0</v>
      </c>
      <c r="L236" s="212">
        <f t="shared" ca="1" si="56"/>
        <v>38.784788179052555</v>
      </c>
      <c r="M236" s="212">
        <f t="shared" ca="1" si="57"/>
        <v>-1.0091830971709816</v>
      </c>
      <c r="N236" s="212">
        <f t="shared" ca="1" si="58"/>
        <v>0.14364725252241328</v>
      </c>
      <c r="O236" s="210">
        <f t="shared" ca="1" si="53"/>
        <v>22.824988701237128</v>
      </c>
      <c r="P236" s="212">
        <f t="shared" ca="1" si="59"/>
        <v>0</v>
      </c>
      <c r="Q236" s="212">
        <f t="shared" ca="1" si="60"/>
        <v>1.7091696503066052</v>
      </c>
      <c r="R236" s="386"/>
      <c r="S236" s="207">
        <f t="shared" si="64"/>
        <v>2000</v>
      </c>
      <c r="T236" s="207">
        <f t="shared" si="65"/>
        <v>1</v>
      </c>
      <c r="U236" s="384" t="str">
        <f t="shared" ca="1" si="61"/>
        <v>|||||</v>
      </c>
      <c r="V236" s="384" t="str">
        <f t="shared" ca="1" si="62"/>
        <v>||||||||</v>
      </c>
      <c r="W236" s="385" t="str">
        <f t="shared" ca="1" si="63"/>
        <v/>
      </c>
    </row>
    <row r="237" spans="1:23">
      <c r="A237" s="207">
        <f>+'Anexo Escurrimiento'!A247</f>
        <v>2000</v>
      </c>
      <c r="B237" s="207">
        <f>+'Anexo Escurrimiento'!B247</f>
        <v>2</v>
      </c>
      <c r="C237" s="208">
        <f>+'Anexo Escurrimiento'!O247</f>
        <v>0.95798863748833207</v>
      </c>
      <c r="D237" s="207">
        <f>+'Anexo Escurrimiento'!D247</f>
        <v>99.6</v>
      </c>
      <c r="E237" s="214">
        <f t="shared" si="68"/>
        <v>131.73999999999998</v>
      </c>
      <c r="F237" s="213">
        <f t="shared" si="68"/>
        <v>153</v>
      </c>
      <c r="G237" s="211">
        <f t="shared" si="67"/>
        <v>-3.2139999999999984E-4</v>
      </c>
      <c r="H237" s="212">
        <f>+F237/100000*'Anexo Bal Hídrico'!$G$4</f>
        <v>1.377</v>
      </c>
      <c r="I237" s="212">
        <v>0</v>
      </c>
      <c r="J237" s="212">
        <f t="shared" ca="1" si="54"/>
        <v>-0.27536410998925454</v>
      </c>
      <c r="K237" s="212">
        <f t="shared" ca="1" si="55"/>
        <v>0</v>
      </c>
      <c r="L237" s="212">
        <f t="shared" ca="1" si="56"/>
        <v>11.412494350618564</v>
      </c>
      <c r="M237" s="212">
        <f t="shared" ca="1" si="57"/>
        <v>-0.28318913507023247</v>
      </c>
      <c r="N237" s="212">
        <f t="shared" ca="1" si="58"/>
        <v>0.14364725252241328</v>
      </c>
      <c r="O237" s="210">
        <f t="shared" ca="1" si="53"/>
        <v>22.824988701237128</v>
      </c>
      <c r="P237" s="212">
        <f t="shared" ca="1" si="59"/>
        <v>0</v>
      </c>
      <c r="Q237" s="212">
        <f t="shared" ca="1" si="60"/>
        <v>0.95016361240735425</v>
      </c>
      <c r="R237" s="386"/>
      <c r="S237" s="207">
        <f t="shared" si="64"/>
        <v>2000</v>
      </c>
      <c r="T237" s="207">
        <f t="shared" si="65"/>
        <v>2</v>
      </c>
      <c r="U237" s="384" t="str">
        <f t="shared" ca="1" si="61"/>
        <v>||</v>
      </c>
      <c r="V237" s="384" t="str">
        <f t="shared" ca="1" si="62"/>
        <v>||||</v>
      </c>
      <c r="W237" s="385" t="str">
        <f t="shared" ca="1" si="63"/>
        <v/>
      </c>
    </row>
    <row r="238" spans="1:23">
      <c r="A238" s="207">
        <f>+'Anexo Escurrimiento'!A248</f>
        <v>2000</v>
      </c>
      <c r="B238" s="207">
        <f>+'Anexo Escurrimiento'!B248</f>
        <v>3</v>
      </c>
      <c r="C238" s="208">
        <f>+'Anexo Escurrimiento'!O248</f>
        <v>2.0740148780578176</v>
      </c>
      <c r="D238" s="207">
        <f>+'Anexo Escurrimiento'!D248</f>
        <v>172.6</v>
      </c>
      <c r="E238" s="214">
        <f t="shared" si="68"/>
        <v>118.64999999999999</v>
      </c>
      <c r="F238" s="213">
        <f t="shared" si="68"/>
        <v>47</v>
      </c>
      <c r="G238" s="211">
        <f t="shared" si="67"/>
        <v>5.3950000000000005E-4</v>
      </c>
      <c r="H238" s="212">
        <f>+F238/100000*'Anexo Bal Hídrico'!$G$4</f>
        <v>0.42299999999999999</v>
      </c>
      <c r="I238" s="212">
        <v>0</v>
      </c>
      <c r="J238" s="212">
        <f t="shared" ca="1" si="54"/>
        <v>1.7946621305802308</v>
      </c>
      <c r="K238" s="212">
        <f t="shared" ca="1" si="55"/>
        <v>116.18711436326576</v>
      </c>
      <c r="L238" s="212">
        <f t="shared" ca="1" si="56"/>
        <v>69.506051532251448</v>
      </c>
      <c r="M238" s="212">
        <f t="shared" ca="1" si="57"/>
        <v>1.7773482556507232</v>
      </c>
      <c r="N238" s="212">
        <f t="shared" ca="1" si="58"/>
        <v>1.7773482556507232</v>
      </c>
      <c r="O238" s="210">
        <f t="shared" ca="1" si="53"/>
        <v>115.46351329881689</v>
      </c>
      <c r="P238" s="212">
        <f t="shared" ca="1" si="59"/>
        <v>0</v>
      </c>
      <c r="Q238" s="212">
        <f t="shared" ca="1" si="60"/>
        <v>0.42299999999999999</v>
      </c>
      <c r="R238" s="386"/>
      <c r="S238" s="207">
        <f t="shared" si="64"/>
        <v>2000</v>
      </c>
      <c r="T238" s="207">
        <f t="shared" si="65"/>
        <v>3</v>
      </c>
      <c r="U238" s="384" t="str">
        <f t="shared" ca="1" si="61"/>
        <v/>
      </c>
      <c r="V238" s="384" t="str">
        <f t="shared" ca="1" si="62"/>
        <v>||</v>
      </c>
      <c r="W238" s="385" t="str">
        <f t="shared" ca="1" si="63"/>
        <v/>
      </c>
    </row>
    <row r="239" spans="1:23">
      <c r="A239" s="207">
        <f>+'Anexo Escurrimiento'!A249</f>
        <v>2000</v>
      </c>
      <c r="B239" s="207">
        <f>+'Anexo Escurrimiento'!B249</f>
        <v>4</v>
      </c>
      <c r="C239" s="208">
        <f>+'Anexo Escurrimiento'!O249</f>
        <v>1.7267055424284801</v>
      </c>
      <c r="D239" s="207">
        <f>+'Anexo Escurrimiento'!D249</f>
        <v>114.7</v>
      </c>
      <c r="E239" s="214">
        <f t="shared" si="68"/>
        <v>73.149999999999991</v>
      </c>
      <c r="F239" s="213">
        <f t="shared" si="68"/>
        <v>0</v>
      </c>
      <c r="G239" s="211">
        <f t="shared" si="67"/>
        <v>4.1550000000000012E-4</v>
      </c>
      <c r="H239" s="212">
        <f>+F239/100000*'Anexo Bal Hídrico'!$G$4</f>
        <v>0</v>
      </c>
      <c r="I239" s="212">
        <v>0</v>
      </c>
      <c r="J239" s="212">
        <f t="shared" ca="1" si="54"/>
        <v>3.5040537980792035</v>
      </c>
      <c r="K239" s="212">
        <f t="shared" ca="1" si="55"/>
        <v>178.82342109529031</v>
      </c>
      <c r="L239" s="212">
        <f t="shared" ca="1" si="56"/>
        <v>147.14346719705361</v>
      </c>
      <c r="M239" s="212">
        <f t="shared" ca="1" si="57"/>
        <v>3.4685860378473752</v>
      </c>
      <c r="N239" s="212">
        <f t="shared" ca="1" si="58"/>
        <v>3.4685860378473752</v>
      </c>
      <c r="O239" s="210">
        <f t="shared" ca="1" si="53"/>
        <v>177.65485319562123</v>
      </c>
      <c r="P239" s="212">
        <f t="shared" ca="1" si="59"/>
        <v>0</v>
      </c>
      <c r="Q239" s="212">
        <f t="shared" ca="1" si="60"/>
        <v>0</v>
      </c>
      <c r="R239" s="386"/>
      <c r="S239" s="207">
        <f t="shared" si="64"/>
        <v>2000</v>
      </c>
      <c r="T239" s="207">
        <f t="shared" si="65"/>
        <v>4</v>
      </c>
      <c r="U239" s="384" t="str">
        <f t="shared" ca="1" si="61"/>
        <v/>
      </c>
      <c r="V239" s="384" t="str">
        <f t="shared" ca="1" si="62"/>
        <v/>
      </c>
      <c r="W239" s="385" t="str">
        <f t="shared" ca="1" si="63"/>
        <v/>
      </c>
    </row>
    <row r="240" spans="1:23">
      <c r="A240" s="207">
        <f>+'Anexo Escurrimiento'!A250</f>
        <v>2000</v>
      </c>
      <c r="B240" s="207">
        <f>+'Anexo Escurrimiento'!B250</f>
        <v>5</v>
      </c>
      <c r="C240" s="208">
        <f>+'Anexo Escurrimiento'!O250</f>
        <v>4.6014840132756394</v>
      </c>
      <c r="D240" s="207">
        <f>+'Anexo Escurrimiento'!D250</f>
        <v>252.9</v>
      </c>
      <c r="E240" s="214">
        <f t="shared" si="68"/>
        <v>51.24</v>
      </c>
      <c r="F240" s="213">
        <f t="shared" si="68"/>
        <v>0</v>
      </c>
      <c r="G240" s="211">
        <f t="shared" si="67"/>
        <v>2.0165999999999999E-3</v>
      </c>
      <c r="H240" s="212">
        <f>+F240/100000*'Anexo Bal Hídrico'!$G$4</f>
        <v>0</v>
      </c>
      <c r="I240" s="212">
        <v>0</v>
      </c>
      <c r="J240" s="212">
        <f t="shared" ca="1" si="54"/>
        <v>8.0700700511230146</v>
      </c>
      <c r="K240" s="212">
        <f t="shared" ca="1" si="55"/>
        <v>306.13222690178077</v>
      </c>
      <c r="L240" s="212">
        <f t="shared" ca="1" si="56"/>
        <v>241.893540048701</v>
      </c>
      <c r="M240" s="212">
        <f t="shared" ca="1" si="57"/>
        <v>8.1346523140047111</v>
      </c>
      <c r="N240" s="212">
        <f t="shared" ca="1" si="58"/>
        <v>7.6368477630678893</v>
      </c>
      <c r="O240" s="210">
        <f t="shared" ca="1" si="53"/>
        <v>295.43791936297487</v>
      </c>
      <c r="P240" s="212">
        <f t="shared" ca="1" si="59"/>
        <v>0.49780455093682185</v>
      </c>
      <c r="Q240" s="212">
        <f t="shared" ca="1" si="60"/>
        <v>0</v>
      </c>
      <c r="R240" s="386"/>
      <c r="S240" s="207">
        <f t="shared" si="64"/>
        <v>2000</v>
      </c>
      <c r="T240" s="207">
        <f t="shared" si="65"/>
        <v>5</v>
      </c>
      <c r="U240" s="384" t="str">
        <f t="shared" ca="1" si="61"/>
        <v/>
      </c>
      <c r="V240" s="384" t="str">
        <f t="shared" ca="1" si="62"/>
        <v/>
      </c>
      <c r="W240" s="385" t="str">
        <f t="shared" ca="1" si="63"/>
        <v>||</v>
      </c>
    </row>
    <row r="241" spans="1:23">
      <c r="A241" s="207">
        <f>+'Anexo Escurrimiento'!A251</f>
        <v>2000</v>
      </c>
      <c r="B241" s="207">
        <f>+'Anexo Escurrimiento'!B251</f>
        <v>6</v>
      </c>
      <c r="C241" s="208">
        <f>+'Anexo Escurrimiento'!O251</f>
        <v>2.5703306721492472</v>
      </c>
      <c r="D241" s="207">
        <f>+'Anexo Escurrimiento'!D251</f>
        <v>110.7</v>
      </c>
      <c r="E241" s="214">
        <f t="shared" si="68"/>
        <v>41.019999999999996</v>
      </c>
      <c r="F241" s="213">
        <f t="shared" si="68"/>
        <v>0</v>
      </c>
      <c r="G241" s="211">
        <f t="shared" si="67"/>
        <v>6.9680000000000002E-4</v>
      </c>
      <c r="H241" s="212">
        <f>+F241/100000*'Anexo Bal Hídrico'!$G$4</f>
        <v>0</v>
      </c>
      <c r="I241" s="212">
        <v>0</v>
      </c>
      <c r="J241" s="212">
        <f t="shared" ca="1" si="54"/>
        <v>10.207178435217136</v>
      </c>
      <c r="K241" s="212">
        <f t="shared" ca="1" si="55"/>
        <v>356.17233636125007</v>
      </c>
      <c r="L241" s="212">
        <f t="shared" ca="1" si="56"/>
        <v>325.8051278621125</v>
      </c>
      <c r="M241" s="212">
        <f t="shared" ca="1" si="57"/>
        <v>10.115786173297199</v>
      </c>
      <c r="N241" s="212">
        <f t="shared" ca="1" si="58"/>
        <v>7.6368477630678893</v>
      </c>
      <c r="O241" s="210">
        <f t="shared" ca="1" si="53"/>
        <v>295.43791936297487</v>
      </c>
      <c r="P241" s="212">
        <f t="shared" ca="1" si="59"/>
        <v>2.4789384102293095</v>
      </c>
      <c r="Q241" s="212">
        <f t="shared" ca="1" si="60"/>
        <v>0</v>
      </c>
      <c r="R241" s="386"/>
      <c r="S241" s="207">
        <f t="shared" si="64"/>
        <v>2000</v>
      </c>
      <c r="T241" s="207">
        <f t="shared" si="65"/>
        <v>6</v>
      </c>
      <c r="U241" s="384" t="str">
        <f t="shared" ca="1" si="61"/>
        <v/>
      </c>
      <c r="V241" s="384" t="str">
        <f t="shared" ca="1" si="62"/>
        <v/>
      </c>
      <c r="W241" s="385" t="str">
        <f t="shared" ca="1" si="63"/>
        <v>||||||||||||</v>
      </c>
    </row>
    <row r="242" spans="1:23">
      <c r="A242" s="207">
        <f>+'Anexo Escurrimiento'!A252</f>
        <v>2000</v>
      </c>
      <c r="B242" s="207">
        <f>+'Anexo Escurrimiento'!B252</f>
        <v>7</v>
      </c>
      <c r="C242" s="208">
        <f>+'Anexo Escurrimiento'!O252</f>
        <v>1.5871563469340495</v>
      </c>
      <c r="D242" s="207">
        <f>+'Anexo Escurrimiento'!D252</f>
        <v>82.8</v>
      </c>
      <c r="E242" s="214">
        <f t="shared" si="68"/>
        <v>50.819999999999993</v>
      </c>
      <c r="F242" s="213">
        <f t="shared" si="68"/>
        <v>0</v>
      </c>
      <c r="G242" s="211">
        <f t="shared" si="67"/>
        <v>3.1980000000000002E-4</v>
      </c>
      <c r="H242" s="212">
        <f>+F242/100000*'Anexo Bal Hídrico'!$G$4</f>
        <v>0</v>
      </c>
      <c r="I242" s="212">
        <v>0</v>
      </c>
      <c r="J242" s="212">
        <f t="shared" ca="1" si="54"/>
        <v>9.224004110001939</v>
      </c>
      <c r="K242" s="212">
        <f t="shared" ca="1" si="55"/>
        <v>333.66736160677561</v>
      </c>
      <c r="L242" s="212">
        <f t="shared" ca="1" si="56"/>
        <v>314.55264048487527</v>
      </c>
      <c r="M242" s="212">
        <f t="shared" ca="1" si="57"/>
        <v>9.1347713448889127</v>
      </c>
      <c r="N242" s="212">
        <f t="shared" ca="1" si="58"/>
        <v>7.6368477630678893</v>
      </c>
      <c r="O242" s="210">
        <f t="shared" ca="1" si="53"/>
        <v>295.43791936297487</v>
      </c>
      <c r="P242" s="212">
        <f t="shared" ca="1" si="59"/>
        <v>1.4979235818210235</v>
      </c>
      <c r="Q242" s="212">
        <f t="shared" ca="1" si="60"/>
        <v>0</v>
      </c>
      <c r="R242" s="386"/>
      <c r="S242" s="207">
        <f t="shared" si="64"/>
        <v>2000</v>
      </c>
      <c r="T242" s="207">
        <f t="shared" si="65"/>
        <v>7</v>
      </c>
      <c r="U242" s="384" t="str">
        <f t="shared" ca="1" si="61"/>
        <v/>
      </c>
      <c r="V242" s="384" t="str">
        <f t="shared" ca="1" si="62"/>
        <v/>
      </c>
      <c r="W242" s="385" t="str">
        <f t="shared" ca="1" si="63"/>
        <v>|||||||</v>
      </c>
    </row>
    <row r="243" spans="1:23">
      <c r="A243" s="207">
        <f>+'Anexo Escurrimiento'!A253</f>
        <v>2000</v>
      </c>
      <c r="B243" s="207">
        <f>+'Anexo Escurrimiento'!B253</f>
        <v>8</v>
      </c>
      <c r="C243" s="208">
        <f>+'Anexo Escurrimiento'!O253</f>
        <v>1.4603550544234074</v>
      </c>
      <c r="D243" s="207">
        <f>+'Anexo Escurrimiento'!D253</f>
        <v>98.6</v>
      </c>
      <c r="E243" s="214">
        <f t="shared" si="68"/>
        <v>72.449999999999989</v>
      </c>
      <c r="F243" s="213">
        <f t="shared" si="68"/>
        <v>0</v>
      </c>
      <c r="G243" s="211">
        <f t="shared" si="67"/>
        <v>2.6150000000000007E-4</v>
      </c>
      <c r="H243" s="212">
        <f>+F243/100000*'Anexo Bal Hídrico'!$G$4</f>
        <v>0</v>
      </c>
      <c r="I243" s="212">
        <v>0</v>
      </c>
      <c r="J243" s="212">
        <f t="shared" ca="1" si="54"/>
        <v>9.0972028174912971</v>
      </c>
      <c r="K243" s="212">
        <f t="shared" ca="1" si="55"/>
        <v>330.7041217782226</v>
      </c>
      <c r="L243" s="212">
        <f t="shared" ca="1" si="56"/>
        <v>313.07102057059876</v>
      </c>
      <c r="M243" s="212">
        <f t="shared" ca="1" si="57"/>
        <v>9.0052325443956924</v>
      </c>
      <c r="N243" s="212">
        <f t="shared" ca="1" si="58"/>
        <v>7.6368477630678893</v>
      </c>
      <c r="O243" s="210">
        <f t="shared" ca="1" si="53"/>
        <v>295.43791936297487</v>
      </c>
      <c r="P243" s="212">
        <f t="shared" ca="1" si="59"/>
        <v>1.3683847813278032</v>
      </c>
      <c r="Q243" s="212">
        <f t="shared" ca="1" si="60"/>
        <v>0</v>
      </c>
      <c r="R243" s="386"/>
      <c r="S243" s="207">
        <f t="shared" si="64"/>
        <v>2000</v>
      </c>
      <c r="T243" s="207">
        <f t="shared" si="65"/>
        <v>8</v>
      </c>
      <c r="U243" s="384" t="str">
        <f t="shared" ca="1" si="61"/>
        <v/>
      </c>
      <c r="V243" s="384" t="str">
        <f t="shared" ca="1" si="62"/>
        <v/>
      </c>
      <c r="W243" s="385" t="str">
        <f t="shared" ca="1" si="63"/>
        <v>||||||</v>
      </c>
    </row>
    <row r="244" spans="1:23">
      <c r="A244" s="207">
        <f>+'Anexo Escurrimiento'!A254</f>
        <v>2000</v>
      </c>
      <c r="B244" s="207">
        <f>+'Anexo Escurrimiento'!B254</f>
        <v>9</v>
      </c>
      <c r="C244" s="208">
        <f>+'Anexo Escurrimiento'!O254</f>
        <v>2.6733544071468862</v>
      </c>
      <c r="D244" s="207">
        <f>+'Anexo Escurrimiento'!D254</f>
        <v>180.9</v>
      </c>
      <c r="E244" s="214">
        <f t="shared" si="68"/>
        <v>85.89</v>
      </c>
      <c r="F244" s="213">
        <f t="shared" si="68"/>
        <v>0</v>
      </c>
      <c r="G244" s="211">
        <f t="shared" si="67"/>
        <v>9.5010000000000005E-4</v>
      </c>
      <c r="H244" s="212">
        <f>+F244/100000*'Anexo Bal Hídrico'!$G$4</f>
        <v>0</v>
      </c>
      <c r="I244" s="212">
        <v>0</v>
      </c>
      <c r="J244" s="212">
        <f t="shared" ca="1" si="54"/>
        <v>10.310202170214776</v>
      </c>
      <c r="K244" s="212">
        <f t="shared" ca="1" si="55"/>
        <v>358.48492017679865</v>
      </c>
      <c r="L244" s="212">
        <f t="shared" ca="1" si="56"/>
        <v>326.96141976988679</v>
      </c>
      <c r="M244" s="212">
        <f t="shared" ca="1" si="57"/>
        <v>10.288496978442772</v>
      </c>
      <c r="N244" s="212">
        <f t="shared" ca="1" si="58"/>
        <v>7.6368477630678893</v>
      </c>
      <c r="O244" s="210">
        <f t="shared" ca="1" si="53"/>
        <v>295.43791936297487</v>
      </c>
      <c r="P244" s="212">
        <f t="shared" ca="1" si="59"/>
        <v>2.6516492153748832</v>
      </c>
      <c r="Q244" s="212">
        <f t="shared" ca="1" si="60"/>
        <v>0</v>
      </c>
      <c r="R244" s="386"/>
      <c r="S244" s="207">
        <f t="shared" si="64"/>
        <v>2000</v>
      </c>
      <c r="T244" s="207">
        <f t="shared" si="65"/>
        <v>9</v>
      </c>
      <c r="U244" s="384" t="str">
        <f t="shared" ca="1" si="61"/>
        <v/>
      </c>
      <c r="V244" s="384" t="str">
        <f t="shared" ca="1" si="62"/>
        <v/>
      </c>
      <c r="W244" s="385" t="str">
        <f t="shared" ca="1" si="63"/>
        <v>|||||||||||||</v>
      </c>
    </row>
    <row r="245" spans="1:23">
      <c r="A245" s="207">
        <f>+'Anexo Escurrimiento'!A255</f>
        <v>2000</v>
      </c>
      <c r="B245" s="207">
        <f>+'Anexo Escurrimiento'!B255</f>
        <v>10</v>
      </c>
      <c r="C245" s="208">
        <f>+'Anexo Escurrimiento'!O255</f>
        <v>2.3695310803039562</v>
      </c>
      <c r="D245" s="207">
        <f>+'Anexo Escurrimiento'!D255</f>
        <v>162</v>
      </c>
      <c r="E245" s="214">
        <f t="shared" si="68"/>
        <v>114.86999999999999</v>
      </c>
      <c r="F245" s="213">
        <f t="shared" si="68"/>
        <v>59</v>
      </c>
      <c r="G245" s="211">
        <f t="shared" si="67"/>
        <v>4.7130000000000007E-4</v>
      </c>
      <c r="H245" s="212">
        <f>+F245/100000*'Anexo Bal Hídrico'!$G$4</f>
        <v>0.53100000000000003</v>
      </c>
      <c r="I245" s="212">
        <v>0</v>
      </c>
      <c r="J245" s="212">
        <f t="shared" ca="1" si="54"/>
        <v>9.4753788433718444</v>
      </c>
      <c r="K245" s="212">
        <f t="shared" ca="1" si="55"/>
        <v>339.49932005254914</v>
      </c>
      <c r="L245" s="212">
        <f t="shared" ca="1" si="56"/>
        <v>317.468619707762</v>
      </c>
      <c r="M245" s="212">
        <f t="shared" ca="1" si="57"/>
        <v>9.3389745181295662</v>
      </c>
      <c r="N245" s="212">
        <f t="shared" ca="1" si="58"/>
        <v>7.6368477630678893</v>
      </c>
      <c r="O245" s="210">
        <f t="shared" ca="1" si="53"/>
        <v>295.43791936297487</v>
      </c>
      <c r="P245" s="212">
        <f t="shared" ca="1" si="59"/>
        <v>1.702126755061677</v>
      </c>
      <c r="Q245" s="212">
        <f t="shared" ca="1" si="60"/>
        <v>0.53100000000000003</v>
      </c>
      <c r="R245" s="386"/>
      <c r="S245" s="207">
        <f t="shared" si="64"/>
        <v>2000</v>
      </c>
      <c r="T245" s="207">
        <f t="shared" si="65"/>
        <v>10</v>
      </c>
      <c r="U245" s="384" t="str">
        <f t="shared" ca="1" si="61"/>
        <v/>
      </c>
      <c r="V245" s="384" t="str">
        <f t="shared" ca="1" si="62"/>
        <v>||</v>
      </c>
      <c r="W245" s="385" t="str">
        <f t="shared" ca="1" si="63"/>
        <v>||||||||</v>
      </c>
    </row>
    <row r="246" spans="1:23">
      <c r="A246" s="207">
        <f>+'Anexo Escurrimiento'!A256</f>
        <v>2000</v>
      </c>
      <c r="B246" s="207">
        <f>+'Anexo Escurrimiento'!B256</f>
        <v>11</v>
      </c>
      <c r="C246" s="208">
        <f>+'Anexo Escurrimiento'!O256</f>
        <v>1.7948076770134282</v>
      </c>
      <c r="D246" s="207">
        <f>+'Anexo Escurrimiento'!D256</f>
        <v>143.4</v>
      </c>
      <c r="E246" s="214">
        <f t="shared" si="68"/>
        <v>144.06</v>
      </c>
      <c r="F246" s="213">
        <f t="shared" si="68"/>
        <v>212</v>
      </c>
      <c r="G246" s="211">
        <f t="shared" si="67"/>
        <v>-6.5999999999999656E-6</v>
      </c>
      <c r="H246" s="212">
        <f>+F246/100000*'Anexo Bal Hídrico'!$G$4</f>
        <v>1.9079999999999999</v>
      </c>
      <c r="I246" s="212">
        <v>0</v>
      </c>
      <c r="J246" s="212">
        <f t="shared" ca="1" si="54"/>
        <v>7.5236554400813187</v>
      </c>
      <c r="K246" s="212">
        <f t="shared" ca="1" si="55"/>
        <v>292.60847064379891</v>
      </c>
      <c r="L246" s="212">
        <f t="shared" ca="1" si="56"/>
        <v>294.02319500338689</v>
      </c>
      <c r="M246" s="212">
        <f t="shared" ca="1" si="57"/>
        <v>7.3210627624269584</v>
      </c>
      <c r="N246" s="212">
        <f t="shared" ca="1" si="58"/>
        <v>7.3210627624269584</v>
      </c>
      <c r="O246" s="210">
        <f t="shared" ca="1" si="53"/>
        <v>287.50619913732174</v>
      </c>
      <c r="P246" s="212">
        <f t="shared" ca="1" si="59"/>
        <v>0</v>
      </c>
      <c r="Q246" s="212">
        <f t="shared" ca="1" si="60"/>
        <v>1.9079999999999999</v>
      </c>
      <c r="R246" s="386"/>
      <c r="S246" s="207">
        <f t="shared" si="64"/>
        <v>2000</v>
      </c>
      <c r="T246" s="207">
        <f t="shared" si="65"/>
        <v>11</v>
      </c>
      <c r="U246" s="384" t="str">
        <f t="shared" ca="1" si="61"/>
        <v/>
      </c>
      <c r="V246" s="384" t="str">
        <f t="shared" ca="1" si="62"/>
        <v>|||||||||</v>
      </c>
      <c r="W246" s="385" t="str">
        <f t="shared" ca="1" si="63"/>
        <v/>
      </c>
    </row>
    <row r="247" spans="1:23">
      <c r="A247" s="207">
        <f>+'Anexo Escurrimiento'!A257</f>
        <v>2000</v>
      </c>
      <c r="B247" s="207">
        <f>+'Anexo Escurrimiento'!B257</f>
        <v>12</v>
      </c>
      <c r="C247" s="208">
        <f>+'Anexo Escurrimiento'!O257</f>
        <v>0.95755534284969701</v>
      </c>
      <c r="D247" s="207">
        <f>+'Anexo Escurrimiento'!D257</f>
        <v>93</v>
      </c>
      <c r="E247" s="214">
        <f t="shared" si="68"/>
        <v>179.62</v>
      </c>
      <c r="F247" s="213">
        <f t="shared" si="68"/>
        <v>388</v>
      </c>
      <c r="G247" s="211">
        <f t="shared" si="67"/>
        <v>-8.6620000000000002E-4</v>
      </c>
      <c r="H247" s="212">
        <f>+F247/100000*'Anexo Bal Hídrico'!$G$4</f>
        <v>3.492</v>
      </c>
      <c r="I247" s="212">
        <v>0</v>
      </c>
      <c r="J247" s="212">
        <f t="shared" ca="1" si="54"/>
        <v>4.7866181052766548</v>
      </c>
      <c r="K247" s="212">
        <f t="shared" ca="1" si="55"/>
        <v>218.63460203990945</v>
      </c>
      <c r="L247" s="212">
        <f t="shared" ca="1" si="56"/>
        <v>253.0704005886156</v>
      </c>
      <c r="M247" s="212">
        <f t="shared" ca="1" si="57"/>
        <v>4.4752682527275791</v>
      </c>
      <c r="N247" s="212">
        <f t="shared" ca="1" si="58"/>
        <v>4.4752682527275791</v>
      </c>
      <c r="O247" s="210">
        <f t="shared" ca="1" si="53"/>
        <v>209.36062545610159</v>
      </c>
      <c r="P247" s="212">
        <f t="shared" ca="1" si="59"/>
        <v>0</v>
      </c>
      <c r="Q247" s="212">
        <f t="shared" ca="1" si="60"/>
        <v>3.492</v>
      </c>
      <c r="R247" s="386"/>
      <c r="S247" s="207">
        <f t="shared" si="64"/>
        <v>2000</v>
      </c>
      <c r="T247" s="207">
        <f t="shared" si="65"/>
        <v>12</v>
      </c>
      <c r="U247" s="384" t="str">
        <f t="shared" ca="1" si="61"/>
        <v/>
      </c>
      <c r="V247" s="384" t="str">
        <f t="shared" ca="1" si="62"/>
        <v>|||||||||||||||||</v>
      </c>
      <c r="W247" s="385" t="str">
        <f t="shared" ca="1" si="63"/>
        <v/>
      </c>
    </row>
    <row r="248" spans="1:23">
      <c r="A248" s="207">
        <f>+'Anexo Escurrimiento'!A258</f>
        <v>2001</v>
      </c>
      <c r="B248" s="207">
        <f>+'Anexo Escurrimiento'!B258</f>
        <v>1</v>
      </c>
      <c r="C248" s="208">
        <f>+'Anexo Escurrimiento'!O258</f>
        <v>1.2819754554387026</v>
      </c>
      <c r="D248" s="207">
        <f>+'Anexo Escurrimiento'!D258</f>
        <v>143.19999999999999</v>
      </c>
      <c r="E248" s="214">
        <f t="shared" si="68"/>
        <v>176.89</v>
      </c>
      <c r="F248" s="213">
        <f t="shared" si="68"/>
        <v>318</v>
      </c>
      <c r="G248" s="211">
        <f t="shared" si="67"/>
        <v>-3.369E-4</v>
      </c>
      <c r="H248" s="212">
        <f>+F248/100000*'Anexo Bal Hídrico'!$G$4</f>
        <v>2.8620000000000001</v>
      </c>
      <c r="I248" s="212">
        <v>0</v>
      </c>
      <c r="J248" s="212">
        <f t="shared" ca="1" si="54"/>
        <v>2.8952437081662818</v>
      </c>
      <c r="K248" s="212">
        <f t="shared" ca="1" si="55"/>
        <v>158.12830585456481</v>
      </c>
      <c r="L248" s="212">
        <f t="shared" ca="1" si="56"/>
        <v>183.74446565533322</v>
      </c>
      <c r="M248" s="212">
        <f t="shared" ca="1" si="57"/>
        <v>2.7437752185832593</v>
      </c>
      <c r="N248" s="212">
        <f t="shared" ca="1" si="58"/>
        <v>2.7437752185832593</v>
      </c>
      <c r="O248" s="210">
        <f t="shared" ca="1" si="53"/>
        <v>152.74626255571098</v>
      </c>
      <c r="P248" s="212">
        <f t="shared" ca="1" si="59"/>
        <v>0</v>
      </c>
      <c r="Q248" s="212">
        <f t="shared" ca="1" si="60"/>
        <v>2.8620000000000001</v>
      </c>
      <c r="R248" s="386"/>
      <c r="S248" s="207">
        <f t="shared" si="64"/>
        <v>2001</v>
      </c>
      <c r="T248" s="207">
        <f t="shared" si="65"/>
        <v>1</v>
      </c>
      <c r="U248" s="384" t="str">
        <f t="shared" ca="1" si="61"/>
        <v/>
      </c>
      <c r="V248" s="384" t="str">
        <f t="shared" ca="1" si="62"/>
        <v>||||||||||||||</v>
      </c>
      <c r="W248" s="385" t="str">
        <f t="shared" ca="1" si="63"/>
        <v/>
      </c>
    </row>
    <row r="249" spans="1:23">
      <c r="A249" s="207">
        <f>+'Anexo Escurrimiento'!A259</f>
        <v>2001</v>
      </c>
      <c r="B249" s="207">
        <f>+'Anexo Escurrimiento'!B259</f>
        <v>2</v>
      </c>
      <c r="C249" s="208">
        <f>+'Anexo Escurrimiento'!O259</f>
        <v>0.90588117406010116</v>
      </c>
      <c r="D249" s="207">
        <f>+'Anexo Escurrimiento'!D259</f>
        <v>89.1</v>
      </c>
      <c r="E249" s="214">
        <f t="shared" si="68"/>
        <v>131.73999999999998</v>
      </c>
      <c r="F249" s="213">
        <f t="shared" si="68"/>
        <v>153</v>
      </c>
      <c r="G249" s="211">
        <f t="shared" si="67"/>
        <v>-4.2639999999999985E-4</v>
      </c>
      <c r="H249" s="212">
        <f>+F249/100000*'Anexo Bal Hídrico'!$G$4</f>
        <v>1.377</v>
      </c>
      <c r="I249" s="212">
        <v>0</v>
      </c>
      <c r="J249" s="212">
        <f t="shared" ca="1" si="54"/>
        <v>2.2726563926433609</v>
      </c>
      <c r="K249" s="212">
        <f t="shared" ca="1" si="55"/>
        <v>135.28384378246002</v>
      </c>
      <c r="L249" s="212">
        <f t="shared" ca="1" si="56"/>
        <v>144.01505316908549</v>
      </c>
      <c r="M249" s="212">
        <f t="shared" ca="1" si="57"/>
        <v>2.1616436114446334</v>
      </c>
      <c r="N249" s="212">
        <f t="shared" ca="1" si="58"/>
        <v>2.1616436114446334</v>
      </c>
      <c r="O249" s="210">
        <f t="shared" ca="1" si="53"/>
        <v>130.98741683972142</v>
      </c>
      <c r="P249" s="212">
        <f t="shared" ca="1" si="59"/>
        <v>0</v>
      </c>
      <c r="Q249" s="212">
        <f t="shared" ca="1" si="60"/>
        <v>1.377</v>
      </c>
      <c r="R249" s="386"/>
      <c r="S249" s="207">
        <f t="shared" si="64"/>
        <v>2001</v>
      </c>
      <c r="T249" s="207">
        <f t="shared" si="65"/>
        <v>2</v>
      </c>
      <c r="U249" s="384" t="str">
        <f t="shared" ca="1" si="61"/>
        <v/>
      </c>
      <c r="V249" s="384" t="str">
        <f t="shared" ca="1" si="62"/>
        <v>||||||</v>
      </c>
      <c r="W249" s="385" t="str">
        <f t="shared" ca="1" si="63"/>
        <v/>
      </c>
    </row>
    <row r="250" spans="1:23">
      <c r="A250" s="207">
        <f>+'Anexo Escurrimiento'!A260</f>
        <v>2001</v>
      </c>
      <c r="B250" s="207">
        <f>+'Anexo Escurrimiento'!B260</f>
        <v>3</v>
      </c>
      <c r="C250" s="208">
        <f>+'Anexo Escurrimiento'!O260</f>
        <v>0.95682222337675293</v>
      </c>
      <c r="D250" s="207">
        <f>+'Anexo Escurrimiento'!D260</f>
        <v>99.9</v>
      </c>
      <c r="E250" s="214">
        <f t="shared" si="68"/>
        <v>118.64999999999999</v>
      </c>
      <c r="F250" s="213">
        <f t="shared" si="68"/>
        <v>47</v>
      </c>
      <c r="G250" s="211">
        <f t="shared" si="67"/>
        <v>-1.8749999999999987E-4</v>
      </c>
      <c r="H250" s="212">
        <f>+F250/100000*'Anexo Bal Hídrico'!$G$4</f>
        <v>0.42299999999999999</v>
      </c>
      <c r="I250" s="212">
        <v>0</v>
      </c>
      <c r="J250" s="212">
        <f t="shared" ca="1" si="54"/>
        <v>2.6954658348213862</v>
      </c>
      <c r="K250" s="212">
        <f t="shared" ca="1" si="55"/>
        <v>151.00764561391415</v>
      </c>
      <c r="L250" s="212">
        <f t="shared" ca="1" si="56"/>
        <v>140.99753122681778</v>
      </c>
      <c r="M250" s="212">
        <f t="shared" ca="1" si="57"/>
        <v>2.6177323827661385</v>
      </c>
      <c r="N250" s="212">
        <f t="shared" ca="1" si="58"/>
        <v>2.6177323827661385</v>
      </c>
      <c r="O250" s="210">
        <f t="shared" ca="1" si="53"/>
        <v>148.18662993899343</v>
      </c>
      <c r="P250" s="212">
        <f t="shared" ca="1" si="59"/>
        <v>0</v>
      </c>
      <c r="Q250" s="212">
        <f t="shared" ca="1" si="60"/>
        <v>0.42299999999999999</v>
      </c>
      <c r="R250" s="386"/>
      <c r="S250" s="207">
        <f t="shared" si="64"/>
        <v>2001</v>
      </c>
      <c r="T250" s="207">
        <f t="shared" si="65"/>
        <v>3</v>
      </c>
      <c r="U250" s="384" t="str">
        <f t="shared" ca="1" si="61"/>
        <v/>
      </c>
      <c r="V250" s="384" t="str">
        <f t="shared" ca="1" si="62"/>
        <v>||</v>
      </c>
      <c r="W250" s="385" t="str">
        <f t="shared" ca="1" si="63"/>
        <v/>
      </c>
    </row>
    <row r="251" spans="1:23">
      <c r="A251" s="207">
        <f>+'Anexo Escurrimiento'!A261</f>
        <v>2001</v>
      </c>
      <c r="B251" s="207">
        <f>+'Anexo Escurrimiento'!B261</f>
        <v>4</v>
      </c>
      <c r="C251" s="208">
        <f>+'Anexo Escurrimiento'!O261</f>
        <v>7.7064382341868178</v>
      </c>
      <c r="D251" s="207">
        <f>+'Anexo Escurrimiento'!D261</f>
        <v>417.4</v>
      </c>
      <c r="E251" s="214">
        <f t="shared" si="68"/>
        <v>73.149999999999991</v>
      </c>
      <c r="F251" s="213">
        <f t="shared" si="68"/>
        <v>0</v>
      </c>
      <c r="G251" s="211">
        <f t="shared" si="67"/>
        <v>3.4424999999999998E-3</v>
      </c>
      <c r="H251" s="212">
        <f>+F251/100000*'Anexo Bal Hídrico'!$G$4</f>
        <v>0</v>
      </c>
      <c r="I251" s="212">
        <v>0</v>
      </c>
      <c r="J251" s="212">
        <f t="shared" ca="1" si="54"/>
        <v>10.324170616952957</v>
      </c>
      <c r="K251" s="212">
        <f t="shared" ca="1" si="55"/>
        <v>358.79783737851102</v>
      </c>
      <c r="L251" s="212">
        <f t="shared" ca="1" si="56"/>
        <v>253.49223365875224</v>
      </c>
      <c r="M251" s="212">
        <f t="shared" ca="1" si="57"/>
        <v>10.454033509065709</v>
      </c>
      <c r="N251" s="212">
        <f t="shared" ca="1" si="58"/>
        <v>7.6368477630678893</v>
      </c>
      <c r="O251" s="210">
        <f t="shared" ca="1" si="53"/>
        <v>295.43791936297487</v>
      </c>
      <c r="P251" s="212">
        <f t="shared" ca="1" si="59"/>
        <v>2.8171857459978202</v>
      </c>
      <c r="Q251" s="212">
        <f t="shared" ca="1" si="60"/>
        <v>0</v>
      </c>
      <c r="R251" s="386"/>
      <c r="S251" s="207">
        <f t="shared" si="64"/>
        <v>2001</v>
      </c>
      <c r="T251" s="207">
        <f t="shared" si="65"/>
        <v>4</v>
      </c>
      <c r="U251" s="384" t="str">
        <f t="shared" ca="1" si="61"/>
        <v/>
      </c>
      <c r="V251" s="384" t="str">
        <f t="shared" ca="1" si="62"/>
        <v/>
      </c>
      <c r="W251" s="385" t="str">
        <f t="shared" ca="1" si="63"/>
        <v>||||||||||||||</v>
      </c>
    </row>
    <row r="252" spans="1:23">
      <c r="A252" s="207">
        <f>+'Anexo Escurrimiento'!A262</f>
        <v>2001</v>
      </c>
      <c r="B252" s="207">
        <f>+'Anexo Escurrimiento'!B262</f>
        <v>5</v>
      </c>
      <c r="C252" s="208">
        <f>+'Anexo Escurrimiento'!O262</f>
        <v>4.8932754855399851</v>
      </c>
      <c r="D252" s="207">
        <f>+'Anexo Escurrimiento'!D262</f>
        <v>219.9</v>
      </c>
      <c r="E252" s="214">
        <f t="shared" si="68"/>
        <v>51.24</v>
      </c>
      <c r="F252" s="213">
        <f t="shared" si="68"/>
        <v>0</v>
      </c>
      <c r="G252" s="211">
        <f t="shared" si="67"/>
        <v>1.6865999999999999E-3</v>
      </c>
      <c r="H252" s="212">
        <f>+F252/100000*'Anexo Bal Hídrico'!$G$4</f>
        <v>0</v>
      </c>
      <c r="I252" s="212">
        <v>0</v>
      </c>
      <c r="J252" s="212">
        <f t="shared" ca="1" si="54"/>
        <v>12.530123248607875</v>
      </c>
      <c r="K252" s="212">
        <f t="shared" ca="1" si="55"/>
        <v>406.48758847581598</v>
      </c>
      <c r="L252" s="212">
        <f t="shared" ca="1" si="56"/>
        <v>350.96275391939542</v>
      </c>
      <c r="M252" s="212">
        <f t="shared" ca="1" si="57"/>
        <v>12.469069409561719</v>
      </c>
      <c r="N252" s="212">
        <f t="shared" ca="1" si="58"/>
        <v>7.6368477630678893</v>
      </c>
      <c r="O252" s="210">
        <f t="shared" ca="1" si="53"/>
        <v>295.43791936297487</v>
      </c>
      <c r="P252" s="212">
        <f t="shared" ca="1" si="59"/>
        <v>4.8322216464938297</v>
      </c>
      <c r="Q252" s="212">
        <f t="shared" ca="1" si="60"/>
        <v>0</v>
      </c>
      <c r="R252" s="386"/>
      <c r="S252" s="207">
        <f t="shared" si="64"/>
        <v>2001</v>
      </c>
      <c r="T252" s="207">
        <f t="shared" si="65"/>
        <v>5</v>
      </c>
      <c r="U252" s="384" t="str">
        <f t="shared" ca="1" si="61"/>
        <v/>
      </c>
      <c r="V252" s="384" t="str">
        <f t="shared" ca="1" si="62"/>
        <v/>
      </c>
      <c r="W252" s="385" t="str">
        <f t="shared" ca="1" si="63"/>
        <v>||||||||||||||||||||||||</v>
      </c>
    </row>
    <row r="253" spans="1:23">
      <c r="A253" s="207">
        <f>+'Anexo Escurrimiento'!A263</f>
        <v>2001</v>
      </c>
      <c r="B253" s="207">
        <f>+'Anexo Escurrimiento'!B263</f>
        <v>6</v>
      </c>
      <c r="C253" s="208">
        <f>+'Anexo Escurrimiento'!O263</f>
        <v>2.2364626505745342</v>
      </c>
      <c r="D253" s="207">
        <f>+'Anexo Escurrimiento'!D263</f>
        <v>93.3</v>
      </c>
      <c r="E253" s="214">
        <f t="shared" ref="E253:F272" si="69">+E241</f>
        <v>41.019999999999996</v>
      </c>
      <c r="F253" s="213">
        <f t="shared" si="69"/>
        <v>0</v>
      </c>
      <c r="G253" s="211">
        <f t="shared" si="67"/>
        <v>5.2280000000000002E-4</v>
      </c>
      <c r="H253" s="212">
        <f>+F253/100000*'Anexo Bal Hídrico'!$G$4</f>
        <v>0</v>
      </c>
      <c r="I253" s="212">
        <v>0</v>
      </c>
      <c r="J253" s="212">
        <f t="shared" ca="1" si="54"/>
        <v>9.8733104136424235</v>
      </c>
      <c r="K253" s="212">
        <f t="shared" ca="1" si="55"/>
        <v>348.62024162036403</v>
      </c>
      <c r="L253" s="212">
        <f t="shared" ca="1" si="56"/>
        <v>322.02908049166945</v>
      </c>
      <c r="M253" s="212">
        <f t="shared" ca="1" si="57"/>
        <v>9.7678246272206248</v>
      </c>
      <c r="N253" s="212">
        <f t="shared" ca="1" si="58"/>
        <v>7.6368477630678893</v>
      </c>
      <c r="O253" s="210">
        <f t="shared" ca="1" si="53"/>
        <v>295.43791936297487</v>
      </c>
      <c r="P253" s="212">
        <f t="shared" ca="1" si="59"/>
        <v>2.1309768641527356</v>
      </c>
      <c r="Q253" s="212">
        <f t="shared" ca="1" si="60"/>
        <v>0</v>
      </c>
      <c r="R253" s="386"/>
      <c r="S253" s="207">
        <f t="shared" si="64"/>
        <v>2001</v>
      </c>
      <c r="T253" s="207">
        <f t="shared" si="65"/>
        <v>6</v>
      </c>
      <c r="U253" s="384" t="str">
        <f t="shared" ca="1" si="61"/>
        <v/>
      </c>
      <c r="V253" s="384" t="str">
        <f t="shared" ca="1" si="62"/>
        <v/>
      </c>
      <c r="W253" s="385" t="str">
        <f t="shared" ca="1" si="63"/>
        <v>||||||||||</v>
      </c>
    </row>
    <row r="254" spans="1:23">
      <c r="A254" s="207">
        <f>+'Anexo Escurrimiento'!A264</f>
        <v>2001</v>
      </c>
      <c r="B254" s="207">
        <f>+'Anexo Escurrimiento'!B264</f>
        <v>7</v>
      </c>
      <c r="C254" s="208">
        <f>+'Anexo Escurrimiento'!O264</f>
        <v>0.73884318577829444</v>
      </c>
      <c r="D254" s="207">
        <f>+'Anexo Escurrimiento'!D264</f>
        <v>34</v>
      </c>
      <c r="E254" s="214">
        <f t="shared" si="69"/>
        <v>50.819999999999993</v>
      </c>
      <c r="F254" s="213">
        <f t="shared" si="69"/>
        <v>0</v>
      </c>
      <c r="G254" s="211">
        <f t="shared" si="67"/>
        <v>-1.6819999999999994E-4</v>
      </c>
      <c r="H254" s="212">
        <f>+F254/100000*'Anexo Bal Hídrico'!$G$4</f>
        <v>0</v>
      </c>
      <c r="I254" s="212">
        <v>0</v>
      </c>
      <c r="J254" s="212">
        <f t="shared" ca="1" si="54"/>
        <v>8.3756909488461844</v>
      </c>
      <c r="K254" s="212">
        <f t="shared" ca="1" si="55"/>
        <v>313.55408030052621</v>
      </c>
      <c r="L254" s="212">
        <f t="shared" ca="1" si="56"/>
        <v>304.49599983175051</v>
      </c>
      <c r="M254" s="212">
        <f t="shared" ca="1" si="57"/>
        <v>8.2389329746887654</v>
      </c>
      <c r="N254" s="212">
        <f t="shared" ca="1" si="58"/>
        <v>7.6368477630678893</v>
      </c>
      <c r="O254" s="210">
        <f t="shared" ca="1" si="53"/>
        <v>295.43791936297487</v>
      </c>
      <c r="P254" s="212">
        <f t="shared" ca="1" si="59"/>
        <v>0.60208521162087614</v>
      </c>
      <c r="Q254" s="212">
        <f t="shared" ca="1" si="60"/>
        <v>0</v>
      </c>
      <c r="R254" s="386"/>
      <c r="S254" s="207">
        <f t="shared" si="64"/>
        <v>2001</v>
      </c>
      <c r="T254" s="207">
        <f t="shared" si="65"/>
        <v>7</v>
      </c>
      <c r="U254" s="384" t="str">
        <f t="shared" ca="1" si="61"/>
        <v/>
      </c>
      <c r="V254" s="384" t="str">
        <f t="shared" ca="1" si="62"/>
        <v/>
      </c>
      <c r="W254" s="385" t="str">
        <f t="shared" ca="1" si="63"/>
        <v>|||</v>
      </c>
    </row>
    <row r="255" spans="1:23">
      <c r="A255" s="207">
        <f>+'Anexo Escurrimiento'!A265</f>
        <v>2001</v>
      </c>
      <c r="B255" s="207">
        <f>+'Anexo Escurrimiento'!B265</f>
        <v>8</v>
      </c>
      <c r="C255" s="208">
        <f>+'Anexo Escurrimiento'!O265</f>
        <v>2.7279597133596929</v>
      </c>
      <c r="D255" s="207">
        <f>+'Anexo Escurrimiento'!D265</f>
        <v>184.9</v>
      </c>
      <c r="E255" s="214">
        <f t="shared" si="69"/>
        <v>72.449999999999989</v>
      </c>
      <c r="F255" s="213">
        <f t="shared" si="69"/>
        <v>0</v>
      </c>
      <c r="G255" s="211">
        <f t="shared" si="67"/>
        <v>1.1245000000000001E-3</v>
      </c>
      <c r="H255" s="212">
        <f>+F255/100000*'Anexo Bal Hídrico'!$G$4</f>
        <v>0</v>
      </c>
      <c r="I255" s="212">
        <v>0</v>
      </c>
      <c r="J255" s="212">
        <f t="shared" ca="1" si="54"/>
        <v>10.364807476427583</v>
      </c>
      <c r="K255" s="212">
        <f t="shared" ca="1" si="55"/>
        <v>359.70731805620818</v>
      </c>
      <c r="L255" s="212">
        <f t="shared" ca="1" si="56"/>
        <v>327.57261870959155</v>
      </c>
      <c r="M255" s="212">
        <f t="shared" ca="1" si="57"/>
        <v>10.393389157254159</v>
      </c>
      <c r="N255" s="212">
        <f t="shared" ca="1" si="58"/>
        <v>7.6368477630678893</v>
      </c>
      <c r="O255" s="210">
        <f t="shared" ca="1" si="53"/>
        <v>295.43791936297487</v>
      </c>
      <c r="P255" s="212">
        <f t="shared" ca="1" si="59"/>
        <v>2.7565413941862698</v>
      </c>
      <c r="Q255" s="212">
        <f t="shared" ca="1" si="60"/>
        <v>0</v>
      </c>
      <c r="R255" s="386"/>
      <c r="S255" s="207">
        <f t="shared" si="64"/>
        <v>2001</v>
      </c>
      <c r="T255" s="207">
        <f t="shared" si="65"/>
        <v>8</v>
      </c>
      <c r="U255" s="384" t="str">
        <f t="shared" ca="1" si="61"/>
        <v/>
      </c>
      <c r="V255" s="384" t="str">
        <f t="shared" ca="1" si="62"/>
        <v/>
      </c>
      <c r="W255" s="385" t="str">
        <f t="shared" ca="1" si="63"/>
        <v>|||||||||||||</v>
      </c>
    </row>
    <row r="256" spans="1:23">
      <c r="A256" s="207">
        <f>+'Anexo Escurrimiento'!A266</f>
        <v>2001</v>
      </c>
      <c r="B256" s="207">
        <f>+'Anexo Escurrimiento'!B266</f>
        <v>9</v>
      </c>
      <c r="C256" s="208">
        <f>+'Anexo Escurrimiento'!O266</f>
        <v>3.9710575915946498</v>
      </c>
      <c r="D256" s="207">
        <f>+'Anexo Escurrimiento'!D266</f>
        <v>229.8</v>
      </c>
      <c r="E256" s="214">
        <f t="shared" si="69"/>
        <v>85.89</v>
      </c>
      <c r="F256" s="213">
        <f t="shared" si="69"/>
        <v>0</v>
      </c>
      <c r="G256" s="211">
        <f t="shared" si="67"/>
        <v>1.4391000000000002E-3</v>
      </c>
      <c r="H256" s="212">
        <f>+F256/100000*'Anexo Bal Hídrico'!$G$4</f>
        <v>0</v>
      </c>
      <c r="I256" s="212">
        <v>0</v>
      </c>
      <c r="J256" s="212">
        <f t="shared" ca="1" si="54"/>
        <v>11.607905354662538</v>
      </c>
      <c r="K256" s="212">
        <f t="shared" ca="1" si="55"/>
        <v>386.94651623049276</v>
      </c>
      <c r="L256" s="212">
        <f t="shared" ca="1" si="56"/>
        <v>341.19221779673381</v>
      </c>
      <c r="M256" s="212">
        <f t="shared" ca="1" si="57"/>
        <v>11.583746274276809</v>
      </c>
      <c r="N256" s="212">
        <f t="shared" ca="1" si="58"/>
        <v>7.6368477630678893</v>
      </c>
      <c r="O256" s="210">
        <f t="shared" ca="1" si="53"/>
        <v>295.43791936297487</v>
      </c>
      <c r="P256" s="212">
        <f t="shared" ca="1" si="59"/>
        <v>3.9468985112089197</v>
      </c>
      <c r="Q256" s="212">
        <f t="shared" ca="1" si="60"/>
        <v>0</v>
      </c>
      <c r="R256" s="386"/>
      <c r="S256" s="207">
        <f t="shared" si="64"/>
        <v>2001</v>
      </c>
      <c r="T256" s="207">
        <f t="shared" si="65"/>
        <v>9</v>
      </c>
      <c r="U256" s="384" t="str">
        <f t="shared" ca="1" si="61"/>
        <v/>
      </c>
      <c r="V256" s="384" t="str">
        <f t="shared" ca="1" si="62"/>
        <v/>
      </c>
      <c r="W256" s="385" t="str">
        <f t="shared" ca="1" si="63"/>
        <v>|||||||||||||||||||</v>
      </c>
    </row>
    <row r="257" spans="1:23">
      <c r="A257" s="207">
        <f>+'Anexo Escurrimiento'!A267</f>
        <v>2001</v>
      </c>
      <c r="B257" s="207">
        <f>+'Anexo Escurrimiento'!B267</f>
        <v>10</v>
      </c>
      <c r="C257" s="208">
        <f>+'Anexo Escurrimiento'!O267</f>
        <v>2.0240927628522014</v>
      </c>
      <c r="D257" s="207">
        <f>+'Anexo Escurrimiento'!D267</f>
        <v>126.5</v>
      </c>
      <c r="E257" s="214">
        <f t="shared" si="69"/>
        <v>114.86999999999999</v>
      </c>
      <c r="F257" s="213">
        <f t="shared" si="69"/>
        <v>59</v>
      </c>
      <c r="G257" s="211">
        <f t="shared" si="67"/>
        <v>1.163000000000001E-4</v>
      </c>
      <c r="H257" s="212">
        <f>+F257/100000*'Anexo Bal Hídrico'!$G$4</f>
        <v>0.53100000000000003</v>
      </c>
      <c r="I257" s="212">
        <v>0</v>
      </c>
      <c r="J257" s="212">
        <f t="shared" ca="1" si="54"/>
        <v>9.1299405259200892</v>
      </c>
      <c r="K257" s="212">
        <f t="shared" ca="1" si="55"/>
        <v>331.47057328943794</v>
      </c>
      <c r="L257" s="212">
        <f t="shared" ca="1" si="56"/>
        <v>313.45424632620643</v>
      </c>
      <c r="M257" s="212">
        <f t="shared" ca="1" si="57"/>
        <v>8.92515553177385</v>
      </c>
      <c r="N257" s="212">
        <f t="shared" ca="1" si="58"/>
        <v>7.6368477630678893</v>
      </c>
      <c r="O257" s="210">
        <f t="shared" ca="1" si="53"/>
        <v>295.43791936297487</v>
      </c>
      <c r="P257" s="212">
        <f t="shared" ca="1" si="59"/>
        <v>1.2883077687059608</v>
      </c>
      <c r="Q257" s="212">
        <f t="shared" ca="1" si="60"/>
        <v>0.53100000000000003</v>
      </c>
      <c r="R257" s="386"/>
      <c r="S257" s="207">
        <f t="shared" si="64"/>
        <v>2001</v>
      </c>
      <c r="T257" s="207">
        <f t="shared" si="65"/>
        <v>10</v>
      </c>
      <c r="U257" s="384" t="str">
        <f t="shared" ca="1" si="61"/>
        <v/>
      </c>
      <c r="V257" s="384" t="str">
        <f t="shared" ca="1" si="62"/>
        <v>||</v>
      </c>
      <c r="W257" s="385" t="str">
        <f t="shared" ca="1" si="63"/>
        <v>||||||</v>
      </c>
    </row>
    <row r="258" spans="1:23">
      <c r="A258" s="207">
        <f>+'Anexo Escurrimiento'!A268</f>
        <v>2001</v>
      </c>
      <c r="B258" s="207">
        <f>+'Anexo Escurrimiento'!B268</f>
        <v>11</v>
      </c>
      <c r="C258" s="208">
        <f>+'Anexo Escurrimiento'!O268</f>
        <v>2.0906795842913977</v>
      </c>
      <c r="D258" s="207">
        <f>+'Anexo Escurrimiento'!D268</f>
        <v>171.4</v>
      </c>
      <c r="E258" s="214">
        <f t="shared" si="69"/>
        <v>144.06</v>
      </c>
      <c r="F258" s="213">
        <f t="shared" si="69"/>
        <v>212</v>
      </c>
      <c r="G258" s="211">
        <f t="shared" si="67"/>
        <v>2.7340000000000003E-4</v>
      </c>
      <c r="H258" s="212">
        <f>+F258/100000*'Anexo Bal Hídrico'!$G$4</f>
        <v>1.9079999999999999</v>
      </c>
      <c r="I258" s="212">
        <v>0</v>
      </c>
      <c r="J258" s="212">
        <f t="shared" ca="1" si="54"/>
        <v>7.819527347359287</v>
      </c>
      <c r="K258" s="212">
        <f t="shared" ca="1" si="55"/>
        <v>299.97308560807159</v>
      </c>
      <c r="L258" s="212">
        <f t="shared" ca="1" si="56"/>
        <v>297.7055024855232</v>
      </c>
      <c r="M258" s="212">
        <f t="shared" ca="1" si="57"/>
        <v>7.6642634476408471</v>
      </c>
      <c r="N258" s="212">
        <f t="shared" ca="1" si="58"/>
        <v>7.6368477630678893</v>
      </c>
      <c r="O258" s="210">
        <f t="shared" ca="1" si="53"/>
        <v>295.43791936297487</v>
      </c>
      <c r="P258" s="212">
        <f t="shared" ca="1" si="59"/>
        <v>2.7415684572957844E-2</v>
      </c>
      <c r="Q258" s="212">
        <f t="shared" ca="1" si="60"/>
        <v>1.9079999999999999</v>
      </c>
      <c r="R258" s="386"/>
      <c r="S258" s="207">
        <f t="shared" si="64"/>
        <v>2001</v>
      </c>
      <c r="T258" s="207">
        <f t="shared" si="65"/>
        <v>11</v>
      </c>
      <c r="U258" s="384" t="str">
        <f t="shared" ca="1" si="61"/>
        <v/>
      </c>
      <c r="V258" s="384" t="str">
        <f t="shared" ca="1" si="62"/>
        <v>|||||||||</v>
      </c>
      <c r="W258" s="385" t="str">
        <f t="shared" ca="1" si="63"/>
        <v/>
      </c>
    </row>
    <row r="259" spans="1:23">
      <c r="A259" s="207">
        <f>+'Anexo Escurrimiento'!A269</f>
        <v>2001</v>
      </c>
      <c r="B259" s="207">
        <f>+'Anexo Escurrimiento'!B269</f>
        <v>12</v>
      </c>
      <c r="C259" s="208">
        <f>+'Anexo Escurrimiento'!O269</f>
        <v>0.85148496556440167</v>
      </c>
      <c r="D259" s="207">
        <f>+'Anexo Escurrimiento'!D269</f>
        <v>70.900000000000006</v>
      </c>
      <c r="E259" s="214">
        <f t="shared" si="69"/>
        <v>179.62</v>
      </c>
      <c r="F259" s="213">
        <f t="shared" si="69"/>
        <v>388</v>
      </c>
      <c r="G259" s="211">
        <f t="shared" si="67"/>
        <v>-1.0872E-3</v>
      </c>
      <c r="H259" s="212">
        <f>+F259/100000*'Anexo Bal Hídrico'!$G$4</f>
        <v>3.492</v>
      </c>
      <c r="I259" s="212">
        <v>0</v>
      </c>
      <c r="J259" s="212">
        <f t="shared" ca="1" si="54"/>
        <v>4.9963327286322903</v>
      </c>
      <c r="K259" s="212">
        <f t="shared" ca="1" si="55"/>
        <v>224.76051492719068</v>
      </c>
      <c r="L259" s="212">
        <f t="shared" ca="1" si="56"/>
        <v>260.09921714508278</v>
      </c>
      <c r="M259" s="212">
        <f t="shared" ca="1" si="57"/>
        <v>4.6293435164235985</v>
      </c>
      <c r="N259" s="212">
        <f t="shared" ca="1" si="58"/>
        <v>4.6293435164235985</v>
      </c>
      <c r="O259" s="210">
        <f t="shared" ca="1" si="53"/>
        <v>213.97768490816478</v>
      </c>
      <c r="P259" s="212">
        <f t="shared" ca="1" si="59"/>
        <v>0</v>
      </c>
      <c r="Q259" s="212">
        <f t="shared" ca="1" si="60"/>
        <v>3.492</v>
      </c>
      <c r="R259" s="386"/>
      <c r="S259" s="207">
        <f t="shared" si="64"/>
        <v>2001</v>
      </c>
      <c r="T259" s="207">
        <f t="shared" si="65"/>
        <v>12</v>
      </c>
      <c r="U259" s="384" t="str">
        <f t="shared" ca="1" si="61"/>
        <v/>
      </c>
      <c r="V259" s="384" t="str">
        <f t="shared" ca="1" si="62"/>
        <v>|||||||||||||||||</v>
      </c>
      <c r="W259" s="385" t="str">
        <f t="shared" ca="1" si="63"/>
        <v/>
      </c>
    </row>
    <row r="260" spans="1:23">
      <c r="A260" s="207">
        <f>+'Anexo Escurrimiento'!A270</f>
        <v>2002</v>
      </c>
      <c r="B260" s="207">
        <f>+'Anexo Escurrimiento'!B270</f>
        <v>1</v>
      </c>
      <c r="C260" s="208">
        <f>+'Anexo Escurrimiento'!O270</f>
        <v>0.88443721663617714</v>
      </c>
      <c r="D260" s="207">
        <f>+'Anexo Escurrimiento'!D270</f>
        <v>115.3</v>
      </c>
      <c r="E260" s="214">
        <f t="shared" si="69"/>
        <v>176.89</v>
      </c>
      <c r="F260" s="213">
        <f t="shared" si="69"/>
        <v>318</v>
      </c>
      <c r="G260" s="211">
        <f t="shared" si="67"/>
        <v>-6.1589999999999985E-4</v>
      </c>
      <c r="H260" s="212">
        <f>+F260/100000*'Anexo Bal Hídrico'!$G$4</f>
        <v>2.8620000000000001</v>
      </c>
      <c r="I260" s="212">
        <v>0</v>
      </c>
      <c r="J260" s="212">
        <f t="shared" ca="1" si="54"/>
        <v>2.6517807330597751</v>
      </c>
      <c r="K260" s="212">
        <f t="shared" ca="1" si="55"/>
        <v>149.42589007532055</v>
      </c>
      <c r="L260" s="212">
        <f t="shared" ca="1" si="56"/>
        <v>181.70178749174266</v>
      </c>
      <c r="M260" s="212">
        <f t="shared" ca="1" si="57"/>
        <v>2.4787664868633774</v>
      </c>
      <c r="N260" s="212">
        <f t="shared" ca="1" si="58"/>
        <v>2.4787664868633774</v>
      </c>
      <c r="O260" s="210">
        <f t="shared" ca="1" si="53"/>
        <v>143.06799402369256</v>
      </c>
      <c r="P260" s="212">
        <f t="shared" ca="1" si="59"/>
        <v>0</v>
      </c>
      <c r="Q260" s="212">
        <f t="shared" ca="1" si="60"/>
        <v>2.8620000000000001</v>
      </c>
      <c r="R260" s="386"/>
      <c r="S260" s="207">
        <f t="shared" si="64"/>
        <v>2002</v>
      </c>
      <c r="T260" s="207">
        <f t="shared" si="65"/>
        <v>1</v>
      </c>
      <c r="U260" s="384" t="str">
        <f t="shared" ca="1" si="61"/>
        <v/>
      </c>
      <c r="V260" s="384" t="str">
        <f t="shared" ca="1" si="62"/>
        <v>||||||||||||||</v>
      </c>
      <c r="W260" s="385" t="str">
        <f t="shared" ca="1" si="63"/>
        <v/>
      </c>
    </row>
    <row r="261" spans="1:23">
      <c r="A261" s="207">
        <f>+'Anexo Escurrimiento'!A271</f>
        <v>2002</v>
      </c>
      <c r="B261" s="207">
        <f>+'Anexo Escurrimiento'!B271</f>
        <v>2</v>
      </c>
      <c r="C261" s="208">
        <f>+'Anexo Escurrimiento'!O271</f>
        <v>1.1068274845559511</v>
      </c>
      <c r="D261" s="207">
        <f>+'Anexo Escurrimiento'!D271</f>
        <v>115.2</v>
      </c>
      <c r="E261" s="214">
        <f t="shared" si="69"/>
        <v>131.73999999999998</v>
      </c>
      <c r="F261" s="213">
        <f t="shared" si="69"/>
        <v>153</v>
      </c>
      <c r="G261" s="211">
        <f t="shared" si="67"/>
        <v>-1.6539999999999976E-4</v>
      </c>
      <c r="H261" s="212">
        <f>+F261/100000*'Anexo Bal Hídrico'!$G$4</f>
        <v>1.377</v>
      </c>
      <c r="I261" s="212">
        <v>0</v>
      </c>
      <c r="J261" s="212">
        <f t="shared" ca="1" si="54"/>
        <v>2.2085939714193286</v>
      </c>
      <c r="K261" s="212">
        <f t="shared" ca="1" si="55"/>
        <v>132.81384536707191</v>
      </c>
      <c r="L261" s="212">
        <f t="shared" ca="1" si="56"/>
        <v>137.94091969538223</v>
      </c>
      <c r="M261" s="212">
        <f t="shared" ca="1" si="57"/>
        <v>2.1277265276500872</v>
      </c>
      <c r="N261" s="212">
        <f t="shared" ca="1" si="58"/>
        <v>2.1277265276500872</v>
      </c>
      <c r="O261" s="210">
        <f t="shared" ca="1" si="53"/>
        <v>129.65921354979002</v>
      </c>
      <c r="P261" s="212">
        <f t="shared" ca="1" si="59"/>
        <v>0</v>
      </c>
      <c r="Q261" s="212">
        <f t="shared" ca="1" si="60"/>
        <v>1.377</v>
      </c>
      <c r="R261" s="386"/>
      <c r="S261" s="207">
        <f t="shared" si="64"/>
        <v>2002</v>
      </c>
      <c r="T261" s="207">
        <f t="shared" si="65"/>
        <v>2</v>
      </c>
      <c r="U261" s="384" t="str">
        <f t="shared" ca="1" si="61"/>
        <v/>
      </c>
      <c r="V261" s="384" t="str">
        <f t="shared" ca="1" si="62"/>
        <v>||||||</v>
      </c>
      <c r="W261" s="385" t="str">
        <f t="shared" ca="1" si="63"/>
        <v/>
      </c>
    </row>
    <row r="262" spans="1:23">
      <c r="A262" s="207">
        <f>+'Anexo Escurrimiento'!A272</f>
        <v>2002</v>
      </c>
      <c r="B262" s="207">
        <f>+'Anexo Escurrimiento'!B272</f>
        <v>3</v>
      </c>
      <c r="C262" s="208">
        <f>+'Anexo Escurrimiento'!O272</f>
        <v>5.8749144704805207</v>
      </c>
      <c r="D262" s="207">
        <f>+'Anexo Escurrimiento'!D272</f>
        <v>363.7</v>
      </c>
      <c r="E262" s="214">
        <f t="shared" si="69"/>
        <v>118.64999999999999</v>
      </c>
      <c r="F262" s="213">
        <f t="shared" si="69"/>
        <v>47</v>
      </c>
      <c r="G262" s="211">
        <f t="shared" si="67"/>
        <v>2.4505E-3</v>
      </c>
      <c r="H262" s="212">
        <f>+F262/100000*'Anexo Bal Hídrico'!$G$4</f>
        <v>0.42299999999999999</v>
      </c>
      <c r="I262" s="212">
        <v>0</v>
      </c>
      <c r="J262" s="212">
        <f t="shared" ca="1" si="54"/>
        <v>7.5796409981306088</v>
      </c>
      <c r="K262" s="212">
        <f t="shared" ca="1" si="55"/>
        <v>294.00980956540394</v>
      </c>
      <c r="L262" s="212">
        <f t="shared" ca="1" si="56"/>
        <v>211.83451155759698</v>
      </c>
      <c r="M262" s="212">
        <f t="shared" ca="1" si="57"/>
        <v>7.6255438879812445</v>
      </c>
      <c r="N262" s="212">
        <f t="shared" ca="1" si="58"/>
        <v>7.6255438879812445</v>
      </c>
      <c r="O262" s="210">
        <f t="shared" ca="1" si="53"/>
        <v>295.15603177013037</v>
      </c>
      <c r="P262" s="212">
        <f t="shared" ca="1" si="59"/>
        <v>0</v>
      </c>
      <c r="Q262" s="212">
        <f t="shared" ca="1" si="60"/>
        <v>0.42299999999999999</v>
      </c>
      <c r="R262" s="386"/>
      <c r="S262" s="207">
        <f t="shared" si="64"/>
        <v>2002</v>
      </c>
      <c r="T262" s="207">
        <f t="shared" si="65"/>
        <v>3</v>
      </c>
      <c r="U262" s="384" t="str">
        <f t="shared" ca="1" si="61"/>
        <v/>
      </c>
      <c r="V262" s="384" t="str">
        <f t="shared" ca="1" si="62"/>
        <v>||</v>
      </c>
      <c r="W262" s="385" t="str">
        <f t="shared" ca="1" si="63"/>
        <v/>
      </c>
    </row>
    <row r="263" spans="1:23">
      <c r="A263" s="207">
        <f>+'Anexo Escurrimiento'!A273</f>
        <v>2002</v>
      </c>
      <c r="B263" s="207">
        <f>+'Anexo Escurrimiento'!B273</f>
        <v>4</v>
      </c>
      <c r="C263" s="208">
        <f>+'Anexo Escurrimiento'!O273</f>
        <v>7.8119582626253585</v>
      </c>
      <c r="D263" s="207">
        <f>+'Anexo Escurrimiento'!D273</f>
        <v>382.9</v>
      </c>
      <c r="E263" s="214">
        <f t="shared" si="69"/>
        <v>73.149999999999991</v>
      </c>
      <c r="F263" s="213">
        <f t="shared" si="69"/>
        <v>0</v>
      </c>
      <c r="G263" s="211">
        <f t="shared" si="67"/>
        <v>3.0975E-3</v>
      </c>
      <c r="H263" s="212">
        <f>+F263/100000*'Anexo Bal Hídrico'!$G$4</f>
        <v>0</v>
      </c>
      <c r="I263" s="212">
        <v>0</v>
      </c>
      <c r="J263" s="212">
        <f t="shared" ca="1" si="54"/>
        <v>15.437502150606603</v>
      </c>
      <c r="K263" s="212">
        <f t="shared" ca="1" si="55"/>
        <v>464.9941473605208</v>
      </c>
      <c r="L263" s="212">
        <f t="shared" ca="1" si="56"/>
        <v>380.07508956532558</v>
      </c>
      <c r="M263" s="212">
        <f t="shared" ca="1" si="57"/>
        <v>15.485837692494167</v>
      </c>
      <c r="N263" s="212">
        <f t="shared" ca="1" si="58"/>
        <v>7.6368477630678893</v>
      </c>
      <c r="O263" s="210">
        <f t="shared" ref="O263:O326" ca="1" si="70">+g_*N263^h_</f>
        <v>295.43791936297487</v>
      </c>
      <c r="P263" s="212">
        <f t="shared" ca="1" si="59"/>
        <v>7.8489899294262777</v>
      </c>
      <c r="Q263" s="212">
        <f t="shared" ca="1" si="60"/>
        <v>0</v>
      </c>
      <c r="R263" s="386"/>
      <c r="S263" s="207">
        <f t="shared" si="64"/>
        <v>2002</v>
      </c>
      <c r="T263" s="207">
        <f t="shared" si="65"/>
        <v>4</v>
      </c>
      <c r="U263" s="384" t="str">
        <f t="shared" ca="1" si="61"/>
        <v/>
      </c>
      <c r="V263" s="384" t="str">
        <f t="shared" ca="1" si="62"/>
        <v/>
      </c>
      <c r="W263" s="385" t="str">
        <f t="shared" ca="1" si="63"/>
        <v>|||||||||||||||||||||||||||||||||||||||</v>
      </c>
    </row>
    <row r="264" spans="1:23">
      <c r="A264" s="207">
        <f>+'Anexo Escurrimiento'!A274</f>
        <v>2002</v>
      </c>
      <c r="B264" s="207">
        <f>+'Anexo Escurrimiento'!B274</f>
        <v>5</v>
      </c>
      <c r="C264" s="208">
        <f>+'Anexo Escurrimiento'!O274</f>
        <v>3.0426337210146976</v>
      </c>
      <c r="D264" s="207">
        <f>+'Anexo Escurrimiento'!D274</f>
        <v>128.6</v>
      </c>
      <c r="E264" s="214">
        <f t="shared" si="69"/>
        <v>51.24</v>
      </c>
      <c r="F264" s="213">
        <f t="shared" si="69"/>
        <v>0</v>
      </c>
      <c r="G264" s="211">
        <f t="shared" si="67"/>
        <v>7.7359999999999983E-4</v>
      </c>
      <c r="H264" s="212">
        <f>+F264/100000*'Anexo Bal Hídrico'!$G$4</f>
        <v>0</v>
      </c>
      <c r="I264" s="212">
        <v>0</v>
      </c>
      <c r="J264" s="212">
        <f t="shared" ref="J264:J327" ca="1" si="71">+N263+C264-H264-I264</f>
        <v>10.679481484082586</v>
      </c>
      <c r="K264" s="212">
        <f t="shared" ref="K264:K327" ca="1" si="72">+IF(J264&lt;0,0,g_*J264^h_)</f>
        <v>366.70755000759158</v>
      </c>
      <c r="L264" s="212">
        <f t="shared" ref="L264:L327" ca="1" si="73">+(K264+O263)/2</f>
        <v>331.07273468528319</v>
      </c>
      <c r="M264" s="212">
        <f t="shared" ref="M264:M327" ca="1" si="74">+N263+C264*(Ac-L264)/Ac+G264*L264-H264-I264</f>
        <v>10.552582976478469</v>
      </c>
      <c r="N264" s="212">
        <f t="shared" ref="N264:N327" ca="1" si="75">+IF(M264&gt;VolHv,VolHv,IF(M264&lt;VolHt,VolHt,M264))</f>
        <v>7.6368477630678893</v>
      </c>
      <c r="O264" s="210">
        <f t="shared" ca="1" si="70"/>
        <v>295.43791936297487</v>
      </c>
      <c r="P264" s="212">
        <f t="shared" ref="P264:P327" ca="1" si="76">+IF(M264&gt;VolHv,M264-VolHv,0)</f>
        <v>2.9157352134105796</v>
      </c>
      <c r="Q264" s="212">
        <f t="shared" ref="Q264:Q327" ca="1" si="77">+IF(M264&lt;VolHt,IF(H264&lt;(VolHt-M264),0,H264-(VolHt-M264)),H264)</f>
        <v>0</v>
      </c>
      <c r="R264" s="386"/>
      <c r="S264" s="207">
        <f t="shared" si="64"/>
        <v>2002</v>
      </c>
      <c r="T264" s="207">
        <f t="shared" si="65"/>
        <v>5</v>
      </c>
      <c r="U264" s="384" t="str">
        <f t="shared" ref="U264:U327" ca="1" si="78">+REPT("|",(H264-Q264)*$W$4)</f>
        <v/>
      </c>
      <c r="V264" s="384" t="str">
        <f t="shared" ref="V264:V327" ca="1" si="79">+REPT("|",Q264*$W$4)</f>
        <v/>
      </c>
      <c r="W264" s="385" t="str">
        <f t="shared" ref="W264:W327" ca="1" si="80">+REPT("|",P264*$W$4)</f>
        <v>||||||||||||||</v>
      </c>
    </row>
    <row r="265" spans="1:23">
      <c r="A265" s="207">
        <f>+'Anexo Escurrimiento'!A275</f>
        <v>2002</v>
      </c>
      <c r="B265" s="207">
        <f>+'Anexo Escurrimiento'!B275</f>
        <v>6</v>
      </c>
      <c r="C265" s="208">
        <f>+'Anexo Escurrimiento'!O275</f>
        <v>1.4222617364225363</v>
      </c>
      <c r="D265" s="207">
        <f>+'Anexo Escurrimiento'!D275</f>
        <v>71.7</v>
      </c>
      <c r="E265" s="214">
        <f t="shared" si="69"/>
        <v>41.019999999999996</v>
      </c>
      <c r="F265" s="213">
        <f t="shared" si="69"/>
        <v>0</v>
      </c>
      <c r="G265" s="211">
        <f t="shared" si="67"/>
        <v>3.0680000000000008E-4</v>
      </c>
      <c r="H265" s="212">
        <f>+F265/100000*'Anexo Bal Hídrico'!$G$4</f>
        <v>0</v>
      </c>
      <c r="I265" s="212">
        <v>0</v>
      </c>
      <c r="J265" s="212">
        <f t="shared" ca="1" si="71"/>
        <v>9.0591094994904253</v>
      </c>
      <c r="K265" s="212">
        <f t="shared" ca="1" si="72"/>
        <v>329.811049740496</v>
      </c>
      <c r="L265" s="212">
        <f t="shared" ca="1" si="73"/>
        <v>312.62448455173546</v>
      </c>
      <c r="M265" s="212">
        <f t="shared" ca="1" si="74"/>
        <v>8.9859603939186723</v>
      </c>
      <c r="N265" s="212">
        <f t="shared" ca="1" si="75"/>
        <v>7.6368477630678893</v>
      </c>
      <c r="O265" s="210">
        <f t="shared" ca="1" si="70"/>
        <v>295.43791936297487</v>
      </c>
      <c r="P265" s="212">
        <f t="shared" ca="1" si="76"/>
        <v>1.349112630850783</v>
      </c>
      <c r="Q265" s="212">
        <f t="shared" ca="1" si="77"/>
        <v>0</v>
      </c>
      <c r="R265" s="386"/>
      <c r="S265" s="207">
        <f t="shared" ref="S265:S328" si="81">+A265</f>
        <v>2002</v>
      </c>
      <c r="T265" s="207">
        <f t="shared" ref="T265:T328" si="82">+B265</f>
        <v>6</v>
      </c>
      <c r="U265" s="384" t="str">
        <f t="shared" ca="1" si="78"/>
        <v/>
      </c>
      <c r="V265" s="384" t="str">
        <f t="shared" ca="1" si="79"/>
        <v/>
      </c>
      <c r="W265" s="385" t="str">
        <f t="shared" ca="1" si="80"/>
        <v>||||||</v>
      </c>
    </row>
    <row r="266" spans="1:23">
      <c r="A266" s="207">
        <f>+'Anexo Escurrimiento'!A276</f>
        <v>2002</v>
      </c>
      <c r="B266" s="207">
        <f>+'Anexo Escurrimiento'!B276</f>
        <v>7</v>
      </c>
      <c r="C266" s="208">
        <f>+'Anexo Escurrimiento'!O276</f>
        <v>3.4235609137194132</v>
      </c>
      <c r="D266" s="207">
        <f>+'Anexo Escurrimiento'!D276</f>
        <v>193.5</v>
      </c>
      <c r="E266" s="214">
        <f t="shared" si="69"/>
        <v>50.819999999999993</v>
      </c>
      <c r="F266" s="213">
        <f t="shared" si="69"/>
        <v>0</v>
      </c>
      <c r="G266" s="211">
        <f t="shared" si="67"/>
        <v>1.4268E-3</v>
      </c>
      <c r="H266" s="212">
        <f>+F266/100000*'Anexo Bal Hídrico'!$G$4</f>
        <v>0</v>
      </c>
      <c r="I266" s="212">
        <v>0</v>
      </c>
      <c r="J266" s="212">
        <f t="shared" ca="1" si="71"/>
        <v>11.060408676787302</v>
      </c>
      <c r="K266" s="212">
        <f t="shared" ca="1" si="72"/>
        <v>375.08428611841975</v>
      </c>
      <c r="L266" s="212">
        <f t="shared" ca="1" si="73"/>
        <v>335.26110274069731</v>
      </c>
      <c r="M266" s="212">
        <f t="shared" ca="1" si="74"/>
        <v>11.10233837892544</v>
      </c>
      <c r="N266" s="212">
        <f t="shared" ca="1" si="75"/>
        <v>7.6368477630678893</v>
      </c>
      <c r="O266" s="210">
        <f t="shared" ca="1" si="70"/>
        <v>295.43791936297487</v>
      </c>
      <c r="P266" s="212">
        <f t="shared" ca="1" si="76"/>
        <v>3.4654906158575507</v>
      </c>
      <c r="Q266" s="212">
        <f t="shared" ca="1" si="77"/>
        <v>0</v>
      </c>
      <c r="R266" s="386"/>
      <c r="S266" s="207">
        <f t="shared" si="81"/>
        <v>2002</v>
      </c>
      <c r="T266" s="207">
        <f t="shared" si="82"/>
        <v>7</v>
      </c>
      <c r="U266" s="384" t="str">
        <f t="shared" ca="1" si="78"/>
        <v/>
      </c>
      <c r="V266" s="384" t="str">
        <f t="shared" ca="1" si="79"/>
        <v/>
      </c>
      <c r="W266" s="385" t="str">
        <f t="shared" ca="1" si="80"/>
        <v>|||||||||||||||||</v>
      </c>
    </row>
    <row r="267" spans="1:23">
      <c r="A267" s="207">
        <f>+'Anexo Escurrimiento'!A277</f>
        <v>2002</v>
      </c>
      <c r="B267" s="207">
        <f>+'Anexo Escurrimiento'!B277</f>
        <v>8</v>
      </c>
      <c r="C267" s="208">
        <f>+'Anexo Escurrimiento'!O277</f>
        <v>1.5680062211930974</v>
      </c>
      <c r="D267" s="207">
        <f>+'Anexo Escurrimiento'!D277</f>
        <v>74.8</v>
      </c>
      <c r="E267" s="214">
        <f t="shared" si="69"/>
        <v>72.449999999999989</v>
      </c>
      <c r="F267" s="213">
        <f t="shared" si="69"/>
        <v>0</v>
      </c>
      <c r="G267" s="211">
        <f t="shared" si="67"/>
        <v>2.3500000000000087E-5</v>
      </c>
      <c r="H267" s="212">
        <f>+F267/100000*'Anexo Bal Hídrico'!$G$4</f>
        <v>0</v>
      </c>
      <c r="I267" s="212">
        <v>0</v>
      </c>
      <c r="J267" s="212">
        <f t="shared" ca="1" si="71"/>
        <v>9.2048539842609873</v>
      </c>
      <c r="K267" s="212">
        <f t="shared" ca="1" si="72"/>
        <v>333.22077216689183</v>
      </c>
      <c r="L267" s="212">
        <f t="shared" ca="1" si="73"/>
        <v>314.32934576493335</v>
      </c>
      <c r="M267" s="212">
        <f t="shared" ca="1" si="74"/>
        <v>9.0248375415051054</v>
      </c>
      <c r="N267" s="212">
        <f t="shared" ca="1" si="75"/>
        <v>7.6368477630678893</v>
      </c>
      <c r="O267" s="210">
        <f t="shared" ca="1" si="70"/>
        <v>295.43791936297487</v>
      </c>
      <c r="P267" s="212">
        <f t="shared" ca="1" si="76"/>
        <v>1.3879897784372162</v>
      </c>
      <c r="Q267" s="212">
        <f t="shared" ca="1" si="77"/>
        <v>0</v>
      </c>
      <c r="R267" s="386"/>
      <c r="S267" s="207">
        <f t="shared" si="81"/>
        <v>2002</v>
      </c>
      <c r="T267" s="207">
        <f t="shared" si="82"/>
        <v>8</v>
      </c>
      <c r="U267" s="384" t="str">
        <f t="shared" ca="1" si="78"/>
        <v/>
      </c>
      <c r="V267" s="384" t="str">
        <f t="shared" ca="1" si="79"/>
        <v/>
      </c>
      <c r="W267" s="385" t="str">
        <f t="shared" ca="1" si="80"/>
        <v>||||||</v>
      </c>
    </row>
    <row r="268" spans="1:23">
      <c r="A268" s="207">
        <f>+'Anexo Escurrimiento'!A278</f>
        <v>2002</v>
      </c>
      <c r="B268" s="207">
        <f>+'Anexo Escurrimiento'!B278</f>
        <v>9</v>
      </c>
      <c r="C268" s="208">
        <f>+'Anexo Escurrimiento'!O278</f>
        <v>4.6909854094333454</v>
      </c>
      <c r="D268" s="207">
        <f>+'Anexo Escurrimiento'!D278</f>
        <v>283.39999999999998</v>
      </c>
      <c r="E268" s="214">
        <f t="shared" si="69"/>
        <v>85.89</v>
      </c>
      <c r="F268" s="213">
        <f t="shared" si="69"/>
        <v>0</v>
      </c>
      <c r="G268" s="211">
        <f t="shared" si="67"/>
        <v>1.9751E-3</v>
      </c>
      <c r="H268" s="212">
        <f>+F268/100000*'Anexo Bal Hídrico'!$G$4</f>
        <v>0</v>
      </c>
      <c r="I268" s="212">
        <v>0</v>
      </c>
      <c r="J268" s="212">
        <f t="shared" ca="1" si="71"/>
        <v>12.327833172501235</v>
      </c>
      <c r="K268" s="212">
        <f t="shared" ca="1" si="72"/>
        <v>402.24625380943246</v>
      </c>
      <c r="L268" s="212">
        <f t="shared" ca="1" si="73"/>
        <v>348.84208658620366</v>
      </c>
      <c r="M268" s="212">
        <f t="shared" ca="1" si="74"/>
        <v>12.394620858944959</v>
      </c>
      <c r="N268" s="212">
        <f t="shared" ca="1" si="75"/>
        <v>7.6368477630678893</v>
      </c>
      <c r="O268" s="210">
        <f t="shared" ca="1" si="70"/>
        <v>295.43791936297487</v>
      </c>
      <c r="P268" s="212">
        <f t="shared" ca="1" si="76"/>
        <v>4.7577730958770701</v>
      </c>
      <c r="Q268" s="212">
        <f t="shared" ca="1" si="77"/>
        <v>0</v>
      </c>
      <c r="R268" s="386"/>
      <c r="S268" s="207">
        <f t="shared" si="81"/>
        <v>2002</v>
      </c>
      <c r="T268" s="207">
        <f t="shared" si="82"/>
        <v>9</v>
      </c>
      <c r="U268" s="384" t="str">
        <f t="shared" ca="1" si="78"/>
        <v/>
      </c>
      <c r="V268" s="384" t="str">
        <f t="shared" ca="1" si="79"/>
        <v/>
      </c>
      <c r="W268" s="385" t="str">
        <f t="shared" ca="1" si="80"/>
        <v>|||||||||||||||||||||||</v>
      </c>
    </row>
    <row r="269" spans="1:23">
      <c r="A269" s="207">
        <f>+'Anexo Escurrimiento'!A279</f>
        <v>2002</v>
      </c>
      <c r="B269" s="207">
        <f>+'Anexo Escurrimiento'!B279</f>
        <v>10</v>
      </c>
      <c r="C269" s="208">
        <f>+'Anexo Escurrimiento'!O279</f>
        <v>3.5897027212132468</v>
      </c>
      <c r="D269" s="207">
        <f>+'Anexo Escurrimiento'!D279</f>
        <v>211.9</v>
      </c>
      <c r="E269" s="214">
        <f t="shared" si="69"/>
        <v>114.86999999999999</v>
      </c>
      <c r="F269" s="213">
        <f t="shared" si="69"/>
        <v>59</v>
      </c>
      <c r="G269" s="211">
        <f t="shared" si="67"/>
        <v>9.7030000000000011E-4</v>
      </c>
      <c r="H269" s="212">
        <f>+F269/100000*'Anexo Bal Hídrico'!$G$4</f>
        <v>0.53100000000000003</v>
      </c>
      <c r="I269" s="212">
        <v>0</v>
      </c>
      <c r="J269" s="212">
        <f t="shared" ca="1" si="71"/>
        <v>10.695550484281135</v>
      </c>
      <c r="K269" s="212">
        <f t="shared" ca="1" si="72"/>
        <v>367.06303772086494</v>
      </c>
      <c r="L269" s="212">
        <f t="shared" ca="1" si="73"/>
        <v>331.2504785419199</v>
      </c>
      <c r="M269" s="212">
        <f t="shared" ca="1" si="74"/>
        <v>10.564837065349858</v>
      </c>
      <c r="N269" s="212">
        <f t="shared" ca="1" si="75"/>
        <v>7.6368477630678893</v>
      </c>
      <c r="O269" s="210">
        <f t="shared" ca="1" si="70"/>
        <v>295.43791936297487</v>
      </c>
      <c r="P269" s="212">
        <f t="shared" ca="1" si="76"/>
        <v>2.9279893022819685</v>
      </c>
      <c r="Q269" s="212">
        <f t="shared" ca="1" si="77"/>
        <v>0.53100000000000003</v>
      </c>
      <c r="R269" s="386"/>
      <c r="S269" s="207">
        <f t="shared" si="81"/>
        <v>2002</v>
      </c>
      <c r="T269" s="207">
        <f t="shared" si="82"/>
        <v>10</v>
      </c>
      <c r="U269" s="384" t="str">
        <f t="shared" ca="1" si="78"/>
        <v/>
      </c>
      <c r="V269" s="384" t="str">
        <f t="shared" ca="1" si="79"/>
        <v>||</v>
      </c>
      <c r="W269" s="385" t="str">
        <f t="shared" ca="1" si="80"/>
        <v>||||||||||||||</v>
      </c>
    </row>
    <row r="270" spans="1:23">
      <c r="A270" s="207">
        <f>+'Anexo Escurrimiento'!A280</f>
        <v>2002</v>
      </c>
      <c r="B270" s="207">
        <f>+'Anexo Escurrimiento'!B280</f>
        <v>11</v>
      </c>
      <c r="C270" s="208">
        <f>+'Anexo Escurrimiento'!O280</f>
        <v>7.5571920762610061</v>
      </c>
      <c r="D270" s="207">
        <f>+'Anexo Escurrimiento'!D280</f>
        <v>434.5</v>
      </c>
      <c r="E270" s="214">
        <f t="shared" si="69"/>
        <v>144.06</v>
      </c>
      <c r="F270" s="213">
        <f t="shared" si="69"/>
        <v>212</v>
      </c>
      <c r="G270" s="211">
        <f t="shared" si="67"/>
        <v>2.9044000000000001E-3</v>
      </c>
      <c r="H270" s="212">
        <f>+F270/100000*'Anexo Bal Hídrico'!$G$4</f>
        <v>1.9079999999999999</v>
      </c>
      <c r="I270" s="212">
        <v>0</v>
      </c>
      <c r="J270" s="212">
        <f t="shared" ca="1" si="71"/>
        <v>13.286039839328895</v>
      </c>
      <c r="K270" s="212">
        <f t="shared" ca="1" si="72"/>
        <v>422.12586605229228</v>
      </c>
      <c r="L270" s="212">
        <f t="shared" ca="1" si="73"/>
        <v>358.78189270763357</v>
      </c>
      <c r="M270" s="212">
        <f t="shared" ca="1" si="74"/>
        <v>13.297141604753792</v>
      </c>
      <c r="N270" s="212">
        <f t="shared" ca="1" si="75"/>
        <v>7.6368477630678893</v>
      </c>
      <c r="O270" s="210">
        <f t="shared" ca="1" si="70"/>
        <v>295.43791936297487</v>
      </c>
      <c r="P270" s="212">
        <f t="shared" ca="1" si="76"/>
        <v>5.6602938416859025</v>
      </c>
      <c r="Q270" s="212">
        <f t="shared" ca="1" si="77"/>
        <v>1.9079999999999999</v>
      </c>
      <c r="R270" s="386"/>
      <c r="S270" s="207">
        <f t="shared" si="81"/>
        <v>2002</v>
      </c>
      <c r="T270" s="207">
        <f t="shared" si="82"/>
        <v>11</v>
      </c>
      <c r="U270" s="384" t="str">
        <f t="shared" ca="1" si="78"/>
        <v/>
      </c>
      <c r="V270" s="384" t="str">
        <f t="shared" ca="1" si="79"/>
        <v>|||||||||</v>
      </c>
      <c r="W270" s="385" t="str">
        <f t="shared" ca="1" si="80"/>
        <v>||||||||||||||||||||||||||||</v>
      </c>
    </row>
    <row r="271" spans="1:23">
      <c r="A271" s="207">
        <f>+'Anexo Escurrimiento'!A281</f>
        <v>2002</v>
      </c>
      <c r="B271" s="207">
        <f>+'Anexo Escurrimiento'!B281</f>
        <v>12</v>
      </c>
      <c r="C271" s="208">
        <f>+'Anexo Escurrimiento'!O281</f>
        <v>4.7914892713351875</v>
      </c>
      <c r="D271" s="207">
        <f>+'Anexo Escurrimiento'!D281</f>
        <v>288.3</v>
      </c>
      <c r="E271" s="214">
        <f t="shared" si="69"/>
        <v>179.62</v>
      </c>
      <c r="F271" s="213">
        <f t="shared" si="69"/>
        <v>388</v>
      </c>
      <c r="G271" s="211">
        <f t="shared" si="67"/>
        <v>1.0868E-3</v>
      </c>
      <c r="H271" s="212">
        <f>+F271/100000*'Anexo Bal Hídrico'!$G$4</f>
        <v>3.492</v>
      </c>
      <c r="I271" s="212">
        <v>0</v>
      </c>
      <c r="J271" s="212">
        <f t="shared" ca="1" si="71"/>
        <v>8.9363370344030777</v>
      </c>
      <c r="K271" s="212">
        <f t="shared" ca="1" si="72"/>
        <v>326.92360033553109</v>
      </c>
      <c r="L271" s="212">
        <f t="shared" ca="1" si="73"/>
        <v>311.18075984925298</v>
      </c>
      <c r="M271" s="212">
        <f t="shared" ca="1" si="74"/>
        <v>8.7076008042590978</v>
      </c>
      <c r="N271" s="212">
        <f t="shared" ca="1" si="75"/>
        <v>7.6368477630678893</v>
      </c>
      <c r="O271" s="210">
        <f t="shared" ca="1" si="70"/>
        <v>295.43791936297487</v>
      </c>
      <c r="P271" s="212">
        <f t="shared" ca="1" si="76"/>
        <v>1.0707530411912085</v>
      </c>
      <c r="Q271" s="212">
        <f t="shared" ca="1" si="77"/>
        <v>3.492</v>
      </c>
      <c r="R271" s="386"/>
      <c r="S271" s="207">
        <f t="shared" si="81"/>
        <v>2002</v>
      </c>
      <c r="T271" s="207">
        <f t="shared" si="82"/>
        <v>12</v>
      </c>
      <c r="U271" s="384" t="str">
        <f t="shared" ca="1" si="78"/>
        <v/>
      </c>
      <c r="V271" s="384" t="str">
        <f t="shared" ca="1" si="79"/>
        <v>|||||||||||||||||</v>
      </c>
      <c r="W271" s="385" t="str">
        <f t="shared" ca="1" si="80"/>
        <v>|||||</v>
      </c>
    </row>
    <row r="272" spans="1:23">
      <c r="A272" s="207">
        <f>+'Anexo Escurrimiento'!A282</f>
        <v>2003</v>
      </c>
      <c r="B272" s="207">
        <f>+'Anexo Escurrimiento'!B282</f>
        <v>1</v>
      </c>
      <c r="C272" s="208">
        <f>+'Anexo Escurrimiento'!O282</f>
        <v>1.7467861542629939</v>
      </c>
      <c r="D272" s="207">
        <f>+'Anexo Escurrimiento'!D282</f>
        <v>118.3</v>
      </c>
      <c r="E272" s="214">
        <f t="shared" si="69"/>
        <v>176.89</v>
      </c>
      <c r="F272" s="213">
        <f t="shared" si="69"/>
        <v>318</v>
      </c>
      <c r="G272" s="211">
        <f t="shared" ref="G272:G335" si="83">+(D272-E272)/100000</f>
        <v>-5.8589999999999988E-4</v>
      </c>
      <c r="H272" s="212">
        <f>+F272/100000*'Anexo Bal Hídrico'!$G$4</f>
        <v>2.8620000000000001</v>
      </c>
      <c r="I272" s="212">
        <v>0</v>
      </c>
      <c r="J272" s="212">
        <f t="shared" ca="1" si="71"/>
        <v>6.5216339173308828</v>
      </c>
      <c r="K272" s="212">
        <f t="shared" ca="1" si="72"/>
        <v>266.86089257262313</v>
      </c>
      <c r="L272" s="212">
        <f t="shared" ca="1" si="73"/>
        <v>281.149405967799</v>
      </c>
      <c r="M272" s="212">
        <f t="shared" ca="1" si="74"/>
        <v>6.1701754424945712</v>
      </c>
      <c r="N272" s="212">
        <f t="shared" ca="1" si="75"/>
        <v>6.1701754424945712</v>
      </c>
      <c r="O272" s="210">
        <f t="shared" ca="1" si="70"/>
        <v>257.50189293759593</v>
      </c>
      <c r="P272" s="212">
        <f t="shared" ca="1" si="76"/>
        <v>0</v>
      </c>
      <c r="Q272" s="212">
        <f t="shared" ca="1" si="77"/>
        <v>2.8620000000000001</v>
      </c>
      <c r="R272" s="386"/>
      <c r="S272" s="207">
        <f t="shared" si="81"/>
        <v>2003</v>
      </c>
      <c r="T272" s="207">
        <f t="shared" si="82"/>
        <v>1</v>
      </c>
      <c r="U272" s="384" t="str">
        <f t="shared" ca="1" si="78"/>
        <v/>
      </c>
      <c r="V272" s="384" t="str">
        <f t="shared" ca="1" si="79"/>
        <v>||||||||||||||</v>
      </c>
      <c r="W272" s="385" t="str">
        <f t="shared" ca="1" si="80"/>
        <v/>
      </c>
    </row>
    <row r="273" spans="1:23">
      <c r="A273" s="207">
        <f>+'Anexo Escurrimiento'!A283</f>
        <v>2003</v>
      </c>
      <c r="B273" s="207">
        <f>+'Anexo Escurrimiento'!B283</f>
        <v>2</v>
      </c>
      <c r="C273" s="208">
        <f>+'Anexo Escurrimiento'!O283</f>
        <v>2.7716894386007231</v>
      </c>
      <c r="D273" s="207">
        <f>+'Anexo Escurrimiento'!D283</f>
        <v>217.7</v>
      </c>
      <c r="E273" s="214">
        <f t="shared" ref="E273:F292" si="84">+E261</f>
        <v>131.73999999999998</v>
      </c>
      <c r="F273" s="213">
        <f t="shared" si="84"/>
        <v>153</v>
      </c>
      <c r="G273" s="211">
        <f t="shared" si="83"/>
        <v>8.5960000000000008E-4</v>
      </c>
      <c r="H273" s="212">
        <f>+F273/100000*'Anexo Bal Hídrico'!$G$4</f>
        <v>1.377</v>
      </c>
      <c r="I273" s="212">
        <v>0</v>
      </c>
      <c r="J273" s="212">
        <f t="shared" ca="1" si="71"/>
        <v>7.5648648810952954</v>
      </c>
      <c r="K273" s="212">
        <f t="shared" ca="1" si="72"/>
        <v>293.64031649955996</v>
      </c>
      <c r="L273" s="212">
        <f t="shared" ca="1" si="73"/>
        <v>275.57110471857794</v>
      </c>
      <c r="M273" s="212">
        <f t="shared" ca="1" si="74"/>
        <v>7.5113284945243057</v>
      </c>
      <c r="N273" s="212">
        <f t="shared" ca="1" si="75"/>
        <v>7.5113284945243057</v>
      </c>
      <c r="O273" s="210">
        <f t="shared" ca="1" si="70"/>
        <v>292.29942529289895</v>
      </c>
      <c r="P273" s="212">
        <f t="shared" ca="1" si="76"/>
        <v>0</v>
      </c>
      <c r="Q273" s="212">
        <f t="shared" ca="1" si="77"/>
        <v>1.377</v>
      </c>
      <c r="R273" s="386"/>
      <c r="S273" s="207">
        <f t="shared" si="81"/>
        <v>2003</v>
      </c>
      <c r="T273" s="207">
        <f t="shared" si="82"/>
        <v>2</v>
      </c>
      <c r="U273" s="384" t="str">
        <f t="shared" ca="1" si="78"/>
        <v/>
      </c>
      <c r="V273" s="384" t="str">
        <f t="shared" ca="1" si="79"/>
        <v>||||||</v>
      </c>
      <c r="W273" s="385" t="str">
        <f t="shared" ca="1" si="80"/>
        <v/>
      </c>
    </row>
    <row r="274" spans="1:23">
      <c r="A274" s="207">
        <f>+'Anexo Escurrimiento'!A284</f>
        <v>2003</v>
      </c>
      <c r="B274" s="207">
        <f>+'Anexo Escurrimiento'!B284</f>
        <v>3</v>
      </c>
      <c r="C274" s="208">
        <f>+'Anexo Escurrimiento'!O284</f>
        <v>2.9173207721659389</v>
      </c>
      <c r="D274" s="207">
        <f>+'Anexo Escurrimiento'!D284</f>
        <v>195.4</v>
      </c>
      <c r="E274" s="214">
        <f t="shared" si="84"/>
        <v>118.64999999999999</v>
      </c>
      <c r="F274" s="213">
        <f t="shared" si="84"/>
        <v>47</v>
      </c>
      <c r="G274" s="211">
        <f t="shared" si="83"/>
        <v>7.6750000000000017E-4</v>
      </c>
      <c r="H274" s="212">
        <f>+F274/100000*'Anexo Bal Hídrico'!$G$4</f>
        <v>0.42299999999999999</v>
      </c>
      <c r="I274" s="212">
        <v>0</v>
      </c>
      <c r="J274" s="212">
        <f t="shared" ca="1" si="71"/>
        <v>10.005649266690245</v>
      </c>
      <c r="K274" s="212">
        <f t="shared" ca="1" si="72"/>
        <v>351.62444583938623</v>
      </c>
      <c r="L274" s="212">
        <f t="shared" ca="1" si="73"/>
        <v>321.96193556614259</v>
      </c>
      <c r="M274" s="212">
        <f t="shared" ca="1" si="74"/>
        <v>9.8956195988251459</v>
      </c>
      <c r="N274" s="212">
        <f t="shared" ca="1" si="75"/>
        <v>7.6368477630678893</v>
      </c>
      <c r="O274" s="210">
        <f t="shared" ca="1" si="70"/>
        <v>295.43791936297487</v>
      </c>
      <c r="P274" s="212">
        <f t="shared" ca="1" si="76"/>
        <v>2.2587718357572566</v>
      </c>
      <c r="Q274" s="212">
        <f t="shared" ca="1" si="77"/>
        <v>0.42299999999999999</v>
      </c>
      <c r="R274" s="386"/>
      <c r="S274" s="207">
        <f t="shared" si="81"/>
        <v>2003</v>
      </c>
      <c r="T274" s="207">
        <f t="shared" si="82"/>
        <v>3</v>
      </c>
      <c r="U274" s="384" t="str">
        <f t="shared" ca="1" si="78"/>
        <v/>
      </c>
      <c r="V274" s="384" t="str">
        <f t="shared" ca="1" si="79"/>
        <v>||</v>
      </c>
      <c r="W274" s="385" t="str">
        <f t="shared" ca="1" si="80"/>
        <v>|||||||||||</v>
      </c>
    </row>
    <row r="275" spans="1:23">
      <c r="A275" s="207">
        <f>+'Anexo Escurrimiento'!A285</f>
        <v>2003</v>
      </c>
      <c r="B275" s="207">
        <f>+'Anexo Escurrimiento'!B285</f>
        <v>4</v>
      </c>
      <c r="C275" s="208">
        <f>+'Anexo Escurrimiento'!O285</f>
        <v>2.8329230836080459</v>
      </c>
      <c r="D275" s="207">
        <f>+'Anexo Escurrimiento'!D285</f>
        <v>170.5</v>
      </c>
      <c r="E275" s="214">
        <f t="shared" si="84"/>
        <v>73.149999999999991</v>
      </c>
      <c r="F275" s="213">
        <f t="shared" si="84"/>
        <v>0</v>
      </c>
      <c r="G275" s="211">
        <f t="shared" si="83"/>
        <v>9.7350000000000008E-4</v>
      </c>
      <c r="H275" s="212">
        <f>+F275/100000*'Anexo Bal Hídrico'!$G$4</f>
        <v>0</v>
      </c>
      <c r="I275" s="212">
        <v>0</v>
      </c>
      <c r="J275" s="212">
        <f t="shared" ca="1" si="71"/>
        <v>10.469770846675935</v>
      </c>
      <c r="K275" s="212">
        <f t="shared" ca="1" si="72"/>
        <v>362.05062368439292</v>
      </c>
      <c r="L275" s="212">
        <f t="shared" ca="1" si="73"/>
        <v>328.74427152368389</v>
      </c>
      <c r="M275" s="212">
        <f t="shared" ca="1" si="74"/>
        <v>10.435694180021978</v>
      </c>
      <c r="N275" s="212">
        <f t="shared" ca="1" si="75"/>
        <v>7.6368477630678893</v>
      </c>
      <c r="O275" s="210">
        <f t="shared" ca="1" si="70"/>
        <v>295.43791936297487</v>
      </c>
      <c r="P275" s="212">
        <f t="shared" ca="1" si="76"/>
        <v>2.7988464169540883</v>
      </c>
      <c r="Q275" s="212">
        <f t="shared" ca="1" si="77"/>
        <v>0</v>
      </c>
      <c r="R275" s="386"/>
      <c r="S275" s="207">
        <f t="shared" si="81"/>
        <v>2003</v>
      </c>
      <c r="T275" s="207">
        <f t="shared" si="82"/>
        <v>4</v>
      </c>
      <c r="U275" s="384" t="str">
        <f t="shared" ca="1" si="78"/>
        <v/>
      </c>
      <c r="V275" s="384" t="str">
        <f t="shared" ca="1" si="79"/>
        <v/>
      </c>
      <c r="W275" s="385" t="str">
        <f t="shared" ca="1" si="80"/>
        <v>|||||||||||||</v>
      </c>
    </row>
    <row r="276" spans="1:23">
      <c r="A276" s="207">
        <f>+'Anexo Escurrimiento'!A286</f>
        <v>2003</v>
      </c>
      <c r="B276" s="207">
        <f>+'Anexo Escurrimiento'!B286</f>
        <v>5</v>
      </c>
      <c r="C276" s="208">
        <f>+'Anexo Escurrimiento'!O286</f>
        <v>3.3266863252435415</v>
      </c>
      <c r="D276" s="207">
        <f>+'Anexo Escurrimiento'!D286</f>
        <v>180.9</v>
      </c>
      <c r="E276" s="214">
        <f t="shared" si="84"/>
        <v>51.24</v>
      </c>
      <c r="F276" s="213">
        <f t="shared" si="84"/>
        <v>0</v>
      </c>
      <c r="G276" s="211">
        <f t="shared" si="83"/>
        <v>1.2966E-3</v>
      </c>
      <c r="H276" s="212">
        <f>+F276/100000*'Anexo Bal Hídrico'!$G$4</f>
        <v>0</v>
      </c>
      <c r="I276" s="212">
        <v>0</v>
      </c>
      <c r="J276" s="212">
        <f t="shared" ca="1" si="71"/>
        <v>10.96353408831143</v>
      </c>
      <c r="K276" s="212">
        <f t="shared" ca="1" si="72"/>
        <v>372.9638356145004</v>
      </c>
      <c r="L276" s="212">
        <f t="shared" ca="1" si="73"/>
        <v>334.20087748873766</v>
      </c>
      <c r="M276" s="212">
        <f t="shared" ca="1" si="74"/>
        <v>10.974128341870864</v>
      </c>
      <c r="N276" s="212">
        <f t="shared" ca="1" si="75"/>
        <v>7.6368477630678893</v>
      </c>
      <c r="O276" s="210">
        <f t="shared" ca="1" si="70"/>
        <v>295.43791936297487</v>
      </c>
      <c r="P276" s="212">
        <f t="shared" ca="1" si="76"/>
        <v>3.3372805788029751</v>
      </c>
      <c r="Q276" s="212">
        <f t="shared" ca="1" si="77"/>
        <v>0</v>
      </c>
      <c r="R276" s="386"/>
      <c r="S276" s="207">
        <f t="shared" si="81"/>
        <v>2003</v>
      </c>
      <c r="T276" s="207">
        <f t="shared" si="82"/>
        <v>5</v>
      </c>
      <c r="U276" s="384" t="str">
        <f t="shared" ca="1" si="78"/>
        <v/>
      </c>
      <c r="V276" s="384" t="str">
        <f t="shared" ca="1" si="79"/>
        <v/>
      </c>
      <c r="W276" s="385" t="str">
        <f t="shared" ca="1" si="80"/>
        <v>||||||||||||||||</v>
      </c>
    </row>
    <row r="277" spans="1:23">
      <c r="A277" s="207">
        <f>+'Anexo Escurrimiento'!A287</f>
        <v>2003</v>
      </c>
      <c r="B277" s="207">
        <f>+'Anexo Escurrimiento'!B287</f>
        <v>6</v>
      </c>
      <c r="C277" s="208">
        <f>+'Anexo Escurrimiento'!O287</f>
        <v>1.97932387868501</v>
      </c>
      <c r="D277" s="207">
        <f>+'Anexo Escurrimiento'!D287</f>
        <v>93.7</v>
      </c>
      <c r="E277" s="214">
        <f t="shared" si="84"/>
        <v>41.019999999999996</v>
      </c>
      <c r="F277" s="213">
        <f t="shared" si="84"/>
        <v>0</v>
      </c>
      <c r="G277" s="211">
        <f t="shared" si="83"/>
        <v>5.2680000000000012E-4</v>
      </c>
      <c r="H277" s="212">
        <f>+F277/100000*'Anexo Bal Hídrico'!$G$4</f>
        <v>0</v>
      </c>
      <c r="I277" s="212">
        <v>0</v>
      </c>
      <c r="J277" s="212">
        <f t="shared" ca="1" si="71"/>
        <v>9.6161716417528993</v>
      </c>
      <c r="K277" s="212">
        <f t="shared" ca="1" si="72"/>
        <v>342.74169948611473</v>
      </c>
      <c r="L277" s="212">
        <f t="shared" ca="1" si="73"/>
        <v>319.0898094245448</v>
      </c>
      <c r="M277" s="212">
        <f t="shared" ca="1" si="74"/>
        <v>9.544122876080543</v>
      </c>
      <c r="N277" s="212">
        <f t="shared" ca="1" si="75"/>
        <v>7.6368477630678893</v>
      </c>
      <c r="O277" s="210">
        <f t="shared" ca="1" si="70"/>
        <v>295.43791936297487</v>
      </c>
      <c r="P277" s="212">
        <f t="shared" ca="1" si="76"/>
        <v>1.9072751130126537</v>
      </c>
      <c r="Q277" s="212">
        <f t="shared" ca="1" si="77"/>
        <v>0</v>
      </c>
      <c r="R277" s="386"/>
      <c r="S277" s="207">
        <f t="shared" si="81"/>
        <v>2003</v>
      </c>
      <c r="T277" s="207">
        <f t="shared" si="82"/>
        <v>6</v>
      </c>
      <c r="U277" s="384" t="str">
        <f t="shared" ca="1" si="78"/>
        <v/>
      </c>
      <c r="V277" s="384" t="str">
        <f t="shared" ca="1" si="79"/>
        <v/>
      </c>
      <c r="W277" s="385" t="str">
        <f t="shared" ca="1" si="80"/>
        <v>|||||||||</v>
      </c>
    </row>
    <row r="278" spans="1:23">
      <c r="A278" s="207">
        <f>+'Anexo Escurrimiento'!A288</f>
        <v>2003</v>
      </c>
      <c r="B278" s="207">
        <f>+'Anexo Escurrimiento'!B288</f>
        <v>7</v>
      </c>
      <c r="C278" s="208">
        <f>+'Anexo Escurrimiento'!O288</f>
        <v>0.74961632468732642</v>
      </c>
      <c r="D278" s="207">
        <f>+'Anexo Escurrimiento'!D288</f>
        <v>38</v>
      </c>
      <c r="E278" s="214">
        <f t="shared" si="84"/>
        <v>50.819999999999993</v>
      </c>
      <c r="F278" s="213">
        <f t="shared" si="84"/>
        <v>0</v>
      </c>
      <c r="G278" s="211">
        <f t="shared" si="83"/>
        <v>-1.2819999999999994E-4</v>
      </c>
      <c r="H278" s="212">
        <f>+F278/100000*'Anexo Bal Hídrico'!$G$4</f>
        <v>0</v>
      </c>
      <c r="I278" s="212">
        <v>0</v>
      </c>
      <c r="J278" s="212">
        <f t="shared" ca="1" si="71"/>
        <v>8.3864640877552148</v>
      </c>
      <c r="K278" s="212">
        <f t="shared" ca="1" si="72"/>
        <v>313.81392686158176</v>
      </c>
      <c r="L278" s="212">
        <f t="shared" ca="1" si="73"/>
        <v>304.62592311227831</v>
      </c>
      <c r="M278" s="212">
        <f t="shared" ca="1" si="74"/>
        <v>8.2605849741126356</v>
      </c>
      <c r="N278" s="212">
        <f t="shared" ca="1" si="75"/>
        <v>7.6368477630678893</v>
      </c>
      <c r="O278" s="210">
        <f t="shared" ca="1" si="70"/>
        <v>295.43791936297487</v>
      </c>
      <c r="P278" s="212">
        <f t="shared" ca="1" si="76"/>
        <v>0.62373721104474633</v>
      </c>
      <c r="Q278" s="212">
        <f t="shared" ca="1" si="77"/>
        <v>0</v>
      </c>
      <c r="R278" s="386"/>
      <c r="S278" s="207">
        <f t="shared" si="81"/>
        <v>2003</v>
      </c>
      <c r="T278" s="207">
        <f t="shared" si="82"/>
        <v>7</v>
      </c>
      <c r="U278" s="384" t="str">
        <f t="shared" ca="1" si="78"/>
        <v/>
      </c>
      <c r="V278" s="384" t="str">
        <f t="shared" ca="1" si="79"/>
        <v/>
      </c>
      <c r="W278" s="385" t="str">
        <f t="shared" ca="1" si="80"/>
        <v>|||</v>
      </c>
    </row>
    <row r="279" spans="1:23">
      <c r="A279" s="207">
        <f>+'Anexo Escurrimiento'!A289</f>
        <v>2003</v>
      </c>
      <c r="B279" s="207">
        <f>+'Anexo Escurrimiento'!B289</f>
        <v>8</v>
      </c>
      <c r="C279" s="208">
        <f>+'Anexo Escurrimiento'!O289</f>
        <v>1.8848015806315648</v>
      </c>
      <c r="D279" s="207">
        <f>+'Anexo Escurrimiento'!D289</f>
        <v>140.4</v>
      </c>
      <c r="E279" s="214">
        <f t="shared" si="84"/>
        <v>72.449999999999989</v>
      </c>
      <c r="F279" s="213">
        <f t="shared" si="84"/>
        <v>0</v>
      </c>
      <c r="G279" s="211">
        <f t="shared" si="83"/>
        <v>6.795000000000002E-4</v>
      </c>
      <c r="H279" s="212">
        <f>+F279/100000*'Anexo Bal Hídrico'!$G$4</f>
        <v>0</v>
      </c>
      <c r="I279" s="212">
        <v>0</v>
      </c>
      <c r="J279" s="212">
        <f t="shared" ca="1" si="71"/>
        <v>9.5216493436994547</v>
      </c>
      <c r="K279" s="212">
        <f t="shared" ca="1" si="72"/>
        <v>340.56678180390685</v>
      </c>
      <c r="L279" s="212">
        <f t="shared" ca="1" si="73"/>
        <v>318.00235058344083</v>
      </c>
      <c r="M279" s="212">
        <f t="shared" ca="1" si="74"/>
        <v>9.5098340956645426</v>
      </c>
      <c r="N279" s="212">
        <f t="shared" ca="1" si="75"/>
        <v>7.6368477630678893</v>
      </c>
      <c r="O279" s="210">
        <f t="shared" ca="1" si="70"/>
        <v>295.43791936297487</v>
      </c>
      <c r="P279" s="212">
        <f t="shared" ca="1" si="76"/>
        <v>1.8729863325966534</v>
      </c>
      <c r="Q279" s="212">
        <f t="shared" ca="1" si="77"/>
        <v>0</v>
      </c>
      <c r="R279" s="386"/>
      <c r="S279" s="207">
        <f t="shared" si="81"/>
        <v>2003</v>
      </c>
      <c r="T279" s="207">
        <f t="shared" si="82"/>
        <v>8</v>
      </c>
      <c r="U279" s="384" t="str">
        <f t="shared" ca="1" si="78"/>
        <v/>
      </c>
      <c r="V279" s="384" t="str">
        <f t="shared" ca="1" si="79"/>
        <v/>
      </c>
      <c r="W279" s="385" t="str">
        <f t="shared" ca="1" si="80"/>
        <v>|||||||||</v>
      </c>
    </row>
    <row r="280" spans="1:23">
      <c r="A280" s="207">
        <f>+'Anexo Escurrimiento'!A290</f>
        <v>2003</v>
      </c>
      <c r="B280" s="207">
        <f>+'Anexo Escurrimiento'!B290</f>
        <v>9</v>
      </c>
      <c r="C280" s="208">
        <f>+'Anexo Escurrimiento'!O290</f>
        <v>1.0497665829548883</v>
      </c>
      <c r="D280" s="207">
        <f>+'Anexo Escurrimiento'!D290</f>
        <v>71.5</v>
      </c>
      <c r="E280" s="214">
        <f t="shared" si="84"/>
        <v>85.89</v>
      </c>
      <c r="F280" s="213">
        <f t="shared" si="84"/>
        <v>0</v>
      </c>
      <c r="G280" s="211">
        <f t="shared" si="83"/>
        <v>-1.439E-4</v>
      </c>
      <c r="H280" s="212">
        <f>+F280/100000*'Anexo Bal Hídrico'!$G$4</f>
        <v>0</v>
      </c>
      <c r="I280" s="212">
        <v>0</v>
      </c>
      <c r="J280" s="212">
        <f t="shared" ca="1" si="71"/>
        <v>8.6866143460227772</v>
      </c>
      <c r="K280" s="212">
        <f t="shared" ca="1" si="72"/>
        <v>321.00653047777143</v>
      </c>
      <c r="L280" s="212">
        <f t="shared" ca="1" si="73"/>
        <v>308.22222492037315</v>
      </c>
      <c r="M280" s="212">
        <f t="shared" ca="1" si="74"/>
        <v>8.5192340226683658</v>
      </c>
      <c r="N280" s="212">
        <f t="shared" ca="1" si="75"/>
        <v>7.6368477630678893</v>
      </c>
      <c r="O280" s="210">
        <f t="shared" ca="1" si="70"/>
        <v>295.43791936297487</v>
      </c>
      <c r="P280" s="212">
        <f t="shared" ca="1" si="76"/>
        <v>0.88238625960047656</v>
      </c>
      <c r="Q280" s="212">
        <f t="shared" ca="1" si="77"/>
        <v>0</v>
      </c>
      <c r="R280" s="386"/>
      <c r="S280" s="207">
        <f t="shared" si="81"/>
        <v>2003</v>
      </c>
      <c r="T280" s="207">
        <f t="shared" si="82"/>
        <v>9</v>
      </c>
      <c r="U280" s="384" t="str">
        <f t="shared" ca="1" si="78"/>
        <v/>
      </c>
      <c r="V280" s="384" t="str">
        <f t="shared" ca="1" si="79"/>
        <v/>
      </c>
      <c r="W280" s="385" t="str">
        <f t="shared" ca="1" si="80"/>
        <v>||||</v>
      </c>
    </row>
    <row r="281" spans="1:23">
      <c r="A281" s="207">
        <f>+'Anexo Escurrimiento'!A291</f>
        <v>2003</v>
      </c>
      <c r="B281" s="207">
        <f>+'Anexo Escurrimiento'!B291</f>
        <v>10</v>
      </c>
      <c r="C281" s="208">
        <f>+'Anexo Escurrimiento'!O291</f>
        <v>1.6602444759439636</v>
      </c>
      <c r="D281" s="207">
        <f>+'Anexo Escurrimiento'!D291</f>
        <v>146.1</v>
      </c>
      <c r="E281" s="214">
        <f t="shared" si="84"/>
        <v>114.86999999999999</v>
      </c>
      <c r="F281" s="213">
        <f t="shared" si="84"/>
        <v>59</v>
      </c>
      <c r="G281" s="211">
        <f t="shared" si="83"/>
        <v>3.1230000000000006E-4</v>
      </c>
      <c r="H281" s="212">
        <f>+F281/100000*'Anexo Bal Hídrico'!$G$4</f>
        <v>0.53100000000000003</v>
      </c>
      <c r="I281" s="212">
        <v>0</v>
      </c>
      <c r="J281" s="212">
        <f t="shared" ca="1" si="71"/>
        <v>8.7660922390118525</v>
      </c>
      <c r="K281" s="212">
        <f t="shared" ca="1" si="72"/>
        <v>322.89620822800708</v>
      </c>
      <c r="L281" s="212">
        <f t="shared" ca="1" si="73"/>
        <v>309.167063795491</v>
      </c>
      <c r="M281" s="212">
        <f t="shared" ca="1" si="74"/>
        <v>8.6674767062632139</v>
      </c>
      <c r="N281" s="212">
        <f t="shared" ca="1" si="75"/>
        <v>7.6368477630678893</v>
      </c>
      <c r="O281" s="210">
        <f t="shared" ca="1" si="70"/>
        <v>295.43791936297487</v>
      </c>
      <c r="P281" s="212">
        <f t="shared" ca="1" si="76"/>
        <v>1.0306289431953246</v>
      </c>
      <c r="Q281" s="212">
        <f t="shared" ca="1" si="77"/>
        <v>0.53100000000000003</v>
      </c>
      <c r="R281" s="386"/>
      <c r="S281" s="207">
        <f t="shared" si="81"/>
        <v>2003</v>
      </c>
      <c r="T281" s="207">
        <f t="shared" si="82"/>
        <v>10</v>
      </c>
      <c r="U281" s="384" t="str">
        <f t="shared" ca="1" si="78"/>
        <v/>
      </c>
      <c r="V281" s="384" t="str">
        <f t="shared" ca="1" si="79"/>
        <v>||</v>
      </c>
      <c r="W281" s="385" t="str">
        <f t="shared" ca="1" si="80"/>
        <v>|||||</v>
      </c>
    </row>
    <row r="282" spans="1:23">
      <c r="A282" s="207">
        <f>+'Anexo Escurrimiento'!A292</f>
        <v>2003</v>
      </c>
      <c r="B282" s="207">
        <f>+'Anexo Escurrimiento'!B292</f>
        <v>11</v>
      </c>
      <c r="C282" s="208">
        <f>+'Anexo Escurrimiento'!O292</f>
        <v>1.8796665758614439</v>
      </c>
      <c r="D282" s="207">
        <f>+'Anexo Escurrimiento'!D292</f>
        <v>156.6</v>
      </c>
      <c r="E282" s="214">
        <f t="shared" si="84"/>
        <v>144.06</v>
      </c>
      <c r="F282" s="213">
        <f t="shared" si="84"/>
        <v>212</v>
      </c>
      <c r="G282" s="211">
        <f t="shared" si="83"/>
        <v>1.2539999999999993E-4</v>
      </c>
      <c r="H282" s="212">
        <f>+F282/100000*'Anexo Bal Hídrico'!$G$4</f>
        <v>1.9079999999999999</v>
      </c>
      <c r="I282" s="212">
        <v>0</v>
      </c>
      <c r="J282" s="212">
        <f t="shared" ca="1" si="71"/>
        <v>7.6085143389293339</v>
      </c>
      <c r="K282" s="212">
        <f t="shared" ca="1" si="72"/>
        <v>294.73108090789071</v>
      </c>
      <c r="L282" s="212">
        <f t="shared" ca="1" si="73"/>
        <v>295.08450013543279</v>
      </c>
      <c r="M282" s="212">
        <f t="shared" ca="1" si="74"/>
        <v>7.4346204173910486</v>
      </c>
      <c r="N282" s="212">
        <f t="shared" ca="1" si="75"/>
        <v>7.4346204173910486</v>
      </c>
      <c r="O282" s="210">
        <f t="shared" ca="1" si="70"/>
        <v>290.3722292823046</v>
      </c>
      <c r="P282" s="212">
        <f t="shared" ca="1" si="76"/>
        <v>0</v>
      </c>
      <c r="Q282" s="212">
        <f t="shared" ca="1" si="77"/>
        <v>1.9079999999999999</v>
      </c>
      <c r="R282" s="386"/>
      <c r="S282" s="207">
        <f t="shared" si="81"/>
        <v>2003</v>
      </c>
      <c r="T282" s="207">
        <f t="shared" si="82"/>
        <v>11</v>
      </c>
      <c r="U282" s="384" t="str">
        <f t="shared" ca="1" si="78"/>
        <v/>
      </c>
      <c r="V282" s="384" t="str">
        <f t="shared" ca="1" si="79"/>
        <v>|||||||||</v>
      </c>
      <c r="W282" s="385" t="str">
        <f t="shared" ca="1" si="80"/>
        <v/>
      </c>
    </row>
    <row r="283" spans="1:23">
      <c r="A283" s="207">
        <f>+'Anexo Escurrimiento'!A293</f>
        <v>2003</v>
      </c>
      <c r="B283" s="207">
        <f>+'Anexo Escurrimiento'!B293</f>
        <v>12</v>
      </c>
      <c r="C283" s="208">
        <f>+'Anexo Escurrimiento'!O293</f>
        <v>2.0108562422320593</v>
      </c>
      <c r="D283" s="207">
        <f>+'Anexo Escurrimiento'!D293</f>
        <v>173.9</v>
      </c>
      <c r="E283" s="214">
        <f t="shared" si="84"/>
        <v>179.62</v>
      </c>
      <c r="F283" s="213">
        <f t="shared" si="84"/>
        <v>388</v>
      </c>
      <c r="G283" s="211">
        <f t="shared" si="83"/>
        <v>-5.7199999999999988E-5</v>
      </c>
      <c r="H283" s="212">
        <f>+F283/100000*'Anexo Bal Hídrico'!$G$4</f>
        <v>3.492</v>
      </c>
      <c r="I283" s="212">
        <v>0</v>
      </c>
      <c r="J283" s="212">
        <f t="shared" ca="1" si="71"/>
        <v>5.9534766596231075</v>
      </c>
      <c r="K283" s="212">
        <f t="shared" ca="1" si="72"/>
        <v>251.63688783922046</v>
      </c>
      <c r="L283" s="212">
        <f t="shared" ca="1" si="73"/>
        <v>271.00455856076252</v>
      </c>
      <c r="M283" s="212">
        <f t="shared" ca="1" si="74"/>
        <v>5.730769416266873</v>
      </c>
      <c r="N283" s="212">
        <f t="shared" ca="1" si="75"/>
        <v>5.730769416266873</v>
      </c>
      <c r="O283" s="210">
        <f t="shared" ca="1" si="70"/>
        <v>245.52959966187635</v>
      </c>
      <c r="P283" s="212">
        <f t="shared" ca="1" si="76"/>
        <v>0</v>
      </c>
      <c r="Q283" s="212">
        <f t="shared" ca="1" si="77"/>
        <v>3.492</v>
      </c>
      <c r="R283" s="386"/>
      <c r="S283" s="207">
        <f t="shared" si="81"/>
        <v>2003</v>
      </c>
      <c r="T283" s="207">
        <f t="shared" si="82"/>
        <v>12</v>
      </c>
      <c r="U283" s="384" t="str">
        <f t="shared" ca="1" si="78"/>
        <v/>
      </c>
      <c r="V283" s="384" t="str">
        <f t="shared" ca="1" si="79"/>
        <v>|||||||||||||||||</v>
      </c>
      <c r="W283" s="385" t="str">
        <f t="shared" ca="1" si="80"/>
        <v/>
      </c>
    </row>
    <row r="284" spans="1:23">
      <c r="A284" s="207">
        <f>+'Anexo Escurrimiento'!A294</f>
        <v>2004</v>
      </c>
      <c r="B284" s="207">
        <f>+'Anexo Escurrimiento'!B294</f>
        <v>1</v>
      </c>
      <c r="C284" s="208">
        <f>+'Anexo Escurrimiento'!O294</f>
        <v>0.65972203852961264</v>
      </c>
      <c r="D284" s="207">
        <f>+'Anexo Escurrimiento'!D294</f>
        <v>48.2</v>
      </c>
      <c r="E284" s="214">
        <f t="shared" si="84"/>
        <v>176.89</v>
      </c>
      <c r="F284" s="213">
        <f t="shared" si="84"/>
        <v>318</v>
      </c>
      <c r="G284" s="211">
        <f t="shared" si="83"/>
        <v>-1.2868999999999999E-3</v>
      </c>
      <c r="H284" s="212">
        <f>+F284/100000*'Anexo Bal Hídrico'!$G$4</f>
        <v>2.8620000000000001</v>
      </c>
      <c r="I284" s="212">
        <v>0</v>
      </c>
      <c r="J284" s="212">
        <f t="shared" ca="1" si="71"/>
        <v>3.5284914547964856</v>
      </c>
      <c r="K284" s="212">
        <f t="shared" ca="1" si="72"/>
        <v>179.62613031625946</v>
      </c>
      <c r="L284" s="212">
        <f t="shared" ca="1" si="73"/>
        <v>212.5778649890679</v>
      </c>
      <c r="M284" s="212">
        <f t="shared" ca="1" si="74"/>
        <v>3.2016009309744264</v>
      </c>
      <c r="N284" s="212">
        <f t="shared" ca="1" si="75"/>
        <v>3.2016009309744264</v>
      </c>
      <c r="O284" s="210">
        <f t="shared" ca="1" si="70"/>
        <v>168.7174764300255</v>
      </c>
      <c r="P284" s="212">
        <f t="shared" ca="1" si="76"/>
        <v>0</v>
      </c>
      <c r="Q284" s="212">
        <f t="shared" ca="1" si="77"/>
        <v>2.8620000000000001</v>
      </c>
      <c r="R284" s="386"/>
      <c r="S284" s="207">
        <f t="shared" si="81"/>
        <v>2004</v>
      </c>
      <c r="T284" s="207">
        <f t="shared" si="82"/>
        <v>1</v>
      </c>
      <c r="U284" s="384" t="str">
        <f t="shared" ca="1" si="78"/>
        <v/>
      </c>
      <c r="V284" s="384" t="str">
        <f t="shared" ca="1" si="79"/>
        <v>||||||||||||||</v>
      </c>
      <c r="W284" s="385" t="str">
        <f t="shared" ca="1" si="80"/>
        <v/>
      </c>
    </row>
    <row r="285" spans="1:23">
      <c r="A285" s="207">
        <f>+'Anexo Escurrimiento'!A295</f>
        <v>2004</v>
      </c>
      <c r="B285" s="207">
        <f>+'Anexo Escurrimiento'!B295</f>
        <v>2</v>
      </c>
      <c r="C285" s="208">
        <f>+'Anexo Escurrimiento'!O295</f>
        <v>0.36265994539276752</v>
      </c>
      <c r="D285" s="207">
        <f>+'Anexo Escurrimiento'!D295</f>
        <v>61.3</v>
      </c>
      <c r="E285" s="214">
        <f t="shared" si="84"/>
        <v>131.73999999999998</v>
      </c>
      <c r="F285" s="213">
        <f t="shared" si="84"/>
        <v>153</v>
      </c>
      <c r="G285" s="211">
        <f t="shared" si="83"/>
        <v>-7.0439999999999988E-4</v>
      </c>
      <c r="H285" s="212">
        <f>+F285/100000*'Anexo Bal Hídrico'!$G$4</f>
        <v>1.377</v>
      </c>
      <c r="I285" s="212">
        <v>0</v>
      </c>
      <c r="J285" s="212">
        <f t="shared" ca="1" si="71"/>
        <v>2.1872608763671941</v>
      </c>
      <c r="K285" s="212">
        <f t="shared" ca="1" si="72"/>
        <v>131.98568984683814</v>
      </c>
      <c r="L285" s="212">
        <f t="shared" ca="1" si="73"/>
        <v>150.35158313843181</v>
      </c>
      <c r="M285" s="212">
        <f t="shared" ca="1" si="74"/>
        <v>2.0606207128658136</v>
      </c>
      <c r="N285" s="212">
        <f t="shared" ca="1" si="75"/>
        <v>2.0606207128658136</v>
      </c>
      <c r="O285" s="210">
        <f t="shared" ca="1" si="70"/>
        <v>127.00892398052957</v>
      </c>
      <c r="P285" s="212">
        <f t="shared" ca="1" si="76"/>
        <v>0</v>
      </c>
      <c r="Q285" s="212">
        <f t="shared" ca="1" si="77"/>
        <v>1.377</v>
      </c>
      <c r="R285" s="386"/>
      <c r="S285" s="207">
        <f t="shared" si="81"/>
        <v>2004</v>
      </c>
      <c r="T285" s="207">
        <f t="shared" si="82"/>
        <v>2</v>
      </c>
      <c r="U285" s="384" t="str">
        <f t="shared" ca="1" si="78"/>
        <v/>
      </c>
      <c r="V285" s="384" t="str">
        <f t="shared" ca="1" si="79"/>
        <v>||||||</v>
      </c>
      <c r="W285" s="385" t="str">
        <f t="shared" ca="1" si="80"/>
        <v/>
      </c>
    </row>
    <row r="286" spans="1:23">
      <c r="A286" s="207">
        <f>+'Anexo Escurrimiento'!A296</f>
        <v>2004</v>
      </c>
      <c r="B286" s="207">
        <f>+'Anexo Escurrimiento'!B296</f>
        <v>3</v>
      </c>
      <c r="C286" s="208">
        <f>+'Anexo Escurrimiento'!O296</f>
        <v>0.33526557877816465</v>
      </c>
      <c r="D286" s="207">
        <f>+'Anexo Escurrimiento'!D296</f>
        <v>53.3</v>
      </c>
      <c r="E286" s="214">
        <f t="shared" si="84"/>
        <v>118.64999999999999</v>
      </c>
      <c r="F286" s="213">
        <f t="shared" si="84"/>
        <v>47</v>
      </c>
      <c r="G286" s="211">
        <f t="shared" si="83"/>
        <v>-6.5349999999999989E-4</v>
      </c>
      <c r="H286" s="212">
        <f>+F286/100000*'Anexo Bal Hídrico'!$G$4</f>
        <v>0.42299999999999999</v>
      </c>
      <c r="I286" s="212">
        <v>0</v>
      </c>
      <c r="J286" s="212">
        <f t="shared" ca="1" si="71"/>
        <v>1.9728862916439782</v>
      </c>
      <c r="K286" s="212">
        <f t="shared" ca="1" si="72"/>
        <v>123.49714105879666</v>
      </c>
      <c r="L286" s="212">
        <f t="shared" ca="1" si="73"/>
        <v>125.25303251966312</v>
      </c>
      <c r="M286" s="212">
        <f t="shared" ca="1" si="74"/>
        <v>1.8750665031656006</v>
      </c>
      <c r="N286" s="212">
        <f t="shared" ca="1" si="75"/>
        <v>1.8750665031656006</v>
      </c>
      <c r="O286" s="210">
        <f t="shared" ca="1" si="70"/>
        <v>119.51549441574565</v>
      </c>
      <c r="P286" s="212">
        <f t="shared" ca="1" si="76"/>
        <v>0</v>
      </c>
      <c r="Q286" s="212">
        <f t="shared" ca="1" si="77"/>
        <v>0.42299999999999999</v>
      </c>
      <c r="R286" s="386"/>
      <c r="S286" s="207">
        <f t="shared" si="81"/>
        <v>2004</v>
      </c>
      <c r="T286" s="207">
        <f t="shared" si="82"/>
        <v>3</v>
      </c>
      <c r="U286" s="384" t="str">
        <f t="shared" ca="1" si="78"/>
        <v/>
      </c>
      <c r="V286" s="384" t="str">
        <f t="shared" ca="1" si="79"/>
        <v>||</v>
      </c>
      <c r="W286" s="385" t="str">
        <f t="shared" ca="1" si="80"/>
        <v/>
      </c>
    </row>
    <row r="287" spans="1:23">
      <c r="A287" s="207">
        <f>+'Anexo Escurrimiento'!A297</f>
        <v>2004</v>
      </c>
      <c r="B287" s="207">
        <f>+'Anexo Escurrimiento'!B297</f>
        <v>4</v>
      </c>
      <c r="C287" s="208">
        <f>+'Anexo Escurrimiento'!O297</f>
        <v>1.4170673181873239</v>
      </c>
      <c r="D287" s="207">
        <f>+'Anexo Escurrimiento'!D297</f>
        <v>125</v>
      </c>
      <c r="E287" s="214">
        <f t="shared" si="84"/>
        <v>73.149999999999991</v>
      </c>
      <c r="F287" s="213">
        <f t="shared" si="84"/>
        <v>0</v>
      </c>
      <c r="G287" s="211">
        <f t="shared" si="83"/>
        <v>5.1850000000000008E-4</v>
      </c>
      <c r="H287" s="212">
        <f>+F287/100000*'Anexo Bal Hídrico'!$G$4</f>
        <v>0</v>
      </c>
      <c r="I287" s="212">
        <v>0</v>
      </c>
      <c r="J287" s="212">
        <f t="shared" ca="1" si="71"/>
        <v>3.2921338213529245</v>
      </c>
      <c r="K287" s="212">
        <f t="shared" ca="1" si="72"/>
        <v>171.77676347386779</v>
      </c>
      <c r="L287" s="212">
        <f t="shared" ca="1" si="73"/>
        <v>145.64612894480672</v>
      </c>
      <c r="M287" s="212">
        <f t="shared" ca="1" si="74"/>
        <v>3.2891759136031329</v>
      </c>
      <c r="N287" s="212">
        <f t="shared" ca="1" si="75"/>
        <v>3.2891759136031329</v>
      </c>
      <c r="O287" s="210">
        <f t="shared" ca="1" si="70"/>
        <v>171.67728637345732</v>
      </c>
      <c r="P287" s="212">
        <f t="shared" ca="1" si="76"/>
        <v>0</v>
      </c>
      <c r="Q287" s="212">
        <f t="shared" ca="1" si="77"/>
        <v>0</v>
      </c>
      <c r="R287" s="386"/>
      <c r="S287" s="207">
        <f t="shared" si="81"/>
        <v>2004</v>
      </c>
      <c r="T287" s="207">
        <f t="shared" si="82"/>
        <v>4</v>
      </c>
      <c r="U287" s="384" t="str">
        <f t="shared" ca="1" si="78"/>
        <v/>
      </c>
      <c r="V287" s="384" t="str">
        <f t="shared" ca="1" si="79"/>
        <v/>
      </c>
      <c r="W287" s="385" t="str">
        <f t="shared" ca="1" si="80"/>
        <v/>
      </c>
    </row>
    <row r="288" spans="1:23">
      <c r="A288" s="207">
        <f>+'Anexo Escurrimiento'!A298</f>
        <v>2004</v>
      </c>
      <c r="B288" s="207">
        <f>+'Anexo Escurrimiento'!B298</f>
        <v>5</v>
      </c>
      <c r="C288" s="208">
        <f>+'Anexo Escurrimiento'!O298</f>
        <v>0.55838175188018624</v>
      </c>
      <c r="D288" s="207">
        <f>+'Anexo Escurrimiento'!D298</f>
        <v>29.2</v>
      </c>
      <c r="E288" s="214">
        <f t="shared" si="84"/>
        <v>51.24</v>
      </c>
      <c r="F288" s="213">
        <f t="shared" si="84"/>
        <v>0</v>
      </c>
      <c r="G288" s="211">
        <f t="shared" si="83"/>
        <v>-2.2040000000000002E-4</v>
      </c>
      <c r="H288" s="212">
        <f>+F288/100000*'Anexo Bal Hídrico'!$G$4</f>
        <v>0</v>
      </c>
      <c r="I288" s="212">
        <v>0</v>
      </c>
      <c r="J288" s="212">
        <f t="shared" ca="1" si="71"/>
        <v>3.8475576654833192</v>
      </c>
      <c r="K288" s="212">
        <f t="shared" ca="1" si="72"/>
        <v>189.93189688788334</v>
      </c>
      <c r="L288" s="212">
        <f t="shared" ca="1" si="73"/>
        <v>180.80459163067033</v>
      </c>
      <c r="M288" s="212">
        <f t="shared" ca="1" si="74"/>
        <v>3.7693212670914495</v>
      </c>
      <c r="N288" s="212">
        <f t="shared" ca="1" si="75"/>
        <v>3.7693212670914495</v>
      </c>
      <c r="O288" s="210">
        <f t="shared" ca="1" si="70"/>
        <v>187.43393695158443</v>
      </c>
      <c r="P288" s="212">
        <f t="shared" ca="1" si="76"/>
        <v>0</v>
      </c>
      <c r="Q288" s="212">
        <f t="shared" ca="1" si="77"/>
        <v>0</v>
      </c>
      <c r="R288" s="386"/>
      <c r="S288" s="207">
        <f t="shared" si="81"/>
        <v>2004</v>
      </c>
      <c r="T288" s="207">
        <f t="shared" si="82"/>
        <v>5</v>
      </c>
      <c r="U288" s="384" t="str">
        <f t="shared" ca="1" si="78"/>
        <v/>
      </c>
      <c r="V288" s="384" t="str">
        <f t="shared" ca="1" si="79"/>
        <v/>
      </c>
      <c r="W288" s="385" t="str">
        <f t="shared" ca="1" si="80"/>
        <v/>
      </c>
    </row>
    <row r="289" spans="1:23">
      <c r="A289" s="207">
        <f>+'Anexo Escurrimiento'!A299</f>
        <v>2004</v>
      </c>
      <c r="B289" s="207">
        <f>+'Anexo Escurrimiento'!B299</f>
        <v>6</v>
      </c>
      <c r="C289" s="208">
        <f>+'Anexo Escurrimiento'!O299</f>
        <v>1.0066705492833965</v>
      </c>
      <c r="D289" s="207">
        <f>+'Anexo Escurrimiento'!D299</f>
        <v>82.1</v>
      </c>
      <c r="E289" s="214">
        <f t="shared" si="84"/>
        <v>41.019999999999996</v>
      </c>
      <c r="F289" s="213">
        <f t="shared" si="84"/>
        <v>0</v>
      </c>
      <c r="G289" s="211">
        <f t="shared" si="83"/>
        <v>4.1079999999999996E-4</v>
      </c>
      <c r="H289" s="212">
        <f>+F289/100000*'Anexo Bal Hídrico'!$G$4</f>
        <v>0</v>
      </c>
      <c r="I289" s="212">
        <v>0</v>
      </c>
      <c r="J289" s="212">
        <f t="shared" ca="1" si="71"/>
        <v>4.7759918163748463</v>
      </c>
      <c r="K289" s="212">
        <f t="shared" ca="1" si="72"/>
        <v>218.32168771688296</v>
      </c>
      <c r="L289" s="212">
        <f t="shared" ca="1" si="73"/>
        <v>202.87781233423368</v>
      </c>
      <c r="M289" s="212">
        <f t="shared" ca="1" si="74"/>
        <v>4.781679603894708</v>
      </c>
      <c r="N289" s="212">
        <f t="shared" ca="1" si="75"/>
        <v>4.781679603894708</v>
      </c>
      <c r="O289" s="210">
        <f t="shared" ca="1" si="70"/>
        <v>218.48920781731834</v>
      </c>
      <c r="P289" s="212">
        <f t="shared" ca="1" si="76"/>
        <v>0</v>
      </c>
      <c r="Q289" s="212">
        <f t="shared" ca="1" si="77"/>
        <v>0</v>
      </c>
      <c r="R289" s="386"/>
      <c r="S289" s="207">
        <f t="shared" si="81"/>
        <v>2004</v>
      </c>
      <c r="T289" s="207">
        <f t="shared" si="82"/>
        <v>6</v>
      </c>
      <c r="U289" s="384" t="str">
        <f t="shared" ca="1" si="78"/>
        <v/>
      </c>
      <c r="V289" s="384" t="str">
        <f t="shared" ca="1" si="79"/>
        <v/>
      </c>
      <c r="W289" s="385" t="str">
        <f t="shared" ca="1" si="80"/>
        <v/>
      </c>
    </row>
    <row r="290" spans="1:23">
      <c r="A290" s="207">
        <f>+'Anexo Escurrimiento'!A300</f>
        <v>2004</v>
      </c>
      <c r="B290" s="207">
        <f>+'Anexo Escurrimiento'!B300</f>
        <v>7</v>
      </c>
      <c r="C290" s="208">
        <f>+'Anexo Escurrimiento'!O300</f>
        <v>0.49435793997549388</v>
      </c>
      <c r="D290" s="207">
        <f>+'Anexo Escurrimiento'!D300</f>
        <v>30.5</v>
      </c>
      <c r="E290" s="214">
        <f t="shared" si="84"/>
        <v>50.819999999999993</v>
      </c>
      <c r="F290" s="213">
        <f t="shared" si="84"/>
        <v>0</v>
      </c>
      <c r="G290" s="211">
        <f t="shared" si="83"/>
        <v>-2.0319999999999992E-4</v>
      </c>
      <c r="H290" s="212">
        <f>+F290/100000*'Anexo Bal Hídrico'!$G$4</f>
        <v>0</v>
      </c>
      <c r="I290" s="212">
        <v>0</v>
      </c>
      <c r="J290" s="212">
        <f t="shared" ca="1" si="71"/>
        <v>5.2760375438702019</v>
      </c>
      <c r="K290" s="212">
        <f t="shared" ca="1" si="72"/>
        <v>232.79048114613849</v>
      </c>
      <c r="L290" s="212">
        <f t="shared" ca="1" si="73"/>
        <v>225.6398444817284</v>
      </c>
      <c r="M290" s="212">
        <f t="shared" ca="1" si="74"/>
        <v>5.187774277017378</v>
      </c>
      <c r="N290" s="212">
        <f t="shared" ca="1" si="75"/>
        <v>5.187774277017378</v>
      </c>
      <c r="O290" s="210">
        <f t="shared" ca="1" si="70"/>
        <v>230.27327344053793</v>
      </c>
      <c r="P290" s="212">
        <f t="shared" ca="1" si="76"/>
        <v>0</v>
      </c>
      <c r="Q290" s="212">
        <f t="shared" ca="1" si="77"/>
        <v>0</v>
      </c>
      <c r="R290" s="386"/>
      <c r="S290" s="207">
        <f t="shared" si="81"/>
        <v>2004</v>
      </c>
      <c r="T290" s="207">
        <f t="shared" si="82"/>
        <v>7</v>
      </c>
      <c r="U290" s="384" t="str">
        <f t="shared" ca="1" si="78"/>
        <v/>
      </c>
      <c r="V290" s="384" t="str">
        <f t="shared" ca="1" si="79"/>
        <v/>
      </c>
      <c r="W290" s="385" t="str">
        <f t="shared" ca="1" si="80"/>
        <v/>
      </c>
    </row>
    <row r="291" spans="1:23">
      <c r="A291" s="207">
        <f>+'Anexo Escurrimiento'!A301</f>
        <v>2004</v>
      </c>
      <c r="B291" s="207">
        <f>+'Anexo Escurrimiento'!B301</f>
        <v>8</v>
      </c>
      <c r="C291" s="208">
        <f>+'Anexo Escurrimiento'!O301</f>
        <v>0.13151231060719321</v>
      </c>
      <c r="D291" s="207">
        <f>+'Anexo Escurrimiento'!D301</f>
        <v>18.399999999999999</v>
      </c>
      <c r="E291" s="214">
        <f t="shared" si="84"/>
        <v>72.449999999999989</v>
      </c>
      <c r="F291" s="213">
        <f t="shared" si="84"/>
        <v>0</v>
      </c>
      <c r="G291" s="211">
        <f t="shared" si="83"/>
        <v>-5.4049999999999986E-4</v>
      </c>
      <c r="H291" s="212">
        <f>+F291/100000*'Anexo Bal Hídrico'!$G$4</f>
        <v>0</v>
      </c>
      <c r="I291" s="212">
        <v>0</v>
      </c>
      <c r="J291" s="212">
        <f t="shared" ca="1" si="71"/>
        <v>5.3192865876245712</v>
      </c>
      <c r="K291" s="212">
        <f t="shared" ca="1" si="72"/>
        <v>234.01844331486203</v>
      </c>
      <c r="L291" s="212">
        <f t="shared" ca="1" si="73"/>
        <v>232.14585837769999</v>
      </c>
      <c r="M291" s="212">
        <f t="shared" ca="1" si="74"/>
        <v>5.1822033716150973</v>
      </c>
      <c r="N291" s="212">
        <f t="shared" ca="1" si="75"/>
        <v>5.1822033716150973</v>
      </c>
      <c r="O291" s="210">
        <f t="shared" ca="1" si="70"/>
        <v>230.11388627231224</v>
      </c>
      <c r="P291" s="212">
        <f t="shared" ca="1" si="76"/>
        <v>0</v>
      </c>
      <c r="Q291" s="212">
        <f t="shared" ca="1" si="77"/>
        <v>0</v>
      </c>
      <c r="R291" s="386"/>
      <c r="S291" s="207">
        <f t="shared" si="81"/>
        <v>2004</v>
      </c>
      <c r="T291" s="207">
        <f t="shared" si="82"/>
        <v>8</v>
      </c>
      <c r="U291" s="384" t="str">
        <f t="shared" ca="1" si="78"/>
        <v/>
      </c>
      <c r="V291" s="384" t="str">
        <f t="shared" ca="1" si="79"/>
        <v/>
      </c>
      <c r="W291" s="385" t="str">
        <f t="shared" ca="1" si="80"/>
        <v/>
      </c>
    </row>
    <row r="292" spans="1:23">
      <c r="A292" s="207">
        <f>+'Anexo Escurrimiento'!A302</f>
        <v>2004</v>
      </c>
      <c r="B292" s="207">
        <f>+'Anexo Escurrimiento'!B302</f>
        <v>9</v>
      </c>
      <c r="C292" s="208">
        <f>+'Anexo Escurrimiento'!O302</f>
        <v>1.0563098211392361</v>
      </c>
      <c r="D292" s="207">
        <f>+'Anexo Escurrimiento'!D302</f>
        <v>109.2</v>
      </c>
      <c r="E292" s="214">
        <f t="shared" si="84"/>
        <v>85.89</v>
      </c>
      <c r="F292" s="213">
        <f t="shared" si="84"/>
        <v>0</v>
      </c>
      <c r="G292" s="211">
        <f t="shared" si="83"/>
        <v>2.3310000000000003E-4</v>
      </c>
      <c r="H292" s="212">
        <f>+F292/100000*'Anexo Bal Hídrico'!$G$4</f>
        <v>0</v>
      </c>
      <c r="I292" s="212">
        <v>0</v>
      </c>
      <c r="J292" s="212">
        <f t="shared" ca="1" si="71"/>
        <v>6.2385131927543336</v>
      </c>
      <c r="K292" s="212">
        <f t="shared" ca="1" si="72"/>
        <v>259.3362084719522</v>
      </c>
      <c r="L292" s="212">
        <f t="shared" ca="1" si="73"/>
        <v>244.72504737213222</v>
      </c>
      <c r="M292" s="212">
        <f t="shared" ca="1" si="74"/>
        <v>6.1972675476777859</v>
      </c>
      <c r="N292" s="212">
        <f t="shared" ca="1" si="75"/>
        <v>6.1972675476777859</v>
      </c>
      <c r="O292" s="210">
        <f t="shared" ca="1" si="70"/>
        <v>258.22995660476482</v>
      </c>
      <c r="P292" s="212">
        <f t="shared" ca="1" si="76"/>
        <v>0</v>
      </c>
      <c r="Q292" s="212">
        <f t="shared" ca="1" si="77"/>
        <v>0</v>
      </c>
      <c r="R292" s="386"/>
      <c r="S292" s="207">
        <f t="shared" si="81"/>
        <v>2004</v>
      </c>
      <c r="T292" s="207">
        <f t="shared" si="82"/>
        <v>9</v>
      </c>
      <c r="U292" s="384" t="str">
        <f t="shared" ca="1" si="78"/>
        <v/>
      </c>
      <c r="V292" s="384" t="str">
        <f t="shared" ca="1" si="79"/>
        <v/>
      </c>
      <c r="W292" s="385" t="str">
        <f t="shared" ca="1" si="80"/>
        <v/>
      </c>
    </row>
    <row r="293" spans="1:23">
      <c r="A293" s="207">
        <f>+'Anexo Escurrimiento'!A303</f>
        <v>2004</v>
      </c>
      <c r="B293" s="207">
        <f>+'Anexo Escurrimiento'!B303</f>
        <v>10</v>
      </c>
      <c r="C293" s="208">
        <f>+'Anexo Escurrimiento'!O303</f>
        <v>2.5393492522562786</v>
      </c>
      <c r="D293" s="207">
        <f>+'Anexo Escurrimiento'!D303</f>
        <v>191.5</v>
      </c>
      <c r="E293" s="214">
        <f t="shared" ref="E293:F312" si="85">+E281</f>
        <v>114.86999999999999</v>
      </c>
      <c r="F293" s="213">
        <f t="shared" si="85"/>
        <v>59</v>
      </c>
      <c r="G293" s="211">
        <f t="shared" si="83"/>
        <v>7.6630000000000014E-4</v>
      </c>
      <c r="H293" s="212">
        <f>+F293/100000*'Anexo Bal Hídrico'!$G$4</f>
        <v>0.53100000000000003</v>
      </c>
      <c r="I293" s="212">
        <v>0</v>
      </c>
      <c r="J293" s="212">
        <f t="shared" ca="1" si="71"/>
        <v>8.2056167999340648</v>
      </c>
      <c r="K293" s="212">
        <f t="shared" ca="1" si="72"/>
        <v>309.4360290455042</v>
      </c>
      <c r="L293" s="212">
        <f t="shared" ca="1" si="73"/>
        <v>283.83299282513451</v>
      </c>
      <c r="M293" s="212">
        <f t="shared" ca="1" si="74"/>
        <v>8.1490681751511094</v>
      </c>
      <c r="N293" s="212">
        <f t="shared" ca="1" si="75"/>
        <v>7.6368477630678893</v>
      </c>
      <c r="O293" s="210">
        <f t="shared" ca="1" si="70"/>
        <v>295.43791936297487</v>
      </c>
      <c r="P293" s="212">
        <f t="shared" ca="1" si="76"/>
        <v>0.51222041208322011</v>
      </c>
      <c r="Q293" s="212">
        <f t="shared" ca="1" si="77"/>
        <v>0.53100000000000003</v>
      </c>
      <c r="R293" s="386"/>
      <c r="S293" s="207">
        <f t="shared" si="81"/>
        <v>2004</v>
      </c>
      <c r="T293" s="207">
        <f t="shared" si="82"/>
        <v>10</v>
      </c>
      <c r="U293" s="384" t="str">
        <f t="shared" ca="1" si="78"/>
        <v/>
      </c>
      <c r="V293" s="384" t="str">
        <f t="shared" ca="1" si="79"/>
        <v>||</v>
      </c>
      <c r="W293" s="385" t="str">
        <f t="shared" ca="1" si="80"/>
        <v>||</v>
      </c>
    </row>
    <row r="294" spans="1:23">
      <c r="A294" s="207">
        <f>+'Anexo Escurrimiento'!A304</f>
        <v>2004</v>
      </c>
      <c r="B294" s="207">
        <f>+'Anexo Escurrimiento'!B304</f>
        <v>11</v>
      </c>
      <c r="C294" s="208">
        <f>+'Anexo Escurrimiento'!O304</f>
        <v>2.632156243209034</v>
      </c>
      <c r="D294" s="207">
        <f>+'Anexo Escurrimiento'!D304</f>
        <v>192.4</v>
      </c>
      <c r="E294" s="214">
        <f t="shared" si="85"/>
        <v>144.06</v>
      </c>
      <c r="F294" s="213">
        <f t="shared" si="85"/>
        <v>212</v>
      </c>
      <c r="G294" s="211">
        <f t="shared" si="83"/>
        <v>4.8340000000000004E-4</v>
      </c>
      <c r="H294" s="212">
        <f>+F294/100000*'Anexo Bal Hídrico'!$G$4</f>
        <v>1.9079999999999999</v>
      </c>
      <c r="I294" s="212">
        <v>0</v>
      </c>
      <c r="J294" s="212">
        <f t="shared" ca="1" si="71"/>
        <v>8.3610040062769233</v>
      </c>
      <c r="K294" s="212">
        <f t="shared" ca="1" si="72"/>
        <v>313.19964183550258</v>
      </c>
      <c r="L294" s="212">
        <f t="shared" ca="1" si="73"/>
        <v>304.31878059923872</v>
      </c>
      <c r="M294" s="212">
        <f t="shared" ca="1" si="74"/>
        <v>8.2035434241037493</v>
      </c>
      <c r="N294" s="212">
        <f t="shared" ca="1" si="75"/>
        <v>7.6368477630678893</v>
      </c>
      <c r="O294" s="210">
        <f t="shared" ca="1" si="70"/>
        <v>295.43791936297487</v>
      </c>
      <c r="P294" s="212">
        <f t="shared" ca="1" si="76"/>
        <v>0.56669566103586</v>
      </c>
      <c r="Q294" s="212">
        <f t="shared" ca="1" si="77"/>
        <v>1.9079999999999999</v>
      </c>
      <c r="R294" s="386"/>
      <c r="S294" s="207">
        <f t="shared" si="81"/>
        <v>2004</v>
      </c>
      <c r="T294" s="207">
        <f t="shared" si="82"/>
        <v>11</v>
      </c>
      <c r="U294" s="384" t="str">
        <f t="shared" ca="1" si="78"/>
        <v/>
      </c>
      <c r="V294" s="384" t="str">
        <f t="shared" ca="1" si="79"/>
        <v>|||||||||</v>
      </c>
      <c r="W294" s="385" t="str">
        <f t="shared" ca="1" si="80"/>
        <v>||</v>
      </c>
    </row>
    <row r="295" spans="1:23">
      <c r="A295" s="207">
        <f>+'Anexo Escurrimiento'!A305</f>
        <v>2004</v>
      </c>
      <c r="B295" s="207">
        <f>+'Anexo Escurrimiento'!B305</f>
        <v>12</v>
      </c>
      <c r="C295" s="208">
        <f>+'Anexo Escurrimiento'!O305</f>
        <v>1.0774930703727055</v>
      </c>
      <c r="D295" s="207">
        <f>+'Anexo Escurrimiento'!D305</f>
        <v>85.4</v>
      </c>
      <c r="E295" s="214">
        <f t="shared" si="85"/>
        <v>179.62</v>
      </c>
      <c r="F295" s="213">
        <f t="shared" si="85"/>
        <v>388</v>
      </c>
      <c r="G295" s="211">
        <f t="shared" si="83"/>
        <v>-9.4220000000000003E-4</v>
      </c>
      <c r="H295" s="212">
        <f>+F295/100000*'Anexo Bal Hídrico'!$G$4</f>
        <v>3.492</v>
      </c>
      <c r="I295" s="212">
        <v>0</v>
      </c>
      <c r="J295" s="212">
        <f t="shared" ca="1" si="71"/>
        <v>5.2223408334405947</v>
      </c>
      <c r="K295" s="212">
        <f t="shared" ca="1" si="72"/>
        <v>231.26088811460892</v>
      </c>
      <c r="L295" s="212">
        <f t="shared" ca="1" si="73"/>
        <v>263.34940373879192</v>
      </c>
      <c r="M295" s="212">
        <f t="shared" ca="1" si="74"/>
        <v>4.8663205698708589</v>
      </c>
      <c r="N295" s="212">
        <f t="shared" ca="1" si="75"/>
        <v>4.8663205698708589</v>
      </c>
      <c r="O295" s="210">
        <f t="shared" ca="1" si="70"/>
        <v>220.97379537841692</v>
      </c>
      <c r="P295" s="212">
        <f t="shared" ca="1" si="76"/>
        <v>0</v>
      </c>
      <c r="Q295" s="212">
        <f t="shared" ca="1" si="77"/>
        <v>3.492</v>
      </c>
      <c r="R295" s="386"/>
      <c r="S295" s="207">
        <f t="shared" si="81"/>
        <v>2004</v>
      </c>
      <c r="T295" s="207">
        <f t="shared" si="82"/>
        <v>12</v>
      </c>
      <c r="U295" s="384" t="str">
        <f t="shared" ca="1" si="78"/>
        <v/>
      </c>
      <c r="V295" s="384" t="str">
        <f t="shared" ca="1" si="79"/>
        <v>|||||||||||||||||</v>
      </c>
      <c r="W295" s="385" t="str">
        <f t="shared" ca="1" si="80"/>
        <v/>
      </c>
    </row>
    <row r="296" spans="1:23">
      <c r="A296" s="207">
        <f>+'Anexo Escurrimiento'!A306</f>
        <v>2005</v>
      </c>
      <c r="B296" s="207">
        <f>+'Anexo Escurrimiento'!B306</f>
        <v>1</v>
      </c>
      <c r="C296" s="208">
        <f>+'Anexo Escurrimiento'!O306</f>
        <v>0.5981599177187934</v>
      </c>
      <c r="D296" s="207">
        <f>+'Anexo Escurrimiento'!D306</f>
        <v>81.3</v>
      </c>
      <c r="E296" s="214">
        <f t="shared" si="85"/>
        <v>176.89</v>
      </c>
      <c r="F296" s="213">
        <f t="shared" si="85"/>
        <v>318</v>
      </c>
      <c r="G296" s="211">
        <f t="shared" si="83"/>
        <v>-9.5589999999999987E-4</v>
      </c>
      <c r="H296" s="212">
        <f>+F296/100000*'Anexo Bal Hídrico'!$G$4</f>
        <v>2.8620000000000001</v>
      </c>
      <c r="I296" s="212">
        <v>0</v>
      </c>
      <c r="J296" s="212">
        <f t="shared" ca="1" si="71"/>
        <v>2.6024804875896521</v>
      </c>
      <c r="K296" s="212">
        <f t="shared" ca="1" si="72"/>
        <v>147.62964871554894</v>
      </c>
      <c r="L296" s="212">
        <f t="shared" ca="1" si="73"/>
        <v>184.30172204698295</v>
      </c>
      <c r="M296" s="212">
        <f t="shared" ca="1" si="74"/>
        <v>2.3843893981408142</v>
      </c>
      <c r="N296" s="212">
        <f t="shared" ca="1" si="75"/>
        <v>2.3843893981408142</v>
      </c>
      <c r="O296" s="210">
        <f t="shared" ca="1" si="70"/>
        <v>139.53342256450276</v>
      </c>
      <c r="P296" s="212">
        <f t="shared" ca="1" si="76"/>
        <v>0</v>
      </c>
      <c r="Q296" s="212">
        <f t="shared" ca="1" si="77"/>
        <v>2.8620000000000001</v>
      </c>
      <c r="R296" s="386"/>
      <c r="S296" s="207">
        <f t="shared" si="81"/>
        <v>2005</v>
      </c>
      <c r="T296" s="207">
        <f t="shared" si="82"/>
        <v>1</v>
      </c>
      <c r="U296" s="384" t="str">
        <f t="shared" ca="1" si="78"/>
        <v/>
      </c>
      <c r="V296" s="384" t="str">
        <f t="shared" ca="1" si="79"/>
        <v>||||||||||||||</v>
      </c>
      <c r="W296" s="385" t="str">
        <f t="shared" ca="1" si="80"/>
        <v/>
      </c>
    </row>
    <row r="297" spans="1:23">
      <c r="A297" s="207">
        <f>+'Anexo Escurrimiento'!A307</f>
        <v>2005</v>
      </c>
      <c r="B297" s="207">
        <f>+'Anexo Escurrimiento'!B307</f>
        <v>2</v>
      </c>
      <c r="C297" s="208">
        <f>+'Anexo Escurrimiento'!O307</f>
        <v>0.20669116545306121</v>
      </c>
      <c r="D297" s="207">
        <f>+'Anexo Escurrimiento'!D307</f>
        <v>26.7</v>
      </c>
      <c r="E297" s="214">
        <f t="shared" si="85"/>
        <v>131.73999999999998</v>
      </c>
      <c r="F297" s="213">
        <f t="shared" si="85"/>
        <v>153</v>
      </c>
      <c r="G297" s="211">
        <f t="shared" si="83"/>
        <v>-1.0503999999999997E-3</v>
      </c>
      <c r="H297" s="212">
        <f>+F297/100000*'Anexo Bal Hídrico'!$G$4</f>
        <v>1.377</v>
      </c>
      <c r="I297" s="212">
        <v>0</v>
      </c>
      <c r="J297" s="212">
        <f t="shared" ca="1" si="71"/>
        <v>1.2140805635938754</v>
      </c>
      <c r="K297" s="212">
        <f t="shared" ca="1" si="72"/>
        <v>90.317914341316282</v>
      </c>
      <c r="L297" s="212">
        <f t="shared" ca="1" si="73"/>
        <v>114.92566845290952</v>
      </c>
      <c r="M297" s="212">
        <f t="shared" ca="1" si="74"/>
        <v>1.0843306565258428</v>
      </c>
      <c r="N297" s="212">
        <f t="shared" ca="1" si="75"/>
        <v>1.0843306565258428</v>
      </c>
      <c r="O297" s="210">
        <f t="shared" ca="1" si="70"/>
        <v>83.973274792944508</v>
      </c>
      <c r="P297" s="212">
        <f t="shared" ca="1" si="76"/>
        <v>0</v>
      </c>
      <c r="Q297" s="212">
        <f t="shared" ca="1" si="77"/>
        <v>1.377</v>
      </c>
      <c r="R297" s="386"/>
      <c r="S297" s="207">
        <f t="shared" si="81"/>
        <v>2005</v>
      </c>
      <c r="T297" s="207">
        <f t="shared" si="82"/>
        <v>2</v>
      </c>
      <c r="U297" s="384" t="str">
        <f t="shared" ca="1" si="78"/>
        <v/>
      </c>
      <c r="V297" s="384" t="str">
        <f t="shared" ca="1" si="79"/>
        <v>||||||</v>
      </c>
      <c r="W297" s="385" t="str">
        <f t="shared" ca="1" si="80"/>
        <v/>
      </c>
    </row>
    <row r="298" spans="1:23">
      <c r="A298" s="207">
        <f>+'Anexo Escurrimiento'!A308</f>
        <v>2005</v>
      </c>
      <c r="B298" s="207">
        <f>+'Anexo Escurrimiento'!B308</f>
        <v>3</v>
      </c>
      <c r="C298" s="208">
        <f>+'Anexo Escurrimiento'!O308</f>
        <v>0.54578093018758311</v>
      </c>
      <c r="D298" s="207">
        <f>+'Anexo Escurrimiento'!D308</f>
        <v>82.3</v>
      </c>
      <c r="E298" s="214">
        <f t="shared" si="85"/>
        <v>118.64999999999999</v>
      </c>
      <c r="F298" s="213">
        <f t="shared" si="85"/>
        <v>47</v>
      </c>
      <c r="G298" s="211">
        <f t="shared" si="83"/>
        <v>-3.6349999999999995E-4</v>
      </c>
      <c r="H298" s="212">
        <f>+F298/100000*'Anexo Bal Hídrico'!$G$4</f>
        <v>0.42299999999999999</v>
      </c>
      <c r="I298" s="212">
        <v>0</v>
      </c>
      <c r="J298" s="212">
        <f t="shared" ca="1" si="71"/>
        <v>1.2071115867134259</v>
      </c>
      <c r="K298" s="212">
        <f t="shared" ca="1" si="72"/>
        <v>89.983471659601548</v>
      </c>
      <c r="L298" s="212">
        <f t="shared" ca="1" si="73"/>
        <v>86.978373226273021</v>
      </c>
      <c r="M298" s="212">
        <f t="shared" ca="1" si="74"/>
        <v>1.1574450858990453</v>
      </c>
      <c r="N298" s="212">
        <f t="shared" ca="1" si="75"/>
        <v>1.1574450858990453</v>
      </c>
      <c r="O298" s="210">
        <f t="shared" ca="1" si="70"/>
        <v>87.579738045606192</v>
      </c>
      <c r="P298" s="212">
        <f t="shared" ca="1" si="76"/>
        <v>0</v>
      </c>
      <c r="Q298" s="212">
        <f t="shared" ca="1" si="77"/>
        <v>0.42299999999999999</v>
      </c>
      <c r="R298" s="386"/>
      <c r="S298" s="207">
        <f t="shared" si="81"/>
        <v>2005</v>
      </c>
      <c r="T298" s="207">
        <f t="shared" si="82"/>
        <v>3</v>
      </c>
      <c r="U298" s="384" t="str">
        <f t="shared" ca="1" si="78"/>
        <v/>
      </c>
      <c r="V298" s="384" t="str">
        <f t="shared" ca="1" si="79"/>
        <v>||</v>
      </c>
      <c r="W298" s="385" t="str">
        <f t="shared" ca="1" si="80"/>
        <v/>
      </c>
    </row>
    <row r="299" spans="1:23">
      <c r="A299" s="207">
        <f>+'Anexo Escurrimiento'!A309</f>
        <v>2005</v>
      </c>
      <c r="B299" s="207">
        <f>+'Anexo Escurrimiento'!B309</f>
        <v>4</v>
      </c>
      <c r="C299" s="208">
        <f>+'Anexo Escurrimiento'!O309</f>
        <v>1.4326718560647225</v>
      </c>
      <c r="D299" s="207">
        <f>+'Anexo Escurrimiento'!D309</f>
        <v>120.2</v>
      </c>
      <c r="E299" s="214">
        <f t="shared" si="85"/>
        <v>73.149999999999991</v>
      </c>
      <c r="F299" s="213">
        <f t="shared" si="85"/>
        <v>0</v>
      </c>
      <c r="G299" s="211">
        <f t="shared" si="83"/>
        <v>4.7050000000000011E-4</v>
      </c>
      <c r="H299" s="212">
        <f>+F299/100000*'Anexo Bal Hídrico'!$G$4</f>
        <v>0</v>
      </c>
      <c r="I299" s="212">
        <v>0</v>
      </c>
      <c r="J299" s="212">
        <f t="shared" ca="1" si="71"/>
        <v>2.5901169419637675</v>
      </c>
      <c r="K299" s="212">
        <f t="shared" ca="1" si="72"/>
        <v>147.1772944046931</v>
      </c>
      <c r="L299" s="212">
        <f t="shared" ca="1" si="73"/>
        <v>117.37851622514964</v>
      </c>
      <c r="M299" s="212">
        <f t="shared" ca="1" si="74"/>
        <v>2.5814025084855676</v>
      </c>
      <c r="N299" s="212">
        <f t="shared" ca="1" si="75"/>
        <v>2.5814025084855676</v>
      </c>
      <c r="O299" s="210">
        <f t="shared" ca="1" si="70"/>
        <v>146.85799151238555</v>
      </c>
      <c r="P299" s="212">
        <f t="shared" ca="1" si="76"/>
        <v>0</v>
      </c>
      <c r="Q299" s="212">
        <f t="shared" ca="1" si="77"/>
        <v>0</v>
      </c>
      <c r="R299" s="386"/>
      <c r="S299" s="207">
        <f t="shared" si="81"/>
        <v>2005</v>
      </c>
      <c r="T299" s="207">
        <f t="shared" si="82"/>
        <v>4</v>
      </c>
      <c r="U299" s="384" t="str">
        <f t="shared" ca="1" si="78"/>
        <v/>
      </c>
      <c r="V299" s="384" t="str">
        <f t="shared" ca="1" si="79"/>
        <v/>
      </c>
      <c r="W299" s="385" t="str">
        <f t="shared" ca="1" si="80"/>
        <v/>
      </c>
    </row>
    <row r="300" spans="1:23">
      <c r="A300" s="207">
        <f>+'Anexo Escurrimiento'!A310</f>
        <v>2005</v>
      </c>
      <c r="B300" s="207">
        <f>+'Anexo Escurrimiento'!B310</f>
        <v>5</v>
      </c>
      <c r="C300" s="208">
        <f>+'Anexo Escurrimiento'!O310</f>
        <v>2.8320706384508068</v>
      </c>
      <c r="D300" s="207">
        <f>+'Anexo Escurrimiento'!D310</f>
        <v>169.4</v>
      </c>
      <c r="E300" s="214">
        <f t="shared" si="85"/>
        <v>51.24</v>
      </c>
      <c r="F300" s="213">
        <f t="shared" si="85"/>
        <v>0</v>
      </c>
      <c r="G300" s="211">
        <f t="shared" si="83"/>
        <v>1.1815999999999999E-3</v>
      </c>
      <c r="H300" s="212">
        <f>+F300/100000*'Anexo Bal Hídrico'!$G$4</f>
        <v>0</v>
      </c>
      <c r="I300" s="212">
        <v>0</v>
      </c>
      <c r="J300" s="212">
        <f t="shared" ca="1" si="71"/>
        <v>5.4134731469363739</v>
      </c>
      <c r="K300" s="212">
        <f t="shared" ca="1" si="72"/>
        <v>236.68045149893197</v>
      </c>
      <c r="L300" s="212">
        <f t="shared" ca="1" si="73"/>
        <v>191.76922150565878</v>
      </c>
      <c r="M300" s="212">
        <f t="shared" ca="1" si="74"/>
        <v>5.4335642440162264</v>
      </c>
      <c r="N300" s="212">
        <f t="shared" ca="1" si="75"/>
        <v>5.4335642440162264</v>
      </c>
      <c r="O300" s="210">
        <f t="shared" ca="1" si="70"/>
        <v>237.24615134041497</v>
      </c>
      <c r="P300" s="212">
        <f t="shared" ca="1" si="76"/>
        <v>0</v>
      </c>
      <c r="Q300" s="212">
        <f t="shared" ca="1" si="77"/>
        <v>0</v>
      </c>
      <c r="R300" s="386"/>
      <c r="S300" s="207">
        <f t="shared" si="81"/>
        <v>2005</v>
      </c>
      <c r="T300" s="207">
        <f t="shared" si="82"/>
        <v>5</v>
      </c>
      <c r="U300" s="384" t="str">
        <f t="shared" ca="1" si="78"/>
        <v/>
      </c>
      <c r="V300" s="384" t="str">
        <f t="shared" ca="1" si="79"/>
        <v/>
      </c>
      <c r="W300" s="385" t="str">
        <f t="shared" ca="1" si="80"/>
        <v/>
      </c>
    </row>
    <row r="301" spans="1:23">
      <c r="A301" s="207">
        <f>+'Anexo Escurrimiento'!A311</f>
        <v>2005</v>
      </c>
      <c r="B301" s="207">
        <f>+'Anexo Escurrimiento'!B311</f>
        <v>6</v>
      </c>
      <c r="C301" s="208">
        <f>+'Anexo Escurrimiento'!O311</f>
        <v>3.5164101058204804</v>
      </c>
      <c r="D301" s="207">
        <f>+'Anexo Escurrimiento'!D311</f>
        <v>175.3</v>
      </c>
      <c r="E301" s="214">
        <f t="shared" si="85"/>
        <v>41.019999999999996</v>
      </c>
      <c r="F301" s="213">
        <f t="shared" si="85"/>
        <v>0</v>
      </c>
      <c r="G301" s="211">
        <f t="shared" si="83"/>
        <v>1.3428000000000003E-3</v>
      </c>
      <c r="H301" s="212">
        <f>+F301/100000*'Anexo Bal Hídrico'!$G$4</f>
        <v>0</v>
      </c>
      <c r="I301" s="212">
        <v>0</v>
      </c>
      <c r="J301" s="212">
        <f t="shared" ca="1" si="71"/>
        <v>8.9499743498367064</v>
      </c>
      <c r="K301" s="212">
        <f t="shared" ca="1" si="72"/>
        <v>327.24502561011195</v>
      </c>
      <c r="L301" s="212">
        <f t="shared" ca="1" si="73"/>
        <v>282.24558847526345</v>
      </c>
      <c r="M301" s="212">
        <f t="shared" ca="1" si="74"/>
        <v>8.9516006311220266</v>
      </c>
      <c r="N301" s="212">
        <f t="shared" ca="1" si="75"/>
        <v>7.6368477630678893</v>
      </c>
      <c r="O301" s="210">
        <f t="shared" ca="1" si="70"/>
        <v>295.43791936297487</v>
      </c>
      <c r="P301" s="212">
        <f t="shared" ca="1" si="76"/>
        <v>1.3147528680541374</v>
      </c>
      <c r="Q301" s="212">
        <f t="shared" ca="1" si="77"/>
        <v>0</v>
      </c>
      <c r="R301" s="386"/>
      <c r="S301" s="207">
        <f t="shared" si="81"/>
        <v>2005</v>
      </c>
      <c r="T301" s="207">
        <f t="shared" si="82"/>
        <v>6</v>
      </c>
      <c r="U301" s="384" t="str">
        <f t="shared" ca="1" si="78"/>
        <v/>
      </c>
      <c r="V301" s="384" t="str">
        <f t="shared" ca="1" si="79"/>
        <v/>
      </c>
      <c r="W301" s="385" t="str">
        <f t="shared" ca="1" si="80"/>
        <v>||||||</v>
      </c>
    </row>
    <row r="302" spans="1:23">
      <c r="A302" s="207">
        <f>+'Anexo Escurrimiento'!A312</f>
        <v>2005</v>
      </c>
      <c r="B302" s="207">
        <f>+'Anexo Escurrimiento'!B312</f>
        <v>7</v>
      </c>
      <c r="C302" s="208">
        <f>+'Anexo Escurrimiento'!O312</f>
        <v>0.95735409489229106</v>
      </c>
      <c r="D302" s="207">
        <f>+'Anexo Escurrimiento'!D312</f>
        <v>23.5</v>
      </c>
      <c r="E302" s="214">
        <f t="shared" si="85"/>
        <v>50.819999999999993</v>
      </c>
      <c r="F302" s="213">
        <f t="shared" si="85"/>
        <v>0</v>
      </c>
      <c r="G302" s="211">
        <f t="shared" si="83"/>
        <v>-2.7319999999999992E-4</v>
      </c>
      <c r="H302" s="212">
        <f>+F302/100000*'Anexo Bal Hídrico'!$G$4</f>
        <v>0</v>
      </c>
      <c r="I302" s="212">
        <v>0</v>
      </c>
      <c r="J302" s="212">
        <f t="shared" ca="1" si="71"/>
        <v>8.5942018579601811</v>
      </c>
      <c r="K302" s="212">
        <f t="shared" ca="1" si="72"/>
        <v>318.80157039674356</v>
      </c>
      <c r="L302" s="212">
        <f t="shared" ca="1" si="73"/>
        <v>307.11974487985924</v>
      </c>
      <c r="M302" s="212">
        <f t="shared" ca="1" si="74"/>
        <v>8.3985011750723064</v>
      </c>
      <c r="N302" s="212">
        <f t="shared" ca="1" si="75"/>
        <v>7.6368477630678893</v>
      </c>
      <c r="O302" s="210">
        <f t="shared" ca="1" si="70"/>
        <v>295.43791936297487</v>
      </c>
      <c r="P302" s="212">
        <f t="shared" ca="1" si="76"/>
        <v>0.76165341200441716</v>
      </c>
      <c r="Q302" s="212">
        <f t="shared" ca="1" si="77"/>
        <v>0</v>
      </c>
      <c r="R302" s="386"/>
      <c r="S302" s="207">
        <f t="shared" si="81"/>
        <v>2005</v>
      </c>
      <c r="T302" s="207">
        <f t="shared" si="82"/>
        <v>7</v>
      </c>
      <c r="U302" s="384" t="str">
        <f t="shared" ca="1" si="78"/>
        <v/>
      </c>
      <c r="V302" s="384" t="str">
        <f t="shared" ca="1" si="79"/>
        <v/>
      </c>
      <c r="W302" s="385" t="str">
        <f t="shared" ca="1" si="80"/>
        <v>|||</v>
      </c>
    </row>
    <row r="303" spans="1:23">
      <c r="A303" s="207">
        <f>+'Anexo Escurrimiento'!A313</f>
        <v>2005</v>
      </c>
      <c r="B303" s="207">
        <f>+'Anexo Escurrimiento'!B313</f>
        <v>8</v>
      </c>
      <c r="C303" s="208">
        <f>+'Anexo Escurrimiento'!O313</f>
        <v>1.0204335546783734</v>
      </c>
      <c r="D303" s="207">
        <f>+'Anexo Escurrimiento'!D313</f>
        <v>91.3</v>
      </c>
      <c r="E303" s="214">
        <f t="shared" si="85"/>
        <v>72.449999999999989</v>
      </c>
      <c r="F303" s="213">
        <f t="shared" si="85"/>
        <v>0</v>
      </c>
      <c r="G303" s="211">
        <f t="shared" si="83"/>
        <v>1.8850000000000008E-4</v>
      </c>
      <c r="H303" s="212">
        <f>+F303/100000*'Anexo Bal Hídrico'!$G$4</f>
        <v>0</v>
      </c>
      <c r="I303" s="212">
        <v>0</v>
      </c>
      <c r="J303" s="212">
        <f t="shared" ca="1" si="71"/>
        <v>8.6572813177462624</v>
      </c>
      <c r="K303" s="212">
        <f t="shared" ca="1" si="72"/>
        <v>320.30755259824775</v>
      </c>
      <c r="L303" s="212">
        <f t="shared" ca="1" si="73"/>
        <v>307.87273598061131</v>
      </c>
      <c r="M303" s="212">
        <f t="shared" ca="1" si="74"/>
        <v>8.5958614614195774</v>
      </c>
      <c r="N303" s="212">
        <f t="shared" ca="1" si="75"/>
        <v>7.6368477630678893</v>
      </c>
      <c r="O303" s="210">
        <f t="shared" ca="1" si="70"/>
        <v>295.43791936297487</v>
      </c>
      <c r="P303" s="212">
        <f t="shared" ca="1" si="76"/>
        <v>0.95901369835168815</v>
      </c>
      <c r="Q303" s="212">
        <f t="shared" ca="1" si="77"/>
        <v>0</v>
      </c>
      <c r="R303" s="386"/>
      <c r="S303" s="207">
        <f t="shared" si="81"/>
        <v>2005</v>
      </c>
      <c r="T303" s="207">
        <f t="shared" si="82"/>
        <v>8</v>
      </c>
      <c r="U303" s="384" t="str">
        <f t="shared" ca="1" si="78"/>
        <v/>
      </c>
      <c r="V303" s="384" t="str">
        <f t="shared" ca="1" si="79"/>
        <v/>
      </c>
      <c r="W303" s="385" t="str">
        <f t="shared" ca="1" si="80"/>
        <v>||||</v>
      </c>
    </row>
    <row r="304" spans="1:23">
      <c r="A304" s="207">
        <f>+'Anexo Escurrimiento'!A314</f>
        <v>2005</v>
      </c>
      <c r="B304" s="207">
        <f>+'Anexo Escurrimiento'!B314</f>
        <v>9</v>
      </c>
      <c r="C304" s="208">
        <f>+'Anexo Escurrimiento'!O314</f>
        <v>1.411841737303356</v>
      </c>
      <c r="D304" s="207">
        <f>+'Anexo Escurrimiento'!D314</f>
        <v>112.8</v>
      </c>
      <c r="E304" s="214">
        <f t="shared" si="85"/>
        <v>85.89</v>
      </c>
      <c r="F304" s="213">
        <f t="shared" si="85"/>
        <v>0</v>
      </c>
      <c r="G304" s="211">
        <f t="shared" si="83"/>
        <v>2.6909999999999998E-4</v>
      </c>
      <c r="H304" s="212">
        <f>+F304/100000*'Anexo Bal Hídrico'!$G$4</f>
        <v>0</v>
      </c>
      <c r="I304" s="212">
        <v>0</v>
      </c>
      <c r="J304" s="212">
        <f t="shared" ca="1" si="71"/>
        <v>9.0486895003712462</v>
      </c>
      <c r="K304" s="212">
        <f t="shared" ca="1" si="72"/>
        <v>329.56652749024494</v>
      </c>
      <c r="L304" s="212">
        <f t="shared" ca="1" si="73"/>
        <v>312.50222342660993</v>
      </c>
      <c r="M304" s="212">
        <f t="shared" ca="1" si="74"/>
        <v>8.9650257946901046</v>
      </c>
      <c r="N304" s="212">
        <f t="shared" ca="1" si="75"/>
        <v>7.6368477630678893</v>
      </c>
      <c r="O304" s="210">
        <f t="shared" ca="1" si="70"/>
        <v>295.43791936297487</v>
      </c>
      <c r="P304" s="212">
        <f t="shared" ca="1" si="76"/>
        <v>1.3281780316222154</v>
      </c>
      <c r="Q304" s="212">
        <f t="shared" ca="1" si="77"/>
        <v>0</v>
      </c>
      <c r="R304" s="386"/>
      <c r="S304" s="207">
        <f t="shared" si="81"/>
        <v>2005</v>
      </c>
      <c r="T304" s="207">
        <f t="shared" si="82"/>
        <v>9</v>
      </c>
      <c r="U304" s="384" t="str">
        <f t="shared" ca="1" si="78"/>
        <v/>
      </c>
      <c r="V304" s="384" t="str">
        <f t="shared" ca="1" si="79"/>
        <v/>
      </c>
      <c r="W304" s="385" t="str">
        <f t="shared" ca="1" si="80"/>
        <v>||||||</v>
      </c>
    </row>
    <row r="305" spans="1:23">
      <c r="A305" s="207">
        <f>+'Anexo Escurrimiento'!A315</f>
        <v>2005</v>
      </c>
      <c r="B305" s="207">
        <f>+'Anexo Escurrimiento'!B315</f>
        <v>10</v>
      </c>
      <c r="C305" s="208">
        <f>+'Anexo Escurrimiento'!O315</f>
        <v>1.2630754926784467</v>
      </c>
      <c r="D305" s="207">
        <f>+'Anexo Escurrimiento'!D315</f>
        <v>108.5</v>
      </c>
      <c r="E305" s="214">
        <f t="shared" si="85"/>
        <v>114.86999999999999</v>
      </c>
      <c r="F305" s="213">
        <f t="shared" si="85"/>
        <v>59</v>
      </c>
      <c r="G305" s="211">
        <f t="shared" si="83"/>
        <v>-6.3699999999999908E-5</v>
      </c>
      <c r="H305" s="212">
        <f>+F305/100000*'Anexo Bal Hídrico'!$G$4</f>
        <v>0.53100000000000003</v>
      </c>
      <c r="I305" s="212">
        <v>0</v>
      </c>
      <c r="J305" s="212">
        <f t="shared" ca="1" si="71"/>
        <v>8.3689232557463349</v>
      </c>
      <c r="K305" s="212">
        <f t="shared" ca="1" si="72"/>
        <v>313.39078374005243</v>
      </c>
      <c r="L305" s="212">
        <f t="shared" ca="1" si="73"/>
        <v>304.41435155151362</v>
      </c>
      <c r="M305" s="212">
        <f t="shared" ca="1" si="74"/>
        <v>8.2033349866231049</v>
      </c>
      <c r="N305" s="212">
        <f t="shared" ca="1" si="75"/>
        <v>7.6368477630678893</v>
      </c>
      <c r="O305" s="210">
        <f t="shared" ca="1" si="70"/>
        <v>295.43791936297487</v>
      </c>
      <c r="P305" s="212">
        <f t="shared" ca="1" si="76"/>
        <v>0.56648722355521564</v>
      </c>
      <c r="Q305" s="212">
        <f t="shared" ca="1" si="77"/>
        <v>0.53100000000000003</v>
      </c>
      <c r="R305" s="386"/>
      <c r="S305" s="207">
        <f t="shared" si="81"/>
        <v>2005</v>
      </c>
      <c r="T305" s="207">
        <f t="shared" si="82"/>
        <v>10</v>
      </c>
      <c r="U305" s="384" t="str">
        <f t="shared" ca="1" si="78"/>
        <v/>
      </c>
      <c r="V305" s="384" t="str">
        <f t="shared" ca="1" si="79"/>
        <v>||</v>
      </c>
      <c r="W305" s="385" t="str">
        <f t="shared" ca="1" si="80"/>
        <v>||</v>
      </c>
    </row>
    <row r="306" spans="1:23">
      <c r="A306" s="207">
        <f>+'Anexo Escurrimiento'!A316</f>
        <v>2005</v>
      </c>
      <c r="B306" s="207">
        <f>+'Anexo Escurrimiento'!B316</f>
        <v>11</v>
      </c>
      <c r="C306" s="208">
        <f>+'Anexo Escurrimiento'!O316</f>
        <v>1.1014993875748462</v>
      </c>
      <c r="D306" s="207">
        <f>+'Anexo Escurrimiento'!D316</f>
        <v>109.8</v>
      </c>
      <c r="E306" s="214">
        <f t="shared" si="85"/>
        <v>144.06</v>
      </c>
      <c r="F306" s="213">
        <f t="shared" si="85"/>
        <v>212</v>
      </c>
      <c r="G306" s="211">
        <f t="shared" si="83"/>
        <v>-3.4260000000000003E-4</v>
      </c>
      <c r="H306" s="212">
        <f>+F306/100000*'Anexo Bal Hídrico'!$G$4</f>
        <v>1.9079999999999999</v>
      </c>
      <c r="I306" s="212">
        <v>0</v>
      </c>
      <c r="J306" s="212">
        <f t="shared" ca="1" si="71"/>
        <v>6.8303471506427353</v>
      </c>
      <c r="K306" s="212">
        <f t="shared" ca="1" si="72"/>
        <v>274.93458755150903</v>
      </c>
      <c r="L306" s="212">
        <f t="shared" ca="1" si="73"/>
        <v>285.18625345724195</v>
      </c>
      <c r="M306" s="212">
        <f t="shared" ca="1" si="74"/>
        <v>6.6132003312623091</v>
      </c>
      <c r="N306" s="212">
        <f t="shared" ca="1" si="75"/>
        <v>6.6132003312623091</v>
      </c>
      <c r="O306" s="210">
        <f t="shared" ca="1" si="70"/>
        <v>269.26951277652904</v>
      </c>
      <c r="P306" s="212">
        <f t="shared" ca="1" si="76"/>
        <v>0</v>
      </c>
      <c r="Q306" s="212">
        <f t="shared" ca="1" si="77"/>
        <v>1.9079999999999999</v>
      </c>
      <c r="R306" s="386"/>
      <c r="S306" s="207">
        <f t="shared" si="81"/>
        <v>2005</v>
      </c>
      <c r="T306" s="207">
        <f t="shared" si="82"/>
        <v>11</v>
      </c>
      <c r="U306" s="384" t="str">
        <f t="shared" ca="1" si="78"/>
        <v/>
      </c>
      <c r="V306" s="384" t="str">
        <f t="shared" ca="1" si="79"/>
        <v>|||||||||</v>
      </c>
      <c r="W306" s="385" t="str">
        <f t="shared" ca="1" si="80"/>
        <v/>
      </c>
    </row>
    <row r="307" spans="1:23">
      <c r="A307" s="207">
        <f>+'Anexo Escurrimiento'!A317</f>
        <v>2005</v>
      </c>
      <c r="B307" s="207">
        <f>+'Anexo Escurrimiento'!B317</f>
        <v>12</v>
      </c>
      <c r="C307" s="208">
        <f>+'Anexo Escurrimiento'!O317</f>
        <v>1.4125770619008062</v>
      </c>
      <c r="D307" s="207">
        <f>+'Anexo Escurrimiento'!D317</f>
        <v>145</v>
      </c>
      <c r="E307" s="214">
        <f t="shared" si="85"/>
        <v>179.62</v>
      </c>
      <c r="F307" s="213">
        <f t="shared" si="85"/>
        <v>388</v>
      </c>
      <c r="G307" s="211">
        <f t="shared" si="83"/>
        <v>-3.4620000000000007E-4</v>
      </c>
      <c r="H307" s="212">
        <f>+F307/100000*'Anexo Bal Hídrico'!$G$4</f>
        <v>3.492</v>
      </c>
      <c r="I307" s="212">
        <v>0</v>
      </c>
      <c r="J307" s="212">
        <f t="shared" ca="1" si="71"/>
        <v>4.533777393163116</v>
      </c>
      <c r="K307" s="212">
        <f t="shared" ca="1" si="72"/>
        <v>211.12048153144818</v>
      </c>
      <c r="L307" s="212">
        <f t="shared" ca="1" si="73"/>
        <v>240.1949971539886</v>
      </c>
      <c r="M307" s="212">
        <f t="shared" ca="1" si="74"/>
        <v>4.3216127812080805</v>
      </c>
      <c r="N307" s="212">
        <f t="shared" ca="1" si="75"/>
        <v>4.3216127812080805</v>
      </c>
      <c r="O307" s="210">
        <f t="shared" ca="1" si="70"/>
        <v>204.69950085593166</v>
      </c>
      <c r="P307" s="212">
        <f t="shared" ca="1" si="76"/>
        <v>0</v>
      </c>
      <c r="Q307" s="212">
        <f t="shared" ca="1" si="77"/>
        <v>3.492</v>
      </c>
      <c r="R307" s="386"/>
      <c r="S307" s="207">
        <f t="shared" si="81"/>
        <v>2005</v>
      </c>
      <c r="T307" s="207">
        <f t="shared" si="82"/>
        <v>12</v>
      </c>
      <c r="U307" s="384" t="str">
        <f t="shared" ca="1" si="78"/>
        <v/>
      </c>
      <c r="V307" s="384" t="str">
        <f t="shared" ca="1" si="79"/>
        <v>|||||||||||||||||</v>
      </c>
      <c r="W307" s="385" t="str">
        <f t="shared" ca="1" si="80"/>
        <v/>
      </c>
    </row>
    <row r="308" spans="1:23">
      <c r="A308" s="207">
        <f>+'Anexo Escurrimiento'!A318</f>
        <v>2006</v>
      </c>
      <c r="B308" s="207">
        <f>+'Anexo Escurrimiento'!B318</f>
        <v>1</v>
      </c>
      <c r="C308" s="208">
        <f>+'Anexo Escurrimiento'!O318</f>
        <v>0.57293643675309658</v>
      </c>
      <c r="D308" s="207">
        <f>+'Anexo Escurrimiento'!D318</f>
        <v>54.6</v>
      </c>
      <c r="E308" s="214">
        <f t="shared" si="85"/>
        <v>176.89</v>
      </c>
      <c r="F308" s="213">
        <f t="shared" si="85"/>
        <v>318</v>
      </c>
      <c r="G308" s="211">
        <f t="shared" si="83"/>
        <v>-1.2228999999999999E-3</v>
      </c>
      <c r="H308" s="212">
        <f>+F308/100000*'Anexo Bal Hídrico'!$G$4</f>
        <v>2.8620000000000001</v>
      </c>
      <c r="I308" s="212">
        <v>0</v>
      </c>
      <c r="J308" s="212">
        <f t="shared" ca="1" si="71"/>
        <v>2.0325492179611766</v>
      </c>
      <c r="K308" s="212">
        <f t="shared" ca="1" si="72"/>
        <v>125.89118364005351</v>
      </c>
      <c r="L308" s="212">
        <f t="shared" ca="1" si="73"/>
        <v>165.29534224799258</v>
      </c>
      <c r="M308" s="212">
        <f t="shared" ca="1" si="74"/>
        <v>1.7944005232419054</v>
      </c>
      <c r="N308" s="212">
        <f t="shared" ca="1" si="75"/>
        <v>1.7944005232419054</v>
      </c>
      <c r="O308" s="210">
        <f t="shared" ca="1" si="70"/>
        <v>116.17619949223443</v>
      </c>
      <c r="P308" s="212">
        <f t="shared" ca="1" si="76"/>
        <v>0</v>
      </c>
      <c r="Q308" s="212">
        <f t="shared" ca="1" si="77"/>
        <v>2.8620000000000001</v>
      </c>
      <c r="R308" s="386"/>
      <c r="S308" s="207">
        <f t="shared" si="81"/>
        <v>2006</v>
      </c>
      <c r="T308" s="207">
        <f t="shared" si="82"/>
        <v>1</v>
      </c>
      <c r="U308" s="384" t="str">
        <f t="shared" ca="1" si="78"/>
        <v/>
      </c>
      <c r="V308" s="384" t="str">
        <f t="shared" ca="1" si="79"/>
        <v>||||||||||||||</v>
      </c>
      <c r="W308" s="385" t="str">
        <f t="shared" ca="1" si="80"/>
        <v/>
      </c>
    </row>
    <row r="309" spans="1:23">
      <c r="A309" s="207">
        <f>+'Anexo Escurrimiento'!A319</f>
        <v>2006</v>
      </c>
      <c r="B309" s="207">
        <f>+'Anexo Escurrimiento'!B319</f>
        <v>2</v>
      </c>
      <c r="C309" s="208">
        <f>+'Anexo Escurrimiento'!O319</f>
        <v>0.10776980916110269</v>
      </c>
      <c r="D309" s="207">
        <f>+'Anexo Escurrimiento'!D319</f>
        <v>9.1999999999999993</v>
      </c>
      <c r="E309" s="214">
        <f t="shared" si="85"/>
        <v>131.73999999999998</v>
      </c>
      <c r="F309" s="213">
        <f t="shared" si="85"/>
        <v>153</v>
      </c>
      <c r="G309" s="211">
        <f t="shared" si="83"/>
        <v>-1.2253999999999998E-3</v>
      </c>
      <c r="H309" s="212">
        <f>+F309/100000*'Anexo Bal Hídrico'!$G$4</f>
        <v>1.377</v>
      </c>
      <c r="I309" s="212">
        <v>0</v>
      </c>
      <c r="J309" s="212">
        <f t="shared" ca="1" si="71"/>
        <v>0.52517033240300814</v>
      </c>
      <c r="K309" s="212">
        <f t="shared" ca="1" si="72"/>
        <v>52.629817395277243</v>
      </c>
      <c r="L309" s="212">
        <f t="shared" ca="1" si="73"/>
        <v>84.403008443755837</v>
      </c>
      <c r="M309" s="212">
        <f t="shared" ca="1" si="74"/>
        <v>0.41828429417823254</v>
      </c>
      <c r="N309" s="212">
        <f t="shared" ca="1" si="75"/>
        <v>0.41828429417823254</v>
      </c>
      <c r="O309" s="210">
        <f t="shared" ca="1" si="70"/>
        <v>45.450931765364707</v>
      </c>
      <c r="P309" s="212">
        <f t="shared" ca="1" si="76"/>
        <v>0</v>
      </c>
      <c r="Q309" s="212">
        <f t="shared" ca="1" si="77"/>
        <v>1.377</v>
      </c>
      <c r="R309" s="386"/>
      <c r="S309" s="207">
        <f t="shared" si="81"/>
        <v>2006</v>
      </c>
      <c r="T309" s="207">
        <f t="shared" si="82"/>
        <v>2</v>
      </c>
      <c r="U309" s="384" t="str">
        <f t="shared" ca="1" si="78"/>
        <v/>
      </c>
      <c r="V309" s="384" t="str">
        <f t="shared" ca="1" si="79"/>
        <v>||||||</v>
      </c>
      <c r="W309" s="385" t="str">
        <f t="shared" ca="1" si="80"/>
        <v/>
      </c>
    </row>
    <row r="310" spans="1:23">
      <c r="A310" s="207">
        <f>+'Anexo Escurrimiento'!A320</f>
        <v>2006</v>
      </c>
      <c r="B310" s="207">
        <f>+'Anexo Escurrimiento'!B320</f>
        <v>3</v>
      </c>
      <c r="C310" s="208">
        <f>+'Anexo Escurrimiento'!O320</f>
        <v>0.37363712454445791</v>
      </c>
      <c r="D310" s="207">
        <f>+'Anexo Escurrimiento'!D320</f>
        <v>68.3</v>
      </c>
      <c r="E310" s="214">
        <f t="shared" si="85"/>
        <v>118.64999999999999</v>
      </c>
      <c r="F310" s="213">
        <f t="shared" si="85"/>
        <v>47</v>
      </c>
      <c r="G310" s="211">
        <f t="shared" si="83"/>
        <v>-5.0349999999999993E-4</v>
      </c>
      <c r="H310" s="212">
        <f>+F310/100000*'Anexo Bal Hídrico'!$G$4</f>
        <v>0.42299999999999999</v>
      </c>
      <c r="I310" s="212">
        <v>0</v>
      </c>
      <c r="J310" s="212">
        <f t="shared" ca="1" si="71"/>
        <v>0.36892141872269041</v>
      </c>
      <c r="K310" s="212">
        <f t="shared" ca="1" si="72"/>
        <v>41.917613566795453</v>
      </c>
      <c r="L310" s="212">
        <f t="shared" ca="1" si="73"/>
        <v>43.684272666080076</v>
      </c>
      <c r="M310" s="212">
        <f t="shared" ca="1" si="74"/>
        <v>0.34072027867989313</v>
      </c>
      <c r="N310" s="212">
        <f t="shared" ca="1" si="75"/>
        <v>0.34072027867989313</v>
      </c>
      <c r="O310" s="210">
        <f t="shared" ca="1" si="70"/>
        <v>39.823576309082107</v>
      </c>
      <c r="P310" s="212">
        <f t="shared" ca="1" si="76"/>
        <v>0</v>
      </c>
      <c r="Q310" s="212">
        <f t="shared" ca="1" si="77"/>
        <v>0.42299999999999999</v>
      </c>
      <c r="R310" s="386"/>
      <c r="S310" s="207">
        <f t="shared" si="81"/>
        <v>2006</v>
      </c>
      <c r="T310" s="207">
        <f t="shared" si="82"/>
        <v>3</v>
      </c>
      <c r="U310" s="384" t="str">
        <f t="shared" ca="1" si="78"/>
        <v/>
      </c>
      <c r="V310" s="384" t="str">
        <f t="shared" ca="1" si="79"/>
        <v>||</v>
      </c>
      <c r="W310" s="385" t="str">
        <f t="shared" ca="1" si="80"/>
        <v/>
      </c>
    </row>
    <row r="311" spans="1:23">
      <c r="A311" s="207">
        <f>+'Anexo Escurrimiento'!A321</f>
        <v>2006</v>
      </c>
      <c r="B311" s="207">
        <f>+'Anexo Escurrimiento'!B321</f>
        <v>4</v>
      </c>
      <c r="C311" s="208">
        <f>+'Anexo Escurrimiento'!O321</f>
        <v>1.4712788458162485</v>
      </c>
      <c r="D311" s="207">
        <f>+'Anexo Escurrimiento'!D321</f>
        <v>125.8</v>
      </c>
      <c r="E311" s="214">
        <f t="shared" si="85"/>
        <v>73.149999999999991</v>
      </c>
      <c r="F311" s="213">
        <f t="shared" si="85"/>
        <v>0</v>
      </c>
      <c r="G311" s="211">
        <f t="shared" si="83"/>
        <v>5.2650000000000006E-4</v>
      </c>
      <c r="H311" s="212">
        <f>+F311/100000*'Anexo Bal Hídrico'!$G$4</f>
        <v>0</v>
      </c>
      <c r="I311" s="212">
        <v>0</v>
      </c>
      <c r="J311" s="212">
        <f t="shared" ca="1" si="71"/>
        <v>1.8119991244961415</v>
      </c>
      <c r="K311" s="212">
        <f t="shared" ca="1" si="72"/>
        <v>116.90919877022866</v>
      </c>
      <c r="L311" s="212">
        <f t="shared" ca="1" si="73"/>
        <v>78.366387539655378</v>
      </c>
      <c r="M311" s="212">
        <f t="shared" ca="1" si="74"/>
        <v>1.8094191765053012</v>
      </c>
      <c r="N311" s="212">
        <f t="shared" ca="1" si="75"/>
        <v>1.8094191765053012</v>
      </c>
      <c r="O311" s="210">
        <f t="shared" ca="1" si="70"/>
        <v>116.80190023238505</v>
      </c>
      <c r="P311" s="212">
        <f t="shared" ca="1" si="76"/>
        <v>0</v>
      </c>
      <c r="Q311" s="212">
        <f t="shared" ca="1" si="77"/>
        <v>0</v>
      </c>
      <c r="R311" s="386"/>
      <c r="S311" s="207">
        <f t="shared" si="81"/>
        <v>2006</v>
      </c>
      <c r="T311" s="207">
        <f t="shared" si="82"/>
        <v>4</v>
      </c>
      <c r="U311" s="384" t="str">
        <f t="shared" ca="1" si="78"/>
        <v/>
      </c>
      <c r="V311" s="384" t="str">
        <f t="shared" ca="1" si="79"/>
        <v/>
      </c>
      <c r="W311" s="385" t="str">
        <f t="shared" ca="1" si="80"/>
        <v/>
      </c>
    </row>
    <row r="312" spans="1:23">
      <c r="A312" s="207">
        <f>+'Anexo Escurrimiento'!A322</f>
        <v>2006</v>
      </c>
      <c r="B312" s="207">
        <f>+'Anexo Escurrimiento'!B322</f>
        <v>5</v>
      </c>
      <c r="C312" s="208">
        <f>+'Anexo Escurrimiento'!O322</f>
        <v>1.2551147038154353</v>
      </c>
      <c r="D312" s="207">
        <f>+'Anexo Escurrimiento'!D322</f>
        <v>82</v>
      </c>
      <c r="E312" s="214">
        <f t="shared" si="85"/>
        <v>51.24</v>
      </c>
      <c r="F312" s="213">
        <f t="shared" si="85"/>
        <v>0</v>
      </c>
      <c r="G312" s="211">
        <f t="shared" si="83"/>
        <v>3.076E-4</v>
      </c>
      <c r="H312" s="212">
        <f>+F312/100000*'Anexo Bal Hídrico'!$G$4</f>
        <v>0</v>
      </c>
      <c r="I312" s="212">
        <v>0</v>
      </c>
      <c r="J312" s="212">
        <f t="shared" ca="1" si="71"/>
        <v>3.0645338803207363</v>
      </c>
      <c r="K312" s="212">
        <f t="shared" ca="1" si="72"/>
        <v>164.02646850983427</v>
      </c>
      <c r="L312" s="212">
        <f t="shared" ca="1" si="73"/>
        <v>140.41418437110966</v>
      </c>
      <c r="M312" s="212">
        <f t="shared" ca="1" si="74"/>
        <v>3.0407154327000461</v>
      </c>
      <c r="N312" s="212">
        <f t="shared" ca="1" si="75"/>
        <v>3.0407154327000461</v>
      </c>
      <c r="O312" s="210">
        <f t="shared" ca="1" si="70"/>
        <v>163.2037582467737</v>
      </c>
      <c r="P312" s="212">
        <f t="shared" ca="1" si="76"/>
        <v>0</v>
      </c>
      <c r="Q312" s="212">
        <f t="shared" ca="1" si="77"/>
        <v>0</v>
      </c>
      <c r="R312" s="386"/>
      <c r="S312" s="207">
        <f t="shared" si="81"/>
        <v>2006</v>
      </c>
      <c r="T312" s="207">
        <f t="shared" si="82"/>
        <v>5</v>
      </c>
      <c r="U312" s="384" t="str">
        <f t="shared" ca="1" si="78"/>
        <v/>
      </c>
      <c r="V312" s="384" t="str">
        <f t="shared" ca="1" si="79"/>
        <v/>
      </c>
      <c r="W312" s="385" t="str">
        <f t="shared" ca="1" si="80"/>
        <v/>
      </c>
    </row>
    <row r="313" spans="1:23">
      <c r="A313" s="207">
        <f>+'Anexo Escurrimiento'!A323</f>
        <v>2006</v>
      </c>
      <c r="B313" s="207">
        <f>+'Anexo Escurrimiento'!B323</f>
        <v>6</v>
      </c>
      <c r="C313" s="208">
        <f>+'Anexo Escurrimiento'!O323</f>
        <v>2.3143495379603469</v>
      </c>
      <c r="D313" s="207">
        <f>+'Anexo Escurrimiento'!D323</f>
        <v>139.4</v>
      </c>
      <c r="E313" s="214">
        <f t="shared" ref="E313:F332" si="86">+E301</f>
        <v>41.019999999999996</v>
      </c>
      <c r="F313" s="213">
        <f t="shared" si="86"/>
        <v>0</v>
      </c>
      <c r="G313" s="211">
        <f t="shared" si="83"/>
        <v>9.8380000000000017E-4</v>
      </c>
      <c r="H313" s="212">
        <f>+F313/100000*'Anexo Bal Hídrico'!$G$4</f>
        <v>0</v>
      </c>
      <c r="I313" s="212">
        <v>0</v>
      </c>
      <c r="J313" s="212">
        <f t="shared" ca="1" si="71"/>
        <v>5.3550649706603934</v>
      </c>
      <c r="K313" s="212">
        <f t="shared" ca="1" si="72"/>
        <v>235.03161142832127</v>
      </c>
      <c r="L313" s="212">
        <f t="shared" ca="1" si="73"/>
        <v>199.11768483754747</v>
      </c>
      <c r="M313" s="212">
        <f t="shared" ca="1" si="74"/>
        <v>5.3757372068349367</v>
      </c>
      <c r="N313" s="212">
        <f t="shared" ca="1" si="75"/>
        <v>5.3757372068349367</v>
      </c>
      <c r="O313" s="210">
        <f t="shared" ca="1" si="70"/>
        <v>235.61590824723334</v>
      </c>
      <c r="P313" s="212">
        <f t="shared" ca="1" si="76"/>
        <v>0</v>
      </c>
      <c r="Q313" s="212">
        <f t="shared" ca="1" si="77"/>
        <v>0</v>
      </c>
      <c r="R313" s="386"/>
      <c r="S313" s="207">
        <f t="shared" si="81"/>
        <v>2006</v>
      </c>
      <c r="T313" s="207">
        <f t="shared" si="82"/>
        <v>6</v>
      </c>
      <c r="U313" s="384" t="str">
        <f t="shared" ca="1" si="78"/>
        <v/>
      </c>
      <c r="V313" s="384" t="str">
        <f t="shared" ca="1" si="79"/>
        <v/>
      </c>
      <c r="W313" s="385" t="str">
        <f t="shared" ca="1" si="80"/>
        <v/>
      </c>
    </row>
    <row r="314" spans="1:23">
      <c r="A314" s="207">
        <f>+'Anexo Escurrimiento'!A324</f>
        <v>2006</v>
      </c>
      <c r="B314" s="207">
        <f>+'Anexo Escurrimiento'!B324</f>
        <v>7</v>
      </c>
      <c r="C314" s="208">
        <f>+'Anexo Escurrimiento'!O324</f>
        <v>1.1146604626496359</v>
      </c>
      <c r="D314" s="207">
        <f>+'Anexo Escurrimiento'!D324</f>
        <v>52.6</v>
      </c>
      <c r="E314" s="214">
        <f t="shared" si="86"/>
        <v>50.819999999999993</v>
      </c>
      <c r="F314" s="213">
        <f t="shared" si="86"/>
        <v>0</v>
      </c>
      <c r="G314" s="211">
        <f t="shared" si="83"/>
        <v>1.7800000000000084E-5</v>
      </c>
      <c r="H314" s="212">
        <f>+F314/100000*'Anexo Bal Hídrico'!$G$4</f>
        <v>0</v>
      </c>
      <c r="I314" s="212">
        <v>0</v>
      </c>
      <c r="J314" s="212">
        <f t="shared" ca="1" si="71"/>
        <v>6.4903976694845724</v>
      </c>
      <c r="K314" s="212">
        <f t="shared" ca="1" si="72"/>
        <v>266.03648876436142</v>
      </c>
      <c r="L314" s="212">
        <f t="shared" ca="1" si="73"/>
        <v>250.82619850579738</v>
      </c>
      <c r="M314" s="212">
        <f t="shared" ca="1" si="74"/>
        <v>6.3885558942700209</v>
      </c>
      <c r="N314" s="212">
        <f t="shared" ca="1" si="75"/>
        <v>6.3885558942700209</v>
      </c>
      <c r="O314" s="210">
        <f t="shared" ca="1" si="70"/>
        <v>263.33877118716509</v>
      </c>
      <c r="P314" s="212">
        <f t="shared" ca="1" si="76"/>
        <v>0</v>
      </c>
      <c r="Q314" s="212">
        <f t="shared" ca="1" si="77"/>
        <v>0</v>
      </c>
      <c r="R314" s="386"/>
      <c r="S314" s="207">
        <f t="shared" si="81"/>
        <v>2006</v>
      </c>
      <c r="T314" s="207">
        <f t="shared" si="82"/>
        <v>7</v>
      </c>
      <c r="U314" s="384" t="str">
        <f t="shared" ca="1" si="78"/>
        <v/>
      </c>
      <c r="V314" s="384" t="str">
        <f t="shared" ca="1" si="79"/>
        <v/>
      </c>
      <c r="W314" s="385" t="str">
        <f t="shared" ca="1" si="80"/>
        <v/>
      </c>
    </row>
    <row r="315" spans="1:23">
      <c r="A315" s="207">
        <f>+'Anexo Escurrimiento'!A325</f>
        <v>2006</v>
      </c>
      <c r="B315" s="207">
        <f>+'Anexo Escurrimiento'!B325</f>
        <v>8</v>
      </c>
      <c r="C315" s="208">
        <f>+'Anexo Escurrimiento'!O325</f>
        <v>0.33147355403424439</v>
      </c>
      <c r="D315" s="207">
        <f>+'Anexo Escurrimiento'!D325</f>
        <v>26.8</v>
      </c>
      <c r="E315" s="214">
        <f t="shared" si="86"/>
        <v>72.449999999999989</v>
      </c>
      <c r="F315" s="213">
        <f t="shared" si="86"/>
        <v>0</v>
      </c>
      <c r="G315" s="211">
        <f t="shared" si="83"/>
        <v>-4.5649999999999993E-4</v>
      </c>
      <c r="H315" s="212">
        <f>+F315/100000*'Anexo Bal Hídrico'!$G$4</f>
        <v>0</v>
      </c>
      <c r="I315" s="212">
        <v>0</v>
      </c>
      <c r="J315" s="212">
        <f t="shared" ca="1" si="71"/>
        <v>6.7200294483042651</v>
      </c>
      <c r="K315" s="212">
        <f t="shared" ca="1" si="72"/>
        <v>272.06467701076218</v>
      </c>
      <c r="L315" s="212">
        <f t="shared" ca="1" si="73"/>
        <v>267.70172409896361</v>
      </c>
      <c r="M315" s="212">
        <f t="shared" ca="1" si="74"/>
        <v>6.5640836713640471</v>
      </c>
      <c r="N315" s="212">
        <f t="shared" ca="1" si="75"/>
        <v>6.5640836713640471</v>
      </c>
      <c r="O315" s="210">
        <f t="shared" ca="1" si="70"/>
        <v>267.97900245159127</v>
      </c>
      <c r="P315" s="212">
        <f t="shared" ca="1" si="76"/>
        <v>0</v>
      </c>
      <c r="Q315" s="212">
        <f t="shared" ca="1" si="77"/>
        <v>0</v>
      </c>
      <c r="R315" s="386"/>
      <c r="S315" s="207">
        <f t="shared" si="81"/>
        <v>2006</v>
      </c>
      <c r="T315" s="207">
        <f t="shared" si="82"/>
        <v>8</v>
      </c>
      <c r="U315" s="384" t="str">
        <f t="shared" ca="1" si="78"/>
        <v/>
      </c>
      <c r="V315" s="384" t="str">
        <f t="shared" ca="1" si="79"/>
        <v/>
      </c>
      <c r="W315" s="385" t="str">
        <f t="shared" ca="1" si="80"/>
        <v/>
      </c>
    </row>
    <row r="316" spans="1:23">
      <c r="A316" s="207">
        <f>+'Anexo Escurrimiento'!A326</f>
        <v>2006</v>
      </c>
      <c r="B316" s="207">
        <f>+'Anexo Escurrimiento'!B326</f>
        <v>9</v>
      </c>
      <c r="C316" s="208">
        <f>+'Anexo Escurrimiento'!O326</f>
        <v>0.34027186275459198</v>
      </c>
      <c r="D316" s="207">
        <f>+'Anexo Escurrimiento'!D326</f>
        <v>52.3</v>
      </c>
      <c r="E316" s="214">
        <f t="shared" si="86"/>
        <v>85.89</v>
      </c>
      <c r="F316" s="213">
        <f t="shared" si="86"/>
        <v>0</v>
      </c>
      <c r="G316" s="211">
        <f t="shared" si="83"/>
        <v>-3.3590000000000003E-4</v>
      </c>
      <c r="H316" s="212">
        <f>+F316/100000*'Anexo Bal Hídrico'!$G$4</f>
        <v>0</v>
      </c>
      <c r="I316" s="212">
        <v>0</v>
      </c>
      <c r="J316" s="212">
        <f t="shared" ca="1" si="71"/>
        <v>6.9043555341186389</v>
      </c>
      <c r="K316" s="212">
        <f t="shared" ca="1" si="72"/>
        <v>276.85067964100767</v>
      </c>
      <c r="L316" s="212">
        <f t="shared" ca="1" si="73"/>
        <v>272.41484104629944</v>
      </c>
      <c r="M316" s="212">
        <f t="shared" ca="1" si="74"/>
        <v>6.77760610178502</v>
      </c>
      <c r="N316" s="212">
        <f t="shared" ca="1" si="75"/>
        <v>6.77760610178502</v>
      </c>
      <c r="O316" s="210">
        <f t="shared" ca="1" si="70"/>
        <v>273.56460391132435</v>
      </c>
      <c r="P316" s="212">
        <f t="shared" ca="1" si="76"/>
        <v>0</v>
      </c>
      <c r="Q316" s="212">
        <f t="shared" ca="1" si="77"/>
        <v>0</v>
      </c>
      <c r="R316" s="386"/>
      <c r="S316" s="207">
        <f t="shared" si="81"/>
        <v>2006</v>
      </c>
      <c r="T316" s="207">
        <f t="shared" si="82"/>
        <v>9</v>
      </c>
      <c r="U316" s="384" t="str">
        <f t="shared" ca="1" si="78"/>
        <v/>
      </c>
      <c r="V316" s="384" t="str">
        <f t="shared" ca="1" si="79"/>
        <v/>
      </c>
      <c r="W316" s="385" t="str">
        <f t="shared" ca="1" si="80"/>
        <v/>
      </c>
    </row>
    <row r="317" spans="1:23">
      <c r="A317" s="207">
        <f>+'Anexo Escurrimiento'!A327</f>
        <v>2006</v>
      </c>
      <c r="B317" s="207">
        <f>+'Anexo Escurrimiento'!B327</f>
        <v>10</v>
      </c>
      <c r="C317" s="208">
        <f>+'Anexo Escurrimiento'!O327</f>
        <v>1.0586241636233671</v>
      </c>
      <c r="D317" s="207">
        <f>+'Anexo Escurrimiento'!D327</f>
        <v>114.3</v>
      </c>
      <c r="E317" s="214">
        <f t="shared" si="86"/>
        <v>114.86999999999999</v>
      </c>
      <c r="F317" s="213">
        <f t="shared" si="86"/>
        <v>59</v>
      </c>
      <c r="G317" s="211">
        <f t="shared" si="83"/>
        <v>-5.6999999999999319E-6</v>
      </c>
      <c r="H317" s="212">
        <f>+F317/100000*'Anexo Bal Hídrico'!$G$4</f>
        <v>0.53100000000000003</v>
      </c>
      <c r="I317" s="212">
        <v>0</v>
      </c>
      <c r="J317" s="212">
        <f t="shared" ca="1" si="71"/>
        <v>7.3052302654083876</v>
      </c>
      <c r="K317" s="212">
        <f t="shared" ca="1" si="72"/>
        <v>287.10535848028479</v>
      </c>
      <c r="L317" s="212">
        <f t="shared" ca="1" si="73"/>
        <v>280.33498119580457</v>
      </c>
      <c r="M317" s="212">
        <f t="shared" ca="1" si="74"/>
        <v>7.1907922856723081</v>
      </c>
      <c r="N317" s="212">
        <f t="shared" ca="1" si="75"/>
        <v>7.1907922856723081</v>
      </c>
      <c r="O317" s="210">
        <f t="shared" ca="1" si="70"/>
        <v>284.19881940624811</v>
      </c>
      <c r="P317" s="212">
        <f t="shared" ca="1" si="76"/>
        <v>0</v>
      </c>
      <c r="Q317" s="212">
        <f t="shared" ca="1" si="77"/>
        <v>0.53100000000000003</v>
      </c>
      <c r="R317" s="386"/>
      <c r="S317" s="207">
        <f t="shared" si="81"/>
        <v>2006</v>
      </c>
      <c r="T317" s="207">
        <f t="shared" si="82"/>
        <v>10</v>
      </c>
      <c r="U317" s="384" t="str">
        <f t="shared" ca="1" si="78"/>
        <v/>
      </c>
      <c r="V317" s="384" t="str">
        <f t="shared" ca="1" si="79"/>
        <v>||</v>
      </c>
      <c r="W317" s="385" t="str">
        <f t="shared" ca="1" si="80"/>
        <v/>
      </c>
    </row>
    <row r="318" spans="1:23">
      <c r="A318" s="207">
        <f>+'Anexo Escurrimiento'!A328</f>
        <v>2006</v>
      </c>
      <c r="B318" s="207">
        <f>+'Anexo Escurrimiento'!B328</f>
        <v>11</v>
      </c>
      <c r="C318" s="208">
        <f>+'Anexo Escurrimiento'!O328</f>
        <v>3.3528384742299466</v>
      </c>
      <c r="D318" s="207">
        <f>+'Anexo Escurrimiento'!D328</f>
        <v>252.3</v>
      </c>
      <c r="E318" s="214">
        <f t="shared" si="86"/>
        <v>144.06</v>
      </c>
      <c r="F318" s="213">
        <f t="shared" si="86"/>
        <v>212</v>
      </c>
      <c r="G318" s="211">
        <f t="shared" si="83"/>
        <v>1.0824000000000001E-3</v>
      </c>
      <c r="H318" s="212">
        <f>+F318/100000*'Anexo Bal Hídrico'!$G$4</f>
        <v>1.9079999999999999</v>
      </c>
      <c r="I318" s="212">
        <v>0</v>
      </c>
      <c r="J318" s="212">
        <f t="shared" ca="1" si="71"/>
        <v>8.6356307599022557</v>
      </c>
      <c r="K318" s="212">
        <f t="shared" ca="1" si="72"/>
        <v>319.7911003558221</v>
      </c>
      <c r="L318" s="212">
        <f t="shared" ca="1" si="73"/>
        <v>301.99495988103513</v>
      </c>
      <c r="M318" s="212">
        <f t="shared" ca="1" si="74"/>
        <v>8.5775137848909235</v>
      </c>
      <c r="N318" s="212">
        <f t="shared" ca="1" si="75"/>
        <v>7.6368477630678893</v>
      </c>
      <c r="O318" s="210">
        <f t="shared" ca="1" si="70"/>
        <v>295.43791936297487</v>
      </c>
      <c r="P318" s="212">
        <f t="shared" ca="1" si="76"/>
        <v>0.94066602182303427</v>
      </c>
      <c r="Q318" s="212">
        <f t="shared" ca="1" si="77"/>
        <v>1.9079999999999999</v>
      </c>
      <c r="R318" s="386"/>
      <c r="S318" s="207">
        <f t="shared" si="81"/>
        <v>2006</v>
      </c>
      <c r="T318" s="207">
        <f t="shared" si="82"/>
        <v>11</v>
      </c>
      <c r="U318" s="384" t="str">
        <f t="shared" ca="1" si="78"/>
        <v/>
      </c>
      <c r="V318" s="384" t="str">
        <f t="shared" ca="1" si="79"/>
        <v>|||||||||</v>
      </c>
      <c r="W318" s="385" t="str">
        <f t="shared" ca="1" si="80"/>
        <v>||||</v>
      </c>
    </row>
    <row r="319" spans="1:23">
      <c r="A319" s="207">
        <f>+'Anexo Escurrimiento'!A329</f>
        <v>2006</v>
      </c>
      <c r="B319" s="207">
        <f>+'Anexo Escurrimiento'!B329</f>
        <v>12</v>
      </c>
      <c r="C319" s="208">
        <f>+'Anexo Escurrimiento'!O329</f>
        <v>2.3338028063745155</v>
      </c>
      <c r="D319" s="207">
        <f>+'Anexo Escurrimiento'!D329</f>
        <v>173.5</v>
      </c>
      <c r="E319" s="214">
        <f t="shared" si="86"/>
        <v>179.62</v>
      </c>
      <c r="F319" s="213">
        <f t="shared" si="86"/>
        <v>388</v>
      </c>
      <c r="G319" s="211">
        <f t="shared" si="83"/>
        <v>-6.1200000000000051E-5</v>
      </c>
      <c r="H319" s="212">
        <f>+F319/100000*'Anexo Bal Hídrico'!$G$4</f>
        <v>3.492</v>
      </c>
      <c r="I319" s="212">
        <v>0</v>
      </c>
      <c r="J319" s="212">
        <f t="shared" ca="1" si="71"/>
        <v>6.4786505694424052</v>
      </c>
      <c r="K319" s="212">
        <f t="shared" ca="1" si="72"/>
        <v>265.72608815463036</v>
      </c>
      <c r="L319" s="212">
        <f t="shared" ca="1" si="73"/>
        <v>280.58200375880261</v>
      </c>
      <c r="M319" s="212">
        <f t="shared" ca="1" si="74"/>
        <v>6.212496795758951</v>
      </c>
      <c r="N319" s="212">
        <f t="shared" ca="1" si="75"/>
        <v>6.212496795758951</v>
      </c>
      <c r="O319" s="210">
        <f t="shared" ca="1" si="70"/>
        <v>258.6387251189916</v>
      </c>
      <c r="P319" s="212">
        <f t="shared" ca="1" si="76"/>
        <v>0</v>
      </c>
      <c r="Q319" s="212">
        <f t="shared" ca="1" si="77"/>
        <v>3.492</v>
      </c>
      <c r="R319" s="386"/>
      <c r="S319" s="207">
        <f t="shared" si="81"/>
        <v>2006</v>
      </c>
      <c r="T319" s="207">
        <f t="shared" si="82"/>
        <v>12</v>
      </c>
      <c r="U319" s="384" t="str">
        <f t="shared" ca="1" si="78"/>
        <v/>
      </c>
      <c r="V319" s="384" t="str">
        <f t="shared" ca="1" si="79"/>
        <v>|||||||||||||||||</v>
      </c>
      <c r="W319" s="385" t="str">
        <f t="shared" ca="1" si="80"/>
        <v/>
      </c>
    </row>
    <row r="320" spans="1:23">
      <c r="A320" s="207">
        <f>+'Anexo Escurrimiento'!A330</f>
        <v>2007</v>
      </c>
      <c r="B320" s="207">
        <f>+'Anexo Escurrimiento'!B330</f>
        <v>1</v>
      </c>
      <c r="C320" s="208">
        <f>+'Anexo Escurrimiento'!O330</f>
        <v>0.70150070953023813</v>
      </c>
      <c r="D320" s="207">
        <f>+'Anexo Escurrimiento'!D330</f>
        <v>50.1</v>
      </c>
      <c r="E320" s="214">
        <f t="shared" si="86"/>
        <v>176.89</v>
      </c>
      <c r="F320" s="213">
        <f t="shared" si="86"/>
        <v>318</v>
      </c>
      <c r="G320" s="211">
        <f t="shared" si="83"/>
        <v>-1.2679E-3</v>
      </c>
      <c r="H320" s="212">
        <f>+F320/100000*'Anexo Bal Hídrico'!$G$4</f>
        <v>2.8620000000000001</v>
      </c>
      <c r="I320" s="212">
        <v>0</v>
      </c>
      <c r="J320" s="212">
        <f t="shared" ca="1" si="71"/>
        <v>4.0519975052891892</v>
      </c>
      <c r="K320" s="212">
        <f t="shared" ca="1" si="72"/>
        <v>196.37559061538499</v>
      </c>
      <c r="L320" s="212">
        <f t="shared" ca="1" si="73"/>
        <v>227.50715786718831</v>
      </c>
      <c r="M320" s="212">
        <f t="shared" ca="1" si="74"/>
        <v>3.7028581255833579</v>
      </c>
      <c r="N320" s="212">
        <f t="shared" ca="1" si="75"/>
        <v>3.7028581255833579</v>
      </c>
      <c r="O320" s="210">
        <f t="shared" ca="1" si="70"/>
        <v>185.29736118533373</v>
      </c>
      <c r="P320" s="212">
        <f t="shared" ca="1" si="76"/>
        <v>0</v>
      </c>
      <c r="Q320" s="212">
        <f t="shared" ca="1" si="77"/>
        <v>2.8620000000000001</v>
      </c>
      <c r="R320" s="386"/>
      <c r="S320" s="207">
        <f t="shared" si="81"/>
        <v>2007</v>
      </c>
      <c r="T320" s="207">
        <f t="shared" si="82"/>
        <v>1</v>
      </c>
      <c r="U320" s="384" t="str">
        <f t="shared" ca="1" si="78"/>
        <v/>
      </c>
      <c r="V320" s="384" t="str">
        <f t="shared" ca="1" si="79"/>
        <v>||||||||||||||</v>
      </c>
      <c r="W320" s="385" t="str">
        <f t="shared" ca="1" si="80"/>
        <v/>
      </c>
    </row>
    <row r="321" spans="1:23">
      <c r="A321" s="207">
        <f>+'Anexo Escurrimiento'!A331</f>
        <v>2007</v>
      </c>
      <c r="B321" s="207">
        <f>+'Anexo Escurrimiento'!B331</f>
        <v>2</v>
      </c>
      <c r="C321" s="208">
        <f>+'Anexo Escurrimiento'!O331</f>
        <v>2.4448663837919011</v>
      </c>
      <c r="D321" s="207">
        <f>+'Anexo Escurrimiento'!D331</f>
        <v>213.5</v>
      </c>
      <c r="E321" s="214">
        <f t="shared" si="86"/>
        <v>131.73999999999998</v>
      </c>
      <c r="F321" s="213">
        <f t="shared" si="86"/>
        <v>153</v>
      </c>
      <c r="G321" s="211">
        <f t="shared" si="83"/>
        <v>8.1760000000000014E-4</v>
      </c>
      <c r="H321" s="212">
        <f>+F321/100000*'Anexo Bal Hídrico'!$G$4</f>
        <v>1.377</v>
      </c>
      <c r="I321" s="212">
        <v>0</v>
      </c>
      <c r="J321" s="212">
        <f t="shared" ca="1" si="71"/>
        <v>4.7707245093752588</v>
      </c>
      <c r="K321" s="212">
        <f t="shared" ca="1" si="72"/>
        <v>218.16648858511147</v>
      </c>
      <c r="L321" s="212">
        <f t="shared" ca="1" si="73"/>
        <v>201.73192488522261</v>
      </c>
      <c r="M321" s="212">
        <f t="shared" ca="1" si="74"/>
        <v>4.7481291236749099</v>
      </c>
      <c r="N321" s="212">
        <f t="shared" ca="1" si="75"/>
        <v>4.7481291236749099</v>
      </c>
      <c r="O321" s="210">
        <f t="shared" ca="1" si="70"/>
        <v>217.50003188508205</v>
      </c>
      <c r="P321" s="212">
        <f t="shared" ca="1" si="76"/>
        <v>0</v>
      </c>
      <c r="Q321" s="212">
        <f t="shared" ca="1" si="77"/>
        <v>1.377</v>
      </c>
      <c r="R321" s="386"/>
      <c r="S321" s="207">
        <f t="shared" si="81"/>
        <v>2007</v>
      </c>
      <c r="T321" s="207">
        <f t="shared" si="82"/>
        <v>2</v>
      </c>
      <c r="U321" s="384" t="str">
        <f t="shared" ca="1" si="78"/>
        <v/>
      </c>
      <c r="V321" s="384" t="str">
        <f t="shared" ca="1" si="79"/>
        <v>||||||</v>
      </c>
      <c r="W321" s="385" t="str">
        <f t="shared" ca="1" si="80"/>
        <v/>
      </c>
    </row>
    <row r="322" spans="1:23">
      <c r="A322" s="207">
        <f>+'Anexo Escurrimiento'!A332</f>
        <v>2007</v>
      </c>
      <c r="B322" s="207">
        <f>+'Anexo Escurrimiento'!B332</f>
        <v>3</v>
      </c>
      <c r="C322" s="208">
        <f>+'Anexo Escurrimiento'!O332</f>
        <v>4.4355083714632766</v>
      </c>
      <c r="D322" s="207">
        <f>+'Anexo Escurrimiento'!D332</f>
        <v>277.7</v>
      </c>
      <c r="E322" s="214">
        <f t="shared" si="86"/>
        <v>118.64999999999999</v>
      </c>
      <c r="F322" s="213">
        <f t="shared" si="86"/>
        <v>47</v>
      </c>
      <c r="G322" s="211">
        <f t="shared" si="83"/>
        <v>1.5905000000000001E-3</v>
      </c>
      <c r="H322" s="212">
        <f>+F322/100000*'Anexo Bal Hídrico'!$G$4</f>
        <v>0.42299999999999999</v>
      </c>
      <c r="I322" s="212">
        <v>0</v>
      </c>
      <c r="J322" s="212">
        <f t="shared" ca="1" si="71"/>
        <v>8.7606374951381856</v>
      </c>
      <c r="K322" s="212">
        <f t="shared" ca="1" si="72"/>
        <v>322.76671069621375</v>
      </c>
      <c r="L322" s="212">
        <f t="shared" ca="1" si="73"/>
        <v>270.13337129064791</v>
      </c>
      <c r="M322" s="212">
        <f t="shared" ca="1" si="74"/>
        <v>8.7347033180804221</v>
      </c>
      <c r="N322" s="212">
        <f t="shared" ca="1" si="75"/>
        <v>7.6368477630678893</v>
      </c>
      <c r="O322" s="210">
        <f t="shared" ca="1" si="70"/>
        <v>295.43791936297487</v>
      </c>
      <c r="P322" s="212">
        <f t="shared" ca="1" si="76"/>
        <v>1.0978555550125328</v>
      </c>
      <c r="Q322" s="212">
        <f t="shared" ca="1" si="77"/>
        <v>0.42299999999999999</v>
      </c>
      <c r="R322" s="386"/>
      <c r="S322" s="207">
        <f t="shared" si="81"/>
        <v>2007</v>
      </c>
      <c r="T322" s="207">
        <f t="shared" si="82"/>
        <v>3</v>
      </c>
      <c r="U322" s="384" t="str">
        <f t="shared" ca="1" si="78"/>
        <v/>
      </c>
      <c r="V322" s="384" t="str">
        <f t="shared" ca="1" si="79"/>
        <v>||</v>
      </c>
      <c r="W322" s="385" t="str">
        <f t="shared" ca="1" si="80"/>
        <v>|||||</v>
      </c>
    </row>
    <row r="323" spans="1:23">
      <c r="A323" s="207">
        <f>+'Anexo Escurrimiento'!A333</f>
        <v>2007</v>
      </c>
      <c r="B323" s="207">
        <f>+'Anexo Escurrimiento'!B333</f>
        <v>4</v>
      </c>
      <c r="C323" s="208">
        <f>+'Anexo Escurrimiento'!O333</f>
        <v>2.1559300385696734</v>
      </c>
      <c r="D323" s="207">
        <f>+'Anexo Escurrimiento'!D333</f>
        <v>116.2</v>
      </c>
      <c r="E323" s="214">
        <f t="shared" si="86"/>
        <v>73.149999999999991</v>
      </c>
      <c r="F323" s="213">
        <f t="shared" si="86"/>
        <v>0</v>
      </c>
      <c r="G323" s="211">
        <f t="shared" si="83"/>
        <v>4.3050000000000011E-4</v>
      </c>
      <c r="H323" s="212">
        <f>+F323/100000*'Anexo Bal Hídrico'!$G$4</f>
        <v>0</v>
      </c>
      <c r="I323" s="212">
        <v>0</v>
      </c>
      <c r="J323" s="212">
        <f t="shared" ca="1" si="71"/>
        <v>9.7927778016375626</v>
      </c>
      <c r="K323" s="212">
        <f t="shared" ca="1" si="72"/>
        <v>346.78507545808446</v>
      </c>
      <c r="L323" s="212">
        <f t="shared" ca="1" si="73"/>
        <v>321.11149741052964</v>
      </c>
      <c r="M323" s="212">
        <f t="shared" ca="1" si="74"/>
        <v>9.6677866727566553</v>
      </c>
      <c r="N323" s="212">
        <f t="shared" ca="1" si="75"/>
        <v>7.6368477630678893</v>
      </c>
      <c r="O323" s="210">
        <f t="shared" ca="1" si="70"/>
        <v>295.43791936297487</v>
      </c>
      <c r="P323" s="212">
        <f t="shared" ca="1" si="76"/>
        <v>2.030938909688766</v>
      </c>
      <c r="Q323" s="212">
        <f t="shared" ca="1" si="77"/>
        <v>0</v>
      </c>
      <c r="R323" s="386"/>
      <c r="S323" s="207">
        <f t="shared" si="81"/>
        <v>2007</v>
      </c>
      <c r="T323" s="207">
        <f t="shared" si="82"/>
        <v>4</v>
      </c>
      <c r="U323" s="384" t="str">
        <f t="shared" ca="1" si="78"/>
        <v/>
      </c>
      <c r="V323" s="384" t="str">
        <f t="shared" ca="1" si="79"/>
        <v/>
      </c>
      <c r="W323" s="385" t="str">
        <f t="shared" ca="1" si="80"/>
        <v>||||||||||</v>
      </c>
    </row>
    <row r="324" spans="1:23">
      <c r="A324" s="207">
        <f>+'Anexo Escurrimiento'!A334</f>
        <v>2007</v>
      </c>
      <c r="B324" s="207">
        <f>+'Anexo Escurrimiento'!B334</f>
        <v>5</v>
      </c>
      <c r="C324" s="208">
        <f>+'Anexo Escurrimiento'!O334</f>
        <v>0.56471327673362115</v>
      </c>
      <c r="D324" s="207">
        <f>+'Anexo Escurrimiento'!D334</f>
        <v>24.2</v>
      </c>
      <c r="E324" s="214">
        <f t="shared" si="86"/>
        <v>51.24</v>
      </c>
      <c r="F324" s="213">
        <f t="shared" si="86"/>
        <v>0</v>
      </c>
      <c r="G324" s="211">
        <f t="shared" si="83"/>
        <v>-2.7040000000000001E-4</v>
      </c>
      <c r="H324" s="212">
        <f>+F324/100000*'Anexo Bal Hídrico'!$G$4</f>
        <v>0</v>
      </c>
      <c r="I324" s="212">
        <v>0</v>
      </c>
      <c r="J324" s="212">
        <f t="shared" ca="1" si="71"/>
        <v>8.2015610398015113</v>
      </c>
      <c r="K324" s="212">
        <f t="shared" ca="1" si="72"/>
        <v>309.33745734650859</v>
      </c>
      <c r="L324" s="212">
        <f t="shared" ca="1" si="73"/>
        <v>302.38768835474173</v>
      </c>
      <c r="M324" s="212">
        <f t="shared" ca="1" si="74"/>
        <v>8.0548667615948339</v>
      </c>
      <c r="N324" s="212">
        <f t="shared" ca="1" si="75"/>
        <v>7.6368477630678893</v>
      </c>
      <c r="O324" s="210">
        <f t="shared" ca="1" si="70"/>
        <v>295.43791936297487</v>
      </c>
      <c r="P324" s="212">
        <f t="shared" ca="1" si="76"/>
        <v>0.41801899852694469</v>
      </c>
      <c r="Q324" s="212">
        <f t="shared" ca="1" si="77"/>
        <v>0</v>
      </c>
      <c r="R324" s="386"/>
      <c r="S324" s="207">
        <f t="shared" si="81"/>
        <v>2007</v>
      </c>
      <c r="T324" s="207">
        <f t="shared" si="82"/>
        <v>5</v>
      </c>
      <c r="U324" s="384" t="str">
        <f t="shared" ca="1" si="78"/>
        <v/>
      </c>
      <c r="V324" s="384" t="str">
        <f t="shared" ca="1" si="79"/>
        <v/>
      </c>
      <c r="W324" s="385" t="str">
        <f t="shared" ca="1" si="80"/>
        <v>||</v>
      </c>
    </row>
    <row r="325" spans="1:23">
      <c r="A325" s="207">
        <f>+'Anexo Escurrimiento'!A335</f>
        <v>2007</v>
      </c>
      <c r="B325" s="207">
        <f>+'Anexo Escurrimiento'!B335</f>
        <v>6</v>
      </c>
      <c r="C325" s="208">
        <f>+'Anexo Escurrimiento'!O335</f>
        <v>0.75375936521567566</v>
      </c>
      <c r="D325" s="207">
        <f>+'Anexo Escurrimiento'!D335</f>
        <v>67.599999999999994</v>
      </c>
      <c r="E325" s="214">
        <f t="shared" si="86"/>
        <v>41.019999999999996</v>
      </c>
      <c r="F325" s="213">
        <f t="shared" si="86"/>
        <v>0</v>
      </c>
      <c r="G325" s="211">
        <f t="shared" si="83"/>
        <v>2.6580000000000001E-4</v>
      </c>
      <c r="H325" s="212">
        <f>+F325/100000*'Anexo Bal Hídrico'!$G$4</f>
        <v>0</v>
      </c>
      <c r="I325" s="212">
        <v>0</v>
      </c>
      <c r="J325" s="212">
        <f t="shared" ca="1" si="71"/>
        <v>8.3906071282835644</v>
      </c>
      <c r="K325" s="212">
        <f t="shared" ca="1" si="72"/>
        <v>313.91382480143722</v>
      </c>
      <c r="L325" s="212">
        <f t="shared" ca="1" si="73"/>
        <v>304.67587208220607</v>
      </c>
      <c r="M325" s="212">
        <f t="shared" ca="1" si="74"/>
        <v>8.3842697119890168</v>
      </c>
      <c r="N325" s="212">
        <f t="shared" ca="1" si="75"/>
        <v>7.6368477630678893</v>
      </c>
      <c r="O325" s="210">
        <f t="shared" ca="1" si="70"/>
        <v>295.43791936297487</v>
      </c>
      <c r="P325" s="212">
        <f t="shared" ca="1" si="76"/>
        <v>0.74742194892112757</v>
      </c>
      <c r="Q325" s="212">
        <f t="shared" ca="1" si="77"/>
        <v>0</v>
      </c>
      <c r="R325" s="386"/>
      <c r="S325" s="207">
        <f t="shared" si="81"/>
        <v>2007</v>
      </c>
      <c r="T325" s="207">
        <f t="shared" si="82"/>
        <v>6</v>
      </c>
      <c r="U325" s="384" t="str">
        <f t="shared" ca="1" si="78"/>
        <v/>
      </c>
      <c r="V325" s="384" t="str">
        <f t="shared" ca="1" si="79"/>
        <v/>
      </c>
      <c r="W325" s="385" t="str">
        <f t="shared" ca="1" si="80"/>
        <v>|||</v>
      </c>
    </row>
    <row r="326" spans="1:23">
      <c r="A326" s="207">
        <f>+'Anexo Escurrimiento'!A336</f>
        <v>2007</v>
      </c>
      <c r="B326" s="207">
        <f>+'Anexo Escurrimiento'!B336</f>
        <v>7</v>
      </c>
      <c r="C326" s="208">
        <f>+'Anexo Escurrimiento'!O336</f>
        <v>0.52477884448659573</v>
      </c>
      <c r="D326" s="207">
        <f>+'Anexo Escurrimiento'!D336</f>
        <v>40.6</v>
      </c>
      <c r="E326" s="214">
        <f t="shared" si="86"/>
        <v>50.819999999999993</v>
      </c>
      <c r="F326" s="213">
        <f t="shared" si="86"/>
        <v>0</v>
      </c>
      <c r="G326" s="211">
        <f t="shared" si="83"/>
        <v>-1.0219999999999992E-4</v>
      </c>
      <c r="H326" s="212">
        <f>+F326/100000*'Anexo Bal Hídrico'!$G$4</f>
        <v>0</v>
      </c>
      <c r="I326" s="212">
        <v>0</v>
      </c>
      <c r="J326" s="212">
        <f t="shared" ca="1" si="71"/>
        <v>8.161626607554485</v>
      </c>
      <c r="K326" s="212">
        <f t="shared" ca="1" si="72"/>
        <v>308.36595853215005</v>
      </c>
      <c r="L326" s="212">
        <f t="shared" ca="1" si="73"/>
        <v>301.90193894756248</v>
      </c>
      <c r="M326" s="212">
        <f t="shared" ca="1" si="74"/>
        <v>8.0705320200141326</v>
      </c>
      <c r="N326" s="212">
        <f t="shared" ca="1" si="75"/>
        <v>7.6368477630678893</v>
      </c>
      <c r="O326" s="210">
        <f t="shared" ca="1" si="70"/>
        <v>295.43791936297487</v>
      </c>
      <c r="P326" s="212">
        <f t="shared" ca="1" si="76"/>
        <v>0.43368425694624335</v>
      </c>
      <c r="Q326" s="212">
        <f t="shared" ca="1" si="77"/>
        <v>0</v>
      </c>
      <c r="R326" s="386"/>
      <c r="S326" s="207">
        <f t="shared" si="81"/>
        <v>2007</v>
      </c>
      <c r="T326" s="207">
        <f t="shared" si="82"/>
        <v>7</v>
      </c>
      <c r="U326" s="384" t="str">
        <f t="shared" ca="1" si="78"/>
        <v/>
      </c>
      <c r="V326" s="384" t="str">
        <f t="shared" ca="1" si="79"/>
        <v/>
      </c>
      <c r="W326" s="385" t="str">
        <f t="shared" ca="1" si="80"/>
        <v>||</v>
      </c>
    </row>
    <row r="327" spans="1:23">
      <c r="A327" s="207">
        <f>+'Anexo Escurrimiento'!A337</f>
        <v>2007</v>
      </c>
      <c r="B327" s="207">
        <f>+'Anexo Escurrimiento'!B337</f>
        <v>8</v>
      </c>
      <c r="C327" s="208">
        <f>+'Anexo Escurrimiento'!O337</f>
        <v>1.3117120342468203</v>
      </c>
      <c r="D327" s="207">
        <f>+'Anexo Escurrimiento'!D337</f>
        <v>109.3</v>
      </c>
      <c r="E327" s="214">
        <f t="shared" si="86"/>
        <v>72.449999999999989</v>
      </c>
      <c r="F327" s="213">
        <f t="shared" si="86"/>
        <v>0</v>
      </c>
      <c r="G327" s="211">
        <f t="shared" si="83"/>
        <v>3.6850000000000007E-4</v>
      </c>
      <c r="H327" s="212">
        <f>+F327/100000*'Anexo Bal Hídrico'!$G$4</f>
        <v>0</v>
      </c>
      <c r="I327" s="212">
        <v>0</v>
      </c>
      <c r="J327" s="212">
        <f t="shared" ca="1" si="71"/>
        <v>8.9485597973147097</v>
      </c>
      <c r="K327" s="212">
        <f t="shared" ca="1" si="72"/>
        <v>327.21169335415118</v>
      </c>
      <c r="L327" s="212">
        <f t="shared" ca="1" si="73"/>
        <v>311.32480635856302</v>
      </c>
      <c r="M327" s="212">
        <f t="shared" ca="1" si="74"/>
        <v>8.9080097964197851</v>
      </c>
      <c r="N327" s="212">
        <f t="shared" ca="1" si="75"/>
        <v>7.6368477630678893</v>
      </c>
      <c r="O327" s="210">
        <f t="shared" ref="O327:O390" ca="1" si="87">+g_*N327^h_</f>
        <v>295.43791936297487</v>
      </c>
      <c r="P327" s="212">
        <f t="shared" ca="1" si="76"/>
        <v>1.2711620333518958</v>
      </c>
      <c r="Q327" s="212">
        <f t="shared" ca="1" si="77"/>
        <v>0</v>
      </c>
      <c r="R327" s="386"/>
      <c r="S327" s="207">
        <f t="shared" si="81"/>
        <v>2007</v>
      </c>
      <c r="T327" s="207">
        <f t="shared" si="82"/>
        <v>8</v>
      </c>
      <c r="U327" s="384" t="str">
        <f t="shared" ca="1" si="78"/>
        <v/>
      </c>
      <c r="V327" s="384" t="str">
        <f t="shared" ca="1" si="79"/>
        <v/>
      </c>
      <c r="W327" s="385" t="str">
        <f t="shared" ca="1" si="80"/>
        <v>||||||</v>
      </c>
    </row>
    <row r="328" spans="1:23">
      <c r="A328" s="207">
        <f>+'Anexo Escurrimiento'!A338</f>
        <v>2007</v>
      </c>
      <c r="B328" s="207">
        <f>+'Anexo Escurrimiento'!B338</f>
        <v>9</v>
      </c>
      <c r="C328" s="208">
        <f>+'Anexo Escurrimiento'!O338</f>
        <v>1.5556878831701981</v>
      </c>
      <c r="D328" s="207">
        <f>+'Anexo Escurrimiento'!D338</f>
        <v>116.6</v>
      </c>
      <c r="E328" s="214">
        <f t="shared" si="86"/>
        <v>85.89</v>
      </c>
      <c r="F328" s="213">
        <f t="shared" si="86"/>
        <v>0</v>
      </c>
      <c r="G328" s="211">
        <f t="shared" si="83"/>
        <v>3.0709999999999993E-4</v>
      </c>
      <c r="H328" s="212">
        <f>+F328/100000*'Anexo Bal Hídrico'!$G$4</f>
        <v>0</v>
      </c>
      <c r="I328" s="212">
        <v>0</v>
      </c>
      <c r="J328" s="212">
        <f t="shared" ref="J328:J391" ca="1" si="88">+N327+C328-H328-I328</f>
        <v>9.1925356462380883</v>
      </c>
      <c r="K328" s="212">
        <f t="shared" ref="K328:K391" ca="1" si="89">+IF(J328&lt;0,0,g_*J328^h_)</f>
        <v>332.93332845084893</v>
      </c>
      <c r="L328" s="212">
        <f t="shared" ref="L328:L391" ca="1" si="90">+(K328+O327)/2</f>
        <v>314.18562390691193</v>
      </c>
      <c r="M328" s="212">
        <f t="shared" ref="M328:M391" ca="1" si="91">+N327+C328*(Ac-L328)/Ac+G328*L328-H328-I328</f>
        <v>9.1031761318804882</v>
      </c>
      <c r="N328" s="212">
        <f t="shared" ref="N328:N391" ca="1" si="92">+IF(M328&gt;VolHv,VolHv,IF(M328&lt;VolHt,VolHt,M328))</f>
        <v>7.6368477630678893</v>
      </c>
      <c r="O328" s="210">
        <f t="shared" ca="1" si="87"/>
        <v>295.43791936297487</v>
      </c>
      <c r="P328" s="212">
        <f t="shared" ref="P328:P367" ca="1" si="93">+IF(M328&gt;VolHv,M328-VolHv,0)</f>
        <v>1.466328368812599</v>
      </c>
      <c r="Q328" s="212">
        <f t="shared" ref="Q328:Q367" ca="1" si="94">+IF(M328&lt;VolHt,IF(H328&lt;(VolHt-M328),0,H328-(VolHt-M328)),H328)</f>
        <v>0</v>
      </c>
      <c r="R328" s="386"/>
      <c r="S328" s="207">
        <f t="shared" si="81"/>
        <v>2007</v>
      </c>
      <c r="T328" s="207">
        <f t="shared" si="82"/>
        <v>9</v>
      </c>
      <c r="U328" s="384" t="str">
        <f t="shared" ref="U328:U367" ca="1" si="95">+REPT("|",(H328-Q328)*$W$4)</f>
        <v/>
      </c>
      <c r="V328" s="384" t="str">
        <f t="shared" ref="V328:V367" ca="1" si="96">+REPT("|",Q328*$W$4)</f>
        <v/>
      </c>
      <c r="W328" s="385" t="str">
        <f t="shared" ref="W328:W367" ca="1" si="97">+REPT("|",P328*$W$4)</f>
        <v>|||||||</v>
      </c>
    </row>
    <row r="329" spans="1:23">
      <c r="A329" s="207">
        <f>+'Anexo Escurrimiento'!A339</f>
        <v>2007</v>
      </c>
      <c r="B329" s="207">
        <f>+'Anexo Escurrimiento'!B339</f>
        <v>10</v>
      </c>
      <c r="C329" s="208">
        <f>+'Anexo Escurrimiento'!O339</f>
        <v>3.4835128703473868</v>
      </c>
      <c r="D329" s="207">
        <f>+'Anexo Escurrimiento'!D339</f>
        <v>238.6</v>
      </c>
      <c r="E329" s="214">
        <f t="shared" si="86"/>
        <v>114.86999999999999</v>
      </c>
      <c r="F329" s="213">
        <f t="shared" si="86"/>
        <v>59</v>
      </c>
      <c r="G329" s="211">
        <f t="shared" si="83"/>
        <v>1.2373E-3</v>
      </c>
      <c r="H329" s="212">
        <f>+F329/100000*'Anexo Bal Hídrico'!$G$4</f>
        <v>0.53100000000000003</v>
      </c>
      <c r="I329" s="212">
        <v>0</v>
      </c>
      <c r="J329" s="212">
        <f t="shared" ca="1" si="88"/>
        <v>10.589360633415275</v>
      </c>
      <c r="K329" s="212">
        <f t="shared" ca="1" si="89"/>
        <v>364.71030806107046</v>
      </c>
      <c r="L329" s="212">
        <f t="shared" ca="1" si="90"/>
        <v>330.07411371202267</v>
      </c>
      <c r="M329" s="212">
        <f t="shared" ca="1" si="91"/>
        <v>10.560568397701147</v>
      </c>
      <c r="N329" s="212">
        <f t="shared" ca="1" si="92"/>
        <v>7.6368477630678893</v>
      </c>
      <c r="O329" s="210">
        <f t="shared" ca="1" si="87"/>
        <v>295.43791936297487</v>
      </c>
      <c r="P329" s="212">
        <f t="shared" ca="1" si="93"/>
        <v>2.9237206346332574</v>
      </c>
      <c r="Q329" s="212">
        <f t="shared" ca="1" si="94"/>
        <v>0.53100000000000003</v>
      </c>
      <c r="R329" s="386"/>
      <c r="S329" s="207">
        <f t="shared" ref="S329:S367" si="98">+A329</f>
        <v>2007</v>
      </c>
      <c r="T329" s="207">
        <f t="shared" ref="T329:T367" si="99">+B329</f>
        <v>10</v>
      </c>
      <c r="U329" s="384" t="str">
        <f t="shared" ca="1" si="95"/>
        <v/>
      </c>
      <c r="V329" s="384" t="str">
        <f t="shared" ca="1" si="96"/>
        <v>||</v>
      </c>
      <c r="W329" s="385" t="str">
        <f t="shared" ca="1" si="97"/>
        <v>||||||||||||||</v>
      </c>
    </row>
    <row r="330" spans="1:23">
      <c r="A330" s="207">
        <f>+'Anexo Escurrimiento'!A340</f>
        <v>2007</v>
      </c>
      <c r="B330" s="207">
        <f>+'Anexo Escurrimiento'!B340</f>
        <v>11</v>
      </c>
      <c r="C330" s="208">
        <f>+'Anexo Escurrimiento'!O340</f>
        <v>0.89744338873678209</v>
      </c>
      <c r="D330" s="207">
        <f>+'Anexo Escurrimiento'!D340</f>
        <v>29.7</v>
      </c>
      <c r="E330" s="214">
        <f t="shared" si="86"/>
        <v>144.06</v>
      </c>
      <c r="F330" s="213">
        <f t="shared" si="86"/>
        <v>212</v>
      </c>
      <c r="G330" s="211">
        <f t="shared" si="83"/>
        <v>-1.1436E-3</v>
      </c>
      <c r="H330" s="212">
        <f>+F330/100000*'Anexo Bal Hídrico'!$G$4</f>
        <v>1.9079999999999999</v>
      </c>
      <c r="I330" s="212">
        <v>0</v>
      </c>
      <c r="J330" s="212">
        <f t="shared" ca="1" si="88"/>
        <v>6.6262911518046721</v>
      </c>
      <c r="K330" s="212">
        <f t="shared" ca="1" si="89"/>
        <v>269.6128902602498</v>
      </c>
      <c r="L330" s="212">
        <f t="shared" ca="1" si="90"/>
        <v>282.52540481161236</v>
      </c>
      <c r="M330" s="212">
        <f t="shared" ca="1" si="91"/>
        <v>6.2067880430832663</v>
      </c>
      <c r="N330" s="212">
        <f t="shared" ca="1" si="92"/>
        <v>6.2067880430832663</v>
      </c>
      <c r="O330" s="210">
        <f t="shared" ca="1" si="87"/>
        <v>258.48553818018581</v>
      </c>
      <c r="P330" s="212">
        <f t="shared" ca="1" si="93"/>
        <v>0</v>
      </c>
      <c r="Q330" s="212">
        <f t="shared" ca="1" si="94"/>
        <v>1.9079999999999999</v>
      </c>
      <c r="R330" s="386"/>
      <c r="S330" s="207">
        <f t="shared" si="98"/>
        <v>2007</v>
      </c>
      <c r="T330" s="207">
        <f t="shared" si="99"/>
        <v>11</v>
      </c>
      <c r="U330" s="384" t="str">
        <f t="shared" ca="1" si="95"/>
        <v/>
      </c>
      <c r="V330" s="384" t="str">
        <f t="shared" ca="1" si="96"/>
        <v>|||||||||</v>
      </c>
      <c r="W330" s="385" t="str">
        <f t="shared" ca="1" si="97"/>
        <v/>
      </c>
    </row>
    <row r="331" spans="1:23">
      <c r="A331" s="207">
        <f>+'Anexo Escurrimiento'!A341</f>
        <v>2007</v>
      </c>
      <c r="B331" s="207">
        <f>+'Anexo Escurrimiento'!B341</f>
        <v>12</v>
      </c>
      <c r="C331" s="208">
        <f>+'Anexo Escurrimiento'!O341</f>
        <v>0.38543698511258301</v>
      </c>
      <c r="D331" s="207">
        <f>+'Anexo Escurrimiento'!D341</f>
        <v>68.8</v>
      </c>
      <c r="E331" s="214">
        <f t="shared" si="86"/>
        <v>179.62</v>
      </c>
      <c r="F331" s="213">
        <f t="shared" si="86"/>
        <v>388</v>
      </c>
      <c r="G331" s="211">
        <f t="shared" si="83"/>
        <v>-1.1082000000000002E-3</v>
      </c>
      <c r="H331" s="212">
        <f>+F331/100000*'Anexo Bal Hídrico'!$G$4</f>
        <v>3.492</v>
      </c>
      <c r="I331" s="212">
        <v>0</v>
      </c>
      <c r="J331" s="212">
        <f t="shared" ca="1" si="88"/>
        <v>3.1002250281958492</v>
      </c>
      <c r="K331" s="212">
        <f t="shared" ca="1" si="89"/>
        <v>165.25502957864086</v>
      </c>
      <c r="L331" s="212">
        <f t="shared" ca="1" si="90"/>
        <v>211.87028387941334</v>
      </c>
      <c r="M331" s="212">
        <f t="shared" ca="1" si="91"/>
        <v>2.8343799448275169</v>
      </c>
      <c r="N331" s="212">
        <f t="shared" ca="1" si="92"/>
        <v>2.8343799448275169</v>
      </c>
      <c r="O331" s="210">
        <f t="shared" ca="1" si="87"/>
        <v>155.9779958727398</v>
      </c>
      <c r="P331" s="212">
        <f t="shared" ca="1" si="93"/>
        <v>0</v>
      </c>
      <c r="Q331" s="212">
        <f t="shared" ca="1" si="94"/>
        <v>3.492</v>
      </c>
      <c r="R331" s="386"/>
      <c r="S331" s="207">
        <f t="shared" si="98"/>
        <v>2007</v>
      </c>
      <c r="T331" s="207">
        <f t="shared" si="99"/>
        <v>12</v>
      </c>
      <c r="U331" s="384" t="str">
        <f t="shared" ca="1" si="95"/>
        <v/>
      </c>
      <c r="V331" s="384" t="str">
        <f t="shared" ca="1" si="96"/>
        <v>|||||||||||||||||</v>
      </c>
      <c r="W331" s="385" t="str">
        <f t="shared" ca="1" si="97"/>
        <v/>
      </c>
    </row>
    <row r="332" spans="1:23">
      <c r="A332" s="207">
        <f>+'Anexo Escurrimiento'!A342</f>
        <v>2008</v>
      </c>
      <c r="B332" s="207">
        <f>+'Anexo Escurrimiento'!B342</f>
        <v>1</v>
      </c>
      <c r="C332" s="208">
        <f>+'Anexo Escurrimiento'!O342</f>
        <v>0.33759697609359379</v>
      </c>
      <c r="D332" s="207">
        <f>+'Anexo Escurrimiento'!D342</f>
        <v>61.8</v>
      </c>
      <c r="E332" s="214">
        <f t="shared" si="86"/>
        <v>176.89</v>
      </c>
      <c r="F332" s="213">
        <f t="shared" si="86"/>
        <v>318</v>
      </c>
      <c r="G332" s="211">
        <f t="shared" si="83"/>
        <v>-1.1508999999999998E-3</v>
      </c>
      <c r="H332" s="212">
        <f>+F332/100000*'Anexo Bal Hídrico'!$G$4</f>
        <v>2.8620000000000001</v>
      </c>
      <c r="I332" s="212">
        <v>0</v>
      </c>
      <c r="J332" s="212">
        <f t="shared" ca="1" si="88"/>
        <v>0.30997692092111073</v>
      </c>
      <c r="K332" s="212">
        <f t="shared" ca="1" si="89"/>
        <v>37.469165055291107</v>
      </c>
      <c r="L332" s="212">
        <f t="shared" ca="1" si="90"/>
        <v>96.723580464015456</v>
      </c>
      <c r="M332" s="212">
        <f t="shared" ca="1" si="91"/>
        <v>0.18624193913024767</v>
      </c>
      <c r="N332" s="212">
        <f t="shared" ca="1" si="92"/>
        <v>0.18624193913024767</v>
      </c>
      <c r="O332" s="210">
        <f t="shared" ca="1" si="87"/>
        <v>26.983020530083536</v>
      </c>
      <c r="P332" s="212">
        <f t="shared" ca="1" si="93"/>
        <v>0</v>
      </c>
      <c r="Q332" s="212">
        <f t="shared" ca="1" si="94"/>
        <v>2.8620000000000001</v>
      </c>
      <c r="R332" s="386"/>
      <c r="S332" s="207">
        <f t="shared" si="98"/>
        <v>2008</v>
      </c>
      <c r="T332" s="207">
        <f t="shared" si="99"/>
        <v>1</v>
      </c>
      <c r="U332" s="384" t="str">
        <f t="shared" ca="1" si="95"/>
        <v/>
      </c>
      <c r="V332" s="384" t="str">
        <f t="shared" ca="1" si="96"/>
        <v>||||||||||||||</v>
      </c>
      <c r="W332" s="385" t="str">
        <f t="shared" ca="1" si="97"/>
        <v/>
      </c>
    </row>
    <row r="333" spans="1:23">
      <c r="A333" s="207">
        <f>+'Anexo Escurrimiento'!A343</f>
        <v>2008</v>
      </c>
      <c r="B333" s="207">
        <f>+'Anexo Escurrimiento'!B343</f>
        <v>2</v>
      </c>
      <c r="C333" s="208">
        <f>+'Anexo Escurrimiento'!O343</f>
        <v>0.55685887798099354</v>
      </c>
      <c r="D333" s="207">
        <f>+'Anexo Escurrimiento'!D343</f>
        <v>82.8</v>
      </c>
      <c r="E333" s="214">
        <f t="shared" ref="E333:F352" si="100">+E321</f>
        <v>131.73999999999998</v>
      </c>
      <c r="F333" s="213">
        <f t="shared" si="100"/>
        <v>153</v>
      </c>
      <c r="G333" s="211">
        <f t="shared" si="83"/>
        <v>-4.8939999999999986E-4</v>
      </c>
      <c r="H333" s="212">
        <f>+F333/100000*'Anexo Bal Hídrico'!$G$4</f>
        <v>1.377</v>
      </c>
      <c r="I333" s="212">
        <v>0</v>
      </c>
      <c r="J333" s="212">
        <f t="shared" ca="1" si="88"/>
        <v>-0.63389918288875879</v>
      </c>
      <c r="K333" s="212">
        <f t="shared" ca="1" si="89"/>
        <v>0</v>
      </c>
      <c r="L333" s="212">
        <f t="shared" ca="1" si="90"/>
        <v>13.491510265041768</v>
      </c>
      <c r="M333" s="212">
        <f t="shared" ca="1" si="91"/>
        <v>-0.6433585315365995</v>
      </c>
      <c r="N333" s="212">
        <f t="shared" ca="1" si="92"/>
        <v>0.14364725252241328</v>
      </c>
      <c r="O333" s="210">
        <f t="shared" ca="1" si="87"/>
        <v>22.824988701237128</v>
      </c>
      <c r="P333" s="212">
        <f t="shared" ca="1" si="93"/>
        <v>0</v>
      </c>
      <c r="Q333" s="212">
        <f t="shared" ca="1" si="94"/>
        <v>0.58999421594098722</v>
      </c>
      <c r="R333" s="386"/>
      <c r="S333" s="207">
        <f t="shared" si="98"/>
        <v>2008</v>
      </c>
      <c r="T333" s="207">
        <f t="shared" si="99"/>
        <v>2</v>
      </c>
      <c r="U333" s="384" t="str">
        <f t="shared" ca="1" si="95"/>
        <v>|||</v>
      </c>
      <c r="V333" s="384" t="str">
        <f t="shared" ca="1" si="96"/>
        <v>||</v>
      </c>
      <c r="W333" s="385" t="str">
        <f t="shared" ca="1" si="97"/>
        <v/>
      </c>
    </row>
    <row r="334" spans="1:23">
      <c r="A334" s="207">
        <f>+'Anexo Escurrimiento'!A344</f>
        <v>2008</v>
      </c>
      <c r="B334" s="207">
        <f>+'Anexo Escurrimiento'!B344</f>
        <v>3</v>
      </c>
      <c r="C334" s="208">
        <f>+'Anexo Escurrimiento'!O344</f>
        <v>0.61740377875672092</v>
      </c>
      <c r="D334" s="207">
        <f>+'Anexo Escurrimiento'!D344</f>
        <v>75.3</v>
      </c>
      <c r="E334" s="214">
        <f t="shared" si="100"/>
        <v>118.64999999999999</v>
      </c>
      <c r="F334" s="213">
        <f t="shared" si="100"/>
        <v>47</v>
      </c>
      <c r="G334" s="211">
        <f t="shared" si="83"/>
        <v>-4.3349999999999997E-4</v>
      </c>
      <c r="H334" s="212">
        <f>+F334/100000*'Anexo Bal Hídrico'!$G$4</f>
        <v>0.42299999999999999</v>
      </c>
      <c r="I334" s="212">
        <v>0</v>
      </c>
      <c r="J334" s="212">
        <f t="shared" ca="1" si="88"/>
        <v>0.33805103127913422</v>
      </c>
      <c r="K334" s="212">
        <f t="shared" ca="1" si="89"/>
        <v>39.622241038995789</v>
      </c>
      <c r="L334" s="212">
        <f t="shared" ca="1" si="90"/>
        <v>31.223614870116457</v>
      </c>
      <c r="M334" s="212">
        <f t="shared" ca="1" si="91"/>
        <v>0.31718571673968604</v>
      </c>
      <c r="N334" s="212">
        <f t="shared" ca="1" si="92"/>
        <v>0.31718571673968604</v>
      </c>
      <c r="O334" s="210">
        <f t="shared" ca="1" si="87"/>
        <v>38.028418860808927</v>
      </c>
      <c r="P334" s="212">
        <f t="shared" ca="1" si="93"/>
        <v>0</v>
      </c>
      <c r="Q334" s="212">
        <f t="shared" ca="1" si="94"/>
        <v>0.42299999999999999</v>
      </c>
      <c r="R334" s="386"/>
      <c r="S334" s="207">
        <f t="shared" si="98"/>
        <v>2008</v>
      </c>
      <c r="T334" s="207">
        <f t="shared" si="99"/>
        <v>3</v>
      </c>
      <c r="U334" s="384" t="str">
        <f t="shared" ca="1" si="95"/>
        <v/>
      </c>
      <c r="V334" s="384" t="str">
        <f t="shared" ca="1" si="96"/>
        <v>||</v>
      </c>
      <c r="W334" s="385" t="str">
        <f t="shared" ca="1" si="97"/>
        <v/>
      </c>
    </row>
    <row r="335" spans="1:23">
      <c r="A335" s="207">
        <f>+'Anexo Escurrimiento'!A345</f>
        <v>2008</v>
      </c>
      <c r="B335" s="207">
        <f>+'Anexo Escurrimiento'!B345</f>
        <v>4</v>
      </c>
      <c r="C335" s="208">
        <f>+'Anexo Escurrimiento'!O345</f>
        <v>1.5521319418630715</v>
      </c>
      <c r="D335" s="207">
        <f>+'Anexo Escurrimiento'!D345</f>
        <v>128.1</v>
      </c>
      <c r="E335" s="214">
        <f t="shared" si="100"/>
        <v>73.149999999999991</v>
      </c>
      <c r="F335" s="213">
        <f t="shared" si="100"/>
        <v>0</v>
      </c>
      <c r="G335" s="211">
        <f t="shared" si="83"/>
        <v>5.4950000000000008E-4</v>
      </c>
      <c r="H335" s="212">
        <f>+F335/100000*'Anexo Bal Hídrico'!$G$4</f>
        <v>0</v>
      </c>
      <c r="I335" s="212">
        <v>0</v>
      </c>
      <c r="J335" s="212">
        <f t="shared" ca="1" si="88"/>
        <v>1.8693176586027576</v>
      </c>
      <c r="K335" s="212">
        <f t="shared" ca="1" si="89"/>
        <v>119.27922514027343</v>
      </c>
      <c r="L335" s="212">
        <f t="shared" ca="1" si="90"/>
        <v>78.653822000541169</v>
      </c>
      <c r="M335" s="212">
        <f t="shared" ca="1" si="91"/>
        <v>1.8661192609872441</v>
      </c>
      <c r="N335" s="212">
        <f t="shared" ca="1" si="92"/>
        <v>1.8661192609872441</v>
      </c>
      <c r="O335" s="210">
        <f t="shared" ca="1" si="87"/>
        <v>119.14766373485141</v>
      </c>
      <c r="P335" s="212">
        <f t="shared" ca="1" si="93"/>
        <v>0</v>
      </c>
      <c r="Q335" s="212">
        <f t="shared" ca="1" si="94"/>
        <v>0</v>
      </c>
      <c r="R335" s="386"/>
      <c r="S335" s="207">
        <f t="shared" si="98"/>
        <v>2008</v>
      </c>
      <c r="T335" s="207">
        <f t="shared" si="99"/>
        <v>4</v>
      </c>
      <c r="U335" s="384" t="str">
        <f t="shared" ca="1" si="95"/>
        <v/>
      </c>
      <c r="V335" s="384" t="str">
        <f t="shared" ca="1" si="96"/>
        <v/>
      </c>
      <c r="W335" s="385" t="str">
        <f t="shared" ca="1" si="97"/>
        <v/>
      </c>
    </row>
    <row r="336" spans="1:23">
      <c r="A336" s="207">
        <f>+'Anexo Escurrimiento'!A346</f>
        <v>2008</v>
      </c>
      <c r="B336" s="207">
        <f>+'Anexo Escurrimiento'!B346</f>
        <v>5</v>
      </c>
      <c r="C336" s="208">
        <f>+'Anexo Escurrimiento'!O346</f>
        <v>0.83967172951887992</v>
      </c>
      <c r="D336" s="207">
        <f>+'Anexo Escurrimiento'!D346</f>
        <v>52.5</v>
      </c>
      <c r="E336" s="214">
        <f t="shared" si="100"/>
        <v>51.24</v>
      </c>
      <c r="F336" s="213">
        <f t="shared" si="100"/>
        <v>0</v>
      </c>
      <c r="G336" s="211">
        <f t="shared" ref="G336:G367" si="101">+(D336-E336)/100000</f>
        <v>1.2599999999999979E-5</v>
      </c>
      <c r="H336" s="212">
        <f>+F336/100000*'Anexo Bal Hídrico'!$G$4</f>
        <v>0</v>
      </c>
      <c r="I336" s="212">
        <v>0</v>
      </c>
      <c r="J336" s="212">
        <f t="shared" ca="1" si="88"/>
        <v>2.7057909905061241</v>
      </c>
      <c r="K336" s="212">
        <f t="shared" ca="1" si="89"/>
        <v>151.38016470467022</v>
      </c>
      <c r="L336" s="212">
        <f t="shared" ca="1" si="90"/>
        <v>135.26391421976081</v>
      </c>
      <c r="M336" s="212">
        <f t="shared" ca="1" si="91"/>
        <v>2.6643100364357872</v>
      </c>
      <c r="N336" s="212">
        <f t="shared" ca="1" si="92"/>
        <v>2.6643100364357872</v>
      </c>
      <c r="O336" s="210">
        <f t="shared" ca="1" si="87"/>
        <v>149.88049396983149</v>
      </c>
      <c r="P336" s="212">
        <f t="shared" ca="1" si="93"/>
        <v>0</v>
      </c>
      <c r="Q336" s="212">
        <f t="shared" ca="1" si="94"/>
        <v>0</v>
      </c>
      <c r="R336" s="386"/>
      <c r="S336" s="207">
        <f t="shared" si="98"/>
        <v>2008</v>
      </c>
      <c r="T336" s="207">
        <f t="shared" si="99"/>
        <v>5</v>
      </c>
      <c r="U336" s="384" t="str">
        <f t="shared" ca="1" si="95"/>
        <v/>
      </c>
      <c r="V336" s="384" t="str">
        <f t="shared" ca="1" si="96"/>
        <v/>
      </c>
      <c r="W336" s="385" t="str">
        <f t="shared" ca="1" si="97"/>
        <v/>
      </c>
    </row>
    <row r="337" spans="1:23">
      <c r="A337" s="207">
        <f>+'Anexo Escurrimiento'!A347</f>
        <v>2008</v>
      </c>
      <c r="B337" s="207">
        <f>+'Anexo Escurrimiento'!B347</f>
        <v>6</v>
      </c>
      <c r="C337" s="208">
        <f>+'Anexo Escurrimiento'!O347</f>
        <v>1.5530036263473679</v>
      </c>
      <c r="D337" s="207">
        <f>+'Anexo Escurrimiento'!D347</f>
        <v>107.1</v>
      </c>
      <c r="E337" s="214">
        <f t="shared" si="100"/>
        <v>41.019999999999996</v>
      </c>
      <c r="F337" s="213">
        <f t="shared" si="100"/>
        <v>0</v>
      </c>
      <c r="G337" s="211">
        <f t="shared" si="101"/>
        <v>6.6080000000000002E-4</v>
      </c>
      <c r="H337" s="212">
        <f>+F337/100000*'Anexo Bal Hídrico'!$G$4</f>
        <v>0</v>
      </c>
      <c r="I337" s="212">
        <v>0</v>
      </c>
      <c r="J337" s="212">
        <f t="shared" ca="1" si="88"/>
        <v>4.2173136627831553</v>
      </c>
      <c r="K337" s="212">
        <f t="shared" ca="1" si="89"/>
        <v>201.5019779922419</v>
      </c>
      <c r="L337" s="212">
        <f t="shared" ca="1" si="90"/>
        <v>175.6912359810367</v>
      </c>
      <c r="M337" s="212">
        <f t="shared" ca="1" si="91"/>
        <v>4.2296655164639105</v>
      </c>
      <c r="N337" s="212">
        <f t="shared" ca="1" si="92"/>
        <v>4.2296655164639105</v>
      </c>
      <c r="O337" s="210">
        <f t="shared" ca="1" si="87"/>
        <v>201.88210770746116</v>
      </c>
      <c r="P337" s="212">
        <f t="shared" ca="1" si="93"/>
        <v>0</v>
      </c>
      <c r="Q337" s="212">
        <f t="shared" ca="1" si="94"/>
        <v>0</v>
      </c>
      <c r="R337" s="386"/>
      <c r="S337" s="207">
        <f t="shared" si="98"/>
        <v>2008</v>
      </c>
      <c r="T337" s="207">
        <f t="shared" si="99"/>
        <v>6</v>
      </c>
      <c r="U337" s="384" t="str">
        <f t="shared" ca="1" si="95"/>
        <v/>
      </c>
      <c r="V337" s="384" t="str">
        <f t="shared" ca="1" si="96"/>
        <v/>
      </c>
      <c r="W337" s="385" t="str">
        <f t="shared" ca="1" si="97"/>
        <v/>
      </c>
    </row>
    <row r="338" spans="1:23">
      <c r="A338" s="207">
        <f>+'Anexo Escurrimiento'!A348</f>
        <v>2008</v>
      </c>
      <c r="B338" s="207">
        <f>+'Anexo Escurrimiento'!B348</f>
        <v>7</v>
      </c>
      <c r="C338" s="208">
        <f>+'Anexo Escurrimiento'!O348</f>
        <v>2.2399470660624541</v>
      </c>
      <c r="D338" s="207">
        <f>+'Anexo Escurrimiento'!D348</f>
        <v>127.3</v>
      </c>
      <c r="E338" s="214">
        <f t="shared" si="100"/>
        <v>50.819999999999993</v>
      </c>
      <c r="F338" s="213">
        <f t="shared" si="100"/>
        <v>0</v>
      </c>
      <c r="G338" s="211">
        <f t="shared" si="101"/>
        <v>7.6480000000000005E-4</v>
      </c>
      <c r="H338" s="212">
        <f>+F338/100000*'Anexo Bal Hídrico'!$G$4</f>
        <v>0</v>
      </c>
      <c r="I338" s="212">
        <v>0</v>
      </c>
      <c r="J338" s="212">
        <f t="shared" ca="1" si="88"/>
        <v>6.4696125825263646</v>
      </c>
      <c r="K338" s="212">
        <f t="shared" ca="1" si="89"/>
        <v>265.48713582205221</v>
      </c>
      <c r="L338" s="212">
        <f t="shared" ca="1" si="90"/>
        <v>233.68462176475668</v>
      </c>
      <c r="M338" s="212">
        <f t="shared" ca="1" si="91"/>
        <v>6.4493075155083686</v>
      </c>
      <c r="N338" s="212">
        <f t="shared" ca="1" si="92"/>
        <v>6.4493075155083686</v>
      </c>
      <c r="O338" s="210">
        <f t="shared" ca="1" si="87"/>
        <v>264.94986358684378</v>
      </c>
      <c r="P338" s="212">
        <f t="shared" ca="1" si="93"/>
        <v>0</v>
      </c>
      <c r="Q338" s="212">
        <f t="shared" ca="1" si="94"/>
        <v>0</v>
      </c>
      <c r="R338" s="386"/>
      <c r="S338" s="207">
        <f t="shared" si="98"/>
        <v>2008</v>
      </c>
      <c r="T338" s="207">
        <f t="shared" si="99"/>
        <v>7</v>
      </c>
      <c r="U338" s="384" t="str">
        <f t="shared" ca="1" si="95"/>
        <v/>
      </c>
      <c r="V338" s="384" t="str">
        <f t="shared" ca="1" si="96"/>
        <v/>
      </c>
      <c r="W338" s="385" t="str">
        <f t="shared" ca="1" si="97"/>
        <v/>
      </c>
    </row>
    <row r="339" spans="1:23">
      <c r="A339" s="207">
        <f>+'Anexo Escurrimiento'!A349</f>
        <v>2008</v>
      </c>
      <c r="B339" s="207">
        <f>+'Anexo Escurrimiento'!B349</f>
        <v>8</v>
      </c>
      <c r="C339" s="208">
        <f>+'Anexo Escurrimiento'!O349</f>
        <v>1.4351137448071876</v>
      </c>
      <c r="D339" s="207">
        <f>+'Anexo Escurrimiento'!D349</f>
        <v>83.8</v>
      </c>
      <c r="E339" s="214">
        <f t="shared" si="100"/>
        <v>72.449999999999989</v>
      </c>
      <c r="F339" s="213">
        <f t="shared" si="100"/>
        <v>0</v>
      </c>
      <c r="G339" s="211">
        <f t="shared" si="101"/>
        <v>1.1350000000000009E-4</v>
      </c>
      <c r="H339" s="212">
        <f>+F339/100000*'Anexo Bal Hídrico'!$G$4</f>
        <v>0</v>
      </c>
      <c r="I339" s="212">
        <v>0</v>
      </c>
      <c r="J339" s="212">
        <f t="shared" ca="1" si="88"/>
        <v>7.8844212603155563</v>
      </c>
      <c r="K339" s="212">
        <f t="shared" ca="1" si="89"/>
        <v>301.57503606699612</v>
      </c>
      <c r="L339" s="212">
        <f t="shared" ca="1" si="90"/>
        <v>283.26244982691992</v>
      </c>
      <c r="M339" s="212">
        <f t="shared" ca="1" si="91"/>
        <v>7.7620035502209612</v>
      </c>
      <c r="N339" s="212">
        <f t="shared" ca="1" si="92"/>
        <v>7.6368477630678893</v>
      </c>
      <c r="O339" s="210">
        <f t="shared" ca="1" si="87"/>
        <v>295.43791936297487</v>
      </c>
      <c r="P339" s="212">
        <f t="shared" ca="1" si="93"/>
        <v>0.12515578715307196</v>
      </c>
      <c r="Q339" s="212">
        <f t="shared" ca="1" si="94"/>
        <v>0</v>
      </c>
      <c r="R339" s="386"/>
      <c r="S339" s="207">
        <f t="shared" si="98"/>
        <v>2008</v>
      </c>
      <c r="T339" s="207">
        <f t="shared" si="99"/>
        <v>8</v>
      </c>
      <c r="U339" s="384" t="str">
        <f t="shared" ca="1" si="95"/>
        <v/>
      </c>
      <c r="V339" s="384" t="str">
        <f t="shared" ca="1" si="96"/>
        <v/>
      </c>
      <c r="W339" s="385" t="str">
        <f t="shared" ca="1" si="97"/>
        <v/>
      </c>
    </row>
    <row r="340" spans="1:23">
      <c r="A340" s="207">
        <f>+'Anexo Escurrimiento'!A350</f>
        <v>2008</v>
      </c>
      <c r="B340" s="207">
        <f>+'Anexo Escurrimiento'!B350</f>
        <v>9</v>
      </c>
      <c r="C340" s="208">
        <f>+'Anexo Escurrimiento'!O350</f>
        <v>0.84634856841611517</v>
      </c>
      <c r="D340" s="207">
        <f>+'Anexo Escurrimiento'!D350</f>
        <v>70.7</v>
      </c>
      <c r="E340" s="214">
        <f t="shared" si="100"/>
        <v>85.89</v>
      </c>
      <c r="F340" s="213">
        <f t="shared" si="100"/>
        <v>0</v>
      </c>
      <c r="G340" s="211">
        <f t="shared" si="101"/>
        <v>-1.5189999999999998E-4</v>
      </c>
      <c r="H340" s="212">
        <f>+F340/100000*'Anexo Bal Hídrico'!$G$4</f>
        <v>0</v>
      </c>
      <c r="I340" s="212">
        <v>0</v>
      </c>
      <c r="J340" s="212">
        <f t="shared" ca="1" si="88"/>
        <v>8.4831963314840042</v>
      </c>
      <c r="K340" s="212">
        <f t="shared" ca="1" si="89"/>
        <v>316.1418031617431</v>
      </c>
      <c r="L340" s="212">
        <f t="shared" ca="1" si="90"/>
        <v>305.78986126235895</v>
      </c>
      <c r="M340" s="212">
        <f t="shared" ca="1" si="91"/>
        <v>8.3383419803356063</v>
      </c>
      <c r="N340" s="212">
        <f t="shared" ca="1" si="92"/>
        <v>7.6368477630678893</v>
      </c>
      <c r="O340" s="210">
        <f t="shared" ca="1" si="87"/>
        <v>295.43791936297487</v>
      </c>
      <c r="P340" s="212">
        <f t="shared" ca="1" si="93"/>
        <v>0.70149421726771699</v>
      </c>
      <c r="Q340" s="212">
        <f t="shared" ca="1" si="94"/>
        <v>0</v>
      </c>
      <c r="R340" s="386"/>
      <c r="S340" s="207">
        <f t="shared" si="98"/>
        <v>2008</v>
      </c>
      <c r="T340" s="207">
        <f t="shared" si="99"/>
        <v>9</v>
      </c>
      <c r="U340" s="384" t="str">
        <f t="shared" ca="1" si="95"/>
        <v/>
      </c>
      <c r="V340" s="384" t="str">
        <f t="shared" ca="1" si="96"/>
        <v/>
      </c>
      <c r="W340" s="385" t="str">
        <f t="shared" ca="1" si="97"/>
        <v>|||</v>
      </c>
    </row>
    <row r="341" spans="1:23">
      <c r="A341" s="207">
        <f>+'Anexo Escurrimiento'!A351</f>
        <v>2008</v>
      </c>
      <c r="B341" s="207">
        <f>+'Anexo Escurrimiento'!B351</f>
        <v>10</v>
      </c>
      <c r="C341" s="208">
        <f>+'Anexo Escurrimiento'!O351</f>
        <v>2.6498952698780021</v>
      </c>
      <c r="D341" s="207">
        <f>+'Anexo Escurrimiento'!D351</f>
        <v>205.2</v>
      </c>
      <c r="E341" s="214">
        <f t="shared" si="100"/>
        <v>114.86999999999999</v>
      </c>
      <c r="F341" s="213">
        <f t="shared" si="100"/>
        <v>59</v>
      </c>
      <c r="G341" s="211">
        <f t="shared" si="101"/>
        <v>9.033E-4</v>
      </c>
      <c r="H341" s="212">
        <f>+F341/100000*'Anexo Bal Hídrico'!$G$4</f>
        <v>0.53100000000000003</v>
      </c>
      <c r="I341" s="212">
        <v>0</v>
      </c>
      <c r="J341" s="212">
        <f t="shared" ca="1" si="88"/>
        <v>9.7557430329458903</v>
      </c>
      <c r="K341" s="212">
        <f t="shared" ca="1" si="89"/>
        <v>345.93933191118629</v>
      </c>
      <c r="L341" s="212">
        <f t="shared" ca="1" si="90"/>
        <v>320.68862563708058</v>
      </c>
      <c r="M341" s="212">
        <f t="shared" ca="1" si="91"/>
        <v>9.7223065163244069</v>
      </c>
      <c r="N341" s="212">
        <f t="shared" ca="1" si="92"/>
        <v>7.6368477630678893</v>
      </c>
      <c r="O341" s="210">
        <f t="shared" ca="1" si="87"/>
        <v>295.43791936297487</v>
      </c>
      <c r="P341" s="212">
        <f t="shared" ca="1" si="93"/>
        <v>2.0854587532565176</v>
      </c>
      <c r="Q341" s="212">
        <f t="shared" ca="1" si="94"/>
        <v>0.53100000000000003</v>
      </c>
      <c r="R341" s="386"/>
      <c r="S341" s="207">
        <f t="shared" si="98"/>
        <v>2008</v>
      </c>
      <c r="T341" s="207">
        <f t="shared" si="99"/>
        <v>10</v>
      </c>
      <c r="U341" s="384" t="str">
        <f t="shared" ca="1" si="95"/>
        <v/>
      </c>
      <c r="V341" s="384" t="str">
        <f t="shared" ca="1" si="96"/>
        <v>||</v>
      </c>
      <c r="W341" s="385" t="str">
        <f t="shared" ca="1" si="97"/>
        <v>||||||||||</v>
      </c>
    </row>
    <row r="342" spans="1:23">
      <c r="A342" s="207">
        <f>+'Anexo Escurrimiento'!A352</f>
        <v>2008</v>
      </c>
      <c r="B342" s="207">
        <f>+'Anexo Escurrimiento'!B352</f>
        <v>11</v>
      </c>
      <c r="C342" s="208">
        <f>+'Anexo Escurrimiento'!O352</f>
        <v>0.72084582568108946</v>
      </c>
      <c r="D342" s="207">
        <f>+'Anexo Escurrimiento'!D352</f>
        <v>18</v>
      </c>
      <c r="E342" s="214">
        <f t="shared" si="100"/>
        <v>144.06</v>
      </c>
      <c r="F342" s="213">
        <f t="shared" si="100"/>
        <v>212</v>
      </c>
      <c r="G342" s="211">
        <f t="shared" si="101"/>
        <v>-1.2606E-3</v>
      </c>
      <c r="H342" s="212">
        <f>+F342/100000*'Anexo Bal Hídrico'!$G$4</f>
        <v>1.9079999999999999</v>
      </c>
      <c r="I342" s="212">
        <v>0</v>
      </c>
      <c r="J342" s="212">
        <f t="shared" ca="1" si="88"/>
        <v>6.4496935887489801</v>
      </c>
      <c r="K342" s="212">
        <f t="shared" ca="1" si="89"/>
        <v>264.9600846920402</v>
      </c>
      <c r="L342" s="212">
        <f t="shared" ca="1" si="90"/>
        <v>280.1990020275075</v>
      </c>
      <c r="M342" s="212">
        <f t="shared" ca="1" si="91"/>
        <v>6.0196761408723667</v>
      </c>
      <c r="N342" s="212">
        <f t="shared" ca="1" si="92"/>
        <v>6.0196761408723667</v>
      </c>
      <c r="O342" s="210">
        <f t="shared" ca="1" si="87"/>
        <v>253.43652653207351</v>
      </c>
      <c r="P342" s="212">
        <f t="shared" ca="1" si="93"/>
        <v>0</v>
      </c>
      <c r="Q342" s="212">
        <f t="shared" ca="1" si="94"/>
        <v>1.9079999999999999</v>
      </c>
      <c r="R342" s="386"/>
      <c r="S342" s="207">
        <f t="shared" si="98"/>
        <v>2008</v>
      </c>
      <c r="T342" s="207">
        <f t="shared" si="99"/>
        <v>11</v>
      </c>
      <c r="U342" s="384" t="str">
        <f t="shared" ca="1" si="95"/>
        <v/>
      </c>
      <c r="V342" s="384" t="str">
        <f t="shared" ca="1" si="96"/>
        <v>|||||||||</v>
      </c>
      <c r="W342" s="385" t="str">
        <f t="shared" ca="1" si="97"/>
        <v/>
      </c>
    </row>
    <row r="343" spans="1:23">
      <c r="A343" s="207">
        <f>+'Anexo Escurrimiento'!A353</f>
        <v>2008</v>
      </c>
      <c r="B343" s="207">
        <f>+'Anexo Escurrimiento'!B353</f>
        <v>12</v>
      </c>
      <c r="C343" s="208">
        <f>+'Anexo Escurrimiento'!O353</f>
        <v>0.32783713033537853</v>
      </c>
      <c r="D343" s="207">
        <f>+'Anexo Escurrimiento'!D353</f>
        <v>65.2</v>
      </c>
      <c r="E343" s="214">
        <f t="shared" si="100"/>
        <v>179.62</v>
      </c>
      <c r="F343" s="213">
        <f t="shared" si="100"/>
        <v>388</v>
      </c>
      <c r="G343" s="211">
        <f t="shared" si="101"/>
        <v>-1.1441999999999999E-3</v>
      </c>
      <c r="H343" s="212">
        <f>+F343/100000*'Anexo Bal Hídrico'!$G$4</f>
        <v>3.492</v>
      </c>
      <c r="I343" s="212">
        <v>0</v>
      </c>
      <c r="J343" s="212">
        <f t="shared" ca="1" si="88"/>
        <v>2.8555132712077453</v>
      </c>
      <c r="K343" s="212">
        <f t="shared" ca="1" si="89"/>
        <v>156.72647754475932</v>
      </c>
      <c r="L343" s="212">
        <f t="shared" ca="1" si="90"/>
        <v>205.08150203841643</v>
      </c>
      <c r="M343" s="212">
        <f t="shared" ca="1" si="91"/>
        <v>2.595295012349859</v>
      </c>
      <c r="N343" s="212">
        <f t="shared" ca="1" si="92"/>
        <v>2.595295012349859</v>
      </c>
      <c r="O343" s="210">
        <f t="shared" ca="1" si="87"/>
        <v>147.36684157896033</v>
      </c>
      <c r="P343" s="212">
        <f t="shared" ca="1" si="93"/>
        <v>0</v>
      </c>
      <c r="Q343" s="212">
        <f t="shared" ca="1" si="94"/>
        <v>3.492</v>
      </c>
      <c r="R343" s="386"/>
      <c r="S343" s="207">
        <f t="shared" si="98"/>
        <v>2008</v>
      </c>
      <c r="T343" s="207">
        <f t="shared" si="99"/>
        <v>12</v>
      </c>
      <c r="U343" s="384" t="str">
        <f t="shared" ca="1" si="95"/>
        <v/>
      </c>
      <c r="V343" s="384" t="str">
        <f t="shared" ca="1" si="96"/>
        <v>|||||||||||||||||</v>
      </c>
      <c r="W343" s="385" t="str">
        <f t="shared" ca="1" si="97"/>
        <v/>
      </c>
    </row>
    <row r="344" spans="1:23">
      <c r="A344" s="207">
        <f>+'Anexo Escurrimiento'!A354</f>
        <v>2009</v>
      </c>
      <c r="B344" s="207">
        <f>+'Anexo Escurrimiento'!B354</f>
        <v>1</v>
      </c>
      <c r="C344" s="208">
        <f>+'Anexo Escurrimiento'!O354</f>
        <v>0.2776216617604737</v>
      </c>
      <c r="D344" s="207">
        <f>+'Anexo Escurrimiento'!D354</f>
        <v>54.9</v>
      </c>
      <c r="E344" s="214">
        <f t="shared" si="100"/>
        <v>176.89</v>
      </c>
      <c r="F344" s="213">
        <f t="shared" si="100"/>
        <v>318</v>
      </c>
      <c r="G344" s="211">
        <f t="shared" si="101"/>
        <v>-1.2198999999999999E-3</v>
      </c>
      <c r="H344" s="212">
        <f>+F344/100000*'Anexo Bal Hídrico'!$G$4</f>
        <v>2.8620000000000001</v>
      </c>
      <c r="I344" s="212">
        <v>0</v>
      </c>
      <c r="J344" s="212">
        <f t="shared" ca="1" si="88"/>
        <v>1.0916674110332814E-2</v>
      </c>
      <c r="K344" s="212">
        <f t="shared" ca="1" si="89"/>
        <v>4.3366000023676108</v>
      </c>
      <c r="L344" s="212">
        <f t="shared" ca="1" si="90"/>
        <v>75.851720790663975</v>
      </c>
      <c r="M344" s="212">
        <f t="shared" ca="1" si="91"/>
        <v>-8.9621714900941729E-2</v>
      </c>
      <c r="N344" s="212">
        <f t="shared" ca="1" si="92"/>
        <v>0.14364725252241328</v>
      </c>
      <c r="O344" s="210">
        <f t="shared" ca="1" si="87"/>
        <v>22.824988701237128</v>
      </c>
      <c r="P344" s="212">
        <f t="shared" ca="1" si="93"/>
        <v>0</v>
      </c>
      <c r="Q344" s="212">
        <f t="shared" ca="1" si="94"/>
        <v>2.6287310325766451</v>
      </c>
      <c r="R344" s="386"/>
      <c r="S344" s="207">
        <f t="shared" si="98"/>
        <v>2009</v>
      </c>
      <c r="T344" s="207">
        <f t="shared" si="99"/>
        <v>1</v>
      </c>
      <c r="U344" s="384" t="str">
        <f t="shared" ca="1" si="95"/>
        <v>|</v>
      </c>
      <c r="V344" s="384" t="str">
        <f t="shared" ca="1" si="96"/>
        <v>|||||||||||||</v>
      </c>
      <c r="W344" s="385" t="str">
        <f t="shared" ca="1" si="97"/>
        <v/>
      </c>
    </row>
    <row r="345" spans="1:23">
      <c r="A345" s="207">
        <f>+'Anexo Escurrimiento'!A355</f>
        <v>2009</v>
      </c>
      <c r="B345" s="207">
        <f>+'Anexo Escurrimiento'!B355</f>
        <v>2</v>
      </c>
      <c r="C345" s="208">
        <f>+'Anexo Escurrimiento'!O355</f>
        <v>3.3026918419001565</v>
      </c>
      <c r="D345" s="207">
        <f>+'Anexo Escurrimiento'!D355</f>
        <v>262.60000000000002</v>
      </c>
      <c r="E345" s="214">
        <f t="shared" si="100"/>
        <v>131.73999999999998</v>
      </c>
      <c r="F345" s="213">
        <f t="shared" si="100"/>
        <v>153</v>
      </c>
      <c r="G345" s="211">
        <f t="shared" si="101"/>
        <v>1.3086000000000005E-3</v>
      </c>
      <c r="H345" s="212">
        <f>+F345/100000*'Anexo Bal Hídrico'!$G$4</f>
        <v>1.377</v>
      </c>
      <c r="I345" s="212">
        <v>0</v>
      </c>
      <c r="J345" s="212">
        <f t="shared" ca="1" si="88"/>
        <v>2.0693390944225696</v>
      </c>
      <c r="K345" s="212">
        <f t="shared" ca="1" si="89"/>
        <v>127.35496536825947</v>
      </c>
      <c r="L345" s="212">
        <f t="shared" ca="1" si="90"/>
        <v>75.089977034748301</v>
      </c>
      <c r="M345" s="212">
        <f t="shared" ca="1" si="91"/>
        <v>2.0733056199059323</v>
      </c>
      <c r="N345" s="212">
        <f t="shared" ca="1" si="92"/>
        <v>2.0733056199059323</v>
      </c>
      <c r="O345" s="210">
        <f t="shared" ca="1" si="87"/>
        <v>127.51222915923918</v>
      </c>
      <c r="P345" s="212">
        <f t="shared" ca="1" si="93"/>
        <v>0</v>
      </c>
      <c r="Q345" s="212">
        <f t="shared" ca="1" si="94"/>
        <v>1.377</v>
      </c>
      <c r="R345" s="386"/>
      <c r="S345" s="207">
        <f t="shared" si="98"/>
        <v>2009</v>
      </c>
      <c r="T345" s="207">
        <f t="shared" si="99"/>
        <v>2</v>
      </c>
      <c r="U345" s="384" t="str">
        <f t="shared" ca="1" si="95"/>
        <v/>
      </c>
      <c r="V345" s="384" t="str">
        <f t="shared" ca="1" si="96"/>
        <v>||||||</v>
      </c>
      <c r="W345" s="385" t="str">
        <f t="shared" ca="1" si="97"/>
        <v/>
      </c>
    </row>
    <row r="346" spans="1:23">
      <c r="A346" s="207">
        <f>+'Anexo Escurrimiento'!A356</f>
        <v>2009</v>
      </c>
      <c r="B346" s="207">
        <f>+'Anexo Escurrimiento'!B356</f>
        <v>3</v>
      </c>
      <c r="C346" s="208">
        <f>+'Anexo Escurrimiento'!O356</f>
        <v>0.98750866282925387</v>
      </c>
      <c r="D346" s="207">
        <f>+'Anexo Escurrimiento'!D356</f>
        <v>43.7</v>
      </c>
      <c r="E346" s="214">
        <f t="shared" si="100"/>
        <v>118.64999999999999</v>
      </c>
      <c r="F346" s="213">
        <f t="shared" si="100"/>
        <v>47</v>
      </c>
      <c r="G346" s="211">
        <f t="shared" si="101"/>
        <v>-7.4949999999999984E-4</v>
      </c>
      <c r="H346" s="212">
        <f>+F346/100000*'Anexo Bal Hídrico'!$G$4</f>
        <v>0.42299999999999999</v>
      </c>
      <c r="I346" s="212">
        <v>0</v>
      </c>
      <c r="J346" s="212">
        <f t="shared" ca="1" si="88"/>
        <v>2.637814282735186</v>
      </c>
      <c r="K346" s="212">
        <f t="shared" ca="1" si="89"/>
        <v>148.91824068246459</v>
      </c>
      <c r="L346" s="212">
        <f t="shared" ca="1" si="90"/>
        <v>138.21523492085188</v>
      </c>
      <c r="M346" s="212">
        <f t="shared" ca="1" si="91"/>
        <v>2.4823251041546612</v>
      </c>
      <c r="N346" s="212">
        <f t="shared" ca="1" si="92"/>
        <v>2.4823251041546612</v>
      </c>
      <c r="O346" s="210">
        <f t="shared" ca="1" si="87"/>
        <v>143.20032439596793</v>
      </c>
      <c r="P346" s="212">
        <f t="shared" ca="1" si="93"/>
        <v>0</v>
      </c>
      <c r="Q346" s="212">
        <f t="shared" ca="1" si="94"/>
        <v>0.42299999999999999</v>
      </c>
      <c r="R346" s="386"/>
      <c r="S346" s="207">
        <f t="shared" si="98"/>
        <v>2009</v>
      </c>
      <c r="T346" s="207">
        <f t="shared" si="99"/>
        <v>3</v>
      </c>
      <c r="U346" s="384" t="str">
        <f t="shared" ca="1" si="95"/>
        <v/>
      </c>
      <c r="V346" s="384" t="str">
        <f t="shared" ca="1" si="96"/>
        <v>||</v>
      </c>
      <c r="W346" s="385" t="str">
        <f t="shared" ca="1" si="97"/>
        <v/>
      </c>
    </row>
    <row r="347" spans="1:23">
      <c r="A347" s="207">
        <f>+'Anexo Escurrimiento'!A357</f>
        <v>2009</v>
      </c>
      <c r="B347" s="207">
        <f>+'Anexo Escurrimiento'!B357</f>
        <v>4</v>
      </c>
      <c r="C347" s="208">
        <f>+'Anexo Escurrimiento'!O357</f>
        <v>0.16498180994988842</v>
      </c>
      <c r="D347" s="207">
        <f>+'Anexo Escurrimiento'!D357</f>
        <v>17.5</v>
      </c>
      <c r="E347" s="214">
        <f t="shared" si="100"/>
        <v>73.149999999999991</v>
      </c>
      <c r="F347" s="213">
        <f t="shared" si="100"/>
        <v>0</v>
      </c>
      <c r="G347" s="211">
        <f t="shared" si="101"/>
        <v>-5.5649999999999992E-4</v>
      </c>
      <c r="H347" s="212">
        <f>+F347/100000*'Anexo Bal Hídrico'!$G$4</f>
        <v>0</v>
      </c>
      <c r="I347" s="212">
        <v>0</v>
      </c>
      <c r="J347" s="212">
        <f t="shared" ca="1" si="88"/>
        <v>2.6473069141045498</v>
      </c>
      <c r="K347" s="212">
        <f t="shared" ca="1" si="89"/>
        <v>149.2633804275134</v>
      </c>
      <c r="L347" s="212">
        <f t="shared" ca="1" si="90"/>
        <v>146.23185241174065</v>
      </c>
      <c r="M347" s="212">
        <f t="shared" ca="1" si="91"/>
        <v>2.556755657939616</v>
      </c>
      <c r="N347" s="212">
        <f t="shared" ca="1" si="92"/>
        <v>2.556755657939616</v>
      </c>
      <c r="O347" s="210">
        <f t="shared" ca="1" si="87"/>
        <v>145.952831832306</v>
      </c>
      <c r="P347" s="212">
        <f t="shared" ca="1" si="93"/>
        <v>0</v>
      </c>
      <c r="Q347" s="212">
        <f t="shared" ca="1" si="94"/>
        <v>0</v>
      </c>
      <c r="R347" s="386"/>
      <c r="S347" s="207">
        <f t="shared" si="98"/>
        <v>2009</v>
      </c>
      <c r="T347" s="207">
        <f t="shared" si="99"/>
        <v>4</v>
      </c>
      <c r="U347" s="384" t="str">
        <f t="shared" ca="1" si="95"/>
        <v/>
      </c>
      <c r="V347" s="384" t="str">
        <f t="shared" ca="1" si="96"/>
        <v/>
      </c>
      <c r="W347" s="385" t="str">
        <f t="shared" ca="1" si="97"/>
        <v/>
      </c>
    </row>
    <row r="348" spans="1:23">
      <c r="A348" s="207">
        <f>+'Anexo Escurrimiento'!A358</f>
        <v>2009</v>
      </c>
      <c r="B348" s="207">
        <f>+'Anexo Escurrimiento'!B358</f>
        <v>5</v>
      </c>
      <c r="C348" s="208">
        <f>+'Anexo Escurrimiento'!O358</f>
        <v>1.9679056611099606</v>
      </c>
      <c r="D348" s="207">
        <f>+'Anexo Escurrimiento'!D358</f>
        <v>146</v>
      </c>
      <c r="E348" s="214">
        <f t="shared" si="100"/>
        <v>51.24</v>
      </c>
      <c r="F348" s="213">
        <f t="shared" si="100"/>
        <v>0</v>
      </c>
      <c r="G348" s="211">
        <f t="shared" si="101"/>
        <v>9.4759999999999994E-4</v>
      </c>
      <c r="H348" s="212">
        <f>+F348/100000*'Anexo Bal Hídrico'!$G$4</f>
        <v>0</v>
      </c>
      <c r="I348" s="212">
        <v>0</v>
      </c>
      <c r="J348" s="212">
        <f t="shared" ca="1" si="88"/>
        <v>4.5246613190495761</v>
      </c>
      <c r="K348" s="212">
        <f t="shared" ca="1" si="89"/>
        <v>210.84681887125797</v>
      </c>
      <c r="L348" s="212">
        <f t="shared" ca="1" si="90"/>
        <v>178.399825351782</v>
      </c>
      <c r="M348" s="212">
        <f t="shared" ca="1" si="91"/>
        <v>4.5602247706438757</v>
      </c>
      <c r="N348" s="212">
        <f t="shared" ca="1" si="92"/>
        <v>4.5602247706438757</v>
      </c>
      <c r="O348" s="210">
        <f t="shared" ca="1" si="87"/>
        <v>211.91332145741578</v>
      </c>
      <c r="P348" s="212">
        <f t="shared" ca="1" si="93"/>
        <v>0</v>
      </c>
      <c r="Q348" s="212">
        <f t="shared" ca="1" si="94"/>
        <v>0</v>
      </c>
      <c r="R348" s="386"/>
      <c r="S348" s="207">
        <f t="shared" si="98"/>
        <v>2009</v>
      </c>
      <c r="T348" s="207">
        <f t="shared" si="99"/>
        <v>5</v>
      </c>
      <c r="U348" s="384" t="str">
        <f t="shared" ca="1" si="95"/>
        <v/>
      </c>
      <c r="V348" s="384" t="str">
        <f t="shared" ca="1" si="96"/>
        <v/>
      </c>
      <c r="W348" s="385" t="str">
        <f t="shared" ca="1" si="97"/>
        <v/>
      </c>
    </row>
    <row r="349" spans="1:23">
      <c r="A349" s="207">
        <f>+'Anexo Escurrimiento'!A359</f>
        <v>2009</v>
      </c>
      <c r="B349" s="207">
        <f>+'Anexo Escurrimiento'!B359</f>
        <v>6</v>
      </c>
      <c r="C349" s="208">
        <f>+'Anexo Escurrimiento'!O359</f>
        <v>0.61216802526258307</v>
      </c>
      <c r="D349" s="207">
        <f>+'Anexo Escurrimiento'!D359</f>
        <v>14</v>
      </c>
      <c r="E349" s="214">
        <f t="shared" si="100"/>
        <v>41.019999999999996</v>
      </c>
      <c r="F349" s="213">
        <f t="shared" si="100"/>
        <v>0</v>
      </c>
      <c r="G349" s="211">
        <f t="shared" si="101"/>
        <v>-2.7019999999999995E-4</v>
      </c>
      <c r="H349" s="212">
        <f>+F349/100000*'Anexo Bal Hídrico'!$G$4</f>
        <v>0</v>
      </c>
      <c r="I349" s="212">
        <v>0</v>
      </c>
      <c r="J349" s="212">
        <f t="shared" ca="1" si="88"/>
        <v>5.1723927959064584</v>
      </c>
      <c r="K349" s="212">
        <f t="shared" ca="1" si="89"/>
        <v>229.8330512289443</v>
      </c>
      <c r="L349" s="212">
        <f t="shared" ca="1" si="90"/>
        <v>220.87318634318004</v>
      </c>
      <c r="M349" s="212">
        <f t="shared" ca="1" si="91"/>
        <v>5.0613016433454439</v>
      </c>
      <c r="N349" s="212">
        <f t="shared" ca="1" si="92"/>
        <v>5.0613016433454439</v>
      </c>
      <c r="O349" s="210">
        <f t="shared" ca="1" si="87"/>
        <v>226.63964643559009</v>
      </c>
      <c r="P349" s="212">
        <f t="shared" ca="1" si="93"/>
        <v>0</v>
      </c>
      <c r="Q349" s="212">
        <f t="shared" ca="1" si="94"/>
        <v>0</v>
      </c>
      <c r="R349" s="386"/>
      <c r="S349" s="207">
        <f t="shared" si="98"/>
        <v>2009</v>
      </c>
      <c r="T349" s="207">
        <f t="shared" si="99"/>
        <v>6</v>
      </c>
      <c r="U349" s="384" t="str">
        <f t="shared" ca="1" si="95"/>
        <v/>
      </c>
      <c r="V349" s="384" t="str">
        <f t="shared" ca="1" si="96"/>
        <v/>
      </c>
      <c r="W349" s="385" t="str">
        <f t="shared" ca="1" si="97"/>
        <v/>
      </c>
    </row>
    <row r="350" spans="1:23">
      <c r="A350" s="207">
        <f>+'Anexo Escurrimiento'!A360</f>
        <v>2009</v>
      </c>
      <c r="B350" s="207">
        <f>+'Anexo Escurrimiento'!B360</f>
        <v>7</v>
      </c>
      <c r="C350" s="208">
        <f>+'Anexo Escurrimiento'!O360</f>
        <v>0.13206731052670065</v>
      </c>
      <c r="D350" s="207">
        <f>+'Anexo Escurrimiento'!D360</f>
        <v>21.2</v>
      </c>
      <c r="E350" s="214">
        <f t="shared" si="100"/>
        <v>50.819999999999993</v>
      </c>
      <c r="F350" s="213">
        <f t="shared" si="100"/>
        <v>0</v>
      </c>
      <c r="G350" s="211">
        <f t="shared" si="101"/>
        <v>-2.9619999999999994E-4</v>
      </c>
      <c r="H350" s="212">
        <f>+F350/100000*'Anexo Bal Hídrico'!$G$4</f>
        <v>0</v>
      </c>
      <c r="I350" s="212">
        <v>0</v>
      </c>
      <c r="J350" s="212">
        <f t="shared" ca="1" si="88"/>
        <v>5.1933689538721444</v>
      </c>
      <c r="K350" s="212">
        <f t="shared" ca="1" si="89"/>
        <v>230.43327948981513</v>
      </c>
      <c r="L350" s="212">
        <f t="shared" ca="1" si="90"/>
        <v>228.53646296270261</v>
      </c>
      <c r="M350" s="212">
        <f t="shared" ca="1" si="91"/>
        <v>5.1142003333826045</v>
      </c>
      <c r="N350" s="212">
        <f t="shared" ca="1" si="92"/>
        <v>5.1142003333826045</v>
      </c>
      <c r="O350" s="210">
        <f t="shared" ca="1" si="87"/>
        <v>228.16333718652498</v>
      </c>
      <c r="P350" s="212">
        <f t="shared" ca="1" si="93"/>
        <v>0</v>
      </c>
      <c r="Q350" s="212">
        <f t="shared" ca="1" si="94"/>
        <v>0</v>
      </c>
      <c r="R350" s="386"/>
      <c r="S350" s="207">
        <f t="shared" si="98"/>
        <v>2009</v>
      </c>
      <c r="T350" s="207">
        <f t="shared" si="99"/>
        <v>7</v>
      </c>
      <c r="U350" s="384" t="str">
        <f t="shared" ca="1" si="95"/>
        <v/>
      </c>
      <c r="V350" s="384" t="str">
        <f t="shared" ca="1" si="96"/>
        <v/>
      </c>
      <c r="W350" s="385" t="str">
        <f t="shared" ca="1" si="97"/>
        <v/>
      </c>
    </row>
    <row r="351" spans="1:23">
      <c r="A351" s="207">
        <f>+'Anexo Escurrimiento'!A361</f>
        <v>2009</v>
      </c>
      <c r="B351" s="207">
        <f>+'Anexo Escurrimiento'!B361</f>
        <v>8</v>
      </c>
      <c r="C351" s="208">
        <f>+'Anexo Escurrimiento'!O361</f>
        <v>8.4454796819812369E-2</v>
      </c>
      <c r="D351" s="207">
        <f>+'Anexo Escurrimiento'!D361</f>
        <v>21.8</v>
      </c>
      <c r="E351" s="214">
        <f t="shared" si="100"/>
        <v>72.449999999999989</v>
      </c>
      <c r="F351" s="213">
        <f t="shared" si="100"/>
        <v>0</v>
      </c>
      <c r="G351" s="211">
        <f t="shared" si="101"/>
        <v>-5.064999999999999E-4</v>
      </c>
      <c r="H351" s="212">
        <f>+F351/100000*'Anexo Bal Hídrico'!$G$4</f>
        <v>0</v>
      </c>
      <c r="I351" s="212">
        <v>0</v>
      </c>
      <c r="J351" s="212">
        <f t="shared" ca="1" si="88"/>
        <v>5.1986551302024164</v>
      </c>
      <c r="K351" s="212">
        <f t="shared" ca="1" si="89"/>
        <v>230.58440621566064</v>
      </c>
      <c r="L351" s="212">
        <f t="shared" ca="1" si="90"/>
        <v>229.37387170109281</v>
      </c>
      <c r="M351" s="212">
        <f t="shared" ca="1" si="91"/>
        <v>5.0751115897636501</v>
      </c>
      <c r="N351" s="212">
        <f t="shared" ca="1" si="92"/>
        <v>5.0751115897636501</v>
      </c>
      <c r="O351" s="210">
        <f t="shared" ca="1" si="87"/>
        <v>227.03797124898767</v>
      </c>
      <c r="P351" s="212">
        <f t="shared" ca="1" si="93"/>
        <v>0</v>
      </c>
      <c r="Q351" s="212">
        <f t="shared" ca="1" si="94"/>
        <v>0</v>
      </c>
      <c r="R351" s="386"/>
      <c r="S351" s="207">
        <f t="shared" si="98"/>
        <v>2009</v>
      </c>
      <c r="T351" s="207">
        <f t="shared" si="99"/>
        <v>8</v>
      </c>
      <c r="U351" s="384" t="str">
        <f t="shared" ca="1" si="95"/>
        <v/>
      </c>
      <c r="V351" s="384" t="str">
        <f t="shared" ca="1" si="96"/>
        <v/>
      </c>
      <c r="W351" s="385" t="str">
        <f t="shared" ca="1" si="97"/>
        <v/>
      </c>
    </row>
    <row r="352" spans="1:23">
      <c r="A352" s="207">
        <f>+'Anexo Escurrimiento'!A362</f>
        <v>2009</v>
      </c>
      <c r="B352" s="207">
        <f>+'Anexo Escurrimiento'!B362</f>
        <v>9</v>
      </c>
      <c r="C352" s="208">
        <f>+'Anexo Escurrimiento'!O362</f>
        <v>2.5805411963110343</v>
      </c>
      <c r="D352" s="207">
        <f>+'Anexo Escurrimiento'!D362</f>
        <v>195.7</v>
      </c>
      <c r="E352" s="214">
        <f t="shared" si="100"/>
        <v>85.89</v>
      </c>
      <c r="F352" s="213">
        <f t="shared" si="100"/>
        <v>0</v>
      </c>
      <c r="G352" s="211">
        <f t="shared" si="101"/>
        <v>1.0980999999999999E-3</v>
      </c>
      <c r="H352" s="212">
        <f>+F352/100000*'Anexo Bal Hídrico'!$G$4</f>
        <v>0</v>
      </c>
      <c r="I352" s="212">
        <v>0</v>
      </c>
      <c r="J352" s="212">
        <f t="shared" ca="1" si="88"/>
        <v>7.6556527860746844</v>
      </c>
      <c r="K352" s="212">
        <f t="shared" ca="1" si="89"/>
        <v>295.90653652105783</v>
      </c>
      <c r="L352" s="212">
        <f t="shared" ca="1" si="90"/>
        <v>261.47225388502272</v>
      </c>
      <c r="M352" s="212">
        <f t="shared" ca="1" si="91"/>
        <v>7.6862203643233942</v>
      </c>
      <c r="N352" s="212">
        <f t="shared" ca="1" si="92"/>
        <v>7.6368477630678893</v>
      </c>
      <c r="O352" s="210">
        <f t="shared" ca="1" si="87"/>
        <v>295.43791936297487</v>
      </c>
      <c r="P352" s="212">
        <f t="shared" ca="1" si="93"/>
        <v>4.9372601255504911E-2</v>
      </c>
      <c r="Q352" s="212">
        <f t="shared" ca="1" si="94"/>
        <v>0</v>
      </c>
      <c r="R352" s="386"/>
      <c r="S352" s="207">
        <f t="shared" si="98"/>
        <v>2009</v>
      </c>
      <c r="T352" s="207">
        <f t="shared" si="99"/>
        <v>9</v>
      </c>
      <c r="U352" s="384" t="str">
        <f t="shared" ca="1" si="95"/>
        <v/>
      </c>
      <c r="V352" s="384" t="str">
        <f t="shared" ca="1" si="96"/>
        <v/>
      </c>
      <c r="W352" s="385" t="str">
        <f t="shared" ca="1" si="97"/>
        <v/>
      </c>
    </row>
    <row r="353" spans="1:23">
      <c r="A353" s="207">
        <f>+'Anexo Escurrimiento'!A363</f>
        <v>2009</v>
      </c>
      <c r="B353" s="207">
        <f>+'Anexo Escurrimiento'!B363</f>
        <v>10</v>
      </c>
      <c r="C353" s="208">
        <f>+'Anexo Escurrimiento'!O363</f>
        <v>1.2287162213699232</v>
      </c>
      <c r="D353" s="207">
        <f>+'Anexo Escurrimiento'!D363</f>
        <v>81.099999999999994</v>
      </c>
      <c r="E353" s="214">
        <f t="shared" ref="E353:F367" si="102">+E341</f>
        <v>114.86999999999999</v>
      </c>
      <c r="F353" s="213">
        <f t="shared" si="102"/>
        <v>59</v>
      </c>
      <c r="G353" s="211">
        <f t="shared" si="101"/>
        <v>-3.3769999999999997E-4</v>
      </c>
      <c r="H353" s="212">
        <f>+F353/100000*'Anexo Bal Hídrico'!$G$4</f>
        <v>0.53100000000000003</v>
      </c>
      <c r="I353" s="212">
        <v>0</v>
      </c>
      <c r="J353" s="212">
        <f t="shared" ca="1" si="88"/>
        <v>8.3345639844378123</v>
      </c>
      <c r="K353" s="212">
        <f t="shared" ca="1" si="89"/>
        <v>312.56100900943022</v>
      </c>
      <c r="L353" s="212">
        <f t="shared" ca="1" si="90"/>
        <v>303.99946418620254</v>
      </c>
      <c r="M353" s="212">
        <f t="shared" ca="1" si="91"/>
        <v>8.0898771019093747</v>
      </c>
      <c r="N353" s="212">
        <f t="shared" ca="1" si="92"/>
        <v>7.6368477630678893</v>
      </c>
      <c r="O353" s="210">
        <f t="shared" ca="1" si="87"/>
        <v>295.43791936297487</v>
      </c>
      <c r="P353" s="212">
        <f t="shared" ca="1" si="93"/>
        <v>0.45302933884148544</v>
      </c>
      <c r="Q353" s="212">
        <f t="shared" ca="1" si="94"/>
        <v>0.53100000000000003</v>
      </c>
      <c r="R353" s="386"/>
      <c r="S353" s="207">
        <f t="shared" si="98"/>
        <v>2009</v>
      </c>
      <c r="T353" s="207">
        <f t="shared" si="99"/>
        <v>10</v>
      </c>
      <c r="U353" s="384" t="str">
        <f t="shared" ca="1" si="95"/>
        <v/>
      </c>
      <c r="V353" s="384" t="str">
        <f t="shared" ca="1" si="96"/>
        <v>||</v>
      </c>
      <c r="W353" s="385" t="str">
        <f t="shared" ca="1" si="97"/>
        <v>||</v>
      </c>
    </row>
    <row r="354" spans="1:23">
      <c r="A354" s="207">
        <f>+'Anexo Escurrimiento'!A364</f>
        <v>2009</v>
      </c>
      <c r="B354" s="207">
        <f>+'Anexo Escurrimiento'!B364</f>
        <v>11</v>
      </c>
      <c r="C354" s="208">
        <f>+'Anexo Escurrimiento'!O364</f>
        <v>11.094163374253856</v>
      </c>
      <c r="D354" s="207">
        <f>+'Anexo Escurrimiento'!D364</f>
        <v>613.29999999999995</v>
      </c>
      <c r="E354" s="214">
        <f t="shared" si="102"/>
        <v>144.06</v>
      </c>
      <c r="F354" s="213">
        <f t="shared" si="102"/>
        <v>212</v>
      </c>
      <c r="G354" s="211">
        <f t="shared" si="101"/>
        <v>4.6923999999999993E-3</v>
      </c>
      <c r="H354" s="212">
        <f>+F354/100000*'Anexo Bal Hídrico'!$G$4</f>
        <v>1.9079999999999999</v>
      </c>
      <c r="I354" s="212">
        <v>0</v>
      </c>
      <c r="J354" s="212">
        <f t="shared" ca="1" si="88"/>
        <v>16.823011137321743</v>
      </c>
      <c r="K354" s="212">
        <f t="shared" ca="1" si="89"/>
        <v>491.47596955927565</v>
      </c>
      <c r="L354" s="212">
        <f t="shared" ca="1" si="90"/>
        <v>393.45694446112526</v>
      </c>
      <c r="M354" s="212">
        <f t="shared" ca="1" si="91"/>
        <v>17.009543932185483</v>
      </c>
      <c r="N354" s="212">
        <f t="shared" ca="1" si="92"/>
        <v>7.6368477630678893</v>
      </c>
      <c r="O354" s="210">
        <f t="shared" ca="1" si="87"/>
        <v>295.43791936297487</v>
      </c>
      <c r="P354" s="212">
        <f t="shared" ca="1" si="93"/>
        <v>9.3726961691175941</v>
      </c>
      <c r="Q354" s="212">
        <f t="shared" ca="1" si="94"/>
        <v>1.9079999999999999</v>
      </c>
      <c r="R354" s="386"/>
      <c r="S354" s="207">
        <f t="shared" si="98"/>
        <v>2009</v>
      </c>
      <c r="T354" s="207">
        <f t="shared" si="99"/>
        <v>11</v>
      </c>
      <c r="U354" s="384" t="str">
        <f t="shared" ca="1" si="95"/>
        <v/>
      </c>
      <c r="V354" s="384" t="str">
        <f t="shared" ca="1" si="96"/>
        <v>|||||||||</v>
      </c>
      <c r="W354" s="385" t="str">
        <f t="shared" ca="1" si="97"/>
        <v>||||||||||||||||||||||||||||||||||||||||||||||</v>
      </c>
    </row>
    <row r="355" spans="1:23">
      <c r="A355" s="207">
        <f>+'Anexo Escurrimiento'!A365</f>
        <v>2009</v>
      </c>
      <c r="B355" s="207">
        <f>+'Anexo Escurrimiento'!B365</f>
        <v>12</v>
      </c>
      <c r="C355" s="208">
        <f>+'Anexo Escurrimiento'!O365</f>
        <v>4.7547699096318947</v>
      </c>
      <c r="D355" s="207">
        <f>+'Anexo Escurrimiento'!D365</f>
        <v>272.39999999999998</v>
      </c>
      <c r="E355" s="214">
        <f t="shared" si="102"/>
        <v>179.62</v>
      </c>
      <c r="F355" s="213">
        <f t="shared" si="102"/>
        <v>388</v>
      </c>
      <c r="G355" s="211">
        <f t="shared" si="101"/>
        <v>9.2779999999999968E-4</v>
      </c>
      <c r="H355" s="212">
        <f>+F355/100000*'Anexo Bal Hídrico'!$G$4</f>
        <v>3.492</v>
      </c>
      <c r="I355" s="212">
        <v>0</v>
      </c>
      <c r="J355" s="212">
        <f t="shared" ca="1" si="88"/>
        <v>8.8996176726997831</v>
      </c>
      <c r="K355" s="212">
        <f t="shared" ca="1" si="89"/>
        <v>326.05727354260154</v>
      </c>
      <c r="L355" s="212">
        <f t="shared" ca="1" si="90"/>
        <v>310.74759645278823</v>
      </c>
      <c r="M355" s="212">
        <f t="shared" ca="1" si="91"/>
        <v>8.6261295508239826</v>
      </c>
      <c r="N355" s="212">
        <f t="shared" ca="1" si="92"/>
        <v>7.6368477630678893</v>
      </c>
      <c r="O355" s="210">
        <f t="shared" ca="1" si="87"/>
        <v>295.43791936297487</v>
      </c>
      <c r="P355" s="212">
        <f t="shared" ca="1" si="93"/>
        <v>0.98928178775609332</v>
      </c>
      <c r="Q355" s="212">
        <f t="shared" ca="1" si="94"/>
        <v>3.492</v>
      </c>
      <c r="R355" s="386"/>
      <c r="S355" s="207">
        <f t="shared" si="98"/>
        <v>2009</v>
      </c>
      <c r="T355" s="207">
        <f t="shared" si="99"/>
        <v>12</v>
      </c>
      <c r="U355" s="384" t="str">
        <f t="shared" ca="1" si="95"/>
        <v/>
      </c>
      <c r="V355" s="384" t="str">
        <f t="shared" ca="1" si="96"/>
        <v>|||||||||||||||||</v>
      </c>
      <c r="W355" s="385" t="str">
        <f t="shared" ca="1" si="97"/>
        <v>||||</v>
      </c>
    </row>
    <row r="356" spans="1:23">
      <c r="A356" s="207">
        <f>+'Anexo Escurrimiento'!A366</f>
        <v>2010</v>
      </c>
      <c r="B356" s="207">
        <f>+'Anexo Escurrimiento'!B366</f>
        <v>1</v>
      </c>
      <c r="C356" s="208">
        <f>+'Anexo Escurrimiento'!O366</f>
        <v>5.6569382009131388</v>
      </c>
      <c r="D356" s="207">
        <f>+'Anexo Escurrimiento'!D366</f>
        <v>357.5</v>
      </c>
      <c r="E356" s="214">
        <f t="shared" si="102"/>
        <v>176.89</v>
      </c>
      <c r="F356" s="213">
        <f t="shared" si="102"/>
        <v>318</v>
      </c>
      <c r="G356" s="211">
        <f t="shared" si="101"/>
        <v>1.8061000000000002E-3</v>
      </c>
      <c r="H356" s="212">
        <f>+F356/100000*'Anexo Bal Hídrico'!$G$4</f>
        <v>2.8620000000000001</v>
      </c>
      <c r="I356" s="212">
        <v>0</v>
      </c>
      <c r="J356" s="212">
        <f t="shared" ca="1" si="88"/>
        <v>10.431785963981028</v>
      </c>
      <c r="K356" s="212">
        <f t="shared" ca="1" si="89"/>
        <v>361.2035804748931</v>
      </c>
      <c r="L356" s="212">
        <f t="shared" ca="1" si="90"/>
        <v>328.32074991893398</v>
      </c>
      <c r="M356" s="212">
        <f t="shared" ca="1" si="91"/>
        <v>10.318572080915748</v>
      </c>
      <c r="N356" s="212">
        <f t="shared" ca="1" si="92"/>
        <v>7.6368477630678893</v>
      </c>
      <c r="O356" s="210">
        <f t="shared" ca="1" si="87"/>
        <v>295.43791936297487</v>
      </c>
      <c r="P356" s="212">
        <f t="shared" ca="1" si="93"/>
        <v>2.6817243178478591</v>
      </c>
      <c r="Q356" s="212">
        <f t="shared" ca="1" si="94"/>
        <v>2.8620000000000001</v>
      </c>
      <c r="R356" s="386"/>
      <c r="S356" s="207">
        <f t="shared" si="98"/>
        <v>2010</v>
      </c>
      <c r="T356" s="207">
        <f t="shared" si="99"/>
        <v>1</v>
      </c>
      <c r="U356" s="384" t="str">
        <f t="shared" ca="1" si="95"/>
        <v/>
      </c>
      <c r="V356" s="384" t="str">
        <f t="shared" ca="1" si="96"/>
        <v>||||||||||||||</v>
      </c>
      <c r="W356" s="385" t="str">
        <f t="shared" ca="1" si="97"/>
        <v>|||||||||||||</v>
      </c>
    </row>
    <row r="357" spans="1:23">
      <c r="A357" s="207">
        <f>+'Anexo Escurrimiento'!A367</f>
        <v>2010</v>
      </c>
      <c r="B357" s="207">
        <f>+'Anexo Escurrimiento'!B367</f>
        <v>2</v>
      </c>
      <c r="C357" s="208">
        <f>+'Anexo Escurrimiento'!O367</f>
        <v>2.6967714196430803</v>
      </c>
      <c r="D357" s="207">
        <f>+'Anexo Escurrimiento'!D367</f>
        <v>166.2</v>
      </c>
      <c r="E357" s="214">
        <f t="shared" si="102"/>
        <v>131.73999999999998</v>
      </c>
      <c r="F357" s="213">
        <f t="shared" si="102"/>
        <v>153</v>
      </c>
      <c r="G357" s="211">
        <f t="shared" si="101"/>
        <v>3.4460000000000008E-4</v>
      </c>
      <c r="H357" s="212">
        <f>+F357/100000*'Anexo Bal Hídrico'!$G$4</f>
        <v>1.377</v>
      </c>
      <c r="I357" s="212">
        <v>0</v>
      </c>
      <c r="J357" s="212">
        <f t="shared" ca="1" si="88"/>
        <v>8.956619182710968</v>
      </c>
      <c r="K357" s="212">
        <f t="shared" ca="1" si="89"/>
        <v>327.40157817301986</v>
      </c>
      <c r="L357" s="212">
        <f t="shared" ca="1" si="90"/>
        <v>311.41974876799736</v>
      </c>
      <c r="M357" s="212">
        <f t="shared" ca="1" si="91"/>
        <v>8.7446082387866255</v>
      </c>
      <c r="N357" s="212">
        <f t="shared" ca="1" si="92"/>
        <v>7.6368477630678893</v>
      </c>
      <c r="O357" s="210">
        <f t="shared" ca="1" si="87"/>
        <v>295.43791936297487</v>
      </c>
      <c r="P357" s="212">
        <f t="shared" ca="1" si="93"/>
        <v>1.1077604757187363</v>
      </c>
      <c r="Q357" s="212">
        <f t="shared" ca="1" si="94"/>
        <v>1.377</v>
      </c>
      <c r="R357" s="386"/>
      <c r="S357" s="207">
        <f t="shared" si="98"/>
        <v>2010</v>
      </c>
      <c r="T357" s="207">
        <f t="shared" si="99"/>
        <v>2</v>
      </c>
      <c r="U357" s="384" t="str">
        <f t="shared" ca="1" si="95"/>
        <v/>
      </c>
      <c r="V357" s="384" t="str">
        <f t="shared" ca="1" si="96"/>
        <v>||||||</v>
      </c>
      <c r="W357" s="385" t="str">
        <f t="shared" ca="1" si="97"/>
        <v>|||||</v>
      </c>
    </row>
    <row r="358" spans="1:23">
      <c r="A358" s="207">
        <f>+'Anexo Escurrimiento'!A368</f>
        <v>2010</v>
      </c>
      <c r="B358" s="207">
        <f>+'Anexo Escurrimiento'!B368</f>
        <v>3</v>
      </c>
      <c r="C358" s="208">
        <f>+'Anexo Escurrimiento'!O368</f>
        <v>0.77400116822994414</v>
      </c>
      <c r="D358" s="207">
        <f>+'Anexo Escurrimiento'!D368</f>
        <v>46.7</v>
      </c>
      <c r="E358" s="214">
        <f t="shared" si="102"/>
        <v>118.64999999999999</v>
      </c>
      <c r="F358" s="213">
        <f t="shared" si="102"/>
        <v>47</v>
      </c>
      <c r="G358" s="211">
        <f t="shared" si="101"/>
        <v>-7.1949999999999987E-4</v>
      </c>
      <c r="H358" s="212">
        <f>+F358/100000*'Anexo Bal Hídrico'!$G$4</f>
        <v>0.42299999999999999</v>
      </c>
      <c r="I358" s="212">
        <v>0</v>
      </c>
      <c r="J358" s="212">
        <f t="shared" ca="1" si="88"/>
        <v>7.9878489312978331</v>
      </c>
      <c r="K358" s="212">
        <f t="shared" ca="1" si="89"/>
        <v>304.11856358297752</v>
      </c>
      <c r="L358" s="212">
        <f t="shared" ca="1" si="90"/>
        <v>299.77824147297622</v>
      </c>
      <c r="M358" s="212">
        <f t="shared" ca="1" si="91"/>
        <v>7.683934642789966</v>
      </c>
      <c r="N358" s="212">
        <f t="shared" ca="1" si="92"/>
        <v>7.6368477630678893</v>
      </c>
      <c r="O358" s="210">
        <f t="shared" ca="1" si="87"/>
        <v>295.43791936297487</v>
      </c>
      <c r="P358" s="212">
        <f t="shared" ca="1" si="93"/>
        <v>4.7086879722076702E-2</v>
      </c>
      <c r="Q358" s="212">
        <f t="shared" ca="1" si="94"/>
        <v>0.42299999999999999</v>
      </c>
      <c r="R358" s="386"/>
      <c r="S358" s="207">
        <f t="shared" si="98"/>
        <v>2010</v>
      </c>
      <c r="T358" s="207">
        <f t="shared" si="99"/>
        <v>3</v>
      </c>
      <c r="U358" s="384" t="str">
        <f t="shared" ca="1" si="95"/>
        <v/>
      </c>
      <c r="V358" s="384" t="str">
        <f t="shared" ca="1" si="96"/>
        <v>||</v>
      </c>
      <c r="W358" s="385" t="str">
        <f t="shared" ca="1" si="97"/>
        <v/>
      </c>
    </row>
    <row r="359" spans="1:23">
      <c r="A359" s="207">
        <f>+'Anexo Escurrimiento'!A369</f>
        <v>2010</v>
      </c>
      <c r="B359" s="207">
        <f>+'Anexo Escurrimiento'!B369</f>
        <v>4</v>
      </c>
      <c r="C359" s="208">
        <f>+'Anexo Escurrimiento'!O369</f>
        <v>0.53890348851404068</v>
      </c>
      <c r="D359" s="207">
        <f>+'Anexo Escurrimiento'!D369</f>
        <v>62.9</v>
      </c>
      <c r="E359" s="214">
        <f t="shared" si="102"/>
        <v>73.149999999999991</v>
      </c>
      <c r="F359" s="213">
        <f t="shared" si="102"/>
        <v>0</v>
      </c>
      <c r="G359" s="211">
        <f t="shared" si="101"/>
        <v>-1.0249999999999993E-4</v>
      </c>
      <c r="H359" s="212">
        <f>+F359/100000*'Anexo Bal Hídrico'!$G$4</f>
        <v>0</v>
      </c>
      <c r="I359" s="212">
        <v>0</v>
      </c>
      <c r="J359" s="212">
        <f t="shared" ca="1" si="88"/>
        <v>8.1757512515819304</v>
      </c>
      <c r="K359" s="212">
        <f t="shared" ca="1" si="89"/>
        <v>308.709766428639</v>
      </c>
      <c r="L359" s="212">
        <f t="shared" ca="1" si="90"/>
        <v>302.07384289580693</v>
      </c>
      <c r="M359" s="212">
        <f t="shared" ca="1" si="91"/>
        <v>8.0828918584549232</v>
      </c>
      <c r="N359" s="212">
        <f t="shared" ca="1" si="92"/>
        <v>7.6368477630678893</v>
      </c>
      <c r="O359" s="210">
        <f t="shared" ca="1" si="87"/>
        <v>295.43791936297487</v>
      </c>
      <c r="P359" s="212">
        <f t="shared" ca="1" si="93"/>
        <v>0.44604409538703393</v>
      </c>
      <c r="Q359" s="212">
        <f t="shared" ca="1" si="94"/>
        <v>0</v>
      </c>
      <c r="R359" s="386"/>
      <c r="S359" s="207">
        <f t="shared" si="98"/>
        <v>2010</v>
      </c>
      <c r="T359" s="207">
        <f t="shared" si="99"/>
        <v>4</v>
      </c>
      <c r="U359" s="384" t="str">
        <f t="shared" ca="1" si="95"/>
        <v/>
      </c>
      <c r="V359" s="384" t="str">
        <f t="shared" ca="1" si="96"/>
        <v/>
      </c>
      <c r="W359" s="385" t="str">
        <f t="shared" ca="1" si="97"/>
        <v>||</v>
      </c>
    </row>
    <row r="360" spans="1:23">
      <c r="A360" s="207">
        <f>+'Anexo Escurrimiento'!A370</f>
        <v>2010</v>
      </c>
      <c r="B360" s="207">
        <f>+'Anexo Escurrimiento'!B370</f>
        <v>5</v>
      </c>
      <c r="C360" s="208">
        <f>+'Anexo Escurrimiento'!O370</f>
        <v>1.7507974781102629</v>
      </c>
      <c r="D360" s="207">
        <f>+'Anexo Escurrimiento'!D370</f>
        <v>126.8</v>
      </c>
      <c r="E360" s="214">
        <f t="shared" si="102"/>
        <v>51.24</v>
      </c>
      <c r="F360" s="213">
        <f t="shared" si="102"/>
        <v>0</v>
      </c>
      <c r="G360" s="211">
        <f t="shared" si="101"/>
        <v>7.5560000000000004E-4</v>
      </c>
      <c r="H360" s="212">
        <f>+F360/100000*'Anexo Bal Hídrico'!$G$4</f>
        <v>0</v>
      </c>
      <c r="I360" s="212">
        <v>0</v>
      </c>
      <c r="J360" s="212">
        <f t="shared" ca="1" si="88"/>
        <v>9.3876452411781521</v>
      </c>
      <c r="K360" s="212">
        <f t="shared" ca="1" si="89"/>
        <v>337.47019995459664</v>
      </c>
      <c r="L360" s="212">
        <f t="shared" ca="1" si="90"/>
        <v>316.45405965878575</v>
      </c>
      <c r="M360" s="212">
        <f t="shared" ca="1" si="91"/>
        <v>9.4160936816645595</v>
      </c>
      <c r="N360" s="212">
        <f t="shared" ca="1" si="92"/>
        <v>7.6368477630678893</v>
      </c>
      <c r="O360" s="210">
        <f t="shared" ca="1" si="87"/>
        <v>295.43791936297487</v>
      </c>
      <c r="P360" s="212">
        <f t="shared" ca="1" si="93"/>
        <v>1.7792459185966703</v>
      </c>
      <c r="Q360" s="212">
        <f t="shared" ca="1" si="94"/>
        <v>0</v>
      </c>
      <c r="R360" s="386"/>
      <c r="S360" s="207">
        <f t="shared" si="98"/>
        <v>2010</v>
      </c>
      <c r="T360" s="207">
        <f t="shared" si="99"/>
        <v>5</v>
      </c>
      <c r="U360" s="384" t="str">
        <f t="shared" ca="1" si="95"/>
        <v/>
      </c>
      <c r="V360" s="384" t="str">
        <f t="shared" ca="1" si="96"/>
        <v/>
      </c>
      <c r="W360" s="385" t="str">
        <f t="shared" ca="1" si="97"/>
        <v>||||||||</v>
      </c>
    </row>
    <row r="361" spans="1:23">
      <c r="A361" s="207">
        <f>+'Anexo Escurrimiento'!A371</f>
        <v>2010</v>
      </c>
      <c r="B361" s="207">
        <f>+'Anexo Escurrimiento'!B371</f>
        <v>6</v>
      </c>
      <c r="C361" s="208">
        <f>+'Anexo Escurrimiento'!O371</f>
        <v>0.59837205000656934</v>
      </c>
      <c r="D361" s="207">
        <f>+'Anexo Escurrimiento'!D371</f>
        <v>22.4</v>
      </c>
      <c r="E361" s="214">
        <f t="shared" si="102"/>
        <v>41.019999999999996</v>
      </c>
      <c r="F361" s="213">
        <f t="shared" si="102"/>
        <v>0</v>
      </c>
      <c r="G361" s="211">
        <f t="shared" si="101"/>
        <v>-1.8619999999999997E-4</v>
      </c>
      <c r="H361" s="212">
        <f>+F361/100000*'Anexo Bal Hídrico'!$G$4</f>
        <v>0</v>
      </c>
      <c r="I361" s="212">
        <v>0</v>
      </c>
      <c r="J361" s="212">
        <f t="shared" ca="1" si="88"/>
        <v>8.2352198130744583</v>
      </c>
      <c r="K361" s="212">
        <f t="shared" ca="1" si="89"/>
        <v>310.15498047322279</v>
      </c>
      <c r="L361" s="212">
        <f t="shared" ca="1" si="90"/>
        <v>302.7964499180988</v>
      </c>
      <c r="M361" s="212">
        <f t="shared" ca="1" si="91"/>
        <v>8.1099475047946878</v>
      </c>
      <c r="N361" s="212">
        <f t="shared" ca="1" si="92"/>
        <v>7.6368477630678893</v>
      </c>
      <c r="O361" s="210">
        <f t="shared" ca="1" si="87"/>
        <v>295.43791936297487</v>
      </c>
      <c r="P361" s="212">
        <f t="shared" ca="1" si="93"/>
        <v>0.47309974172679858</v>
      </c>
      <c r="Q361" s="212">
        <f t="shared" ca="1" si="94"/>
        <v>0</v>
      </c>
      <c r="R361" s="386"/>
      <c r="S361" s="207">
        <f t="shared" si="98"/>
        <v>2010</v>
      </c>
      <c r="T361" s="207">
        <f t="shared" si="99"/>
        <v>6</v>
      </c>
      <c r="U361" s="384" t="str">
        <f t="shared" ca="1" si="95"/>
        <v/>
      </c>
      <c r="V361" s="384" t="str">
        <f t="shared" ca="1" si="96"/>
        <v/>
      </c>
      <c r="W361" s="385" t="str">
        <f t="shared" ca="1" si="97"/>
        <v>||</v>
      </c>
    </row>
    <row r="362" spans="1:23">
      <c r="A362" s="207">
        <f>+'Anexo Escurrimiento'!A372</f>
        <v>2010</v>
      </c>
      <c r="B362" s="207">
        <f>+'Anexo Escurrimiento'!B372</f>
        <v>7</v>
      </c>
      <c r="C362" s="208">
        <f>+'Anexo Escurrimiento'!O372</f>
        <v>2.5804005844467772</v>
      </c>
      <c r="D362" s="207">
        <f>+'Anexo Escurrimiento'!D372</f>
        <v>168.5</v>
      </c>
      <c r="E362" s="214">
        <f t="shared" si="102"/>
        <v>50.819999999999993</v>
      </c>
      <c r="F362" s="213">
        <f t="shared" si="102"/>
        <v>0</v>
      </c>
      <c r="G362" s="211">
        <f t="shared" si="101"/>
        <v>1.1768E-3</v>
      </c>
      <c r="H362" s="212">
        <f>+F362/100000*'Anexo Bal Hídrico'!$G$4</f>
        <v>0</v>
      </c>
      <c r="I362" s="212">
        <v>0</v>
      </c>
      <c r="J362" s="212">
        <f t="shared" ca="1" si="88"/>
        <v>10.217248347514666</v>
      </c>
      <c r="K362" s="212">
        <f t="shared" ca="1" si="89"/>
        <v>356.39874145163958</v>
      </c>
      <c r="L362" s="212">
        <f t="shared" ca="1" si="90"/>
        <v>325.91833040730722</v>
      </c>
      <c r="M362" s="212">
        <f t="shared" ca="1" si="91"/>
        <v>10.2810172325536</v>
      </c>
      <c r="N362" s="212">
        <f t="shared" ca="1" si="92"/>
        <v>7.6368477630678893</v>
      </c>
      <c r="O362" s="210">
        <f t="shared" ca="1" si="87"/>
        <v>295.43791936297487</v>
      </c>
      <c r="P362" s="212">
        <f t="shared" ca="1" si="93"/>
        <v>2.6441694694857105</v>
      </c>
      <c r="Q362" s="212">
        <f t="shared" ca="1" si="94"/>
        <v>0</v>
      </c>
      <c r="R362" s="386"/>
      <c r="S362" s="207">
        <f t="shared" si="98"/>
        <v>2010</v>
      </c>
      <c r="T362" s="207">
        <f t="shared" si="99"/>
        <v>7</v>
      </c>
      <c r="U362" s="384" t="str">
        <f t="shared" ca="1" si="95"/>
        <v/>
      </c>
      <c r="V362" s="384" t="str">
        <f t="shared" ca="1" si="96"/>
        <v/>
      </c>
      <c r="W362" s="385" t="str">
        <f t="shared" ca="1" si="97"/>
        <v>|||||||||||||</v>
      </c>
    </row>
    <row r="363" spans="1:23">
      <c r="A363" s="207">
        <f>+'Anexo Escurrimiento'!A373</f>
        <v>2010</v>
      </c>
      <c r="B363" s="207">
        <f>+'Anexo Escurrimiento'!B373</f>
        <v>8</v>
      </c>
      <c r="C363" s="208">
        <f>+'Anexo Escurrimiento'!O373</f>
        <v>0.73096378480596391</v>
      </c>
      <c r="D363" s="207">
        <f>+'Anexo Escurrimiento'!D373</f>
        <v>13.6</v>
      </c>
      <c r="E363" s="214">
        <f t="shared" si="102"/>
        <v>72.449999999999989</v>
      </c>
      <c r="F363" s="213">
        <f t="shared" si="102"/>
        <v>0</v>
      </c>
      <c r="G363" s="211">
        <f t="shared" si="101"/>
        <v>-5.8849999999999983E-4</v>
      </c>
      <c r="H363" s="212">
        <f>+F363/100000*'Anexo Bal Hídrico'!$G$4</f>
        <v>0</v>
      </c>
      <c r="I363" s="212">
        <v>0</v>
      </c>
      <c r="J363" s="212">
        <f t="shared" ca="1" si="88"/>
        <v>8.3678115478738526</v>
      </c>
      <c r="K363" s="212">
        <f t="shared" ca="1" si="89"/>
        <v>313.3639550333823</v>
      </c>
      <c r="L363" s="212">
        <f t="shared" ca="1" si="90"/>
        <v>304.40093719817855</v>
      </c>
      <c r="M363" s="212">
        <f t="shared" ca="1" si="91"/>
        <v>8.1040685312555905</v>
      </c>
      <c r="N363" s="212">
        <f t="shared" ca="1" si="92"/>
        <v>7.6368477630678893</v>
      </c>
      <c r="O363" s="210">
        <f t="shared" ca="1" si="87"/>
        <v>295.43791936297487</v>
      </c>
      <c r="P363" s="212">
        <f t="shared" ca="1" si="93"/>
        <v>0.4672207681877012</v>
      </c>
      <c r="Q363" s="212">
        <f t="shared" ca="1" si="94"/>
        <v>0</v>
      </c>
      <c r="R363" s="386"/>
      <c r="S363" s="207">
        <f t="shared" si="98"/>
        <v>2010</v>
      </c>
      <c r="T363" s="207">
        <f t="shared" si="99"/>
        <v>8</v>
      </c>
      <c r="U363" s="384" t="str">
        <f t="shared" ca="1" si="95"/>
        <v/>
      </c>
      <c r="V363" s="384" t="str">
        <f t="shared" ca="1" si="96"/>
        <v/>
      </c>
      <c r="W363" s="385" t="str">
        <f t="shared" ca="1" si="97"/>
        <v>||</v>
      </c>
    </row>
    <row r="364" spans="1:23">
      <c r="A364" s="207">
        <f>+'Anexo Escurrimiento'!A374</f>
        <v>2010</v>
      </c>
      <c r="B364" s="207">
        <f>+'Anexo Escurrimiento'!B374</f>
        <v>9</v>
      </c>
      <c r="C364" s="208">
        <f>+'Anexo Escurrimiento'!O374</f>
        <v>1.6833945615019299</v>
      </c>
      <c r="D364" s="207">
        <f>+'Anexo Escurrimiento'!D374</f>
        <v>143.9</v>
      </c>
      <c r="E364" s="214">
        <f t="shared" si="102"/>
        <v>85.89</v>
      </c>
      <c r="F364" s="213">
        <f t="shared" si="102"/>
        <v>0</v>
      </c>
      <c r="G364" s="211">
        <f t="shared" si="101"/>
        <v>5.8010000000000006E-4</v>
      </c>
      <c r="H364" s="212">
        <f>+F364/100000*'Anexo Bal Hídrico'!$G$4</f>
        <v>0</v>
      </c>
      <c r="I364" s="212">
        <v>0</v>
      </c>
      <c r="J364" s="212">
        <f t="shared" ca="1" si="88"/>
        <v>9.3202423245698185</v>
      </c>
      <c r="K364" s="212">
        <f t="shared" ca="1" si="89"/>
        <v>335.90670882796815</v>
      </c>
      <c r="L364" s="212">
        <f t="shared" ca="1" si="90"/>
        <v>315.67231409547151</v>
      </c>
      <c r="M364" s="212">
        <f t="shared" ca="1" si="91"/>
        <v>9.3013102002256343</v>
      </c>
      <c r="N364" s="212">
        <f t="shared" ca="1" si="92"/>
        <v>7.6368477630678893</v>
      </c>
      <c r="O364" s="210">
        <f t="shared" ca="1" si="87"/>
        <v>295.43791936297487</v>
      </c>
      <c r="P364" s="212">
        <f t="shared" ca="1" si="93"/>
        <v>1.664462437157745</v>
      </c>
      <c r="Q364" s="212">
        <f t="shared" ca="1" si="94"/>
        <v>0</v>
      </c>
      <c r="R364" s="386"/>
      <c r="S364" s="207">
        <f t="shared" si="98"/>
        <v>2010</v>
      </c>
      <c r="T364" s="207">
        <f t="shared" si="99"/>
        <v>9</v>
      </c>
      <c r="U364" s="384" t="str">
        <f t="shared" ca="1" si="95"/>
        <v/>
      </c>
      <c r="V364" s="384" t="str">
        <f t="shared" ca="1" si="96"/>
        <v/>
      </c>
      <c r="W364" s="385" t="str">
        <f t="shared" ca="1" si="97"/>
        <v>||||||||</v>
      </c>
    </row>
    <row r="365" spans="1:23">
      <c r="A365" s="207">
        <f>+'Anexo Escurrimiento'!A375</f>
        <v>2010</v>
      </c>
      <c r="B365" s="207">
        <f>+'Anexo Escurrimiento'!B375</f>
        <v>10</v>
      </c>
      <c r="C365" s="208">
        <f>+'Anexo Escurrimiento'!O375</f>
        <v>0.55195651306105964</v>
      </c>
      <c r="D365" s="207">
        <f>+'Anexo Escurrimiento'!D375</f>
        <v>24.4</v>
      </c>
      <c r="E365" s="214">
        <f t="shared" si="102"/>
        <v>114.86999999999999</v>
      </c>
      <c r="F365" s="213">
        <f t="shared" si="102"/>
        <v>59</v>
      </c>
      <c r="G365" s="211">
        <f t="shared" si="101"/>
        <v>-9.0470000000000004E-4</v>
      </c>
      <c r="H365" s="212">
        <f>+F365/100000*'Anexo Bal Hídrico'!$G$4</f>
        <v>0.53100000000000003</v>
      </c>
      <c r="I365" s="212">
        <v>0</v>
      </c>
      <c r="J365" s="212">
        <f t="shared" ca="1" si="88"/>
        <v>7.6578042761289487</v>
      </c>
      <c r="K365" s="212">
        <f t="shared" ca="1" si="89"/>
        <v>295.96012508775891</v>
      </c>
      <c r="L365" s="212">
        <f t="shared" ca="1" si="90"/>
        <v>295.69902222536689</v>
      </c>
      <c r="M365" s="212">
        <f t="shared" ca="1" si="91"/>
        <v>7.3282271953516682</v>
      </c>
      <c r="N365" s="212">
        <f t="shared" ca="1" si="92"/>
        <v>7.3282271953516682</v>
      </c>
      <c r="O365" s="210">
        <f t="shared" ca="1" si="87"/>
        <v>287.68748399842229</v>
      </c>
      <c r="P365" s="212">
        <f t="shared" ca="1" si="93"/>
        <v>0</v>
      </c>
      <c r="Q365" s="212">
        <f t="shared" ca="1" si="94"/>
        <v>0.53100000000000003</v>
      </c>
      <c r="R365" s="386"/>
      <c r="S365" s="207">
        <f t="shared" si="98"/>
        <v>2010</v>
      </c>
      <c r="T365" s="207">
        <f t="shared" si="99"/>
        <v>10</v>
      </c>
      <c r="U365" s="384" t="str">
        <f t="shared" ca="1" si="95"/>
        <v/>
      </c>
      <c r="V365" s="384" t="str">
        <f t="shared" ca="1" si="96"/>
        <v>||</v>
      </c>
      <c r="W365" s="385" t="str">
        <f t="shared" ca="1" si="97"/>
        <v/>
      </c>
    </row>
    <row r="366" spans="1:23">
      <c r="A366" s="207">
        <f>+'Anexo Escurrimiento'!A376</f>
        <v>2010</v>
      </c>
      <c r="B366" s="207">
        <f>+'Anexo Escurrimiento'!B376</f>
        <v>11</v>
      </c>
      <c r="C366" s="208">
        <f>+'Anexo Escurrimiento'!O376</f>
        <v>0.13439598683121523</v>
      </c>
      <c r="D366" s="207">
        <f>+'Anexo Escurrimiento'!D376</f>
        <v>32.700000000000003</v>
      </c>
      <c r="E366" s="214">
        <f t="shared" si="102"/>
        <v>144.06</v>
      </c>
      <c r="F366" s="213">
        <f t="shared" si="102"/>
        <v>212</v>
      </c>
      <c r="G366" s="211">
        <f t="shared" si="101"/>
        <v>-1.1136E-3</v>
      </c>
      <c r="H366" s="212">
        <f>+F366/100000*'Anexo Bal Hídrico'!$G$4</f>
        <v>1.9079999999999999</v>
      </c>
      <c r="I366" s="212">
        <v>0</v>
      </c>
      <c r="J366" s="212">
        <f t="shared" ca="1" si="88"/>
        <v>5.5546231821828833</v>
      </c>
      <c r="K366" s="212">
        <f t="shared" ca="1" si="89"/>
        <v>240.63917537564299</v>
      </c>
      <c r="L366" s="212">
        <f t="shared" ca="1" si="90"/>
        <v>264.16332968703261</v>
      </c>
      <c r="M366" s="212">
        <f t="shared" ca="1" si="91"/>
        <v>5.2469518520921081</v>
      </c>
      <c r="N366" s="212">
        <f t="shared" ca="1" si="92"/>
        <v>5.2469518520921081</v>
      </c>
      <c r="O366" s="210">
        <f t="shared" ca="1" si="87"/>
        <v>231.9626430780059</v>
      </c>
      <c r="P366" s="212">
        <f t="shared" ca="1" si="93"/>
        <v>0</v>
      </c>
      <c r="Q366" s="212">
        <f t="shared" ca="1" si="94"/>
        <v>1.9079999999999999</v>
      </c>
      <c r="R366" s="386"/>
      <c r="S366" s="207">
        <f t="shared" si="98"/>
        <v>2010</v>
      </c>
      <c r="T366" s="207">
        <f t="shared" si="99"/>
        <v>11</v>
      </c>
      <c r="U366" s="384" t="str">
        <f t="shared" ca="1" si="95"/>
        <v/>
      </c>
      <c r="V366" s="384" t="str">
        <f t="shared" ca="1" si="96"/>
        <v>|||||||||</v>
      </c>
      <c r="W366" s="385" t="str">
        <f t="shared" ca="1" si="97"/>
        <v/>
      </c>
    </row>
    <row r="367" spans="1:23">
      <c r="A367" s="207">
        <f>+'Anexo Escurrimiento'!A377</f>
        <v>2010</v>
      </c>
      <c r="B367" s="207">
        <f>+'Anexo Escurrimiento'!B377</f>
        <v>12</v>
      </c>
      <c r="C367" s="208">
        <f>+'Anexo Escurrimiento'!O377</f>
        <v>0.39671249245561202</v>
      </c>
      <c r="D367" s="207">
        <f>+'Anexo Escurrimiento'!D377</f>
        <v>78.5</v>
      </c>
      <c r="E367" s="214">
        <f t="shared" si="102"/>
        <v>179.62</v>
      </c>
      <c r="F367" s="213">
        <f t="shared" si="102"/>
        <v>388</v>
      </c>
      <c r="G367" s="211">
        <f t="shared" si="101"/>
        <v>-1.0112000000000001E-3</v>
      </c>
      <c r="H367" s="212">
        <f>+F367/100000*'Anexo Bal Hídrico'!$G$4</f>
        <v>3.492</v>
      </c>
      <c r="I367" s="212">
        <v>0</v>
      </c>
      <c r="J367" s="212">
        <f t="shared" ca="1" si="88"/>
        <v>2.1516643445477204</v>
      </c>
      <c r="K367" s="212">
        <f t="shared" ca="1" si="89"/>
        <v>130.59740003358624</v>
      </c>
      <c r="L367" s="212">
        <f t="shared" ca="1" si="90"/>
        <v>181.28002155579605</v>
      </c>
      <c r="M367" s="212">
        <f t="shared" ca="1" si="91"/>
        <v>1.9410094813574172</v>
      </c>
      <c r="N367" s="212">
        <f t="shared" ca="1" si="92"/>
        <v>1.9410094813574172</v>
      </c>
      <c r="O367" s="210">
        <f t="shared" ca="1" si="87"/>
        <v>122.20750623626172</v>
      </c>
      <c r="P367" s="212">
        <f t="shared" ca="1" si="93"/>
        <v>0</v>
      </c>
      <c r="Q367" s="212">
        <f t="shared" ca="1" si="94"/>
        <v>3.492</v>
      </c>
      <c r="R367" s="386"/>
      <c r="S367" s="207">
        <f t="shared" si="98"/>
        <v>2010</v>
      </c>
      <c r="T367" s="207">
        <f t="shared" si="99"/>
        <v>12</v>
      </c>
      <c r="U367" s="384" t="str">
        <f t="shared" ca="1" si="95"/>
        <v/>
      </c>
      <c r="V367" s="384" t="str">
        <f t="shared" ca="1" si="96"/>
        <v>|||||||||||||||||</v>
      </c>
      <c r="W367" s="385" t="str">
        <f t="shared" ca="1" si="97"/>
        <v/>
      </c>
    </row>
  </sheetData>
  <sheetProtection sheet="1" objects="1"/>
  <mergeCells count="3">
    <mergeCell ref="A1:Q1"/>
    <mergeCell ref="K3:O3"/>
    <mergeCell ref="S5:W5"/>
  </mergeCells>
  <phoneticPr fontId="15" type="noConversion"/>
  <pageMargins left="0.76" right="0.8" top="0.75" bottom="0.75" header="0.3" footer="0.3"/>
  <pageSetup pageOrder="overThenDown" orientation="landscape"/>
  <headerFooter>
    <oddFooter xml:space="preserve">&amp;LPágina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2"/>
  </sheetPr>
  <dimension ref="A1:R40"/>
  <sheetViews>
    <sheetView zoomScale="90" zoomScaleNormal="110" workbookViewId="0">
      <selection activeCell="R51" sqref="R51"/>
    </sheetView>
  </sheetViews>
  <sheetFormatPr baseColWidth="10" defaultColWidth="11.5" defaultRowHeight="15"/>
  <cols>
    <col min="1" max="1" width="9" style="82" customWidth="1"/>
    <col min="2" max="2" width="8.1640625" style="85" customWidth="1"/>
    <col min="3" max="3" width="10.5" style="81" customWidth="1"/>
    <col min="4" max="4" width="10.33203125" style="81" customWidth="1"/>
    <col min="5" max="5" width="9.33203125" style="81" customWidth="1"/>
    <col min="6" max="9" width="11" style="81" customWidth="1"/>
    <col min="10" max="11" width="10.5" style="217" customWidth="1"/>
    <col min="12" max="12" width="9.6640625" style="217" customWidth="1"/>
    <col min="13" max="13" width="10.5" style="217" customWidth="1"/>
    <col min="14" max="14" width="9.5" style="217" customWidth="1"/>
    <col min="15" max="16" width="10.33203125" style="84" customWidth="1"/>
    <col min="17" max="17" width="10.33203125" style="82" customWidth="1"/>
    <col min="18" max="16384" width="11.5" style="82"/>
  </cols>
  <sheetData>
    <row r="1" spans="1:17" ht="21">
      <c r="A1" s="459" t="s">
        <v>76</v>
      </c>
      <c r="B1" s="459"/>
      <c r="C1" s="459"/>
      <c r="D1" s="459"/>
      <c r="E1" s="459"/>
      <c r="F1" s="459"/>
      <c r="G1" s="459"/>
      <c r="H1" s="459"/>
      <c r="I1" s="459"/>
      <c r="N1" s="84"/>
      <c r="P1" s="82"/>
    </row>
    <row r="2" spans="1:17" ht="18.75" customHeight="1">
      <c r="A2" s="83" t="s">
        <v>338</v>
      </c>
      <c r="B2" s="81"/>
      <c r="I2" s="271" t="str">
        <f>+'Info Gral'!B3</f>
        <v>Presa del Ejemplo del Manual</v>
      </c>
      <c r="N2" s="84"/>
      <c r="P2" s="82"/>
    </row>
    <row r="3" spans="1:17" ht="16" thickBot="1">
      <c r="A3" s="85"/>
      <c r="B3" s="90"/>
      <c r="C3" s="90"/>
      <c r="D3" s="90"/>
      <c r="E3" s="90"/>
      <c r="F3" s="90"/>
      <c r="I3" s="217"/>
      <c r="N3" s="84"/>
      <c r="P3" s="82"/>
    </row>
    <row r="4" spans="1:17" s="86" customFormat="1" ht="15.75" customHeight="1" thickBot="1">
      <c r="C4" s="517" t="s">
        <v>455</v>
      </c>
      <c r="D4" s="518"/>
      <c r="E4" s="518"/>
      <c r="F4" s="518"/>
      <c r="G4" s="519"/>
    </row>
    <row r="5" spans="1:17" ht="20">
      <c r="B5" s="82"/>
      <c r="C5" s="523" t="s">
        <v>315</v>
      </c>
      <c r="D5" s="524"/>
      <c r="E5" s="427" t="s">
        <v>318</v>
      </c>
      <c r="F5" s="256" t="s">
        <v>451</v>
      </c>
      <c r="G5" s="257">
        <f ca="1">1/(c_^(1/d_))</f>
        <v>3.528621175941864</v>
      </c>
      <c r="I5" s="82"/>
      <c r="J5" s="82"/>
      <c r="K5" s="82"/>
      <c r="L5" s="82"/>
      <c r="M5" s="82"/>
      <c r="N5" s="82"/>
      <c r="O5" s="82"/>
      <c r="P5" s="82"/>
    </row>
    <row r="6" spans="1:17" ht="21" thickBot="1">
      <c r="B6" s="82"/>
      <c r="C6" s="525" t="s">
        <v>449</v>
      </c>
      <c r="D6" s="526"/>
      <c r="E6" s="428"/>
      <c r="F6" s="259" t="s">
        <v>452</v>
      </c>
      <c r="G6" s="87">
        <f ca="1">1/d_</f>
        <v>0.35556048200266049</v>
      </c>
      <c r="I6" s="82"/>
      <c r="J6" s="82"/>
      <c r="K6" s="82"/>
      <c r="L6" s="82"/>
      <c r="M6" s="82"/>
      <c r="N6" s="82"/>
      <c r="O6" s="82"/>
      <c r="P6" s="82"/>
    </row>
    <row r="7" spans="1:17" ht="20">
      <c r="B7" s="82"/>
      <c r="C7" s="523" t="s">
        <v>316</v>
      </c>
      <c r="D7" s="524"/>
      <c r="E7" s="427" t="s">
        <v>319</v>
      </c>
      <c r="F7" s="256" t="s">
        <v>453</v>
      </c>
      <c r="G7" s="257">
        <f ca="1">+a_*e_^b_</f>
        <v>79.704249658448219</v>
      </c>
      <c r="I7" s="82"/>
      <c r="J7" s="82"/>
      <c r="K7" s="82"/>
      <c r="L7" s="82"/>
      <c r="M7" s="82"/>
      <c r="N7" s="84"/>
      <c r="P7" s="82"/>
    </row>
    <row r="8" spans="1:17" ht="21" thickBot="1">
      <c r="B8" s="82"/>
      <c r="C8" s="527" t="s">
        <v>450</v>
      </c>
      <c r="D8" s="528"/>
      <c r="E8" s="428"/>
      <c r="F8" s="259" t="s">
        <v>454</v>
      </c>
      <c r="G8" s="87">
        <f ca="1">+f_*b_</f>
        <v>0.64443951799733945</v>
      </c>
      <c r="I8" s="82"/>
      <c r="J8" s="82"/>
      <c r="K8" s="82"/>
      <c r="L8" s="82"/>
      <c r="M8" s="82"/>
      <c r="N8" s="84"/>
      <c r="P8" s="82"/>
    </row>
    <row r="9" spans="1:17" ht="19">
      <c r="A9" s="235">
        <f ca="1">+ROUND(AVERAGE(OFFSET(E13,0,0,A10-1,1)),2)</f>
        <v>98.73</v>
      </c>
      <c r="B9" s="267" t="s">
        <v>460</v>
      </c>
      <c r="G9" s="82"/>
      <c r="H9" s="82"/>
      <c r="I9" s="82"/>
    </row>
    <row r="10" spans="1:17" ht="19">
      <c r="A10" s="224">
        <f>+COUNTA('Info Gral'!F7:F26)</f>
        <v>6</v>
      </c>
      <c r="B10" s="267" t="s">
        <v>459</v>
      </c>
      <c r="E10" s="89"/>
      <c r="F10" s="89"/>
      <c r="G10" s="82"/>
      <c r="H10" s="82"/>
      <c r="I10" s="82"/>
    </row>
    <row r="11" spans="1:17" ht="27.75" customHeight="1" thickBot="1">
      <c r="A11" s="515" t="s">
        <v>461</v>
      </c>
      <c r="B11" s="516"/>
      <c r="C11" s="529" t="s">
        <v>463</v>
      </c>
      <c r="D11" s="530"/>
      <c r="E11" s="530"/>
      <c r="F11" s="530"/>
      <c r="G11" s="531"/>
      <c r="H11" s="520" t="s">
        <v>458</v>
      </c>
      <c r="I11" s="521"/>
      <c r="J11" s="82"/>
      <c r="O11" s="217"/>
      <c r="Q11" s="84"/>
    </row>
    <row r="12" spans="1:17" ht="42" customHeight="1">
      <c r="A12" s="265" t="s">
        <v>65</v>
      </c>
      <c r="B12" s="268" t="s">
        <v>462</v>
      </c>
      <c r="C12" s="189" t="s">
        <v>313</v>
      </c>
      <c r="D12" s="189" t="s">
        <v>67</v>
      </c>
      <c r="E12" s="189" t="s">
        <v>416</v>
      </c>
      <c r="F12" s="189" t="s">
        <v>62</v>
      </c>
      <c r="G12" s="189" t="s">
        <v>63</v>
      </c>
      <c r="H12" s="218" t="s">
        <v>456</v>
      </c>
      <c r="I12" s="218" t="s">
        <v>457</v>
      </c>
      <c r="J12" s="82"/>
      <c r="O12" s="217"/>
      <c r="Q12" s="84"/>
    </row>
    <row r="13" spans="1:17">
      <c r="A13" s="266">
        <f>+'Info Gral'!F7</f>
        <v>101.2</v>
      </c>
      <c r="B13" s="266">
        <f>+'Info Gral'!G7</f>
        <v>37.700000000000003</v>
      </c>
      <c r="C13" s="225">
        <f t="shared" ref="C13:C32" ca="1" si="0">+A13-Hast</f>
        <v>2.4699999999999989</v>
      </c>
      <c r="D13" s="225">
        <f>+SQRT(B13)</f>
        <v>6.1400325732035004</v>
      </c>
      <c r="E13" s="226">
        <f>+((SQRT(B14/B$13)*A$13-A14)/(SQRT(B14/B$13)-1))</f>
        <v>99.184836071975809</v>
      </c>
      <c r="F13" s="227">
        <f ca="1">+LN(C13)</f>
        <v>0.90421815063988542</v>
      </c>
      <c r="G13" s="227">
        <f>+LN(B13)</f>
        <v>3.629660094453965</v>
      </c>
      <c r="H13" s="219">
        <f t="shared" ref="H13:H32" ca="1" si="1">IF(A13&gt;0,+a_*(A13-Hast)^b_,"")</f>
        <v>41.755781281892666</v>
      </c>
      <c r="I13" s="186">
        <f t="shared" ref="I13:I32" ca="1" si="2">IF(A13&gt;0,c_*(A13-Hast)^d_,"")</f>
        <v>0.36671363125898937</v>
      </c>
      <c r="J13" s="82"/>
      <c r="O13" s="217"/>
      <c r="Q13" s="84"/>
    </row>
    <row r="14" spans="1:17">
      <c r="A14" s="266">
        <f>+'Info Gral'!F8</f>
        <v>102.2</v>
      </c>
      <c r="B14" s="266">
        <f>+'Info Gral'!G8</f>
        <v>84.4</v>
      </c>
      <c r="C14" s="225">
        <f t="shared" ca="1" si="0"/>
        <v>3.4699999999999989</v>
      </c>
      <c r="D14" s="225">
        <f t="shared" ref="D14:D32" si="3">+SQRT(B14)</f>
        <v>9.1869472622846811</v>
      </c>
      <c r="E14" s="226">
        <f t="shared" ref="E14:E32" si="4">+((SQRT(B15/B$13)*A$13-A15)/(SQRT(B15/B$13)-1))</f>
        <v>98.974375985319284</v>
      </c>
      <c r="F14" s="227">
        <f t="shared" ref="F14:F32" ca="1" si="5">+LN(C14)</f>
        <v>1.2441545939587675</v>
      </c>
      <c r="G14" s="227">
        <f t="shared" ref="G14:G32" si="6">+LN(B14)</f>
        <v>4.4355674016019115</v>
      </c>
      <c r="H14" s="219">
        <f t="shared" ca="1" si="1"/>
        <v>77.320527162992761</v>
      </c>
      <c r="I14" s="186">
        <f t="shared" ca="1" si="2"/>
        <v>0.95397669956504061</v>
      </c>
      <c r="J14" s="82"/>
      <c r="O14" s="217"/>
      <c r="Q14" s="84"/>
    </row>
    <row r="15" spans="1:17">
      <c r="A15" s="266">
        <f>+'Info Gral'!F9</f>
        <v>103.2</v>
      </c>
      <c r="B15" s="266">
        <f>+'Info Gral'!G9</f>
        <v>135.9</v>
      </c>
      <c r="C15" s="225">
        <f t="shared" ca="1" si="0"/>
        <v>4.4699999999999989</v>
      </c>
      <c r="D15" s="225">
        <f t="shared" si="3"/>
        <v>11.657615536635269</v>
      </c>
      <c r="E15" s="226">
        <f t="shared" si="4"/>
        <v>98.628833731739164</v>
      </c>
      <c r="F15" s="227">
        <f t="shared" ca="1" si="5"/>
        <v>1.4973884086254772</v>
      </c>
      <c r="G15" s="227">
        <f t="shared" si="6"/>
        <v>4.9119193211570984</v>
      </c>
      <c r="H15" s="219">
        <f t="shared" ca="1" si="1"/>
        <v>122.356130295593</v>
      </c>
      <c r="I15" s="186">
        <f t="shared" ca="1" si="2"/>
        <v>1.9446737084754979</v>
      </c>
      <c r="J15" s="82"/>
      <c r="O15" s="217"/>
      <c r="Q15" s="84"/>
    </row>
    <row r="16" spans="1:17">
      <c r="A16" s="266">
        <f>+'Info Gral'!F10</f>
        <v>104.2</v>
      </c>
      <c r="B16" s="266">
        <f>+'Info Gral'!G10</f>
        <v>177</v>
      </c>
      <c r="C16" s="225">
        <f t="shared" ca="1" si="0"/>
        <v>5.4699999999999989</v>
      </c>
      <c r="D16" s="225">
        <f t="shared" si="3"/>
        <v>13.30413469565007</v>
      </c>
      <c r="E16" s="226">
        <f t="shared" si="4"/>
        <v>98.423786301138151</v>
      </c>
      <c r="F16" s="227">
        <f t="shared" ca="1" si="5"/>
        <v>1.6992786164338896</v>
      </c>
      <c r="G16" s="227">
        <f t="shared" si="6"/>
        <v>5.1761497325738288</v>
      </c>
      <c r="H16" s="219">
        <f t="shared" ca="1" si="1"/>
        <v>176.41762040906599</v>
      </c>
      <c r="I16" s="186">
        <f t="shared" ca="1" si="2"/>
        <v>3.4311742378086203</v>
      </c>
      <c r="J16" s="82"/>
      <c r="O16" s="217"/>
      <c r="Q16" s="84"/>
    </row>
    <row r="17" spans="1:17">
      <c r="A17" s="266">
        <f>+'Info Gral'!F11</f>
        <v>105.2</v>
      </c>
      <c r="B17" s="266">
        <f>+'Info Gral'!G11</f>
        <v>224.6</v>
      </c>
      <c r="C17" s="225">
        <f t="shared" ca="1" si="0"/>
        <v>6.4699999999999989</v>
      </c>
      <c r="D17" s="225">
        <f t="shared" si="3"/>
        <v>14.986660735467391</v>
      </c>
      <c r="E17" s="226">
        <f t="shared" si="4"/>
        <v>98.460488468238978</v>
      </c>
      <c r="F17" s="227">
        <f t="shared" ca="1" si="5"/>
        <v>1.8671761085128091</v>
      </c>
      <c r="G17" s="227">
        <f t="shared" si="6"/>
        <v>5.4143210423043424</v>
      </c>
      <c r="H17" s="219">
        <f t="shared" ca="1" si="1"/>
        <v>239.16691306842282</v>
      </c>
      <c r="I17" s="186">
        <f t="shared" ca="1" si="2"/>
        <v>5.5019781969633845</v>
      </c>
      <c r="J17" s="82"/>
      <c r="O17" s="217"/>
      <c r="Q17" s="84"/>
    </row>
    <row r="18" spans="1:17">
      <c r="A18" s="266">
        <f>+'Info Gral'!F12</f>
        <v>106.2</v>
      </c>
      <c r="B18" s="266">
        <f>+'Info Gral'!G12</f>
        <v>300.89999999999998</v>
      </c>
      <c r="C18" s="225">
        <f t="shared" ca="1" si="0"/>
        <v>7.4699999999999989</v>
      </c>
      <c r="D18" s="225">
        <f t="shared" si="3"/>
        <v>17.34646938140439</v>
      </c>
      <c r="E18" s="226">
        <f t="shared" si="4"/>
        <v>0</v>
      </c>
      <c r="F18" s="227">
        <f t="shared" ca="1" si="5"/>
        <v>2.0108949991447256</v>
      </c>
      <c r="G18" s="227">
        <f t="shared" si="6"/>
        <v>5.7067779836359991</v>
      </c>
      <c r="H18" s="219">
        <f t="shared" ca="1" si="1"/>
        <v>310.33320590390042</v>
      </c>
      <c r="I18" s="186">
        <f t="shared" ca="1" si="2"/>
        <v>8.242564153164837</v>
      </c>
      <c r="J18" s="82"/>
      <c r="O18" s="217"/>
      <c r="Q18" s="84"/>
    </row>
    <row r="19" spans="1:17">
      <c r="A19" s="266">
        <f>+'Info Gral'!F13</f>
        <v>0</v>
      </c>
      <c r="B19" s="266">
        <f>+'Info Gral'!G13</f>
        <v>0</v>
      </c>
      <c r="C19" s="225">
        <f t="shared" ca="1" si="0"/>
        <v>-98.73</v>
      </c>
      <c r="D19" s="225">
        <f t="shared" si="3"/>
        <v>0</v>
      </c>
      <c r="E19" s="226">
        <f t="shared" si="4"/>
        <v>0</v>
      </c>
      <c r="F19" s="227" t="e">
        <f t="shared" ca="1" si="5"/>
        <v>#NUM!</v>
      </c>
      <c r="G19" s="227" t="e">
        <f t="shared" si="6"/>
        <v>#NUM!</v>
      </c>
      <c r="H19" s="219" t="str">
        <f t="shared" si="1"/>
        <v/>
      </c>
      <c r="I19" s="186" t="str">
        <f t="shared" si="2"/>
        <v/>
      </c>
      <c r="J19" s="82"/>
      <c r="O19" s="217"/>
      <c r="Q19" s="84"/>
    </row>
    <row r="20" spans="1:17">
      <c r="A20" s="266">
        <f>+'Info Gral'!F14</f>
        <v>0</v>
      </c>
      <c r="B20" s="266">
        <f>+'Info Gral'!G14</f>
        <v>0</v>
      </c>
      <c r="C20" s="225">
        <f t="shared" ca="1" si="0"/>
        <v>-98.73</v>
      </c>
      <c r="D20" s="225">
        <f t="shared" si="3"/>
        <v>0</v>
      </c>
      <c r="E20" s="226">
        <f t="shared" si="4"/>
        <v>0</v>
      </c>
      <c r="F20" s="227" t="e">
        <f t="shared" ca="1" si="5"/>
        <v>#NUM!</v>
      </c>
      <c r="G20" s="227" t="e">
        <f t="shared" si="6"/>
        <v>#NUM!</v>
      </c>
      <c r="H20" s="219" t="str">
        <f t="shared" si="1"/>
        <v/>
      </c>
      <c r="I20" s="186" t="str">
        <f t="shared" si="2"/>
        <v/>
      </c>
      <c r="J20" s="82"/>
      <c r="O20" s="217"/>
      <c r="Q20" s="84"/>
    </row>
    <row r="21" spans="1:17">
      <c r="A21" s="266">
        <f>+'Info Gral'!F15</f>
        <v>0</v>
      </c>
      <c r="B21" s="266">
        <f>+'Info Gral'!G15</f>
        <v>0</v>
      </c>
      <c r="C21" s="225">
        <f t="shared" ca="1" si="0"/>
        <v>-98.73</v>
      </c>
      <c r="D21" s="225">
        <f t="shared" si="3"/>
        <v>0</v>
      </c>
      <c r="E21" s="226">
        <f t="shared" si="4"/>
        <v>0</v>
      </c>
      <c r="F21" s="227" t="e">
        <f t="shared" ca="1" si="5"/>
        <v>#NUM!</v>
      </c>
      <c r="G21" s="227" t="e">
        <f t="shared" si="6"/>
        <v>#NUM!</v>
      </c>
      <c r="H21" s="219" t="str">
        <f t="shared" si="1"/>
        <v/>
      </c>
      <c r="I21" s="186" t="str">
        <f t="shared" si="2"/>
        <v/>
      </c>
      <c r="J21" s="82"/>
      <c r="O21" s="217"/>
      <c r="Q21" s="84"/>
    </row>
    <row r="22" spans="1:17">
      <c r="A22" s="266">
        <f>+'Info Gral'!F16</f>
        <v>0</v>
      </c>
      <c r="B22" s="266">
        <f>+'Info Gral'!G16</f>
        <v>0</v>
      </c>
      <c r="C22" s="225">
        <f t="shared" ca="1" si="0"/>
        <v>-98.73</v>
      </c>
      <c r="D22" s="225">
        <f t="shared" si="3"/>
        <v>0</v>
      </c>
      <c r="E22" s="226">
        <f t="shared" si="4"/>
        <v>0</v>
      </c>
      <c r="F22" s="227" t="e">
        <f t="shared" ca="1" si="5"/>
        <v>#NUM!</v>
      </c>
      <c r="G22" s="227" t="e">
        <f t="shared" si="6"/>
        <v>#NUM!</v>
      </c>
      <c r="H22" s="219" t="str">
        <f t="shared" si="1"/>
        <v/>
      </c>
      <c r="I22" s="186" t="str">
        <f t="shared" si="2"/>
        <v/>
      </c>
      <c r="J22" s="82"/>
      <c r="O22" s="217"/>
      <c r="Q22" s="84"/>
    </row>
    <row r="23" spans="1:17">
      <c r="A23" s="266">
        <f>+'Info Gral'!F17</f>
        <v>0</v>
      </c>
      <c r="B23" s="266">
        <f>+'Info Gral'!G17</f>
        <v>0</v>
      </c>
      <c r="C23" s="225">
        <f t="shared" ca="1" si="0"/>
        <v>-98.73</v>
      </c>
      <c r="D23" s="225">
        <f t="shared" si="3"/>
        <v>0</v>
      </c>
      <c r="E23" s="226">
        <f t="shared" si="4"/>
        <v>0</v>
      </c>
      <c r="F23" s="227" t="e">
        <f t="shared" ca="1" si="5"/>
        <v>#NUM!</v>
      </c>
      <c r="G23" s="227" t="e">
        <f t="shared" si="6"/>
        <v>#NUM!</v>
      </c>
      <c r="H23" s="219" t="str">
        <f t="shared" si="1"/>
        <v/>
      </c>
      <c r="I23" s="186" t="str">
        <f t="shared" si="2"/>
        <v/>
      </c>
      <c r="J23" s="82"/>
      <c r="O23" s="217"/>
      <c r="Q23" s="84"/>
    </row>
    <row r="24" spans="1:17">
      <c r="A24" s="266">
        <f>+'Info Gral'!F18</f>
        <v>0</v>
      </c>
      <c r="B24" s="266">
        <f>+'Info Gral'!G18</f>
        <v>0</v>
      </c>
      <c r="C24" s="225">
        <f t="shared" ca="1" si="0"/>
        <v>-98.73</v>
      </c>
      <c r="D24" s="225">
        <f t="shared" si="3"/>
        <v>0</v>
      </c>
      <c r="E24" s="226">
        <f t="shared" si="4"/>
        <v>0</v>
      </c>
      <c r="F24" s="227" t="e">
        <f t="shared" ca="1" si="5"/>
        <v>#NUM!</v>
      </c>
      <c r="G24" s="227" t="e">
        <f t="shared" si="6"/>
        <v>#NUM!</v>
      </c>
      <c r="H24" s="219" t="str">
        <f t="shared" si="1"/>
        <v/>
      </c>
      <c r="I24" s="186" t="str">
        <f t="shared" si="2"/>
        <v/>
      </c>
      <c r="J24" s="82"/>
      <c r="O24" s="217"/>
      <c r="Q24" s="84"/>
    </row>
    <row r="25" spans="1:17">
      <c r="A25" s="266">
        <f>+'Info Gral'!F19</f>
        <v>0</v>
      </c>
      <c r="B25" s="266">
        <f>+'Info Gral'!G19</f>
        <v>0</v>
      </c>
      <c r="C25" s="225">
        <f t="shared" ca="1" si="0"/>
        <v>-98.73</v>
      </c>
      <c r="D25" s="225">
        <f t="shared" si="3"/>
        <v>0</v>
      </c>
      <c r="E25" s="226">
        <f t="shared" si="4"/>
        <v>0</v>
      </c>
      <c r="F25" s="227" t="e">
        <f t="shared" ca="1" si="5"/>
        <v>#NUM!</v>
      </c>
      <c r="G25" s="227" t="e">
        <f t="shared" si="6"/>
        <v>#NUM!</v>
      </c>
      <c r="H25" s="219" t="str">
        <f t="shared" si="1"/>
        <v/>
      </c>
      <c r="I25" s="186" t="str">
        <f t="shared" si="2"/>
        <v/>
      </c>
      <c r="J25" s="82"/>
      <c r="O25" s="217"/>
      <c r="Q25" s="84"/>
    </row>
    <row r="26" spans="1:17">
      <c r="A26" s="266">
        <f>+'Info Gral'!F20</f>
        <v>0</v>
      </c>
      <c r="B26" s="266">
        <f>+'Info Gral'!G20</f>
        <v>0</v>
      </c>
      <c r="C26" s="225">
        <f t="shared" ca="1" si="0"/>
        <v>-98.73</v>
      </c>
      <c r="D26" s="225">
        <f t="shared" si="3"/>
        <v>0</v>
      </c>
      <c r="E26" s="226">
        <f t="shared" si="4"/>
        <v>0</v>
      </c>
      <c r="F26" s="227" t="e">
        <f t="shared" ca="1" si="5"/>
        <v>#NUM!</v>
      </c>
      <c r="G26" s="227" t="e">
        <f t="shared" si="6"/>
        <v>#NUM!</v>
      </c>
      <c r="H26" s="219" t="str">
        <f t="shared" si="1"/>
        <v/>
      </c>
      <c r="I26" s="186" t="str">
        <f t="shared" si="2"/>
        <v/>
      </c>
      <c r="J26" s="82"/>
      <c r="O26" s="217"/>
      <c r="Q26" s="84"/>
    </row>
    <row r="27" spans="1:17">
      <c r="A27" s="266">
        <f>+'Info Gral'!F21</f>
        <v>0</v>
      </c>
      <c r="B27" s="266">
        <f>+'Info Gral'!G21</f>
        <v>0</v>
      </c>
      <c r="C27" s="225">
        <f t="shared" ca="1" si="0"/>
        <v>-98.73</v>
      </c>
      <c r="D27" s="225">
        <f t="shared" si="3"/>
        <v>0</v>
      </c>
      <c r="E27" s="226">
        <f t="shared" si="4"/>
        <v>0</v>
      </c>
      <c r="F27" s="227" t="e">
        <f t="shared" ca="1" si="5"/>
        <v>#NUM!</v>
      </c>
      <c r="G27" s="227" t="e">
        <f t="shared" si="6"/>
        <v>#NUM!</v>
      </c>
      <c r="H27" s="219" t="str">
        <f t="shared" si="1"/>
        <v/>
      </c>
      <c r="I27" s="186" t="str">
        <f t="shared" si="2"/>
        <v/>
      </c>
      <c r="J27" s="82"/>
      <c r="O27" s="217"/>
      <c r="Q27" s="84"/>
    </row>
    <row r="28" spans="1:17">
      <c r="A28" s="266">
        <f>+'Info Gral'!F22</f>
        <v>0</v>
      </c>
      <c r="B28" s="266">
        <f>+'Info Gral'!G22</f>
        <v>0</v>
      </c>
      <c r="C28" s="225">
        <f t="shared" ca="1" si="0"/>
        <v>-98.73</v>
      </c>
      <c r="D28" s="225">
        <f t="shared" si="3"/>
        <v>0</v>
      </c>
      <c r="E28" s="226">
        <f t="shared" si="4"/>
        <v>0</v>
      </c>
      <c r="F28" s="227" t="e">
        <f t="shared" ca="1" si="5"/>
        <v>#NUM!</v>
      </c>
      <c r="G28" s="227" t="e">
        <f t="shared" si="6"/>
        <v>#NUM!</v>
      </c>
      <c r="H28" s="219" t="str">
        <f t="shared" si="1"/>
        <v/>
      </c>
      <c r="I28" s="186" t="str">
        <f t="shared" si="2"/>
        <v/>
      </c>
      <c r="J28" s="82"/>
      <c r="O28" s="217"/>
      <c r="Q28" s="84"/>
    </row>
    <row r="29" spans="1:17">
      <c r="A29" s="266">
        <f>+'Info Gral'!F23</f>
        <v>0</v>
      </c>
      <c r="B29" s="266">
        <f>+'Info Gral'!G23</f>
        <v>0</v>
      </c>
      <c r="C29" s="225">
        <f t="shared" ca="1" si="0"/>
        <v>-98.73</v>
      </c>
      <c r="D29" s="225">
        <f t="shared" si="3"/>
        <v>0</v>
      </c>
      <c r="E29" s="226">
        <f t="shared" si="4"/>
        <v>0</v>
      </c>
      <c r="F29" s="227" t="e">
        <f t="shared" ca="1" si="5"/>
        <v>#NUM!</v>
      </c>
      <c r="G29" s="227" t="e">
        <f t="shared" si="6"/>
        <v>#NUM!</v>
      </c>
      <c r="H29" s="219" t="str">
        <f t="shared" si="1"/>
        <v/>
      </c>
      <c r="I29" s="186" t="str">
        <f t="shared" si="2"/>
        <v/>
      </c>
      <c r="J29" s="82"/>
      <c r="O29" s="217"/>
      <c r="Q29" s="84"/>
    </row>
    <row r="30" spans="1:17">
      <c r="A30" s="266">
        <f>+'Info Gral'!F24</f>
        <v>0</v>
      </c>
      <c r="B30" s="266">
        <f>+'Info Gral'!G24</f>
        <v>0</v>
      </c>
      <c r="C30" s="225">
        <f t="shared" ca="1" si="0"/>
        <v>-98.73</v>
      </c>
      <c r="D30" s="225">
        <f t="shared" si="3"/>
        <v>0</v>
      </c>
      <c r="E30" s="226">
        <f t="shared" si="4"/>
        <v>0</v>
      </c>
      <c r="F30" s="227" t="e">
        <f t="shared" ca="1" si="5"/>
        <v>#NUM!</v>
      </c>
      <c r="G30" s="227" t="e">
        <f t="shared" si="6"/>
        <v>#NUM!</v>
      </c>
      <c r="H30" s="219" t="str">
        <f t="shared" si="1"/>
        <v/>
      </c>
      <c r="I30" s="186" t="str">
        <f t="shared" si="2"/>
        <v/>
      </c>
      <c r="J30" s="82"/>
      <c r="O30" s="217"/>
      <c r="Q30" s="84"/>
    </row>
    <row r="31" spans="1:17">
      <c r="A31" s="266">
        <f>+'Info Gral'!F25</f>
        <v>0</v>
      </c>
      <c r="B31" s="266">
        <f>+'Info Gral'!G25</f>
        <v>0</v>
      </c>
      <c r="C31" s="225">
        <f t="shared" ca="1" si="0"/>
        <v>-98.73</v>
      </c>
      <c r="D31" s="225">
        <f t="shared" si="3"/>
        <v>0</v>
      </c>
      <c r="E31" s="226">
        <f t="shared" si="4"/>
        <v>0</v>
      </c>
      <c r="F31" s="227" t="e">
        <f t="shared" ca="1" si="5"/>
        <v>#NUM!</v>
      </c>
      <c r="G31" s="227" t="e">
        <f t="shared" si="6"/>
        <v>#NUM!</v>
      </c>
      <c r="H31" s="219" t="str">
        <f t="shared" si="1"/>
        <v/>
      </c>
      <c r="I31" s="186" t="str">
        <f t="shared" si="2"/>
        <v/>
      </c>
      <c r="J31" s="82"/>
      <c r="O31" s="217"/>
      <c r="Q31" s="84"/>
    </row>
    <row r="32" spans="1:17">
      <c r="A32" s="266">
        <f>+'Info Gral'!F26</f>
        <v>0</v>
      </c>
      <c r="B32" s="266">
        <f>+'Info Gral'!G26</f>
        <v>0</v>
      </c>
      <c r="C32" s="225">
        <f t="shared" ca="1" si="0"/>
        <v>-98.73</v>
      </c>
      <c r="D32" s="225">
        <f t="shared" si="3"/>
        <v>0</v>
      </c>
      <c r="E32" s="226">
        <f t="shared" si="4"/>
        <v>0</v>
      </c>
      <c r="F32" s="227" t="e">
        <f t="shared" ca="1" si="5"/>
        <v>#NUM!</v>
      </c>
      <c r="G32" s="227" t="e">
        <f t="shared" si="6"/>
        <v>#NUM!</v>
      </c>
      <c r="H32" s="219" t="str">
        <f t="shared" si="1"/>
        <v/>
      </c>
      <c r="I32" s="186" t="str">
        <f t="shared" si="2"/>
        <v/>
      </c>
      <c r="J32" s="82"/>
      <c r="O32" s="217"/>
      <c r="Q32" s="84"/>
    </row>
    <row r="33" spans="2:18">
      <c r="B33" s="82"/>
      <c r="C33" s="220"/>
      <c r="D33" s="220"/>
      <c r="E33" s="220"/>
      <c r="F33" s="220"/>
      <c r="G33" s="220"/>
      <c r="H33" s="84"/>
      <c r="I33" s="84"/>
      <c r="J33" s="82"/>
      <c r="K33" s="220"/>
      <c r="L33" s="220"/>
      <c r="M33" s="220"/>
      <c r="N33" s="220"/>
      <c r="O33" s="220"/>
      <c r="Q33" s="84"/>
      <c r="R33" s="97"/>
    </row>
    <row r="34" spans="2:18">
      <c r="B34" s="82"/>
      <c r="C34" s="220"/>
      <c r="D34" s="522" t="s">
        <v>417</v>
      </c>
      <c r="E34" s="522"/>
      <c r="F34" s="522"/>
      <c r="G34" s="522"/>
      <c r="H34" s="522"/>
      <c r="I34" s="84"/>
      <c r="J34" s="82"/>
      <c r="K34" s="220"/>
      <c r="L34" s="220"/>
      <c r="M34" s="220"/>
      <c r="N34" s="220"/>
      <c r="O34" s="220"/>
      <c r="Q34" s="84"/>
      <c r="R34" s="97"/>
    </row>
    <row r="35" spans="2:18">
      <c r="B35" s="82"/>
      <c r="C35" s="220"/>
      <c r="D35" s="522"/>
      <c r="E35" s="522"/>
      <c r="F35" s="522"/>
      <c r="G35" s="522"/>
      <c r="H35" s="522"/>
      <c r="I35" s="84"/>
      <c r="J35" s="82"/>
      <c r="K35" s="220"/>
      <c r="L35" s="220"/>
      <c r="M35" s="220"/>
      <c r="N35" s="220"/>
      <c r="O35" s="220"/>
      <c r="Q35" s="84"/>
      <c r="R35" s="97"/>
    </row>
    <row r="36" spans="2:18">
      <c r="B36" s="82"/>
      <c r="C36" s="220"/>
      <c r="E36" s="223"/>
      <c r="F36" s="223" t="s">
        <v>418</v>
      </c>
      <c r="G36" s="223" t="s">
        <v>202</v>
      </c>
      <c r="H36" s="84"/>
      <c r="I36" s="82"/>
      <c r="J36" s="220"/>
      <c r="K36" s="220"/>
      <c r="L36" s="220"/>
      <c r="M36" s="220"/>
      <c r="N36" s="220"/>
      <c r="Q36" s="97"/>
    </row>
    <row r="37" spans="2:18">
      <c r="B37" s="82"/>
      <c r="C37" s="220"/>
      <c r="D37" s="81" t="s">
        <v>201</v>
      </c>
      <c r="E37" s="228">
        <f>+'Ht - Hv - Volumen'!O9</f>
        <v>100.5</v>
      </c>
      <c r="F37" s="221">
        <v>0</v>
      </c>
      <c r="G37" s="221"/>
      <c r="H37" s="84"/>
      <c r="I37" s="82"/>
    </row>
    <row r="38" spans="2:18">
      <c r="B38" s="82"/>
      <c r="C38" s="220"/>
      <c r="D38" s="81" t="s">
        <v>201</v>
      </c>
      <c r="E38" s="228">
        <f>+E37</f>
        <v>100.5</v>
      </c>
      <c r="F38" s="222">
        <f>+MAX('Info Gral'!G7:G26)*0.5</f>
        <v>150.44999999999999</v>
      </c>
      <c r="G38" s="221"/>
      <c r="H38" s="84"/>
      <c r="I38" s="82"/>
    </row>
    <row r="39" spans="2:18">
      <c r="B39" s="82"/>
      <c r="C39" s="220"/>
      <c r="D39" s="81" t="s">
        <v>227</v>
      </c>
      <c r="E39" s="228">
        <f>+'Ht - Hv - Volumen'!O10</f>
        <v>106</v>
      </c>
      <c r="F39" s="221"/>
      <c r="G39" s="221">
        <v>0</v>
      </c>
      <c r="H39" s="84"/>
      <c r="I39" s="82"/>
    </row>
    <row r="40" spans="2:18">
      <c r="B40" s="82"/>
      <c r="C40" s="220"/>
      <c r="D40" s="81" t="s">
        <v>227</v>
      </c>
      <c r="E40" s="228">
        <f>+E39</f>
        <v>106</v>
      </c>
      <c r="F40" s="221"/>
      <c r="G40" s="222">
        <f>+MAX('Info Gral'!G7:G26)*0.7</f>
        <v>210.62999999999997</v>
      </c>
      <c r="H40" s="84"/>
      <c r="I40" s="82"/>
    </row>
  </sheetData>
  <sheetProtection sheet="1" objects="1"/>
  <dataConsolidate/>
  <mergeCells count="12">
    <mergeCell ref="E5:E6"/>
    <mergeCell ref="C11:G11"/>
    <mergeCell ref="A11:B11"/>
    <mergeCell ref="A1:I1"/>
    <mergeCell ref="C4:G4"/>
    <mergeCell ref="H11:I11"/>
    <mergeCell ref="D34:H35"/>
    <mergeCell ref="C5:D5"/>
    <mergeCell ref="C7:D7"/>
    <mergeCell ref="C6:D6"/>
    <mergeCell ref="C8:D8"/>
    <mergeCell ref="E7:E8"/>
  </mergeCells>
  <phoneticPr fontId="15" type="noConversion"/>
  <pageMargins left="0.48" right="0.44"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indexed="53"/>
  </sheetPr>
  <dimension ref="A1:D104"/>
  <sheetViews>
    <sheetView workbookViewId="0">
      <selection activeCell="C32" sqref="C32"/>
    </sheetView>
  </sheetViews>
  <sheetFormatPr baseColWidth="10" defaultRowHeight="15"/>
  <cols>
    <col min="1" max="1" width="33" style="313" bestFit="1" customWidth="1"/>
    <col min="2" max="2" width="7.1640625" style="313" customWidth="1"/>
    <col min="3" max="3" width="18.83203125" style="313" bestFit="1" customWidth="1"/>
    <col min="4" max="4" width="15.5" style="313" bestFit="1" customWidth="1"/>
  </cols>
  <sheetData>
    <row r="1" spans="1:4">
      <c r="A1" s="534" t="s">
        <v>727</v>
      </c>
      <c r="B1" s="534"/>
      <c r="C1" s="534"/>
      <c r="D1" s="534"/>
    </row>
    <row r="2" spans="1:4" ht="16" thickBot="1"/>
    <row r="3" spans="1:4" ht="24" customHeight="1" thickBot="1">
      <c r="A3" s="532" t="s">
        <v>514</v>
      </c>
      <c r="B3" s="533"/>
      <c r="C3" s="335" t="s">
        <v>515</v>
      </c>
      <c r="D3" s="334" t="s">
        <v>516</v>
      </c>
    </row>
    <row r="4" spans="1:4" ht="15.75" hidden="1" customHeight="1" thickBot="1">
      <c r="A4" s="314">
        <v>0</v>
      </c>
      <c r="B4" s="315"/>
      <c r="C4" s="315">
        <v>0</v>
      </c>
      <c r="D4" s="316"/>
    </row>
    <row r="5" spans="1:4" ht="15.75" hidden="1" customHeight="1" thickBot="1">
      <c r="A5" s="314"/>
      <c r="B5" s="315"/>
      <c r="C5" s="315"/>
      <c r="D5" s="316"/>
    </row>
    <row r="6" spans="1:4" ht="16" thickBot="1">
      <c r="A6" s="317" t="s">
        <v>517</v>
      </c>
      <c r="B6" s="315" t="s">
        <v>518</v>
      </c>
      <c r="C6" s="315">
        <v>124.7</v>
      </c>
      <c r="D6" s="315" t="s">
        <v>176</v>
      </c>
    </row>
    <row r="7" spans="1:4" ht="16" thickBot="1">
      <c r="A7" s="317" t="s">
        <v>519</v>
      </c>
      <c r="B7" s="315" t="s">
        <v>520</v>
      </c>
      <c r="C7" s="315">
        <v>123.7</v>
      </c>
      <c r="D7" s="315" t="s">
        <v>521</v>
      </c>
    </row>
    <row r="8" spans="1:4" ht="16" thickBot="1">
      <c r="A8" s="317" t="s">
        <v>522</v>
      </c>
      <c r="B8" s="315" t="s">
        <v>523</v>
      </c>
      <c r="C8" s="315">
        <v>63.7</v>
      </c>
      <c r="D8" s="315" t="s">
        <v>182</v>
      </c>
    </row>
    <row r="9" spans="1:4" ht="16" thickBot="1">
      <c r="A9" s="317" t="s">
        <v>524</v>
      </c>
      <c r="B9" s="315" t="s">
        <v>525</v>
      </c>
      <c r="C9" s="315">
        <v>155.1</v>
      </c>
      <c r="D9" s="315" t="s">
        <v>526</v>
      </c>
    </row>
    <row r="10" spans="1:4" ht="16" thickBot="1">
      <c r="A10" s="317" t="s">
        <v>527</v>
      </c>
      <c r="B10" s="315" t="s">
        <v>528</v>
      </c>
      <c r="C10" s="315">
        <v>139.69999999999999</v>
      </c>
      <c r="D10" s="315" t="s">
        <v>176</v>
      </c>
    </row>
    <row r="11" spans="1:4" ht="16" thickBot="1">
      <c r="A11" s="317" t="s">
        <v>529</v>
      </c>
      <c r="B11" s="315" t="s">
        <v>530</v>
      </c>
      <c r="C11" s="315">
        <v>136.80000000000001</v>
      </c>
      <c r="D11" s="315" t="s">
        <v>77</v>
      </c>
    </row>
    <row r="12" spans="1:4" ht="16" thickBot="1">
      <c r="A12" s="317" t="s">
        <v>531</v>
      </c>
      <c r="B12" s="315" t="s">
        <v>532</v>
      </c>
      <c r="C12" s="315" t="s">
        <v>533</v>
      </c>
      <c r="D12" s="315" t="s">
        <v>176</v>
      </c>
    </row>
    <row r="13" spans="1:4" ht="16" thickBot="1">
      <c r="A13" s="317" t="s">
        <v>534</v>
      </c>
      <c r="B13" s="315" t="s">
        <v>535</v>
      </c>
      <c r="C13" s="315">
        <v>86.1</v>
      </c>
      <c r="D13" s="315" t="s">
        <v>176</v>
      </c>
    </row>
    <row r="14" spans="1:4" ht="16" thickBot="1">
      <c r="A14" s="317" t="s">
        <v>536</v>
      </c>
      <c r="B14" s="315" t="s">
        <v>537</v>
      </c>
      <c r="C14" s="315">
        <v>97.1</v>
      </c>
      <c r="D14" s="315" t="s">
        <v>182</v>
      </c>
    </row>
    <row r="15" spans="1:4" ht="16" thickBot="1">
      <c r="A15" s="317" t="s">
        <v>538</v>
      </c>
      <c r="B15" s="315" t="s">
        <v>539</v>
      </c>
      <c r="C15" s="315">
        <v>134.5</v>
      </c>
      <c r="D15" s="315" t="s">
        <v>29</v>
      </c>
    </row>
    <row r="16" spans="1:4" ht="16" thickBot="1">
      <c r="A16" s="317" t="s">
        <v>540</v>
      </c>
      <c r="B16" s="315" t="s">
        <v>541</v>
      </c>
      <c r="C16" s="315">
        <v>178.7</v>
      </c>
      <c r="D16" s="315" t="s">
        <v>77</v>
      </c>
    </row>
    <row r="17" spans="1:4" ht="16" thickBot="1">
      <c r="A17" s="317" t="s">
        <v>542</v>
      </c>
      <c r="B17" s="315" t="s">
        <v>543</v>
      </c>
      <c r="C17" s="315" t="s">
        <v>544</v>
      </c>
      <c r="D17" s="315" t="s">
        <v>176</v>
      </c>
    </row>
    <row r="18" spans="1:4" ht="16" thickBot="1">
      <c r="A18" s="317" t="s">
        <v>545</v>
      </c>
      <c r="B18" s="315" t="s">
        <v>546</v>
      </c>
      <c r="C18" s="315">
        <v>110.5</v>
      </c>
      <c r="D18" s="315" t="s">
        <v>176</v>
      </c>
    </row>
    <row r="19" spans="1:4" ht="16" thickBot="1">
      <c r="A19" s="317" t="s">
        <v>547</v>
      </c>
      <c r="B19" s="315" t="s">
        <v>548</v>
      </c>
      <c r="C19" s="315">
        <v>146.19999999999999</v>
      </c>
      <c r="D19" s="315" t="s">
        <v>77</v>
      </c>
    </row>
    <row r="20" spans="1:4" ht="16" thickBot="1">
      <c r="A20" s="317" t="s">
        <v>549</v>
      </c>
      <c r="B20" s="315" t="s">
        <v>550</v>
      </c>
      <c r="C20" s="315">
        <v>138.19999999999999</v>
      </c>
      <c r="D20" s="315" t="s">
        <v>176</v>
      </c>
    </row>
    <row r="21" spans="1:4" ht="16" thickBot="1">
      <c r="A21" s="317" t="s">
        <v>551</v>
      </c>
      <c r="B21" s="315" t="s">
        <v>552</v>
      </c>
      <c r="C21" s="315">
        <v>114.6</v>
      </c>
      <c r="D21" s="315" t="s">
        <v>176</v>
      </c>
    </row>
    <row r="22" spans="1:4" ht="16" thickBot="1">
      <c r="A22" s="317" t="s">
        <v>553</v>
      </c>
      <c r="B22" s="315" t="s">
        <v>554</v>
      </c>
      <c r="C22" s="315">
        <v>146.4</v>
      </c>
      <c r="D22" s="315" t="s">
        <v>77</v>
      </c>
    </row>
    <row r="23" spans="1:4" ht="16" thickBot="1">
      <c r="A23" s="317" t="s">
        <v>555</v>
      </c>
      <c r="B23" s="315" t="s">
        <v>556</v>
      </c>
      <c r="C23" s="315">
        <v>35.4</v>
      </c>
      <c r="D23" s="315" t="s">
        <v>557</v>
      </c>
    </row>
    <row r="24" spans="1:4" ht="16" thickBot="1">
      <c r="A24" s="317" t="s">
        <v>558</v>
      </c>
      <c r="B24" s="315" t="s">
        <v>559</v>
      </c>
      <c r="C24" s="315">
        <v>41.5</v>
      </c>
      <c r="D24" s="315" t="s">
        <v>182</v>
      </c>
    </row>
    <row r="25" spans="1:4" ht="16" thickBot="1">
      <c r="A25" s="317" t="s">
        <v>560</v>
      </c>
      <c r="B25" s="315" t="s">
        <v>561</v>
      </c>
      <c r="C25" s="315" t="s">
        <v>562</v>
      </c>
      <c r="D25" s="315" t="s">
        <v>77</v>
      </c>
    </row>
    <row r="26" spans="1:4" ht="16" thickBot="1">
      <c r="A26" s="317" t="s">
        <v>563</v>
      </c>
      <c r="B26" s="315" t="s">
        <v>564</v>
      </c>
      <c r="C26" s="315">
        <v>167.6</v>
      </c>
      <c r="D26" s="315" t="s">
        <v>176</v>
      </c>
    </row>
    <row r="27" spans="1:4" ht="16" thickBot="1">
      <c r="A27" s="317" t="s">
        <v>104</v>
      </c>
      <c r="B27" s="315" t="s">
        <v>565</v>
      </c>
      <c r="C27" s="315">
        <v>78.599999999999994</v>
      </c>
      <c r="D27" s="315" t="s">
        <v>182</v>
      </c>
    </row>
    <row r="28" spans="1:4" ht="16" thickBot="1">
      <c r="A28" s="317" t="s">
        <v>566</v>
      </c>
      <c r="B28" s="315" t="s">
        <v>567</v>
      </c>
      <c r="C28" s="315">
        <v>100.1</v>
      </c>
      <c r="D28" s="315" t="s">
        <v>176</v>
      </c>
    </row>
    <row r="29" spans="1:4" ht="16" thickBot="1">
      <c r="A29" s="317" t="s">
        <v>568</v>
      </c>
      <c r="B29" s="315" t="s">
        <v>569</v>
      </c>
      <c r="C29" s="315">
        <v>108.9</v>
      </c>
      <c r="D29" s="315" t="s">
        <v>29</v>
      </c>
    </row>
    <row r="30" spans="1:4" ht="16" thickBot="1">
      <c r="A30" s="317" t="s">
        <v>570</v>
      </c>
      <c r="B30" s="315" t="s">
        <v>571</v>
      </c>
      <c r="C30" s="315">
        <v>73.599999999999994</v>
      </c>
      <c r="D30" s="315" t="s">
        <v>77</v>
      </c>
    </row>
    <row r="31" spans="1:4" ht="16" thickBot="1">
      <c r="A31" s="317" t="s">
        <v>572</v>
      </c>
      <c r="B31" s="315" t="s">
        <v>573</v>
      </c>
      <c r="C31" s="315">
        <v>93.2</v>
      </c>
      <c r="D31" s="315" t="s">
        <v>176</v>
      </c>
    </row>
    <row r="32" spans="1:4" ht="16" thickBot="1">
      <c r="A32" s="317" t="s">
        <v>574</v>
      </c>
      <c r="B32" s="315" t="s">
        <v>575</v>
      </c>
      <c r="C32" s="315">
        <v>71.2</v>
      </c>
      <c r="D32" s="315" t="s">
        <v>176</v>
      </c>
    </row>
    <row r="33" spans="1:4" ht="16" thickBot="1">
      <c r="A33" s="317" t="s">
        <v>576</v>
      </c>
      <c r="B33" s="315" t="s">
        <v>577</v>
      </c>
      <c r="C33" s="315">
        <v>160.6</v>
      </c>
      <c r="D33" s="315" t="s">
        <v>521</v>
      </c>
    </row>
    <row r="34" spans="1:4" ht="16" thickBot="1">
      <c r="A34" s="317" t="s">
        <v>154</v>
      </c>
      <c r="B34" s="315" t="s">
        <v>578</v>
      </c>
      <c r="C34" s="315">
        <v>21.5</v>
      </c>
      <c r="D34" s="315" t="s">
        <v>77</v>
      </c>
    </row>
    <row r="35" spans="1:4" ht="16" thickBot="1">
      <c r="A35" s="317" t="s">
        <v>579</v>
      </c>
      <c r="B35" s="315" t="s">
        <v>580</v>
      </c>
      <c r="C35" s="315">
        <v>119.8</v>
      </c>
      <c r="D35" s="315" t="s">
        <v>176</v>
      </c>
    </row>
    <row r="36" spans="1:4" ht="16" thickBot="1">
      <c r="A36" s="317" t="s">
        <v>581</v>
      </c>
      <c r="B36" s="315" t="s">
        <v>582</v>
      </c>
      <c r="C36" s="315">
        <v>150.19999999999999</v>
      </c>
      <c r="D36" s="315" t="s">
        <v>176</v>
      </c>
    </row>
    <row r="37" spans="1:4" ht="16" thickBot="1">
      <c r="A37" s="317" t="s">
        <v>583</v>
      </c>
      <c r="B37" s="315" t="s">
        <v>584</v>
      </c>
      <c r="C37" s="315">
        <v>51.8</v>
      </c>
      <c r="D37" s="315" t="s">
        <v>77</v>
      </c>
    </row>
    <row r="38" spans="1:4" ht="16" thickBot="1">
      <c r="A38" s="317" t="s">
        <v>585</v>
      </c>
      <c r="B38" s="315" t="s">
        <v>586</v>
      </c>
      <c r="C38" s="315">
        <v>55.2</v>
      </c>
      <c r="D38" s="315" t="s">
        <v>182</v>
      </c>
    </row>
    <row r="39" spans="1:4" ht="16" thickBot="1">
      <c r="A39" s="317" t="s">
        <v>587</v>
      </c>
      <c r="B39" s="315" t="s">
        <v>588</v>
      </c>
      <c r="C39" s="315">
        <v>136.69999999999999</v>
      </c>
      <c r="D39" s="315" t="s">
        <v>176</v>
      </c>
    </row>
    <row r="40" spans="1:4" ht="16" thickBot="1">
      <c r="A40" s="317" t="s">
        <v>589</v>
      </c>
      <c r="B40" s="315" t="s">
        <v>590</v>
      </c>
      <c r="C40" s="315">
        <v>78.599999999999994</v>
      </c>
      <c r="D40" s="315" t="s">
        <v>77</v>
      </c>
    </row>
    <row r="41" spans="1:4" ht="16" thickBot="1">
      <c r="A41" s="317" t="s">
        <v>591</v>
      </c>
      <c r="B41" s="315" t="s">
        <v>592</v>
      </c>
      <c r="C41" s="315">
        <v>142.30000000000001</v>
      </c>
      <c r="D41" s="315" t="s">
        <v>176</v>
      </c>
    </row>
    <row r="42" spans="1:4" ht="16" thickBot="1">
      <c r="A42" s="317" t="s">
        <v>593</v>
      </c>
      <c r="B42" s="315" t="s">
        <v>594</v>
      </c>
      <c r="C42" s="315" t="s">
        <v>595</v>
      </c>
      <c r="D42" s="315" t="s">
        <v>176</v>
      </c>
    </row>
    <row r="43" spans="1:4" ht="16" thickBot="1">
      <c r="A43" s="317" t="s">
        <v>101</v>
      </c>
      <c r="B43" s="315" t="s">
        <v>596</v>
      </c>
      <c r="C43" s="315">
        <v>133.4</v>
      </c>
      <c r="D43" s="315" t="s">
        <v>176</v>
      </c>
    </row>
    <row r="44" spans="1:4" ht="16" thickBot="1">
      <c r="A44" s="317" t="s">
        <v>597</v>
      </c>
      <c r="B44" s="315" t="s">
        <v>598</v>
      </c>
      <c r="C44" s="315">
        <v>115.4</v>
      </c>
      <c r="D44" s="315" t="s">
        <v>176</v>
      </c>
    </row>
    <row r="45" spans="1:4" ht="16" thickBot="1">
      <c r="A45" s="317" t="s">
        <v>599</v>
      </c>
      <c r="B45" s="315" t="s">
        <v>600</v>
      </c>
      <c r="C45" s="315">
        <v>171.1</v>
      </c>
      <c r="D45" s="315" t="s">
        <v>77</v>
      </c>
    </row>
    <row r="46" spans="1:4" ht="16" thickBot="1">
      <c r="A46" s="317" t="s">
        <v>601</v>
      </c>
      <c r="B46" s="315" t="s">
        <v>602</v>
      </c>
      <c r="C46" s="315">
        <v>102.1</v>
      </c>
      <c r="D46" s="315" t="s">
        <v>176</v>
      </c>
    </row>
    <row r="47" spans="1:4" ht="16" thickBot="1">
      <c r="A47" s="317" t="s">
        <v>603</v>
      </c>
      <c r="B47" s="315" t="s">
        <v>604</v>
      </c>
      <c r="C47" s="315" t="s">
        <v>605</v>
      </c>
      <c r="D47" s="315" t="s">
        <v>77</v>
      </c>
    </row>
    <row r="48" spans="1:4" ht="16" thickBot="1">
      <c r="A48" s="317" t="s">
        <v>606</v>
      </c>
      <c r="B48" s="315" t="s">
        <v>607</v>
      </c>
      <c r="C48" s="315">
        <v>124.2</v>
      </c>
      <c r="D48" s="315" t="s">
        <v>77</v>
      </c>
    </row>
    <row r="49" spans="1:4" ht="16" thickBot="1">
      <c r="A49" s="317" t="s">
        <v>94</v>
      </c>
      <c r="B49" s="315" t="s">
        <v>608</v>
      </c>
      <c r="C49" s="315">
        <v>87.2</v>
      </c>
      <c r="D49" s="315" t="s">
        <v>176</v>
      </c>
    </row>
    <row r="50" spans="1:4" ht="16" thickBot="1">
      <c r="A50" s="317" t="s">
        <v>609</v>
      </c>
      <c r="B50" s="315" t="s">
        <v>610</v>
      </c>
      <c r="C50" s="315">
        <v>154.69999999999999</v>
      </c>
      <c r="D50" s="315" t="s">
        <v>521</v>
      </c>
    </row>
    <row r="51" spans="1:4" ht="16" thickBot="1">
      <c r="A51" s="317" t="s">
        <v>611</v>
      </c>
      <c r="B51" s="315" t="s">
        <v>612</v>
      </c>
      <c r="C51" s="315">
        <v>156.1</v>
      </c>
      <c r="D51" s="315" t="s">
        <v>521</v>
      </c>
    </row>
    <row r="52" spans="1:4" ht="16" thickBot="1">
      <c r="A52" s="317" t="s">
        <v>613</v>
      </c>
      <c r="B52" s="315" t="s">
        <v>614</v>
      </c>
      <c r="C52" s="315">
        <v>95.2</v>
      </c>
      <c r="D52" s="315" t="s">
        <v>77</v>
      </c>
    </row>
    <row r="53" spans="1:4" ht="16" thickBot="1">
      <c r="A53" s="317" t="s">
        <v>615</v>
      </c>
      <c r="B53" s="315" t="s">
        <v>616</v>
      </c>
      <c r="C53" s="315">
        <v>169.3</v>
      </c>
      <c r="D53" s="315" t="s">
        <v>77</v>
      </c>
    </row>
    <row r="54" spans="1:4" ht="16" thickBot="1">
      <c r="A54" s="317" t="s">
        <v>617</v>
      </c>
      <c r="B54" s="315" t="s">
        <v>618</v>
      </c>
      <c r="C54" s="315">
        <v>177.5</v>
      </c>
      <c r="D54" s="315" t="s">
        <v>182</v>
      </c>
    </row>
    <row r="55" spans="1:4" ht="16" thickBot="1">
      <c r="A55" s="317" t="s">
        <v>619</v>
      </c>
      <c r="B55" s="315" t="s">
        <v>620</v>
      </c>
      <c r="C55" s="315">
        <v>126.4</v>
      </c>
      <c r="D55" s="315" t="s">
        <v>77</v>
      </c>
    </row>
    <row r="56" spans="1:4" ht="15.75" customHeight="1" thickBot="1">
      <c r="A56" s="318" t="s">
        <v>621</v>
      </c>
      <c r="B56" s="315" t="s">
        <v>622</v>
      </c>
      <c r="C56" s="315">
        <v>113.3</v>
      </c>
      <c r="D56" s="315" t="s">
        <v>77</v>
      </c>
    </row>
    <row r="57" spans="1:4" ht="16" thickBot="1">
      <c r="A57" s="318" t="s">
        <v>623</v>
      </c>
      <c r="B57" s="315" t="s">
        <v>624</v>
      </c>
      <c r="C57" s="315">
        <v>146.69999999999999</v>
      </c>
      <c r="D57" s="315" t="s">
        <v>176</v>
      </c>
    </row>
    <row r="58" spans="1:4" ht="16" thickBot="1">
      <c r="A58" s="318" t="s">
        <v>625</v>
      </c>
      <c r="B58" s="315" t="s">
        <v>626</v>
      </c>
      <c r="C58" s="315">
        <v>100.1</v>
      </c>
      <c r="D58" s="315" t="s">
        <v>176</v>
      </c>
    </row>
    <row r="59" spans="1:4" ht="16" thickBot="1">
      <c r="A59" s="318" t="s">
        <v>627</v>
      </c>
      <c r="B59" s="315" t="s">
        <v>628</v>
      </c>
      <c r="C59" s="315">
        <v>145.80000000000001</v>
      </c>
      <c r="D59" s="315" t="s">
        <v>176</v>
      </c>
    </row>
    <row r="60" spans="1:4" ht="16" thickBot="1">
      <c r="A60" s="318" t="s">
        <v>155</v>
      </c>
      <c r="B60" s="315" t="s">
        <v>629</v>
      </c>
      <c r="C60" s="315">
        <v>52.1</v>
      </c>
      <c r="D60" s="315" t="s">
        <v>176</v>
      </c>
    </row>
    <row r="61" spans="1:4" ht="16" thickBot="1">
      <c r="A61" s="318" t="s">
        <v>630</v>
      </c>
      <c r="B61" s="315" t="s">
        <v>631</v>
      </c>
      <c r="C61" s="315">
        <v>84.7</v>
      </c>
      <c r="D61" s="315" t="s">
        <v>77</v>
      </c>
    </row>
    <row r="62" spans="1:4" ht="16" thickBot="1">
      <c r="A62" s="318" t="s">
        <v>632</v>
      </c>
      <c r="B62" s="315" t="s">
        <v>633</v>
      </c>
      <c r="C62" s="315">
        <v>116.5</v>
      </c>
      <c r="D62" s="315" t="s">
        <v>521</v>
      </c>
    </row>
    <row r="63" spans="1:4" ht="16" thickBot="1">
      <c r="A63" s="318" t="s">
        <v>634</v>
      </c>
      <c r="B63" s="315" t="s">
        <v>635</v>
      </c>
      <c r="C63" s="315">
        <v>147.4</v>
      </c>
      <c r="D63" s="315" t="s">
        <v>77</v>
      </c>
    </row>
    <row r="64" spans="1:4" ht="16" thickBot="1">
      <c r="A64" s="318" t="s">
        <v>636</v>
      </c>
      <c r="B64" s="315" t="s">
        <v>637</v>
      </c>
      <c r="C64" s="315">
        <v>88.2</v>
      </c>
      <c r="D64" s="315" t="s">
        <v>182</v>
      </c>
    </row>
    <row r="65" spans="1:4" ht="16" thickBot="1">
      <c r="A65" s="318" t="s">
        <v>638</v>
      </c>
      <c r="B65" s="315" t="s">
        <v>639</v>
      </c>
      <c r="C65" s="315">
        <v>131.6</v>
      </c>
      <c r="D65" s="315" t="s">
        <v>77</v>
      </c>
    </row>
    <row r="66" spans="1:4" ht="16" thickBot="1">
      <c r="A66" s="318" t="s">
        <v>640</v>
      </c>
      <c r="B66" s="315" t="s">
        <v>641</v>
      </c>
      <c r="C66" s="315">
        <v>85.8</v>
      </c>
      <c r="D66" s="315" t="s">
        <v>176</v>
      </c>
    </row>
    <row r="67" spans="1:4" ht="16" thickBot="1">
      <c r="A67" s="318" t="s">
        <v>100</v>
      </c>
      <c r="B67" s="315" t="s">
        <v>642</v>
      </c>
      <c r="C67" s="315">
        <v>32.700000000000003</v>
      </c>
      <c r="D67" s="315" t="s">
        <v>77</v>
      </c>
    </row>
    <row r="68" spans="1:4" ht="16" thickBot="1">
      <c r="A68" s="318" t="s">
        <v>643</v>
      </c>
      <c r="B68" s="315" t="s">
        <v>644</v>
      </c>
      <c r="C68" s="315">
        <v>131.1</v>
      </c>
      <c r="D68" s="315" t="s">
        <v>176</v>
      </c>
    </row>
    <row r="69" spans="1:4" ht="16" thickBot="1">
      <c r="A69" s="318" t="s">
        <v>645</v>
      </c>
      <c r="B69" s="315" t="s">
        <v>646</v>
      </c>
      <c r="C69" s="315">
        <v>73.3</v>
      </c>
      <c r="D69" s="315" t="s">
        <v>77</v>
      </c>
    </row>
    <row r="70" spans="1:4" ht="16" thickBot="1">
      <c r="A70" s="318" t="s">
        <v>647</v>
      </c>
      <c r="B70" s="315" t="s">
        <v>648</v>
      </c>
      <c r="C70" s="315">
        <v>148.30000000000001</v>
      </c>
      <c r="D70" s="315" t="s">
        <v>649</v>
      </c>
    </row>
    <row r="71" spans="1:4" ht="16" thickBot="1">
      <c r="A71" s="318" t="s">
        <v>650</v>
      </c>
      <c r="B71" s="315" t="s">
        <v>651</v>
      </c>
      <c r="C71" s="315" t="s">
        <v>652</v>
      </c>
      <c r="D71" s="315" t="s">
        <v>77</v>
      </c>
    </row>
    <row r="72" spans="1:4" ht="16" thickBot="1">
      <c r="A72" s="318" t="s">
        <v>653</v>
      </c>
      <c r="B72" s="315" t="s">
        <v>654</v>
      </c>
      <c r="C72" s="315" t="s">
        <v>655</v>
      </c>
      <c r="D72" s="315" t="s">
        <v>77</v>
      </c>
    </row>
    <row r="73" spans="1:4" ht="16" thickBot="1">
      <c r="A73" s="318" t="s">
        <v>656</v>
      </c>
      <c r="B73" s="315" t="s">
        <v>657</v>
      </c>
      <c r="C73" s="315">
        <v>150.6</v>
      </c>
      <c r="D73" s="315" t="s">
        <v>77</v>
      </c>
    </row>
    <row r="74" spans="1:4" ht="16" thickBot="1">
      <c r="A74" s="318" t="s">
        <v>82</v>
      </c>
      <c r="B74" s="315" t="s">
        <v>658</v>
      </c>
      <c r="C74" s="315">
        <v>179.6</v>
      </c>
      <c r="D74" s="315" t="s">
        <v>182</v>
      </c>
    </row>
    <row r="75" spans="1:4" ht="16" thickBot="1">
      <c r="A75" s="318" t="s">
        <v>80</v>
      </c>
      <c r="B75" s="315" t="s">
        <v>659</v>
      </c>
      <c r="C75" s="315">
        <v>107.2</v>
      </c>
      <c r="D75" s="315" t="s">
        <v>77</v>
      </c>
    </row>
    <row r="76" spans="1:4" ht="16" thickBot="1">
      <c r="A76" s="318" t="s">
        <v>660</v>
      </c>
      <c r="B76" s="315" t="s">
        <v>661</v>
      </c>
      <c r="C76" s="315" t="s">
        <v>662</v>
      </c>
      <c r="D76" s="315" t="s">
        <v>176</v>
      </c>
    </row>
    <row r="77" spans="1:4" ht="16" thickBot="1">
      <c r="A77" s="318" t="s">
        <v>663</v>
      </c>
      <c r="B77" s="315" t="s">
        <v>664</v>
      </c>
      <c r="C77" s="315">
        <v>92.4</v>
      </c>
      <c r="D77" s="315" t="s">
        <v>182</v>
      </c>
    </row>
    <row r="78" spans="1:4" ht="16" thickBot="1">
      <c r="A78" s="318" t="s">
        <v>665</v>
      </c>
      <c r="B78" s="315" t="s">
        <v>666</v>
      </c>
      <c r="C78" s="315">
        <v>83.1</v>
      </c>
      <c r="D78" s="315" t="s">
        <v>176</v>
      </c>
    </row>
    <row r="79" spans="1:4" ht="16" thickBot="1">
      <c r="A79" s="318" t="s">
        <v>667</v>
      </c>
      <c r="B79" s="315" t="s">
        <v>668</v>
      </c>
      <c r="C79" s="315">
        <v>141.19999999999999</v>
      </c>
      <c r="D79" s="315" t="s">
        <v>176</v>
      </c>
    </row>
    <row r="80" spans="1:4" ht="16" thickBot="1">
      <c r="A80" s="318" t="s">
        <v>669</v>
      </c>
      <c r="B80" s="315" t="s">
        <v>670</v>
      </c>
      <c r="C80" s="315">
        <v>176.2</v>
      </c>
      <c r="D80" s="315" t="s">
        <v>77</v>
      </c>
    </row>
    <row r="81" spans="1:4" ht="16" thickBot="1">
      <c r="A81" s="318" t="s">
        <v>671</v>
      </c>
      <c r="B81" s="315" t="s">
        <v>672</v>
      </c>
      <c r="C81" s="315">
        <v>117.3</v>
      </c>
      <c r="D81" s="315" t="s">
        <v>176</v>
      </c>
    </row>
    <row r="82" spans="1:4" ht="16" thickBot="1">
      <c r="A82" s="318" t="s">
        <v>673</v>
      </c>
      <c r="B82" s="315" t="s">
        <v>674</v>
      </c>
      <c r="C82" s="315">
        <v>152.69999999999999</v>
      </c>
      <c r="D82" s="315" t="s">
        <v>77</v>
      </c>
    </row>
    <row r="83" spans="1:4" ht="16" thickBot="1">
      <c r="A83" s="318" t="s">
        <v>675</v>
      </c>
      <c r="B83" s="315" t="s">
        <v>676</v>
      </c>
      <c r="C83" s="315">
        <v>63.6</v>
      </c>
      <c r="D83" s="315" t="s">
        <v>182</v>
      </c>
    </row>
    <row r="84" spans="1:4" ht="16" thickBot="1">
      <c r="A84" s="318" t="s">
        <v>677</v>
      </c>
      <c r="B84" s="315" t="s">
        <v>678</v>
      </c>
      <c r="C84" s="315" t="s">
        <v>679</v>
      </c>
      <c r="D84" s="315" t="s">
        <v>649</v>
      </c>
    </row>
    <row r="85" spans="1:4" ht="16" thickBot="1">
      <c r="A85" s="318" t="s">
        <v>680</v>
      </c>
      <c r="B85" s="315" t="s">
        <v>681</v>
      </c>
      <c r="C85" s="315">
        <v>42.6</v>
      </c>
      <c r="D85" s="315" t="s">
        <v>77</v>
      </c>
    </row>
    <row r="86" spans="1:4" ht="16" thickBot="1">
      <c r="A86" s="318" t="s">
        <v>682</v>
      </c>
      <c r="B86" s="315" t="s">
        <v>683</v>
      </c>
      <c r="C86" s="315">
        <v>50.1</v>
      </c>
      <c r="D86" s="315" t="s">
        <v>182</v>
      </c>
    </row>
    <row r="87" spans="1:4" ht="16" thickBot="1">
      <c r="A87" s="318" t="s">
        <v>684</v>
      </c>
      <c r="B87" s="315" t="s">
        <v>685</v>
      </c>
      <c r="C87" s="315">
        <v>43.9</v>
      </c>
      <c r="D87" s="315" t="s">
        <v>182</v>
      </c>
    </row>
    <row r="88" spans="1:4" ht="16" thickBot="1">
      <c r="A88" s="318" t="s">
        <v>686</v>
      </c>
      <c r="B88" s="315" t="s">
        <v>687</v>
      </c>
      <c r="C88" s="315" t="s">
        <v>688</v>
      </c>
      <c r="D88" s="315" t="s">
        <v>649</v>
      </c>
    </row>
    <row r="89" spans="1:4" ht="16" thickBot="1">
      <c r="A89" s="318" t="s">
        <v>87</v>
      </c>
      <c r="B89" s="315" t="s">
        <v>689</v>
      </c>
      <c r="C89" s="315">
        <v>168.4</v>
      </c>
      <c r="D89" s="315" t="s">
        <v>176</v>
      </c>
    </row>
    <row r="90" spans="1:4" ht="16" thickBot="1">
      <c r="A90" s="318" t="s">
        <v>690</v>
      </c>
      <c r="B90" s="315" t="s">
        <v>691</v>
      </c>
      <c r="C90" s="315">
        <v>130.9</v>
      </c>
      <c r="D90" s="315" t="s">
        <v>521</v>
      </c>
    </row>
    <row r="91" spans="1:4" ht="16" thickBot="1">
      <c r="A91" s="318" t="s">
        <v>692</v>
      </c>
      <c r="B91" s="315" t="s">
        <v>693</v>
      </c>
      <c r="C91" s="315">
        <v>118.7</v>
      </c>
      <c r="D91" s="315" t="s">
        <v>176</v>
      </c>
    </row>
    <row r="92" spans="1:4" ht="16" thickBot="1">
      <c r="A92" s="318" t="s">
        <v>694</v>
      </c>
      <c r="B92" s="315" t="s">
        <v>695</v>
      </c>
      <c r="C92" s="315">
        <v>110.8</v>
      </c>
      <c r="D92" s="315" t="s">
        <v>176</v>
      </c>
    </row>
    <row r="93" spans="1:4" ht="16" thickBot="1">
      <c r="A93" s="318" t="s">
        <v>696</v>
      </c>
      <c r="B93" s="315" t="s">
        <v>697</v>
      </c>
      <c r="C93" s="315">
        <v>85.1</v>
      </c>
      <c r="D93" s="315" t="s">
        <v>649</v>
      </c>
    </row>
    <row r="94" spans="1:4" ht="16" thickBot="1">
      <c r="A94" s="318" t="s">
        <v>698</v>
      </c>
      <c r="B94" s="315" t="s">
        <v>699</v>
      </c>
      <c r="C94" s="315">
        <v>96.6</v>
      </c>
      <c r="D94" s="315" t="s">
        <v>182</v>
      </c>
    </row>
    <row r="95" spans="1:4" ht="16" thickBot="1">
      <c r="A95" s="318" t="s">
        <v>700</v>
      </c>
      <c r="B95" s="315" t="s">
        <v>701</v>
      </c>
      <c r="C95" s="315">
        <v>103.4</v>
      </c>
      <c r="D95" s="315" t="s">
        <v>649</v>
      </c>
    </row>
    <row r="96" spans="1:4" ht="16" thickBot="1">
      <c r="A96" s="318" t="s">
        <v>702</v>
      </c>
      <c r="B96" s="315" t="s">
        <v>425</v>
      </c>
      <c r="C96" s="315">
        <v>148.4</v>
      </c>
      <c r="D96" s="315" t="s">
        <v>521</v>
      </c>
    </row>
    <row r="97" spans="1:4" ht="16" thickBot="1">
      <c r="A97" s="318" t="s">
        <v>703</v>
      </c>
      <c r="B97" s="315" t="s">
        <v>704</v>
      </c>
      <c r="C97" s="315">
        <v>102.8</v>
      </c>
      <c r="D97" s="315" t="s">
        <v>176</v>
      </c>
    </row>
    <row r="98" spans="1:4" ht="16" thickBot="1">
      <c r="A98" s="318" t="s">
        <v>705</v>
      </c>
      <c r="B98" s="315" t="s">
        <v>706</v>
      </c>
      <c r="C98" s="315">
        <v>131.4</v>
      </c>
      <c r="D98" s="315" t="s">
        <v>176</v>
      </c>
    </row>
    <row r="99" spans="1:4" ht="16" thickBot="1">
      <c r="A99" s="318" t="s">
        <v>707</v>
      </c>
      <c r="B99" s="315" t="s">
        <v>708</v>
      </c>
      <c r="C99" s="315">
        <v>117.1</v>
      </c>
      <c r="D99" s="315" t="s">
        <v>77</v>
      </c>
    </row>
    <row r="100" spans="1:4" ht="16" thickBot="1">
      <c r="A100" s="318" t="s">
        <v>709</v>
      </c>
      <c r="B100" s="315" t="s">
        <v>710</v>
      </c>
      <c r="C100" s="315">
        <v>173.3</v>
      </c>
      <c r="D100" s="315" t="s">
        <v>176</v>
      </c>
    </row>
    <row r="101" spans="1:4" ht="16" thickBot="1">
      <c r="A101" s="318" t="s">
        <v>711</v>
      </c>
      <c r="B101" s="315" t="s">
        <v>712</v>
      </c>
      <c r="C101" s="315" t="s">
        <v>713</v>
      </c>
      <c r="D101" s="315" t="s">
        <v>649</v>
      </c>
    </row>
    <row r="102" spans="1:4" ht="16" thickBot="1">
      <c r="A102" s="318" t="s">
        <v>714</v>
      </c>
      <c r="B102" s="315" t="s">
        <v>715</v>
      </c>
      <c r="C102" s="315" t="s">
        <v>716</v>
      </c>
      <c r="D102" s="315" t="s">
        <v>176</v>
      </c>
    </row>
    <row r="103" spans="1:4" ht="16" thickBot="1">
      <c r="A103" s="318" t="s">
        <v>717</v>
      </c>
      <c r="B103" s="315" t="s">
        <v>718</v>
      </c>
      <c r="C103" s="315">
        <v>153.19999999999999</v>
      </c>
      <c r="D103" s="315" t="s">
        <v>176</v>
      </c>
    </row>
    <row r="104" spans="1:4" ht="16" thickBot="1">
      <c r="A104" s="318" t="s">
        <v>719</v>
      </c>
      <c r="B104" s="315" t="s">
        <v>720</v>
      </c>
      <c r="C104" s="315">
        <v>84.8</v>
      </c>
      <c r="D104" s="315" t="s">
        <v>176</v>
      </c>
    </row>
  </sheetData>
  <sheetProtection sheet="1"/>
  <mergeCells count="2">
    <mergeCell ref="A3:B3"/>
    <mergeCell ref="A1:D1"/>
  </mergeCells>
  <phoneticPr fontId="0" type="noConversion"/>
  <pageMargins left="1.26"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53"/>
    <pageSetUpPr fitToPage="1"/>
  </sheetPr>
  <dimension ref="A1:M19"/>
  <sheetViews>
    <sheetView workbookViewId="0">
      <selection activeCell="C32" sqref="C32"/>
    </sheetView>
  </sheetViews>
  <sheetFormatPr baseColWidth="10" defaultRowHeight="15"/>
  <cols>
    <col min="1" max="1" width="18.33203125" customWidth="1"/>
  </cols>
  <sheetData>
    <row r="1" spans="1:13" s="82" customFormat="1" ht="21">
      <c r="A1" s="80" t="s">
        <v>280</v>
      </c>
      <c r="B1" s="80"/>
      <c r="C1" s="80"/>
    </row>
    <row r="3" spans="1:13" ht="16" thickBot="1"/>
    <row r="4" spans="1:13" ht="16" thickBot="1">
      <c r="A4" s="535" t="s">
        <v>158</v>
      </c>
      <c r="B4" s="537" t="s">
        <v>399</v>
      </c>
      <c r="C4" s="538"/>
      <c r="D4" s="538"/>
      <c r="E4" s="538"/>
      <c r="F4" s="538"/>
      <c r="G4" s="538"/>
      <c r="H4" s="538"/>
      <c r="I4" s="538"/>
      <c r="J4" s="538"/>
      <c r="K4" s="538"/>
      <c r="L4" s="538"/>
      <c r="M4" s="539"/>
    </row>
    <row r="5" spans="1:13" ht="17" thickBot="1">
      <c r="A5" s="536"/>
      <c r="B5" s="55" t="s">
        <v>8</v>
      </c>
      <c r="C5" s="55" t="s">
        <v>9</v>
      </c>
      <c r="D5" s="55" t="s">
        <v>10</v>
      </c>
      <c r="E5" s="55" t="s">
        <v>11</v>
      </c>
      <c r="F5" s="55" t="s">
        <v>12</v>
      </c>
      <c r="G5" s="55" t="s">
        <v>13</v>
      </c>
      <c r="H5" s="55" t="s">
        <v>14</v>
      </c>
      <c r="I5" s="55" t="s">
        <v>15</v>
      </c>
      <c r="J5" s="55" t="s">
        <v>16</v>
      </c>
      <c r="K5" s="55" t="s">
        <v>17</v>
      </c>
      <c r="L5" s="55" t="s">
        <v>18</v>
      </c>
      <c r="M5" s="55" t="s">
        <v>19</v>
      </c>
    </row>
    <row r="6" spans="1:13" ht="16" thickBot="1">
      <c r="A6" s="54" t="s">
        <v>159</v>
      </c>
      <c r="B6" s="15">
        <v>252.7</v>
      </c>
      <c r="C6" s="15">
        <v>188.2</v>
      </c>
      <c r="D6" s="15">
        <v>169.5</v>
      </c>
      <c r="E6" s="15">
        <v>104.5</v>
      </c>
      <c r="F6" s="15">
        <v>73.2</v>
      </c>
      <c r="G6" s="15">
        <v>58.6</v>
      </c>
      <c r="H6" s="15">
        <v>72.599999999999994</v>
      </c>
      <c r="I6" s="15">
        <v>103.5</v>
      </c>
      <c r="J6" s="15">
        <v>122.7</v>
      </c>
      <c r="K6" s="15">
        <v>164.1</v>
      </c>
      <c r="L6" s="15">
        <v>205.8</v>
      </c>
      <c r="M6" s="15">
        <v>256.60000000000002</v>
      </c>
    </row>
    <row r="7" spans="1:13" ht="16" thickBot="1">
      <c r="A7" s="54" t="s">
        <v>160</v>
      </c>
      <c r="B7" s="15">
        <v>245</v>
      </c>
      <c r="C7" s="15">
        <v>177.6</v>
      </c>
      <c r="D7" s="15">
        <v>156.4</v>
      </c>
      <c r="E7" s="15">
        <v>104.9</v>
      </c>
      <c r="F7" s="15">
        <v>72.5</v>
      </c>
      <c r="G7" s="15">
        <v>56.3</v>
      </c>
      <c r="H7" s="15">
        <v>69</v>
      </c>
      <c r="I7" s="15">
        <v>101</v>
      </c>
      <c r="J7" s="15">
        <v>131.6</v>
      </c>
      <c r="K7" s="15">
        <v>169.6</v>
      </c>
      <c r="L7" s="15">
        <v>204.4</v>
      </c>
      <c r="M7" s="15">
        <v>233.3</v>
      </c>
    </row>
    <row r="8" spans="1:13" ht="16" thickBot="1">
      <c r="A8" s="54" t="s">
        <v>161</v>
      </c>
      <c r="B8" s="15">
        <v>212.4</v>
      </c>
      <c r="C8" s="15">
        <v>160.4</v>
      </c>
      <c r="D8" s="15">
        <v>140</v>
      </c>
      <c r="E8" s="15">
        <v>86.5</v>
      </c>
      <c r="F8" s="15">
        <v>57.9</v>
      </c>
      <c r="G8" s="15">
        <v>38.799999999999997</v>
      </c>
      <c r="H8" s="15">
        <v>41.9</v>
      </c>
      <c r="I8" s="15">
        <v>60.3</v>
      </c>
      <c r="J8" s="15">
        <v>83.4</v>
      </c>
      <c r="K8" s="15">
        <v>125.1</v>
      </c>
      <c r="L8" s="15">
        <v>154</v>
      </c>
      <c r="M8" s="15">
        <v>196.5</v>
      </c>
    </row>
    <row r="9" spans="1:13" ht="16" thickBot="1">
      <c r="A9" s="54" t="s">
        <v>162</v>
      </c>
      <c r="B9" s="15">
        <v>257</v>
      </c>
      <c r="C9" s="15">
        <v>199.9</v>
      </c>
      <c r="D9" s="15">
        <v>176.3</v>
      </c>
      <c r="E9" s="15">
        <v>112.2</v>
      </c>
      <c r="F9" s="15">
        <v>75.599999999999994</v>
      </c>
      <c r="G9" s="15">
        <v>55.3</v>
      </c>
      <c r="H9" s="15">
        <v>62.9</v>
      </c>
      <c r="I9" s="15">
        <v>92.4</v>
      </c>
      <c r="J9" s="15">
        <v>121.5</v>
      </c>
      <c r="K9" s="15">
        <v>164.6</v>
      </c>
      <c r="L9" s="15">
        <v>204.4</v>
      </c>
      <c r="M9" s="15">
        <v>244.6</v>
      </c>
    </row>
    <row r="10" spans="1:13" ht="16" thickBot="1">
      <c r="A10" s="54" t="s">
        <v>163</v>
      </c>
      <c r="B10" s="15">
        <v>225.4</v>
      </c>
      <c r="C10" s="15">
        <v>173.6</v>
      </c>
      <c r="D10" s="15">
        <v>157</v>
      </c>
      <c r="E10" s="15">
        <v>103.4</v>
      </c>
      <c r="F10" s="15">
        <v>66.8</v>
      </c>
      <c r="G10" s="15">
        <v>52.1</v>
      </c>
      <c r="H10" s="15">
        <v>58.6</v>
      </c>
      <c r="I10" s="15">
        <v>81.099999999999994</v>
      </c>
      <c r="J10" s="15">
        <v>105.4</v>
      </c>
      <c r="K10" s="15">
        <v>145.6</v>
      </c>
      <c r="L10" s="15">
        <v>176.7</v>
      </c>
      <c r="M10" s="15">
        <v>221.2</v>
      </c>
    </row>
    <row r="11" spans="1:13" ht="16" thickBot="1">
      <c r="A11" s="54" t="s">
        <v>164</v>
      </c>
      <c r="B11" s="15">
        <v>264.7</v>
      </c>
      <c r="C11" s="15">
        <v>202.8</v>
      </c>
      <c r="D11" s="15">
        <v>182</v>
      </c>
      <c r="E11" s="15">
        <v>118.4</v>
      </c>
      <c r="F11" s="15">
        <v>82.7</v>
      </c>
      <c r="G11" s="15">
        <v>59.8</v>
      </c>
      <c r="H11" s="15">
        <v>71.599999999999994</v>
      </c>
      <c r="I11" s="15">
        <v>104.4</v>
      </c>
      <c r="J11" s="15">
        <v>128.69999999999999</v>
      </c>
      <c r="K11" s="15">
        <v>172.1</v>
      </c>
      <c r="L11" s="15">
        <v>212.4</v>
      </c>
      <c r="M11" s="15">
        <v>249.5</v>
      </c>
    </row>
    <row r="12" spans="1:13" ht="16" thickBot="1">
      <c r="A12" s="54" t="s">
        <v>165</v>
      </c>
      <c r="B12" s="15">
        <v>265.3</v>
      </c>
      <c r="C12" s="15">
        <v>202.1</v>
      </c>
      <c r="D12" s="15">
        <v>180.3</v>
      </c>
      <c r="E12" s="15">
        <v>108.8</v>
      </c>
      <c r="F12" s="15">
        <v>79.3</v>
      </c>
      <c r="G12" s="15">
        <v>55.8</v>
      </c>
      <c r="H12" s="15">
        <v>66.2</v>
      </c>
      <c r="I12" s="15">
        <v>90</v>
      </c>
      <c r="J12" s="15">
        <v>119.5</v>
      </c>
      <c r="K12" s="15">
        <v>167.8</v>
      </c>
      <c r="L12" s="15">
        <v>213.1</v>
      </c>
      <c r="M12" s="15">
        <v>254.8</v>
      </c>
    </row>
    <row r="13" spans="1:13" ht="16" thickBot="1">
      <c r="A13" s="54" t="s">
        <v>166</v>
      </c>
      <c r="B13" s="15">
        <v>202.1</v>
      </c>
      <c r="C13" s="15">
        <v>160.19999999999999</v>
      </c>
      <c r="D13" s="15">
        <v>134.5</v>
      </c>
      <c r="E13" s="15">
        <v>88.9</v>
      </c>
      <c r="F13" s="15">
        <v>62.1</v>
      </c>
      <c r="G13" s="15">
        <v>45.3</v>
      </c>
      <c r="H13" s="15">
        <v>45.8</v>
      </c>
      <c r="I13" s="15">
        <v>65.2</v>
      </c>
      <c r="J13" s="15">
        <v>91.1</v>
      </c>
      <c r="K13" s="15">
        <v>129.1</v>
      </c>
      <c r="L13" s="15">
        <v>160.80000000000001</v>
      </c>
      <c r="M13" s="15">
        <v>192.7</v>
      </c>
    </row>
    <row r="14" spans="1:13" ht="16" thickBot="1">
      <c r="A14" s="54" t="s">
        <v>167</v>
      </c>
      <c r="B14" s="15">
        <v>208.3</v>
      </c>
      <c r="C14" s="15">
        <v>162.1</v>
      </c>
      <c r="D14" s="15">
        <v>138.69999999999999</v>
      </c>
      <c r="E14" s="15">
        <v>93.3</v>
      </c>
      <c r="F14" s="15">
        <v>63.4</v>
      </c>
      <c r="G14" s="15">
        <v>50.4</v>
      </c>
      <c r="H14" s="15">
        <v>54.8</v>
      </c>
      <c r="I14" s="15">
        <v>72.2</v>
      </c>
      <c r="J14" s="15">
        <v>94.8</v>
      </c>
      <c r="K14" s="15">
        <v>130.5</v>
      </c>
      <c r="L14" s="15">
        <v>160.5</v>
      </c>
      <c r="M14" s="15">
        <v>192.9</v>
      </c>
    </row>
    <row r="15" spans="1:13" ht="16" thickBot="1">
      <c r="A15" s="54" t="s">
        <v>168</v>
      </c>
      <c r="B15" s="15">
        <v>237</v>
      </c>
      <c r="C15" s="15">
        <v>179.4</v>
      </c>
      <c r="D15" s="15">
        <v>161.19999999999999</v>
      </c>
      <c r="E15" s="15">
        <v>102.6</v>
      </c>
      <c r="F15" s="15">
        <v>71.5</v>
      </c>
      <c r="G15" s="15">
        <v>51.3</v>
      </c>
      <c r="H15" s="15">
        <v>61.7</v>
      </c>
      <c r="I15" s="15">
        <v>87.8</v>
      </c>
      <c r="J15" s="15">
        <v>115.7</v>
      </c>
      <c r="K15" s="15">
        <v>159.4</v>
      </c>
      <c r="L15" s="15">
        <v>199.7</v>
      </c>
      <c r="M15" s="15">
        <v>229.3</v>
      </c>
    </row>
    <row r="16" spans="1:13" ht="16" thickBot="1">
      <c r="A16" s="54" t="s">
        <v>169</v>
      </c>
      <c r="B16" s="15">
        <v>256.10000000000002</v>
      </c>
      <c r="C16" s="15">
        <v>186.7</v>
      </c>
      <c r="D16" s="15">
        <v>176.4</v>
      </c>
      <c r="E16" s="15">
        <v>111</v>
      </c>
      <c r="F16" s="15">
        <v>76.3</v>
      </c>
      <c r="G16" s="15">
        <v>58.9</v>
      </c>
      <c r="H16" s="15">
        <v>73.400000000000006</v>
      </c>
      <c r="I16" s="15">
        <v>93.5</v>
      </c>
      <c r="J16" s="15">
        <v>116.5</v>
      </c>
      <c r="K16" s="15">
        <v>163.4</v>
      </c>
      <c r="L16" s="15">
        <v>202.8</v>
      </c>
      <c r="M16" s="15">
        <v>247.6</v>
      </c>
    </row>
    <row r="17" spans="1:13" ht="16" thickBot="1">
      <c r="A17" s="54" t="s">
        <v>170</v>
      </c>
      <c r="B17" s="15">
        <v>234.9</v>
      </c>
      <c r="C17" s="15">
        <v>179.6</v>
      </c>
      <c r="D17" s="15">
        <v>162.1</v>
      </c>
      <c r="E17" s="15">
        <v>103.1</v>
      </c>
      <c r="F17" s="15">
        <v>71.8</v>
      </c>
      <c r="G17" s="15">
        <v>50.1</v>
      </c>
      <c r="H17" s="15">
        <v>57.2</v>
      </c>
      <c r="I17" s="15">
        <v>75.599999999999994</v>
      </c>
      <c r="J17" s="15">
        <v>101.6</v>
      </c>
      <c r="K17" s="15">
        <v>144.5</v>
      </c>
      <c r="L17" s="15">
        <v>182.2</v>
      </c>
      <c r="M17" s="15">
        <v>227.2</v>
      </c>
    </row>
    <row r="18" spans="1:13" ht="16" thickBot="1">
      <c r="A18" s="54" t="s">
        <v>171</v>
      </c>
      <c r="B18" s="15">
        <v>226.3</v>
      </c>
      <c r="C18" s="15">
        <v>168.3</v>
      </c>
      <c r="D18" s="15">
        <v>147.6</v>
      </c>
      <c r="E18" s="15">
        <v>97.8</v>
      </c>
      <c r="F18" s="15">
        <v>67.3</v>
      </c>
      <c r="G18" s="15">
        <v>47.9</v>
      </c>
      <c r="H18" s="15">
        <v>56.3</v>
      </c>
      <c r="I18" s="15">
        <v>79.7</v>
      </c>
      <c r="J18" s="15">
        <v>102.1</v>
      </c>
      <c r="K18" s="15">
        <v>140.69999999999999</v>
      </c>
      <c r="L18" s="15">
        <v>173.2</v>
      </c>
      <c r="M18" s="15">
        <v>213</v>
      </c>
    </row>
    <row r="19" spans="1:13" ht="16" thickBot="1">
      <c r="A19" s="54" t="s">
        <v>172</v>
      </c>
      <c r="B19" s="15">
        <v>230.6</v>
      </c>
      <c r="C19" s="15">
        <v>171.6</v>
      </c>
      <c r="D19" s="15">
        <v>158.5</v>
      </c>
      <c r="E19" s="15">
        <v>96.9</v>
      </c>
      <c r="F19" s="15">
        <v>65.900000000000006</v>
      </c>
      <c r="G19" s="15">
        <v>47.5</v>
      </c>
      <c r="H19" s="15">
        <v>55.6</v>
      </c>
      <c r="I19" s="15">
        <v>81.400000000000006</v>
      </c>
      <c r="J19" s="15">
        <v>103.9</v>
      </c>
      <c r="K19" s="15">
        <v>146.80000000000001</v>
      </c>
      <c r="L19" s="15">
        <v>182.3</v>
      </c>
      <c r="M19" s="15">
        <v>216.8</v>
      </c>
    </row>
  </sheetData>
  <sheetProtection sheet="1" objects="1"/>
  <mergeCells count="2">
    <mergeCell ref="A4:A5"/>
    <mergeCell ref="B4:M4"/>
  </mergeCells>
  <phoneticPr fontId="15" type="noConversion"/>
  <pageMargins left="0.7" right="0.7" top="0.75" bottom="0.75" header="0.3" footer="0.3"/>
  <pageSetup paperSize="9" scale="84"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indexed="53"/>
  </sheetPr>
  <dimension ref="A1:G2"/>
  <sheetViews>
    <sheetView workbookViewId="0">
      <selection activeCell="C32" sqref="C32"/>
    </sheetView>
  </sheetViews>
  <sheetFormatPr baseColWidth="10" defaultRowHeight="15"/>
  <sheetData>
    <row r="1" spans="1:7" s="82" customFormat="1" ht="21">
      <c r="A1" s="459" t="s">
        <v>280</v>
      </c>
      <c r="B1" s="459"/>
      <c r="C1" s="459"/>
      <c r="D1" s="459"/>
      <c r="E1" s="459"/>
      <c r="F1" s="459"/>
      <c r="G1" s="459"/>
    </row>
    <row r="2" spans="1:7" ht="16">
      <c r="A2" s="540" t="s">
        <v>362</v>
      </c>
      <c r="B2" s="540"/>
      <c r="C2" s="540"/>
      <c r="D2" s="540"/>
      <c r="E2" s="540"/>
      <c r="F2" s="540"/>
      <c r="G2" s="540"/>
    </row>
  </sheetData>
  <sheetProtection sheet="1" objects="1"/>
  <mergeCells count="2">
    <mergeCell ref="A1:G1"/>
    <mergeCell ref="A2:G2"/>
  </mergeCells>
  <phoneticPr fontId="15" type="noConversion"/>
  <pageMargins left="0.75" right="0.75" top="1" bottom="1" header="0" footer="0"/>
  <pageSetup paperSize="9" orientation="portrait"/>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53"/>
  </sheetPr>
  <dimension ref="A1:AL373"/>
  <sheetViews>
    <sheetView workbookViewId="0">
      <pane xSplit="3" ySplit="10" topLeftCell="D14" activePane="bottomRight" state="frozen"/>
      <selection activeCell="C32" sqref="C32"/>
      <selection pane="topRight" activeCell="C32" sqref="C32"/>
      <selection pane="bottomLeft" activeCell="C32" sqref="C32"/>
      <selection pane="bottomRight" activeCell="C32" sqref="C32"/>
    </sheetView>
  </sheetViews>
  <sheetFormatPr baseColWidth="10" defaultColWidth="11.5" defaultRowHeight="13"/>
  <cols>
    <col min="1" max="1" width="9.83203125" style="5" customWidth="1"/>
    <col min="2" max="2" width="17.1640625" style="5" customWidth="1"/>
    <col min="3" max="3" width="10.5" style="5" customWidth="1"/>
    <col min="4" max="22" width="15" style="6" customWidth="1"/>
    <col min="23" max="23" width="15.83203125" style="6" customWidth="1"/>
    <col min="24" max="38" width="15" style="6" customWidth="1"/>
    <col min="39" max="16384" width="11.5" style="5"/>
  </cols>
  <sheetData>
    <row r="1" spans="1:38" s="82" customFormat="1" ht="21">
      <c r="A1" s="80" t="s">
        <v>280</v>
      </c>
      <c r="B1" s="80"/>
      <c r="C1" s="80"/>
      <c r="E1" s="541" t="s">
        <v>483</v>
      </c>
      <c r="F1" s="541"/>
      <c r="G1" s="541"/>
      <c r="H1" s="541"/>
      <c r="I1" s="541"/>
      <c r="J1" s="541"/>
      <c r="K1" s="541"/>
      <c r="L1" s="541"/>
    </row>
    <row r="2" spans="1:38" s="282" customFormat="1" ht="12.75" customHeight="1">
      <c r="A2" s="545" t="s">
        <v>78</v>
      </c>
      <c r="B2" s="545"/>
      <c r="C2" s="545"/>
      <c r="D2" s="281"/>
      <c r="E2" s="541"/>
      <c r="F2" s="541"/>
      <c r="G2" s="541"/>
      <c r="H2" s="541"/>
      <c r="I2" s="541"/>
      <c r="J2" s="541"/>
      <c r="K2" s="541"/>
      <c r="L2" s="54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row>
    <row r="3" spans="1:38" s="282" customFormat="1" ht="15" customHeight="1">
      <c r="A3" s="545"/>
      <c r="B3" s="545"/>
      <c r="C3" s="545"/>
      <c r="E3" s="542"/>
      <c r="F3" s="542"/>
      <c r="G3" s="542"/>
      <c r="H3" s="542"/>
      <c r="I3" s="542"/>
      <c r="J3" s="542"/>
      <c r="K3" s="542"/>
      <c r="L3" s="542"/>
    </row>
    <row r="4" spans="1:38" s="282" customFormat="1" ht="15" customHeight="1">
      <c r="A4" s="281"/>
      <c r="B4" s="281"/>
      <c r="C4" s="283" t="s">
        <v>472</v>
      </c>
      <c r="D4" s="284">
        <f>+SQRT((D7-'Info Gral'!$C$6)^2+(D8-'Info Gral'!$C$7)^2)/1000</f>
        <v>402.7166202194789</v>
      </c>
      <c r="E4" s="284">
        <f>+SQRT((E7-'Info Gral'!$C$6)^2+(E8-'Info Gral'!$C$7)^2)/1000</f>
        <v>282.26654282964535</v>
      </c>
      <c r="F4" s="284">
        <f>+SQRT((F7-'Info Gral'!$C$6)^2+(F8-'Info Gral'!$C$7)^2)/1000</f>
        <v>50.22382105136964</v>
      </c>
      <c r="G4" s="284">
        <f>+SQRT((G7-'Info Gral'!$C$6)^2+(G8-'Info Gral'!$C$7)^2)/1000</f>
        <v>349.69445549078984</v>
      </c>
      <c r="H4" s="284">
        <f>+SQRT((H7-'Info Gral'!$C$6)^2+(H8-'Info Gral'!$C$7)^2)/1000</f>
        <v>86.652814155109809</v>
      </c>
      <c r="I4" s="284">
        <f>+SQRT((I7-'Info Gral'!$C$6)^2+(I8-'Info Gral'!$C$7)^2)/1000</f>
        <v>369.85028376493102</v>
      </c>
      <c r="J4" s="284">
        <f>+SQRT((J7-'Info Gral'!$C$6)^2+(J8-'Info Gral'!$C$7)^2)/1000</f>
        <v>277.37965462701118</v>
      </c>
      <c r="K4" s="284">
        <f>+SQRT((K7-'Info Gral'!$C$6)^2+(K8-'Info Gral'!$C$7)^2)/1000</f>
        <v>406.78270735246355</v>
      </c>
      <c r="L4" s="284">
        <f>+SQRT((L7-'Info Gral'!$C$6)^2+(L8-'Info Gral'!$C$7)^2)/1000</f>
        <v>199.83497642054556</v>
      </c>
      <c r="M4" s="284">
        <f>+SQRT((M7-'Info Gral'!$C$6)^2+(M8-'Info Gral'!$C$7)^2)/1000</f>
        <v>244.17737323716133</v>
      </c>
      <c r="N4" s="284">
        <f>+SQRT((N7-'Info Gral'!$C$6)^2+(N8-'Info Gral'!$C$7)^2)/1000</f>
        <v>334.50473001289532</v>
      </c>
      <c r="O4" s="284">
        <f>+SQRT((O7-'Info Gral'!$C$6)^2+(O8-'Info Gral'!$C$7)^2)/1000</f>
        <v>417.3783755790422</v>
      </c>
      <c r="P4" s="284">
        <f>+SQRT((P7-'Info Gral'!$C$6)^2+(P8-'Info Gral'!$C$7)^2)/1000</f>
        <v>252.14291820513222</v>
      </c>
      <c r="Q4" s="284">
        <f>+SQRT((Q7-'Info Gral'!$C$6)^2+(Q8-'Info Gral'!$C$7)^2)/1000</f>
        <v>337.19840035356037</v>
      </c>
      <c r="R4" s="284">
        <f>+SQRT((R7-'Info Gral'!$C$6)^2+(R8-'Info Gral'!$C$7)^2)/1000</f>
        <v>432.0527960805253</v>
      </c>
      <c r="S4" s="284">
        <f>+SQRT((S7-'Info Gral'!$C$6)^2+(S8-'Info Gral'!$C$7)^2)/1000</f>
        <v>263.0506795296298</v>
      </c>
      <c r="T4" s="284">
        <f>+SQRT((T7-'Info Gral'!$C$6)^2+(T8-'Info Gral'!$C$7)^2)/1000</f>
        <v>317.49491208679234</v>
      </c>
      <c r="U4" s="284">
        <f>+SQRT((U7-'Info Gral'!$C$6)^2+(U8-'Info Gral'!$C$7)^2)/1000</f>
        <v>249.95041748514845</v>
      </c>
      <c r="V4" s="284">
        <f>+SQRT((V7-'Info Gral'!$C$6)^2+(V8-'Info Gral'!$C$7)^2)/1000</f>
        <v>151.60602824756015</v>
      </c>
      <c r="W4" s="284">
        <f>+SQRT((W7-'Info Gral'!$C$6)^2+(W8-'Info Gral'!$C$7)^2)/1000</f>
        <v>240.14303071503033</v>
      </c>
      <c r="X4" s="284">
        <f>+SQRT((X7-'Info Gral'!$C$6)^2+(X8-'Info Gral'!$C$7)^2)/1000</f>
        <v>344.92137539010253</v>
      </c>
      <c r="Y4" s="284">
        <f>+SQRT((Y7-'Info Gral'!$C$6)^2+(Y8-'Info Gral'!$C$7)^2)/1000</f>
        <v>449.35355901672796</v>
      </c>
      <c r="Z4" s="284">
        <f>+SQRT((Z7-'Info Gral'!$C$6)^2+(Z8-'Info Gral'!$C$7)^2)/1000</f>
        <v>312.00491406546791</v>
      </c>
      <c r="AA4" s="284">
        <f>+SQRT((AA7-'Info Gral'!$C$6)^2+(AA8-'Info Gral'!$C$7)^2)/1000</f>
        <v>196.84752742008192</v>
      </c>
      <c r="AB4" s="284">
        <f>+SQRT((AB7-'Info Gral'!$C$6)^2+(AB8-'Info Gral'!$C$7)^2)/1000</f>
        <v>152.07253927320343</v>
      </c>
      <c r="AC4" s="284">
        <f>+SQRT((AC7-'Info Gral'!$C$6)^2+(AC8-'Info Gral'!$C$7)^2)/1000</f>
        <v>72.542285606396504</v>
      </c>
      <c r="AD4" s="284">
        <f>+SQRT((AD7-'Info Gral'!$C$6)^2+(AD8-'Info Gral'!$C$7)^2)/1000</f>
        <v>448.60785927243853</v>
      </c>
      <c r="AE4" s="284">
        <f>+SQRT((AE7-'Info Gral'!$C$6)^2+(AE8-'Info Gral'!$C$7)^2)/1000</f>
        <v>176.00052727477834</v>
      </c>
      <c r="AF4" s="284">
        <f>+SQRT((AF7-'Info Gral'!$C$6)^2+(AF8-'Info Gral'!$C$7)^2)/1000</f>
        <v>60.448870965469652</v>
      </c>
      <c r="AG4" s="284">
        <f>+SQRT((AG7-'Info Gral'!$C$6)^2+(AG8-'Info Gral'!$C$7)^2)/1000</f>
        <v>103.72396637711074</v>
      </c>
      <c r="AH4" s="284">
        <f>+SQRT((AH7-'Info Gral'!$C$6)^2+(AH8-'Info Gral'!$C$7)^2)/1000</f>
        <v>117.73950569371353</v>
      </c>
      <c r="AI4" s="284">
        <f>+SQRT((AI7-'Info Gral'!$C$6)^2+(AI8-'Info Gral'!$C$7)^2)/1000</f>
        <v>65.068941907794994</v>
      </c>
      <c r="AJ4" s="284">
        <f>+SQRT((AJ7-'Info Gral'!$C$6)^2+(AJ8-'Info Gral'!$C$7)^2)/1000</f>
        <v>323.12878423470727</v>
      </c>
      <c r="AK4" s="284">
        <f>+SQRT((AK7-'Info Gral'!$C$6)^2+(AK8-'Info Gral'!$C$7)^2)/1000</f>
        <v>101.82866983811581</v>
      </c>
      <c r="AL4" s="284">
        <f>+SQRT((AL7-'Info Gral'!$C$6)^2+(AL8-'Info Gral'!$C$7)^2)/1000</f>
        <v>185.96797627817537</v>
      </c>
    </row>
    <row r="5" spans="1:38" s="282" customFormat="1" ht="38.25" customHeight="1">
      <c r="A5" s="287"/>
      <c r="B5" s="549" t="s">
        <v>339</v>
      </c>
      <c r="C5" s="550" t="s">
        <v>79</v>
      </c>
      <c r="D5" s="288" t="s">
        <v>97</v>
      </c>
      <c r="E5" s="288" t="s">
        <v>102</v>
      </c>
      <c r="F5" s="288" t="s">
        <v>68</v>
      </c>
      <c r="G5" s="288" t="s">
        <v>108</v>
      </c>
      <c r="H5" s="288" t="s">
        <v>90</v>
      </c>
      <c r="I5" s="288" t="s">
        <v>96</v>
      </c>
      <c r="J5" s="288" t="s">
        <v>104</v>
      </c>
      <c r="K5" s="288" t="s">
        <v>110</v>
      </c>
      <c r="L5" s="288" t="s">
        <v>113</v>
      </c>
      <c r="M5" s="288" t="s">
        <v>93</v>
      </c>
      <c r="N5" s="288" t="s">
        <v>105</v>
      </c>
      <c r="O5" s="288" t="s">
        <v>95</v>
      </c>
      <c r="P5" s="288" t="s">
        <v>101</v>
      </c>
      <c r="Q5" s="288" t="s">
        <v>94</v>
      </c>
      <c r="R5" s="288" t="s">
        <v>84</v>
      </c>
      <c r="S5" s="288" t="s">
        <v>88</v>
      </c>
      <c r="T5" s="288" t="s">
        <v>83</v>
      </c>
      <c r="U5" s="288" t="s">
        <v>103</v>
      </c>
      <c r="V5" s="288" t="s">
        <v>111</v>
      </c>
      <c r="W5" s="288" t="s">
        <v>81</v>
      </c>
      <c r="X5" s="288" t="s">
        <v>107</v>
      </c>
      <c r="Y5" s="288" t="s">
        <v>89</v>
      </c>
      <c r="Z5" s="288" t="s">
        <v>106</v>
      </c>
      <c r="AA5" s="288" t="s">
        <v>99</v>
      </c>
      <c r="AB5" s="288" t="s">
        <v>100</v>
      </c>
      <c r="AC5" s="288" t="s">
        <v>82</v>
      </c>
      <c r="AD5" s="288" t="s">
        <v>85</v>
      </c>
      <c r="AE5" s="288" t="s">
        <v>80</v>
      </c>
      <c r="AF5" s="288" t="s">
        <v>92</v>
      </c>
      <c r="AG5" s="288" t="s">
        <v>87</v>
      </c>
      <c r="AH5" s="288" t="s">
        <v>91</v>
      </c>
      <c r="AI5" s="288" t="s">
        <v>109</v>
      </c>
      <c r="AJ5" s="288" t="s">
        <v>86</v>
      </c>
      <c r="AK5" s="288" t="s">
        <v>98</v>
      </c>
      <c r="AL5" s="289" t="s">
        <v>112</v>
      </c>
    </row>
    <row r="6" spans="1:38" s="287" customFormat="1" ht="14">
      <c r="B6" s="547" t="s">
        <v>340</v>
      </c>
      <c r="C6" s="548"/>
      <c r="D6" s="290" t="s">
        <v>342</v>
      </c>
      <c r="E6" s="290" t="s">
        <v>342</v>
      </c>
      <c r="F6" s="290" t="s">
        <v>341</v>
      </c>
      <c r="G6" s="290" t="s">
        <v>342</v>
      </c>
      <c r="H6" s="290" t="s">
        <v>342</v>
      </c>
      <c r="I6" s="290" t="s">
        <v>342</v>
      </c>
      <c r="J6" s="290" t="s">
        <v>342</v>
      </c>
      <c r="K6" s="290" t="s">
        <v>342</v>
      </c>
      <c r="L6" s="290" t="s">
        <v>342</v>
      </c>
      <c r="M6" s="290" t="s">
        <v>342</v>
      </c>
      <c r="N6" s="290" t="s">
        <v>342</v>
      </c>
      <c r="O6" s="290" t="s">
        <v>342</v>
      </c>
      <c r="P6" s="290" t="s">
        <v>342</v>
      </c>
      <c r="Q6" s="290" t="s">
        <v>342</v>
      </c>
      <c r="R6" s="290" t="s">
        <v>341</v>
      </c>
      <c r="S6" s="290" t="s">
        <v>341</v>
      </c>
      <c r="T6" s="290" t="s">
        <v>341</v>
      </c>
      <c r="U6" s="290" t="s">
        <v>342</v>
      </c>
      <c r="V6" s="290" t="s">
        <v>342</v>
      </c>
      <c r="W6" s="290" t="s">
        <v>341</v>
      </c>
      <c r="X6" s="290" t="s">
        <v>342</v>
      </c>
      <c r="Y6" s="290" t="s">
        <v>341</v>
      </c>
      <c r="Z6" s="290" t="s">
        <v>342</v>
      </c>
      <c r="AA6" s="290" t="s">
        <v>342</v>
      </c>
      <c r="AB6" s="290" t="s">
        <v>342</v>
      </c>
      <c r="AC6" s="290" t="s">
        <v>341</v>
      </c>
      <c r="AD6" s="290" t="s">
        <v>341</v>
      </c>
      <c r="AE6" s="290" t="s">
        <v>341</v>
      </c>
      <c r="AF6" s="290" t="s">
        <v>342</v>
      </c>
      <c r="AG6" s="290" t="s">
        <v>341</v>
      </c>
      <c r="AH6" s="290" t="s">
        <v>342</v>
      </c>
      <c r="AI6" s="290" t="s">
        <v>342</v>
      </c>
      <c r="AJ6" s="290" t="s">
        <v>341</v>
      </c>
      <c r="AK6" s="290" t="s">
        <v>342</v>
      </c>
      <c r="AL6" s="291" t="s">
        <v>342</v>
      </c>
    </row>
    <row r="7" spans="1:38" s="282" customFormat="1" ht="14">
      <c r="A7" s="287"/>
      <c r="B7" s="546" t="s">
        <v>343</v>
      </c>
      <c r="C7" s="292" t="s">
        <v>43</v>
      </c>
      <c r="D7" s="292">
        <v>595500</v>
      </c>
      <c r="E7" s="292">
        <v>658200</v>
      </c>
      <c r="F7" s="292">
        <v>431500</v>
      </c>
      <c r="G7" s="292">
        <v>511500</v>
      </c>
      <c r="H7" s="292">
        <v>387500</v>
      </c>
      <c r="I7" s="292">
        <v>513500</v>
      </c>
      <c r="J7" s="292">
        <v>562300</v>
      </c>
      <c r="K7" s="292">
        <v>294100</v>
      </c>
      <c r="L7" s="292">
        <v>400400</v>
      </c>
      <c r="M7" s="292">
        <v>571900</v>
      </c>
      <c r="N7" s="292">
        <v>330200</v>
      </c>
      <c r="O7" s="292">
        <v>717900</v>
      </c>
      <c r="P7" s="292">
        <v>620000</v>
      </c>
      <c r="Q7" s="292">
        <v>618000</v>
      </c>
      <c r="R7" s="292">
        <v>311500</v>
      </c>
      <c r="S7" s="292">
        <v>651000</v>
      </c>
      <c r="T7" s="292">
        <v>292000</v>
      </c>
      <c r="U7" s="292">
        <v>436200</v>
      </c>
      <c r="V7" s="292">
        <v>577200</v>
      </c>
      <c r="W7" s="292">
        <v>290500</v>
      </c>
      <c r="X7" s="292">
        <v>404000</v>
      </c>
      <c r="Y7" s="292">
        <v>463100</v>
      </c>
      <c r="Z7" s="292">
        <v>447700</v>
      </c>
      <c r="AA7" s="293">
        <v>302330.8</v>
      </c>
      <c r="AB7" s="292">
        <v>400000</v>
      </c>
      <c r="AC7" s="292">
        <v>525300</v>
      </c>
      <c r="AD7" s="292">
        <v>636800</v>
      </c>
      <c r="AE7" s="292">
        <v>292700</v>
      </c>
      <c r="AF7" s="292">
        <v>397100</v>
      </c>
      <c r="AG7" s="292">
        <v>483300</v>
      </c>
      <c r="AH7" s="292">
        <v>343000</v>
      </c>
      <c r="AI7" s="292">
        <v>502900</v>
      </c>
      <c r="AJ7" s="292">
        <v>632000</v>
      </c>
      <c r="AK7" s="292">
        <v>366400</v>
      </c>
      <c r="AL7" s="294">
        <v>605000</v>
      </c>
    </row>
    <row r="8" spans="1:38" s="282" customFormat="1" ht="14">
      <c r="A8" s="287"/>
      <c r="B8" s="546"/>
      <c r="C8" s="292" t="s">
        <v>151</v>
      </c>
      <c r="D8" s="292">
        <v>6215500</v>
      </c>
      <c r="E8" s="292">
        <v>6398000</v>
      </c>
      <c r="F8" s="292">
        <v>6637500</v>
      </c>
      <c r="G8" s="292">
        <v>6247500</v>
      </c>
      <c r="H8" s="292">
        <v>6648500</v>
      </c>
      <c r="I8" s="292">
        <v>6227400</v>
      </c>
      <c r="J8" s="292">
        <v>6337200</v>
      </c>
      <c r="K8" s="292">
        <v>6218100</v>
      </c>
      <c r="L8" s="292">
        <v>6399700</v>
      </c>
      <c r="M8" s="292">
        <v>6378800</v>
      </c>
      <c r="N8" s="292">
        <v>6281400</v>
      </c>
      <c r="O8" s="292">
        <v>6269400</v>
      </c>
      <c r="P8" s="292">
        <v>6403000</v>
      </c>
      <c r="Q8" s="292">
        <v>6298000</v>
      </c>
      <c r="R8" s="292">
        <v>6184300</v>
      </c>
      <c r="S8" s="292">
        <v>6418600</v>
      </c>
      <c r="T8" s="292">
        <v>6319000</v>
      </c>
      <c r="U8" s="292">
        <v>6343000</v>
      </c>
      <c r="V8" s="292">
        <v>6504700</v>
      </c>
      <c r="W8" s="292">
        <v>6416000</v>
      </c>
      <c r="X8" s="292">
        <v>6251000</v>
      </c>
      <c r="Y8" s="292">
        <v>6143100</v>
      </c>
      <c r="Z8" s="292">
        <v>6280400</v>
      </c>
      <c r="AA8" s="293">
        <v>6466268.4000000004</v>
      </c>
      <c r="AB8" s="292">
        <v>6450000</v>
      </c>
      <c r="AC8" s="292">
        <v>6582000</v>
      </c>
      <c r="AD8" s="292">
        <v>6182900</v>
      </c>
      <c r="AE8" s="292">
        <v>6520800</v>
      </c>
      <c r="AF8" s="292">
        <v>6570600</v>
      </c>
      <c r="AG8" s="292">
        <v>6493000</v>
      </c>
      <c r="AH8" s="292">
        <v>6633000</v>
      </c>
      <c r="AI8" s="292">
        <v>6550000</v>
      </c>
      <c r="AJ8" s="292">
        <v>6323000</v>
      </c>
      <c r="AK8" s="292">
        <v>6539600</v>
      </c>
      <c r="AL8" s="294">
        <v>6484500</v>
      </c>
    </row>
    <row r="9" spans="1:38" s="282" customFormat="1" ht="14">
      <c r="A9" s="287"/>
      <c r="B9" s="546" t="s">
        <v>114</v>
      </c>
      <c r="C9" s="548" t="s">
        <v>114</v>
      </c>
      <c r="D9" s="292">
        <v>2684</v>
      </c>
      <c r="E9" s="292">
        <v>1798</v>
      </c>
      <c r="F9" s="292">
        <v>1050</v>
      </c>
      <c r="G9" s="292">
        <v>2549</v>
      </c>
      <c r="H9" s="292">
        <v>1019</v>
      </c>
      <c r="I9" s="292">
        <v>2588</v>
      </c>
      <c r="J9" s="292" t="s">
        <v>117</v>
      </c>
      <c r="K9" s="292">
        <v>2611</v>
      </c>
      <c r="L9" s="292">
        <v>1772</v>
      </c>
      <c r="M9" s="292">
        <v>1880</v>
      </c>
      <c r="N9" s="292" t="s">
        <v>118</v>
      </c>
      <c r="O9" s="292">
        <v>2422</v>
      </c>
      <c r="P9" s="292">
        <v>1793</v>
      </c>
      <c r="Q9" s="292" t="s">
        <v>115</v>
      </c>
      <c r="R9" s="292">
        <v>2774</v>
      </c>
      <c r="S9" s="292">
        <v>1709</v>
      </c>
      <c r="T9" s="292">
        <v>2145</v>
      </c>
      <c r="U9" s="292" t="s">
        <v>116</v>
      </c>
      <c r="V9" s="292">
        <v>1379</v>
      </c>
      <c r="W9" s="292">
        <v>1672</v>
      </c>
      <c r="X9" s="292">
        <v>2486</v>
      </c>
      <c r="Y9" s="292">
        <v>2887</v>
      </c>
      <c r="Z9" s="292">
        <v>2349</v>
      </c>
      <c r="AA9" s="292">
        <v>1502</v>
      </c>
      <c r="AB9" s="292">
        <v>1553</v>
      </c>
      <c r="AC9" s="292">
        <v>1147</v>
      </c>
      <c r="AD9" s="292"/>
      <c r="AE9" s="292">
        <v>1283</v>
      </c>
      <c r="AF9" s="292">
        <v>1159</v>
      </c>
      <c r="AG9" s="292">
        <v>1405</v>
      </c>
      <c r="AH9" s="292">
        <v>1040</v>
      </c>
      <c r="AI9" s="292">
        <v>1220</v>
      </c>
      <c r="AJ9" s="292">
        <v>2179</v>
      </c>
      <c r="AK9" s="292">
        <v>1232</v>
      </c>
      <c r="AL9" s="294">
        <v>1454</v>
      </c>
    </row>
    <row r="10" spans="1:38" s="282" customFormat="1" ht="14">
      <c r="A10" s="287"/>
      <c r="B10" s="543" t="s">
        <v>344</v>
      </c>
      <c r="C10" s="544" t="s">
        <v>119</v>
      </c>
      <c r="D10" s="295" t="s">
        <v>126</v>
      </c>
      <c r="E10" s="295" t="s">
        <v>127</v>
      </c>
      <c r="F10" s="295" t="s">
        <v>68</v>
      </c>
      <c r="G10" s="295" t="s">
        <v>124</v>
      </c>
      <c r="H10" s="295" t="s">
        <v>68</v>
      </c>
      <c r="I10" s="295" t="s">
        <v>125</v>
      </c>
      <c r="J10" s="295" t="s">
        <v>128</v>
      </c>
      <c r="K10" s="295" t="s">
        <v>121</v>
      </c>
      <c r="L10" s="295" t="s">
        <v>130</v>
      </c>
      <c r="M10" s="295" t="s">
        <v>122</v>
      </c>
      <c r="N10" s="295" t="s">
        <v>120</v>
      </c>
      <c r="O10" s="295" t="s">
        <v>85</v>
      </c>
      <c r="P10" s="295" t="s">
        <v>122</v>
      </c>
      <c r="Q10" s="295" t="s">
        <v>124</v>
      </c>
      <c r="R10" s="295" t="s">
        <v>121</v>
      </c>
      <c r="S10" s="295" t="s">
        <v>122</v>
      </c>
      <c r="T10" s="295" t="s">
        <v>120</v>
      </c>
      <c r="U10" s="295" t="s">
        <v>128</v>
      </c>
      <c r="V10" s="295" t="s">
        <v>82</v>
      </c>
      <c r="W10" s="295" t="s">
        <v>81</v>
      </c>
      <c r="X10" s="295" t="s">
        <v>129</v>
      </c>
      <c r="Y10" s="295" t="s">
        <v>123</v>
      </c>
      <c r="Z10" s="295" t="s">
        <v>125</v>
      </c>
      <c r="AA10" s="295" t="s">
        <v>81</v>
      </c>
      <c r="AB10" s="295" t="s">
        <v>81</v>
      </c>
      <c r="AC10" s="295" t="s">
        <v>82</v>
      </c>
      <c r="AD10" s="295" t="s">
        <v>85</v>
      </c>
      <c r="AE10" s="295" t="s">
        <v>80</v>
      </c>
      <c r="AF10" s="295" t="s">
        <v>68</v>
      </c>
      <c r="AG10" s="295" t="s">
        <v>87</v>
      </c>
      <c r="AH10" s="295" t="s">
        <v>68</v>
      </c>
      <c r="AI10" s="295" t="s">
        <v>82</v>
      </c>
      <c r="AJ10" s="295" t="s">
        <v>86</v>
      </c>
      <c r="AK10" s="295" t="s">
        <v>80</v>
      </c>
      <c r="AL10" s="296" t="s">
        <v>82</v>
      </c>
    </row>
    <row r="11" spans="1:38" s="282" customFormat="1">
      <c r="C11" s="285" t="s">
        <v>482</v>
      </c>
      <c r="D11" s="281">
        <v>53</v>
      </c>
      <c r="E11" s="281">
        <v>7</v>
      </c>
      <c r="F11" s="281">
        <v>0</v>
      </c>
      <c r="G11" s="281">
        <v>0</v>
      </c>
      <c r="H11" s="281">
        <v>0</v>
      </c>
      <c r="I11" s="281">
        <v>0</v>
      </c>
      <c r="J11" s="281">
        <v>0</v>
      </c>
      <c r="K11" s="281">
        <v>0</v>
      </c>
      <c r="L11" s="281">
        <v>2</v>
      </c>
      <c r="M11" s="281">
        <v>4</v>
      </c>
      <c r="N11" s="281">
        <v>1</v>
      </c>
      <c r="O11" s="281">
        <v>7</v>
      </c>
      <c r="P11" s="281">
        <v>2</v>
      </c>
      <c r="Q11" s="281">
        <v>0</v>
      </c>
      <c r="R11" s="281">
        <v>3</v>
      </c>
      <c r="S11" s="281">
        <v>0</v>
      </c>
      <c r="T11" s="281">
        <v>0</v>
      </c>
      <c r="U11" s="281">
        <v>0</v>
      </c>
      <c r="V11" s="281">
        <v>1</v>
      </c>
      <c r="W11" s="281">
        <v>0</v>
      </c>
      <c r="X11" s="281">
        <v>2</v>
      </c>
      <c r="Y11" s="281">
        <v>0</v>
      </c>
      <c r="Z11" s="281">
        <v>1</v>
      </c>
      <c r="AA11" s="281">
        <v>3</v>
      </c>
      <c r="AB11" s="281">
        <v>27</v>
      </c>
      <c r="AC11" s="281">
        <v>0</v>
      </c>
      <c r="AD11" s="281">
        <v>0</v>
      </c>
      <c r="AE11" s="281">
        <v>0</v>
      </c>
      <c r="AF11" s="281">
        <v>1</v>
      </c>
      <c r="AG11" s="281">
        <v>0</v>
      </c>
      <c r="AH11" s="281">
        <v>0</v>
      </c>
      <c r="AI11" s="281">
        <v>0</v>
      </c>
      <c r="AJ11" s="281">
        <v>0</v>
      </c>
      <c r="AK11" s="281">
        <v>2</v>
      </c>
      <c r="AL11" s="281">
        <v>1</v>
      </c>
    </row>
    <row r="12" spans="1:38" s="282" customFormat="1" ht="15" customHeight="1">
      <c r="A12" s="281"/>
      <c r="B12" s="281"/>
      <c r="C12" s="285" t="s">
        <v>481</v>
      </c>
      <c r="D12" s="286">
        <f t="shared" ref="D12:AL12" si="0">360-COUNT(D14:D373)</f>
        <v>53</v>
      </c>
      <c r="E12" s="286">
        <f t="shared" si="0"/>
        <v>7</v>
      </c>
      <c r="F12" s="286">
        <f t="shared" si="0"/>
        <v>0</v>
      </c>
      <c r="G12" s="286">
        <f t="shared" si="0"/>
        <v>0</v>
      </c>
      <c r="H12" s="286">
        <f t="shared" si="0"/>
        <v>0</v>
      </c>
      <c r="I12" s="286">
        <f t="shared" si="0"/>
        <v>0</v>
      </c>
      <c r="J12" s="286">
        <f t="shared" si="0"/>
        <v>0</v>
      </c>
      <c r="K12" s="286">
        <f t="shared" si="0"/>
        <v>0</v>
      </c>
      <c r="L12" s="286">
        <f t="shared" si="0"/>
        <v>2</v>
      </c>
      <c r="M12" s="286">
        <f t="shared" si="0"/>
        <v>4</v>
      </c>
      <c r="N12" s="286">
        <f t="shared" si="0"/>
        <v>1</v>
      </c>
      <c r="O12" s="286">
        <f t="shared" si="0"/>
        <v>7</v>
      </c>
      <c r="P12" s="286">
        <f t="shared" si="0"/>
        <v>2</v>
      </c>
      <c r="Q12" s="286">
        <f t="shared" si="0"/>
        <v>0</v>
      </c>
      <c r="R12" s="286">
        <f t="shared" si="0"/>
        <v>3</v>
      </c>
      <c r="S12" s="286">
        <f t="shared" si="0"/>
        <v>0</v>
      </c>
      <c r="T12" s="286">
        <f t="shared" si="0"/>
        <v>0</v>
      </c>
      <c r="U12" s="286">
        <f t="shared" si="0"/>
        <v>0</v>
      </c>
      <c r="V12" s="286">
        <f t="shared" si="0"/>
        <v>1</v>
      </c>
      <c r="W12" s="286">
        <f t="shared" si="0"/>
        <v>0</v>
      </c>
      <c r="X12" s="286">
        <f t="shared" si="0"/>
        <v>2</v>
      </c>
      <c r="Y12" s="286">
        <f t="shared" si="0"/>
        <v>0</v>
      </c>
      <c r="Z12" s="286">
        <f t="shared" si="0"/>
        <v>1</v>
      </c>
      <c r="AA12" s="286">
        <f t="shared" si="0"/>
        <v>3</v>
      </c>
      <c r="AB12" s="286">
        <f t="shared" si="0"/>
        <v>27</v>
      </c>
      <c r="AC12" s="286">
        <f t="shared" si="0"/>
        <v>0</v>
      </c>
      <c r="AD12" s="286">
        <f t="shared" si="0"/>
        <v>0</v>
      </c>
      <c r="AE12" s="286">
        <f t="shared" si="0"/>
        <v>0</v>
      </c>
      <c r="AF12" s="286">
        <f t="shared" si="0"/>
        <v>1</v>
      </c>
      <c r="AG12" s="286">
        <f t="shared" si="0"/>
        <v>0</v>
      </c>
      <c r="AH12" s="286">
        <f t="shared" si="0"/>
        <v>0</v>
      </c>
      <c r="AI12" s="286">
        <f t="shared" si="0"/>
        <v>0</v>
      </c>
      <c r="AJ12" s="286">
        <f t="shared" si="0"/>
        <v>0</v>
      </c>
      <c r="AK12" s="286">
        <f t="shared" si="0"/>
        <v>2</v>
      </c>
      <c r="AL12" s="286">
        <f t="shared" si="0"/>
        <v>1</v>
      </c>
    </row>
    <row r="13" spans="1:38" s="278" customFormat="1" ht="14">
      <c r="B13" s="279" t="s">
        <v>61</v>
      </c>
      <c r="C13" s="280" t="s">
        <v>345</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row>
    <row r="14" spans="1:38" s="9" customFormat="1">
      <c r="B14" s="76">
        <v>1981</v>
      </c>
      <c r="C14" s="178" t="s">
        <v>131</v>
      </c>
      <c r="D14" s="6">
        <v>156</v>
      </c>
      <c r="E14" s="7">
        <v>64</v>
      </c>
      <c r="F14" s="6">
        <v>137.4</v>
      </c>
      <c r="G14" s="7">
        <v>179.5</v>
      </c>
      <c r="H14" s="6">
        <v>186</v>
      </c>
      <c r="I14" s="6">
        <v>141</v>
      </c>
      <c r="J14" s="7">
        <v>106</v>
      </c>
      <c r="K14" s="7">
        <v>185</v>
      </c>
      <c r="L14" s="6">
        <v>244</v>
      </c>
      <c r="M14" s="6">
        <v>108</v>
      </c>
      <c r="N14" s="7">
        <v>266</v>
      </c>
      <c r="O14" s="6">
        <v>88</v>
      </c>
      <c r="P14" s="7">
        <v>203</v>
      </c>
      <c r="Q14" s="6">
        <v>154</v>
      </c>
      <c r="R14" s="6">
        <v>93.4</v>
      </c>
      <c r="S14" s="6">
        <v>59.8</v>
      </c>
      <c r="T14" s="6">
        <v>274.7</v>
      </c>
      <c r="U14" s="7">
        <v>205</v>
      </c>
      <c r="V14" s="7">
        <v>110.2</v>
      </c>
      <c r="W14" s="6">
        <v>219.6</v>
      </c>
      <c r="X14" s="6">
        <v>152</v>
      </c>
      <c r="Y14" s="6">
        <v>130</v>
      </c>
      <c r="Z14" s="7">
        <v>254</v>
      </c>
      <c r="AA14" s="76">
        <v>231</v>
      </c>
      <c r="AB14" s="7">
        <v>143</v>
      </c>
      <c r="AC14" s="6">
        <v>264.2</v>
      </c>
      <c r="AD14" s="6">
        <v>139.30000000000001</v>
      </c>
      <c r="AE14" s="6">
        <v>197.7</v>
      </c>
      <c r="AF14" s="6">
        <v>238</v>
      </c>
      <c r="AG14" s="6">
        <v>127</v>
      </c>
      <c r="AH14" s="6">
        <v>163</v>
      </c>
      <c r="AI14" s="7">
        <v>73</v>
      </c>
      <c r="AJ14" s="6">
        <v>70.5</v>
      </c>
      <c r="AK14" s="7">
        <v>161.5</v>
      </c>
      <c r="AL14" s="7">
        <v>154</v>
      </c>
    </row>
    <row r="15" spans="1:38" s="9" customFormat="1">
      <c r="B15" s="76">
        <v>1981</v>
      </c>
      <c r="C15" s="178" t="s">
        <v>132</v>
      </c>
      <c r="D15" s="6">
        <v>146</v>
      </c>
      <c r="E15" s="7">
        <v>97</v>
      </c>
      <c r="F15" s="6">
        <v>186.1</v>
      </c>
      <c r="G15" s="7">
        <v>176.5</v>
      </c>
      <c r="H15" s="6">
        <v>213</v>
      </c>
      <c r="I15" s="6">
        <v>94</v>
      </c>
      <c r="J15" s="7">
        <v>129</v>
      </c>
      <c r="K15" s="7">
        <v>79</v>
      </c>
      <c r="L15" s="6">
        <v>209</v>
      </c>
      <c r="M15" s="6">
        <v>344</v>
      </c>
      <c r="N15" s="7">
        <v>126</v>
      </c>
      <c r="O15" s="6">
        <v>128</v>
      </c>
      <c r="P15" s="7">
        <v>302</v>
      </c>
      <c r="Q15" s="6">
        <v>142</v>
      </c>
      <c r="R15" s="6">
        <v>119.6</v>
      </c>
      <c r="S15" s="6">
        <v>158.4</v>
      </c>
      <c r="T15" s="6">
        <v>58.8</v>
      </c>
      <c r="U15" s="7">
        <v>184</v>
      </c>
      <c r="V15" s="7">
        <v>162.4</v>
      </c>
      <c r="W15" s="6">
        <v>109.6</v>
      </c>
      <c r="X15" s="6">
        <v>75</v>
      </c>
      <c r="Y15" s="6">
        <v>112.9</v>
      </c>
      <c r="Z15" s="7">
        <v>122</v>
      </c>
      <c r="AA15" s="76">
        <v>151</v>
      </c>
      <c r="AB15" s="7">
        <v>120.5</v>
      </c>
      <c r="AC15" s="6">
        <v>267.2</v>
      </c>
      <c r="AD15" s="6">
        <v>144.9</v>
      </c>
      <c r="AE15" s="6">
        <v>188.2</v>
      </c>
      <c r="AF15" s="6">
        <v>336</v>
      </c>
      <c r="AG15" s="6">
        <v>161</v>
      </c>
      <c r="AH15" s="6">
        <v>245</v>
      </c>
      <c r="AI15" s="7">
        <v>203</v>
      </c>
      <c r="AJ15" s="6">
        <v>114.1</v>
      </c>
      <c r="AK15" s="7">
        <v>132.69999999999999</v>
      </c>
      <c r="AL15" s="7">
        <v>161.1</v>
      </c>
    </row>
    <row r="16" spans="1:38" s="9" customFormat="1">
      <c r="B16" s="76">
        <v>1981</v>
      </c>
      <c r="C16" s="178" t="s">
        <v>133</v>
      </c>
      <c r="D16" s="6">
        <v>118</v>
      </c>
      <c r="E16" s="7">
        <v>42</v>
      </c>
      <c r="F16" s="6">
        <v>66</v>
      </c>
      <c r="G16" s="7">
        <v>56</v>
      </c>
      <c r="H16" s="6">
        <v>85</v>
      </c>
      <c r="I16" s="6">
        <v>93</v>
      </c>
      <c r="J16" s="7">
        <v>49</v>
      </c>
      <c r="K16" s="7">
        <v>42.2</v>
      </c>
      <c r="L16" s="6">
        <v>27.1</v>
      </c>
      <c r="M16" s="6">
        <v>75</v>
      </c>
      <c r="N16" s="7">
        <v>27</v>
      </c>
      <c r="O16" s="6">
        <v>22</v>
      </c>
      <c r="P16" s="7">
        <v>12</v>
      </c>
      <c r="Q16" s="6">
        <v>80</v>
      </c>
      <c r="R16" s="6">
        <v>44.7</v>
      </c>
      <c r="S16" s="6">
        <v>24.5</v>
      </c>
      <c r="T16" s="6">
        <v>37.9</v>
      </c>
      <c r="U16" s="7">
        <v>49</v>
      </c>
      <c r="V16" s="7">
        <v>33.5</v>
      </c>
      <c r="W16" s="6">
        <v>25</v>
      </c>
      <c r="X16" s="6">
        <v>45</v>
      </c>
      <c r="Y16" s="6">
        <v>72.900000000000006</v>
      </c>
      <c r="Z16" s="7">
        <v>100</v>
      </c>
      <c r="AA16" s="76">
        <v>55</v>
      </c>
      <c r="AB16" s="7">
        <v>17.5</v>
      </c>
      <c r="AC16" s="6">
        <v>43</v>
      </c>
      <c r="AD16" s="6">
        <v>91</v>
      </c>
      <c r="AE16" s="6">
        <v>62.5</v>
      </c>
      <c r="AF16" s="6">
        <v>94</v>
      </c>
      <c r="AG16" s="6">
        <v>72</v>
      </c>
      <c r="AH16" s="6">
        <v>74</v>
      </c>
      <c r="AI16" s="7">
        <v>99</v>
      </c>
      <c r="AJ16" s="6">
        <v>36.200000000000003</v>
      </c>
      <c r="AK16" s="7">
        <v>51.5</v>
      </c>
      <c r="AL16" s="7">
        <v>34.200000000000003</v>
      </c>
    </row>
    <row r="17" spans="2:38" s="9" customFormat="1">
      <c r="B17" s="76">
        <v>1981</v>
      </c>
      <c r="C17" s="178" t="s">
        <v>134</v>
      </c>
      <c r="D17" s="6">
        <v>58</v>
      </c>
      <c r="E17" s="7">
        <v>80</v>
      </c>
      <c r="F17" s="6">
        <v>48</v>
      </c>
      <c r="G17" s="7">
        <v>25</v>
      </c>
      <c r="H17" s="6">
        <v>90</v>
      </c>
      <c r="I17" s="6">
        <v>61</v>
      </c>
      <c r="J17" s="7">
        <v>71.5</v>
      </c>
      <c r="K17" s="7">
        <v>53</v>
      </c>
      <c r="L17" s="6">
        <v>68</v>
      </c>
      <c r="M17" s="6">
        <v>103</v>
      </c>
      <c r="N17" s="7">
        <v>100</v>
      </c>
      <c r="O17" s="6">
        <v>103</v>
      </c>
      <c r="P17" s="7">
        <v>61</v>
      </c>
      <c r="Q17" s="6">
        <v>117</v>
      </c>
      <c r="R17" s="6">
        <v>42</v>
      </c>
      <c r="S17" s="6">
        <v>73.900000000000006</v>
      </c>
      <c r="T17" s="6">
        <v>87.7</v>
      </c>
      <c r="U17" s="7">
        <v>98</v>
      </c>
      <c r="V17" s="7">
        <v>61.5</v>
      </c>
      <c r="W17" s="6">
        <v>47.5</v>
      </c>
      <c r="X17" s="6">
        <v>84</v>
      </c>
      <c r="Y17" s="6">
        <v>92.2</v>
      </c>
      <c r="Z17" s="7">
        <v>92</v>
      </c>
      <c r="AA17" s="76">
        <v>106</v>
      </c>
      <c r="AB17" s="7">
        <v>89.5</v>
      </c>
      <c r="AC17" s="6">
        <v>133.6</v>
      </c>
      <c r="AD17" s="6">
        <v>70.400000000000006</v>
      </c>
      <c r="AE17" s="6">
        <v>128</v>
      </c>
      <c r="AF17" s="6">
        <v>164</v>
      </c>
      <c r="AG17" s="6">
        <v>87</v>
      </c>
      <c r="AH17" s="6">
        <v>156</v>
      </c>
      <c r="AI17" s="7">
        <v>64</v>
      </c>
      <c r="AJ17" s="6">
        <v>81.5</v>
      </c>
      <c r="AK17" s="7">
        <v>130</v>
      </c>
      <c r="AL17" s="7">
        <v>99</v>
      </c>
    </row>
    <row r="18" spans="2:38" s="9" customFormat="1">
      <c r="B18" s="76">
        <v>1981</v>
      </c>
      <c r="C18" s="178" t="s">
        <v>135</v>
      </c>
      <c r="D18" s="6">
        <v>296</v>
      </c>
      <c r="E18" s="7">
        <v>166</v>
      </c>
      <c r="F18" s="6">
        <v>256.39999999999998</v>
      </c>
      <c r="G18" s="7">
        <v>205</v>
      </c>
      <c r="H18" s="6">
        <v>124</v>
      </c>
      <c r="I18" s="6">
        <v>343</v>
      </c>
      <c r="J18" s="7">
        <v>170.5</v>
      </c>
      <c r="K18" s="7">
        <v>72</v>
      </c>
      <c r="L18" s="6">
        <v>242.8</v>
      </c>
      <c r="M18" s="6">
        <v>205</v>
      </c>
      <c r="N18" s="7">
        <v>383</v>
      </c>
      <c r="O18" s="6">
        <v>240</v>
      </c>
      <c r="P18" s="7">
        <v>201</v>
      </c>
      <c r="Q18" s="6">
        <v>163</v>
      </c>
      <c r="R18" s="6">
        <v>342.5</v>
      </c>
      <c r="S18" s="6">
        <v>228.6</v>
      </c>
      <c r="T18" s="6">
        <v>281.89999999999998</v>
      </c>
      <c r="U18" s="7">
        <v>231</v>
      </c>
      <c r="V18" s="7">
        <v>153.30000000000001</v>
      </c>
      <c r="W18" s="6">
        <v>212.4</v>
      </c>
      <c r="X18" s="6">
        <v>342</v>
      </c>
      <c r="Y18" s="6">
        <v>287.5</v>
      </c>
      <c r="Z18" s="7">
        <v>376</v>
      </c>
      <c r="AA18" s="76">
        <v>278</v>
      </c>
      <c r="AB18" s="7">
        <v>184.5</v>
      </c>
      <c r="AC18" s="6">
        <v>150.4</v>
      </c>
      <c r="AD18" s="6">
        <v>282.3</v>
      </c>
      <c r="AE18" s="6">
        <v>178.8</v>
      </c>
      <c r="AF18" s="6">
        <v>309</v>
      </c>
      <c r="AG18" s="6">
        <v>170</v>
      </c>
      <c r="AH18" s="6">
        <v>179</v>
      </c>
      <c r="AI18" s="7">
        <v>229</v>
      </c>
      <c r="AJ18" s="6">
        <v>152.1</v>
      </c>
      <c r="AK18" s="7">
        <v>257</v>
      </c>
      <c r="AL18" s="7">
        <v>190.8</v>
      </c>
    </row>
    <row r="19" spans="2:38" s="9" customFormat="1">
      <c r="B19" s="76">
        <v>1981</v>
      </c>
      <c r="C19" s="178" t="s">
        <v>136</v>
      </c>
      <c r="D19" s="6">
        <v>28</v>
      </c>
      <c r="E19" s="7">
        <v>198</v>
      </c>
      <c r="F19" s="6">
        <v>96.8</v>
      </c>
      <c r="G19" s="7">
        <v>0</v>
      </c>
      <c r="H19" s="6">
        <v>66</v>
      </c>
      <c r="I19" s="6">
        <v>25</v>
      </c>
      <c r="J19" s="7">
        <v>51.5</v>
      </c>
      <c r="K19" s="7">
        <v>21</v>
      </c>
      <c r="L19" s="6">
        <v>29.3</v>
      </c>
      <c r="M19" s="6">
        <v>109</v>
      </c>
      <c r="N19" s="7">
        <v>26</v>
      </c>
      <c r="O19" s="6">
        <v>39</v>
      </c>
      <c r="P19" s="7">
        <v>169</v>
      </c>
      <c r="Q19" s="6">
        <v>37</v>
      </c>
      <c r="R19" s="6">
        <v>18</v>
      </c>
      <c r="S19" s="6">
        <v>150.1</v>
      </c>
      <c r="T19" s="6">
        <v>12.6</v>
      </c>
      <c r="U19" s="7">
        <v>18</v>
      </c>
      <c r="V19" s="7">
        <v>130.69999999999999</v>
      </c>
      <c r="W19" s="6">
        <v>21.2</v>
      </c>
      <c r="X19" s="6">
        <v>40</v>
      </c>
      <c r="Y19" s="6">
        <v>45.5</v>
      </c>
      <c r="Z19" s="7">
        <v>27</v>
      </c>
      <c r="AA19" s="76">
        <v>44</v>
      </c>
      <c r="AB19" s="7">
        <v>40.9</v>
      </c>
      <c r="AC19" s="6">
        <v>98.5</v>
      </c>
      <c r="AD19" s="6">
        <v>33.4</v>
      </c>
      <c r="AE19" s="6">
        <v>44.1</v>
      </c>
      <c r="AF19" s="6">
        <v>100</v>
      </c>
      <c r="AG19" s="6">
        <v>152</v>
      </c>
      <c r="AH19" s="6">
        <v>111</v>
      </c>
      <c r="AI19" s="7">
        <v>119</v>
      </c>
      <c r="AJ19" s="6">
        <v>60.6</v>
      </c>
      <c r="AK19" s="7">
        <v>120</v>
      </c>
      <c r="AL19" s="7">
        <v>160.5</v>
      </c>
    </row>
    <row r="20" spans="2:38" s="9" customFormat="1">
      <c r="B20" s="76">
        <v>1981</v>
      </c>
      <c r="C20" s="178" t="s">
        <v>137</v>
      </c>
      <c r="D20" s="6">
        <v>117</v>
      </c>
      <c r="E20" s="7">
        <v>129</v>
      </c>
      <c r="F20" s="6">
        <v>66.099999999999994</v>
      </c>
      <c r="G20" s="7">
        <v>60</v>
      </c>
      <c r="H20" s="6">
        <v>48</v>
      </c>
      <c r="I20" s="6">
        <v>118</v>
      </c>
      <c r="J20" s="7">
        <v>135.5</v>
      </c>
      <c r="K20" s="7">
        <v>62</v>
      </c>
      <c r="L20" s="6">
        <v>96.7</v>
      </c>
      <c r="M20" s="6">
        <v>322</v>
      </c>
      <c r="N20" s="7">
        <v>93</v>
      </c>
      <c r="O20" s="6">
        <v>142</v>
      </c>
      <c r="P20" s="7">
        <v>239</v>
      </c>
      <c r="Q20" s="6">
        <v>148</v>
      </c>
      <c r="R20" s="6">
        <v>56.4</v>
      </c>
      <c r="S20" s="6">
        <v>80.599999999999994</v>
      </c>
      <c r="T20" s="6">
        <v>56.7</v>
      </c>
      <c r="U20" s="7">
        <v>111</v>
      </c>
      <c r="V20" s="7">
        <v>77.400000000000006</v>
      </c>
      <c r="W20" s="6">
        <v>55</v>
      </c>
      <c r="X20" s="6">
        <v>111</v>
      </c>
      <c r="Y20" s="6">
        <v>85.5</v>
      </c>
      <c r="Z20" s="7">
        <v>72</v>
      </c>
      <c r="AA20" s="76">
        <v>101</v>
      </c>
      <c r="AB20" s="7">
        <v>82.5</v>
      </c>
      <c r="AC20" s="6">
        <v>92.2</v>
      </c>
      <c r="AD20" s="6">
        <v>113.3</v>
      </c>
      <c r="AE20" s="6">
        <v>49.6</v>
      </c>
      <c r="AF20" s="6">
        <v>70</v>
      </c>
      <c r="AG20" s="6">
        <v>92</v>
      </c>
      <c r="AH20" s="6">
        <v>37</v>
      </c>
      <c r="AI20" s="7">
        <v>75</v>
      </c>
      <c r="AJ20" s="6">
        <v>187.1</v>
      </c>
      <c r="AK20" s="7">
        <v>64.5</v>
      </c>
      <c r="AL20" s="7">
        <v>76.5</v>
      </c>
    </row>
    <row r="21" spans="2:38" s="9" customFormat="1">
      <c r="B21" s="76">
        <v>1981</v>
      </c>
      <c r="C21" s="178" t="s">
        <v>138</v>
      </c>
      <c r="D21" s="6">
        <v>97</v>
      </c>
      <c r="E21" s="7">
        <v>51</v>
      </c>
      <c r="F21" s="6">
        <v>48.3</v>
      </c>
      <c r="G21" s="7">
        <v>64</v>
      </c>
      <c r="H21" s="6">
        <v>89</v>
      </c>
      <c r="I21" s="6">
        <v>78</v>
      </c>
      <c r="J21" s="7">
        <v>94.5</v>
      </c>
      <c r="K21" s="7">
        <v>65</v>
      </c>
      <c r="L21" s="6">
        <v>113</v>
      </c>
      <c r="M21" s="6">
        <v>134</v>
      </c>
      <c r="N21" s="7">
        <v>56</v>
      </c>
      <c r="O21" s="6">
        <v>77</v>
      </c>
      <c r="P21" s="7">
        <v>15</v>
      </c>
      <c r="Q21" s="6">
        <v>68</v>
      </c>
      <c r="R21" s="6">
        <v>60.9</v>
      </c>
      <c r="S21" s="6">
        <v>63.3</v>
      </c>
      <c r="T21" s="6">
        <v>50.8</v>
      </c>
      <c r="U21" s="7">
        <v>88</v>
      </c>
      <c r="V21" s="7">
        <v>43</v>
      </c>
      <c r="W21" s="6">
        <v>72.3</v>
      </c>
      <c r="X21" s="6">
        <v>70</v>
      </c>
      <c r="Y21" s="6">
        <v>69.400000000000006</v>
      </c>
      <c r="Z21" s="7">
        <v>81</v>
      </c>
      <c r="AA21" s="76">
        <v>96</v>
      </c>
      <c r="AB21" s="7">
        <v>3</v>
      </c>
      <c r="AC21" s="6">
        <v>31.1</v>
      </c>
      <c r="AD21" s="6">
        <v>113.9</v>
      </c>
      <c r="AE21" s="6">
        <v>82</v>
      </c>
      <c r="AF21" s="6">
        <v>85</v>
      </c>
      <c r="AG21" s="6">
        <v>85</v>
      </c>
      <c r="AH21" s="6">
        <v>87</v>
      </c>
      <c r="AI21" s="7">
        <v>54</v>
      </c>
      <c r="AJ21" s="6">
        <v>83.5</v>
      </c>
      <c r="AK21" s="7">
        <v>113</v>
      </c>
      <c r="AL21" s="7">
        <v>69</v>
      </c>
    </row>
    <row r="22" spans="2:38" s="9" customFormat="1">
      <c r="B22" s="76">
        <v>1981</v>
      </c>
      <c r="C22" s="178" t="s">
        <v>139</v>
      </c>
      <c r="D22" s="6">
        <v>77</v>
      </c>
      <c r="E22" s="7">
        <v>276</v>
      </c>
      <c r="F22" s="6">
        <v>95.2</v>
      </c>
      <c r="G22" s="7">
        <v>43.5</v>
      </c>
      <c r="H22" s="6">
        <v>58</v>
      </c>
      <c r="I22" s="6">
        <v>134</v>
      </c>
      <c r="J22" s="7">
        <v>155.5</v>
      </c>
      <c r="K22" s="7">
        <v>68</v>
      </c>
      <c r="L22" s="6">
        <v>139</v>
      </c>
      <c r="M22" s="6">
        <v>330</v>
      </c>
      <c r="N22" s="7">
        <v>75</v>
      </c>
      <c r="O22" s="6">
        <v>283</v>
      </c>
      <c r="P22" s="7">
        <v>107</v>
      </c>
      <c r="Q22" s="6">
        <v>226</v>
      </c>
      <c r="R22" s="6">
        <v>86.2</v>
      </c>
      <c r="S22" s="6">
        <v>175.8</v>
      </c>
      <c r="T22" s="6">
        <v>44.9</v>
      </c>
      <c r="U22" s="7">
        <v>126</v>
      </c>
      <c r="V22" s="7">
        <v>169.5</v>
      </c>
      <c r="W22" s="6">
        <v>61</v>
      </c>
      <c r="X22" s="6">
        <v>87</v>
      </c>
      <c r="Y22" s="6">
        <v>134.5</v>
      </c>
      <c r="Z22" s="7">
        <v>100</v>
      </c>
      <c r="AA22" s="76">
        <v>93</v>
      </c>
      <c r="AB22" s="7">
        <v>96</v>
      </c>
      <c r="AC22" s="6">
        <v>163.5</v>
      </c>
      <c r="AD22" s="6">
        <v>125.9</v>
      </c>
      <c r="AE22" s="6">
        <v>78.599999999999994</v>
      </c>
      <c r="AF22" s="6">
        <v>87</v>
      </c>
      <c r="AG22" s="6">
        <v>151</v>
      </c>
      <c r="AH22" s="6">
        <v>71</v>
      </c>
      <c r="AI22" s="7">
        <v>140</v>
      </c>
      <c r="AJ22" s="6">
        <v>209.1</v>
      </c>
      <c r="AK22" s="7">
        <v>82.5</v>
      </c>
      <c r="AL22" s="7">
        <v>201</v>
      </c>
    </row>
    <row r="23" spans="2:38" s="9" customFormat="1">
      <c r="B23" s="76">
        <v>1981</v>
      </c>
      <c r="C23" s="178" t="s">
        <v>140</v>
      </c>
      <c r="D23" s="6">
        <v>20</v>
      </c>
      <c r="E23" s="7">
        <v>19</v>
      </c>
      <c r="F23" s="6">
        <v>55.5</v>
      </c>
      <c r="G23" s="7">
        <v>7.5</v>
      </c>
      <c r="H23" s="6">
        <v>50</v>
      </c>
      <c r="I23" s="6">
        <v>37</v>
      </c>
      <c r="J23" s="7">
        <v>60</v>
      </c>
      <c r="K23" s="7">
        <v>33</v>
      </c>
      <c r="L23" s="6">
        <v>25</v>
      </c>
      <c r="M23" s="6">
        <v>54</v>
      </c>
      <c r="N23" s="7">
        <v>26</v>
      </c>
      <c r="O23" s="6">
        <v>44</v>
      </c>
      <c r="P23" s="7">
        <v>99</v>
      </c>
      <c r="Q23" s="6">
        <v>38</v>
      </c>
      <c r="R23" s="6">
        <v>45.8</v>
      </c>
      <c r="S23" s="6">
        <v>24</v>
      </c>
      <c r="T23" s="6">
        <v>16.3</v>
      </c>
      <c r="U23" s="7">
        <v>38</v>
      </c>
      <c r="V23" s="7">
        <v>62</v>
      </c>
      <c r="W23" s="6">
        <v>19.2</v>
      </c>
      <c r="X23" s="6">
        <v>22</v>
      </c>
      <c r="Y23" s="6">
        <v>89</v>
      </c>
      <c r="Z23" s="7">
        <v>39</v>
      </c>
      <c r="AA23" s="76">
        <v>20</v>
      </c>
      <c r="AB23" s="7">
        <v>12</v>
      </c>
      <c r="AC23" s="6">
        <v>49.3</v>
      </c>
      <c r="AD23" s="6">
        <v>30.5</v>
      </c>
      <c r="AE23" s="6">
        <v>40.6</v>
      </c>
      <c r="AF23" s="6">
        <v>16</v>
      </c>
      <c r="AG23" s="6">
        <v>34</v>
      </c>
      <c r="AH23" s="6">
        <v>47</v>
      </c>
      <c r="AI23" s="7">
        <v>29</v>
      </c>
      <c r="AJ23" s="6">
        <v>46.5</v>
      </c>
      <c r="AK23" s="7">
        <v>19</v>
      </c>
      <c r="AL23" s="7">
        <v>47.5</v>
      </c>
    </row>
    <row r="24" spans="2:38" s="9" customFormat="1">
      <c r="B24" s="76">
        <v>1981</v>
      </c>
      <c r="C24" s="178" t="s">
        <v>141</v>
      </c>
      <c r="D24" s="6">
        <v>135</v>
      </c>
      <c r="E24" s="7">
        <v>137</v>
      </c>
      <c r="F24" s="6">
        <v>121.3</v>
      </c>
      <c r="G24" s="7">
        <v>37</v>
      </c>
      <c r="H24" s="6">
        <v>54</v>
      </c>
      <c r="I24" s="6">
        <v>49</v>
      </c>
      <c r="J24" s="7">
        <v>37</v>
      </c>
      <c r="K24" s="7">
        <v>98</v>
      </c>
      <c r="L24" s="6">
        <v>59</v>
      </c>
      <c r="M24" s="6">
        <v>161</v>
      </c>
      <c r="N24" s="7">
        <v>72</v>
      </c>
      <c r="O24" s="6">
        <v>140</v>
      </c>
      <c r="P24" s="7">
        <v>59</v>
      </c>
      <c r="Q24" s="6">
        <v>142</v>
      </c>
      <c r="R24" s="6">
        <v>157.19999999999999</v>
      </c>
      <c r="S24" s="6">
        <v>97.7</v>
      </c>
      <c r="T24" s="6">
        <v>38.5</v>
      </c>
      <c r="U24" s="7">
        <v>35</v>
      </c>
      <c r="V24" s="7">
        <v>31.5</v>
      </c>
      <c r="W24" s="6">
        <v>62.2</v>
      </c>
      <c r="X24" s="6">
        <v>69</v>
      </c>
      <c r="Y24" s="6">
        <v>64</v>
      </c>
      <c r="Z24" s="7">
        <v>38</v>
      </c>
      <c r="AA24" s="76">
        <v>124</v>
      </c>
      <c r="AB24" s="7">
        <v>111.5</v>
      </c>
      <c r="AC24" s="6">
        <v>52</v>
      </c>
      <c r="AD24" s="6">
        <v>110.7</v>
      </c>
      <c r="AE24" s="6">
        <v>104.2</v>
      </c>
      <c r="AF24" s="6">
        <v>46</v>
      </c>
      <c r="AG24" s="6">
        <v>115</v>
      </c>
      <c r="AH24" s="6">
        <v>64</v>
      </c>
      <c r="AI24" s="7">
        <v>88</v>
      </c>
      <c r="AJ24" s="6">
        <v>90.1</v>
      </c>
      <c r="AK24" s="7">
        <v>75.5</v>
      </c>
      <c r="AL24" s="7">
        <v>99</v>
      </c>
    </row>
    <row r="25" spans="2:38" s="9" customFormat="1">
      <c r="B25" s="76">
        <v>1981</v>
      </c>
      <c r="C25" s="178" t="s">
        <v>143</v>
      </c>
      <c r="D25" s="6">
        <v>138</v>
      </c>
      <c r="E25" s="7">
        <v>37</v>
      </c>
      <c r="F25" s="6">
        <v>135.4</v>
      </c>
      <c r="G25" s="7">
        <v>94.5</v>
      </c>
      <c r="H25" s="6">
        <v>104</v>
      </c>
      <c r="I25" s="6">
        <v>115</v>
      </c>
      <c r="J25" s="7">
        <v>51.5</v>
      </c>
      <c r="K25" s="7">
        <v>100</v>
      </c>
      <c r="L25" s="6">
        <v>87</v>
      </c>
      <c r="M25" s="6">
        <v>55</v>
      </c>
      <c r="N25" s="7">
        <v>140</v>
      </c>
      <c r="O25" s="6">
        <v>73</v>
      </c>
      <c r="P25" s="7">
        <v>25</v>
      </c>
      <c r="Q25" s="6">
        <v>91</v>
      </c>
      <c r="R25" s="6">
        <v>117.6</v>
      </c>
      <c r="S25" s="6">
        <v>39.9</v>
      </c>
      <c r="T25" s="6">
        <v>131.69999999999999</v>
      </c>
      <c r="U25" s="7">
        <v>100</v>
      </c>
      <c r="V25" s="7">
        <v>112</v>
      </c>
      <c r="W25" s="6">
        <v>98.4</v>
      </c>
      <c r="X25" s="6">
        <v>150</v>
      </c>
      <c r="Y25" s="6">
        <v>102.9</v>
      </c>
      <c r="Z25" s="7">
        <v>106</v>
      </c>
      <c r="AA25" s="76">
        <v>128</v>
      </c>
      <c r="AB25" s="7">
        <v>61.5</v>
      </c>
      <c r="AC25" s="6">
        <v>140.69999999999999</v>
      </c>
      <c r="AD25" s="6">
        <v>90.6</v>
      </c>
      <c r="AE25" s="6">
        <v>130.4</v>
      </c>
      <c r="AF25" s="6">
        <v>150</v>
      </c>
      <c r="AG25" s="6">
        <v>157</v>
      </c>
      <c r="AH25" s="6">
        <v>132</v>
      </c>
      <c r="AI25" s="7">
        <v>143</v>
      </c>
      <c r="AJ25" s="6">
        <v>37.700000000000003</v>
      </c>
      <c r="AK25" s="7">
        <v>80.5</v>
      </c>
      <c r="AL25" s="7">
        <v>88.5</v>
      </c>
    </row>
    <row r="26" spans="2:38" s="9" customFormat="1">
      <c r="B26" s="76">
        <v>1982</v>
      </c>
      <c r="C26" s="178" t="s">
        <v>131</v>
      </c>
      <c r="D26" s="6">
        <v>58</v>
      </c>
      <c r="E26" s="7">
        <v>63</v>
      </c>
      <c r="F26" s="6">
        <v>70.400000000000006</v>
      </c>
      <c r="G26" s="7">
        <v>12</v>
      </c>
      <c r="H26" s="6">
        <v>42</v>
      </c>
      <c r="I26" s="6">
        <v>27</v>
      </c>
      <c r="J26" s="7">
        <v>80</v>
      </c>
      <c r="K26" s="7">
        <v>39</v>
      </c>
      <c r="L26" s="6">
        <v>61.9</v>
      </c>
      <c r="M26" s="6">
        <v>24</v>
      </c>
      <c r="N26" s="7">
        <v>29</v>
      </c>
      <c r="O26" s="6">
        <v>42</v>
      </c>
      <c r="P26" s="7">
        <v>104</v>
      </c>
      <c r="Q26" s="6">
        <v>10</v>
      </c>
      <c r="R26" s="6">
        <v>101</v>
      </c>
      <c r="S26" s="6">
        <v>89.5</v>
      </c>
      <c r="T26" s="6">
        <v>44.9</v>
      </c>
      <c r="U26" s="7">
        <v>72</v>
      </c>
      <c r="V26" s="7">
        <v>108</v>
      </c>
      <c r="W26" s="6">
        <v>14.3</v>
      </c>
      <c r="X26" s="6">
        <v>26</v>
      </c>
      <c r="Y26" s="6">
        <v>33.700000000000003</v>
      </c>
      <c r="Z26" s="7">
        <v>70</v>
      </c>
      <c r="AA26" s="76">
        <v>14</v>
      </c>
      <c r="AB26" s="7">
        <v>29</v>
      </c>
      <c r="AC26" s="6">
        <v>80</v>
      </c>
      <c r="AD26" s="6">
        <v>80.5</v>
      </c>
      <c r="AE26" s="6">
        <v>55.4</v>
      </c>
      <c r="AF26" s="6">
        <v>40</v>
      </c>
      <c r="AG26" s="6">
        <v>68</v>
      </c>
      <c r="AH26" s="6">
        <v>64</v>
      </c>
      <c r="AI26" s="7">
        <v>67</v>
      </c>
      <c r="AJ26" s="6">
        <v>33.700000000000003</v>
      </c>
      <c r="AK26" s="7">
        <v>49</v>
      </c>
      <c r="AL26" s="7">
        <v>115.5</v>
      </c>
    </row>
    <row r="27" spans="2:38" s="9" customFormat="1">
      <c r="B27" s="76">
        <v>1982</v>
      </c>
      <c r="C27" s="178" t="s">
        <v>132</v>
      </c>
      <c r="D27" s="6">
        <v>47</v>
      </c>
      <c r="E27" s="7">
        <v>254</v>
      </c>
      <c r="F27" s="6">
        <v>360.8</v>
      </c>
      <c r="G27" s="7">
        <v>56</v>
      </c>
      <c r="H27" s="6">
        <v>213</v>
      </c>
      <c r="I27" s="6">
        <v>70</v>
      </c>
      <c r="J27" s="7">
        <v>116.5</v>
      </c>
      <c r="K27" s="7">
        <v>123</v>
      </c>
      <c r="L27" s="6">
        <v>198.7</v>
      </c>
      <c r="M27" s="6">
        <v>247</v>
      </c>
      <c r="N27" s="7">
        <v>134</v>
      </c>
      <c r="O27" s="6">
        <v>220</v>
      </c>
      <c r="P27" s="7">
        <v>3</v>
      </c>
      <c r="Q27" s="6">
        <v>184</v>
      </c>
      <c r="R27" s="6">
        <v>104.3</v>
      </c>
      <c r="S27" s="6">
        <v>226.2</v>
      </c>
      <c r="T27" s="6">
        <v>201.3</v>
      </c>
      <c r="U27" s="7">
        <v>122</v>
      </c>
      <c r="V27" s="7">
        <v>211</v>
      </c>
      <c r="W27" s="6">
        <v>165.2</v>
      </c>
      <c r="X27" s="6">
        <v>100</v>
      </c>
      <c r="Y27" s="6">
        <v>102.4</v>
      </c>
      <c r="Z27" s="7">
        <v>105</v>
      </c>
      <c r="AA27" s="76">
        <v>292</v>
      </c>
      <c r="AB27" s="7">
        <v>214</v>
      </c>
      <c r="AC27" s="6">
        <v>206.6</v>
      </c>
      <c r="AD27" s="6">
        <v>99.5</v>
      </c>
      <c r="AE27" s="6">
        <v>137.69999999999999</v>
      </c>
      <c r="AF27" s="6">
        <v>282</v>
      </c>
      <c r="AG27" s="6">
        <v>239</v>
      </c>
      <c r="AH27" s="6">
        <v>202</v>
      </c>
      <c r="AI27" s="7">
        <v>230.5</v>
      </c>
      <c r="AJ27" s="6">
        <v>195.8</v>
      </c>
      <c r="AK27" s="7">
        <v>228</v>
      </c>
      <c r="AL27" s="7">
        <v>173.5</v>
      </c>
    </row>
    <row r="28" spans="2:38" s="9" customFormat="1">
      <c r="B28" s="76">
        <v>1982</v>
      </c>
      <c r="C28" s="178" t="s">
        <v>133</v>
      </c>
      <c r="D28" s="6">
        <v>49</v>
      </c>
      <c r="E28" s="7">
        <v>57</v>
      </c>
      <c r="F28" s="6">
        <v>29.1</v>
      </c>
      <c r="G28" s="7">
        <v>34</v>
      </c>
      <c r="H28" s="6">
        <v>45</v>
      </c>
      <c r="I28" s="6">
        <v>125</v>
      </c>
      <c r="J28" s="7">
        <v>4</v>
      </c>
      <c r="K28" s="7">
        <v>88</v>
      </c>
      <c r="L28" s="6">
        <v>55.5</v>
      </c>
      <c r="M28" s="6">
        <v>39</v>
      </c>
      <c r="N28" s="7">
        <v>65</v>
      </c>
      <c r="O28" s="6">
        <v>17</v>
      </c>
      <c r="P28" s="7">
        <v>178</v>
      </c>
      <c r="Q28" s="6">
        <v>29</v>
      </c>
      <c r="R28" s="6">
        <v>93.8</v>
      </c>
      <c r="S28" s="6">
        <v>27.5</v>
      </c>
      <c r="T28" s="6">
        <v>84.5</v>
      </c>
      <c r="U28" s="7">
        <v>46</v>
      </c>
      <c r="V28" s="7">
        <v>37</v>
      </c>
      <c r="W28" s="6">
        <v>115.6</v>
      </c>
      <c r="X28" s="6">
        <v>44</v>
      </c>
      <c r="Y28" s="6">
        <v>72.400000000000006</v>
      </c>
      <c r="Z28" s="7">
        <v>151</v>
      </c>
      <c r="AA28" s="76">
        <v>94</v>
      </c>
      <c r="AB28" s="7">
        <v>60</v>
      </c>
      <c r="AC28" s="6">
        <v>70.599999999999994</v>
      </c>
      <c r="AD28" s="6">
        <v>116.8</v>
      </c>
      <c r="AE28" s="6">
        <v>23.5</v>
      </c>
      <c r="AF28" s="6">
        <v>49</v>
      </c>
      <c r="AG28" s="6">
        <v>32</v>
      </c>
      <c r="AH28" s="6">
        <v>42</v>
      </c>
      <c r="AI28" s="7">
        <v>25</v>
      </c>
      <c r="AJ28" s="6">
        <v>22.5</v>
      </c>
      <c r="AK28" s="7">
        <v>54</v>
      </c>
      <c r="AL28" s="7">
        <v>24</v>
      </c>
    </row>
    <row r="29" spans="2:38" s="9" customFormat="1">
      <c r="B29" s="76">
        <v>1982</v>
      </c>
      <c r="C29" s="178" t="s">
        <v>134</v>
      </c>
      <c r="D29" s="6">
        <v>42</v>
      </c>
      <c r="E29" s="7">
        <v>10</v>
      </c>
      <c r="F29" s="6">
        <v>21.4</v>
      </c>
      <c r="G29" s="7">
        <v>64</v>
      </c>
      <c r="H29" s="6">
        <v>31</v>
      </c>
      <c r="I29" s="6">
        <v>49</v>
      </c>
      <c r="J29" s="7">
        <v>23</v>
      </c>
      <c r="K29" s="7">
        <v>45</v>
      </c>
      <c r="L29" s="6">
        <v>0</v>
      </c>
      <c r="M29" s="6">
        <v>22</v>
      </c>
      <c r="N29" s="7">
        <v>44</v>
      </c>
      <c r="O29" s="6">
        <v>51</v>
      </c>
      <c r="P29" s="7">
        <v>90</v>
      </c>
      <c r="Q29" s="6">
        <v>37</v>
      </c>
      <c r="R29" s="6">
        <v>28.7</v>
      </c>
      <c r="S29" s="6">
        <v>19.7</v>
      </c>
      <c r="T29" s="6">
        <v>90</v>
      </c>
      <c r="U29" s="7">
        <v>19</v>
      </c>
      <c r="V29" s="7">
        <v>35.5</v>
      </c>
      <c r="W29" s="6">
        <v>115.8</v>
      </c>
      <c r="X29" s="6">
        <v>25</v>
      </c>
      <c r="Y29" s="6">
        <v>33.6</v>
      </c>
      <c r="Z29" s="7">
        <v>21</v>
      </c>
      <c r="AA29" s="76">
        <v>95</v>
      </c>
      <c r="AB29" s="7">
        <v>48</v>
      </c>
      <c r="AC29" s="6">
        <v>56.3</v>
      </c>
      <c r="AD29" s="6">
        <v>87.4</v>
      </c>
      <c r="AE29" s="6">
        <v>82.1</v>
      </c>
      <c r="AF29" s="6">
        <v>38</v>
      </c>
      <c r="AG29" s="6">
        <v>28</v>
      </c>
      <c r="AH29" s="6">
        <v>37</v>
      </c>
      <c r="AI29" s="7">
        <v>71</v>
      </c>
      <c r="AJ29" s="6">
        <v>21</v>
      </c>
      <c r="AK29" s="7">
        <v>63</v>
      </c>
      <c r="AL29" s="7">
        <v>26</v>
      </c>
    </row>
    <row r="30" spans="2:38" s="9" customFormat="1">
      <c r="B30" s="76">
        <v>1982</v>
      </c>
      <c r="C30" s="178" t="s">
        <v>135</v>
      </c>
      <c r="D30" s="6">
        <v>204</v>
      </c>
      <c r="E30" s="7">
        <v>146</v>
      </c>
      <c r="F30" s="6">
        <v>178.5</v>
      </c>
      <c r="G30" s="7">
        <v>164</v>
      </c>
      <c r="H30" s="6">
        <v>122</v>
      </c>
      <c r="I30" s="6">
        <v>184</v>
      </c>
      <c r="J30" s="7">
        <v>119.6</v>
      </c>
      <c r="K30" s="7">
        <v>118</v>
      </c>
      <c r="L30" s="6">
        <v>145.5</v>
      </c>
      <c r="M30" s="6">
        <v>155</v>
      </c>
      <c r="N30" s="7">
        <v>290</v>
      </c>
      <c r="O30" s="6">
        <v>112</v>
      </c>
      <c r="P30" s="7">
        <v>85</v>
      </c>
      <c r="Q30" s="6">
        <v>148</v>
      </c>
      <c r="R30" s="6">
        <v>92.8</v>
      </c>
      <c r="S30" s="6">
        <v>127.1</v>
      </c>
      <c r="T30" s="6">
        <v>231.5</v>
      </c>
      <c r="U30" s="7">
        <v>274</v>
      </c>
      <c r="V30" s="7">
        <v>119.5</v>
      </c>
      <c r="W30" s="6">
        <v>137.19999999999999</v>
      </c>
      <c r="X30" s="6">
        <v>216</v>
      </c>
      <c r="Y30" s="6">
        <v>124.8</v>
      </c>
      <c r="Z30" s="7">
        <v>331</v>
      </c>
      <c r="AA30" s="76">
        <v>138</v>
      </c>
      <c r="AB30" s="7">
        <v>111.5</v>
      </c>
      <c r="AC30" s="6">
        <v>228.9</v>
      </c>
      <c r="AD30" s="6">
        <v>160.5</v>
      </c>
      <c r="AE30" s="6">
        <v>56.5</v>
      </c>
      <c r="AF30" s="6">
        <v>122</v>
      </c>
      <c r="AG30" s="6">
        <v>158</v>
      </c>
      <c r="AH30" s="6">
        <v>123</v>
      </c>
      <c r="AI30" s="7">
        <v>177</v>
      </c>
      <c r="AJ30" s="6">
        <v>121.5</v>
      </c>
      <c r="AK30" s="7">
        <v>133.5</v>
      </c>
      <c r="AL30" s="7">
        <v>140</v>
      </c>
    </row>
    <row r="31" spans="2:38" s="9" customFormat="1">
      <c r="B31" s="76">
        <v>1982</v>
      </c>
      <c r="C31" s="178" t="s">
        <v>136</v>
      </c>
      <c r="D31" s="6">
        <v>186</v>
      </c>
      <c r="E31" s="7">
        <v>104</v>
      </c>
      <c r="F31" s="6">
        <v>127.1</v>
      </c>
      <c r="G31" s="7">
        <v>178</v>
      </c>
      <c r="H31" s="6">
        <v>117</v>
      </c>
      <c r="I31" s="6">
        <v>215</v>
      </c>
      <c r="J31" s="7">
        <v>240</v>
      </c>
      <c r="K31" s="7">
        <v>110</v>
      </c>
      <c r="L31" s="6">
        <v>206.5</v>
      </c>
      <c r="M31" s="6">
        <v>277</v>
      </c>
      <c r="N31" s="7">
        <v>134</v>
      </c>
      <c r="O31" s="6">
        <v>214</v>
      </c>
      <c r="P31" s="7">
        <v>129</v>
      </c>
      <c r="Q31" s="6">
        <v>223</v>
      </c>
      <c r="R31" s="6">
        <v>111.4</v>
      </c>
      <c r="S31" s="6">
        <v>150.5</v>
      </c>
      <c r="T31" s="6">
        <v>115.7</v>
      </c>
      <c r="U31" s="7">
        <v>97</v>
      </c>
      <c r="V31" s="7">
        <v>154</v>
      </c>
      <c r="W31" s="6">
        <v>170.1</v>
      </c>
      <c r="X31" s="6">
        <v>147</v>
      </c>
      <c r="Y31" s="6">
        <v>219.6</v>
      </c>
      <c r="Z31" s="7">
        <v>153</v>
      </c>
      <c r="AA31" s="76">
        <v>192</v>
      </c>
      <c r="AB31" s="7">
        <v>175.7</v>
      </c>
      <c r="AC31" s="6">
        <v>97.5</v>
      </c>
      <c r="AD31" s="6">
        <v>225.7</v>
      </c>
      <c r="AE31" s="6">
        <v>187.6</v>
      </c>
      <c r="AF31" s="6">
        <v>175</v>
      </c>
      <c r="AG31" s="6">
        <v>157</v>
      </c>
      <c r="AH31" s="6">
        <v>152</v>
      </c>
      <c r="AI31" s="7">
        <v>105</v>
      </c>
      <c r="AJ31" s="6">
        <v>238.1</v>
      </c>
      <c r="AK31" s="7">
        <v>194</v>
      </c>
      <c r="AL31" s="7">
        <v>110.5</v>
      </c>
    </row>
    <row r="32" spans="2:38" s="9" customFormat="1">
      <c r="B32" s="76">
        <v>1982</v>
      </c>
      <c r="C32" s="178" t="s">
        <v>137</v>
      </c>
      <c r="D32" s="6">
        <v>122</v>
      </c>
      <c r="E32" s="7">
        <v>178</v>
      </c>
      <c r="F32" s="6">
        <v>71.3</v>
      </c>
      <c r="G32" s="7">
        <v>155.5</v>
      </c>
      <c r="H32" s="6">
        <v>56</v>
      </c>
      <c r="I32" s="6">
        <v>97</v>
      </c>
      <c r="J32" s="7">
        <v>214.5</v>
      </c>
      <c r="K32" s="7">
        <v>101.5</v>
      </c>
      <c r="L32" s="6">
        <v>172</v>
      </c>
      <c r="M32" s="6">
        <v>281</v>
      </c>
      <c r="N32" s="7">
        <v>124</v>
      </c>
      <c r="O32" s="6">
        <v>245</v>
      </c>
      <c r="P32" s="7">
        <v>144</v>
      </c>
      <c r="Q32" s="6">
        <v>191</v>
      </c>
      <c r="R32" s="6">
        <v>85.6</v>
      </c>
      <c r="S32" s="6">
        <v>180.8</v>
      </c>
      <c r="T32" s="6">
        <v>47.8</v>
      </c>
      <c r="U32" s="7">
        <v>177</v>
      </c>
      <c r="V32" s="7">
        <v>117.5</v>
      </c>
      <c r="W32" s="6">
        <v>126.7</v>
      </c>
      <c r="X32" s="6">
        <v>110</v>
      </c>
      <c r="Y32" s="6">
        <v>112.8</v>
      </c>
      <c r="Z32" s="7">
        <v>137</v>
      </c>
      <c r="AA32" s="76">
        <v>79</v>
      </c>
      <c r="AB32" s="7">
        <v>105.5</v>
      </c>
      <c r="AC32" s="6">
        <v>140.80000000000001</v>
      </c>
      <c r="AD32" s="6">
        <v>164.3</v>
      </c>
      <c r="AE32" s="6">
        <v>49.9</v>
      </c>
      <c r="AF32" s="6">
        <v>44</v>
      </c>
      <c r="AG32" s="6">
        <v>84</v>
      </c>
      <c r="AH32" s="6">
        <v>15</v>
      </c>
      <c r="AI32" s="7">
        <v>97</v>
      </c>
      <c r="AJ32" s="6">
        <v>227.6</v>
      </c>
      <c r="AK32" s="7">
        <v>59.5</v>
      </c>
      <c r="AL32" s="7">
        <v>138.30000000000001</v>
      </c>
    </row>
    <row r="33" spans="2:38" s="9" customFormat="1">
      <c r="B33" s="76">
        <v>1982</v>
      </c>
      <c r="C33" s="178" t="s">
        <v>138</v>
      </c>
      <c r="D33" s="6">
        <v>94</v>
      </c>
      <c r="E33" s="7">
        <v>128</v>
      </c>
      <c r="F33" s="6">
        <v>167</v>
      </c>
      <c r="G33" s="7">
        <v>144</v>
      </c>
      <c r="H33" s="6">
        <v>129</v>
      </c>
      <c r="I33" s="6">
        <v>116</v>
      </c>
      <c r="J33" s="7">
        <v>99</v>
      </c>
      <c r="K33" s="7">
        <v>30</v>
      </c>
      <c r="L33" s="6">
        <v>27</v>
      </c>
      <c r="M33" s="6">
        <v>101</v>
      </c>
      <c r="N33" s="7">
        <v>94</v>
      </c>
      <c r="O33" s="6">
        <v>190</v>
      </c>
      <c r="P33" s="7">
        <v>156</v>
      </c>
      <c r="Q33" s="6">
        <v>143</v>
      </c>
      <c r="R33" s="6">
        <v>64.2</v>
      </c>
      <c r="S33" s="6">
        <v>128.9</v>
      </c>
      <c r="T33" s="6">
        <v>47.9</v>
      </c>
      <c r="U33" s="7">
        <v>46</v>
      </c>
      <c r="V33" s="7">
        <v>173</v>
      </c>
      <c r="W33" s="6">
        <v>36</v>
      </c>
      <c r="X33" s="6">
        <v>129</v>
      </c>
      <c r="Y33" s="6">
        <v>71</v>
      </c>
      <c r="Z33" s="7">
        <v>84</v>
      </c>
      <c r="AA33" s="76">
        <v>25</v>
      </c>
      <c r="AB33" s="7">
        <v>48.5</v>
      </c>
      <c r="AC33" s="6">
        <v>177.7</v>
      </c>
      <c r="AD33" s="6">
        <v>140.6</v>
      </c>
      <c r="AE33" s="6">
        <v>43.6</v>
      </c>
      <c r="AF33" s="6">
        <v>144</v>
      </c>
      <c r="AG33" s="6">
        <v>88</v>
      </c>
      <c r="AH33" s="6">
        <v>87</v>
      </c>
      <c r="AI33" s="7">
        <v>175</v>
      </c>
      <c r="AJ33" s="6">
        <v>122.5</v>
      </c>
      <c r="AK33" s="7">
        <v>55.9</v>
      </c>
      <c r="AL33" s="7">
        <v>172</v>
      </c>
    </row>
    <row r="34" spans="2:38" s="9" customFormat="1">
      <c r="B34" s="76">
        <v>1982</v>
      </c>
      <c r="C34" s="178" t="s">
        <v>139</v>
      </c>
      <c r="D34" s="6">
        <v>70</v>
      </c>
      <c r="E34" s="7">
        <v>153</v>
      </c>
      <c r="F34" s="6">
        <v>219.2</v>
      </c>
      <c r="G34" s="7">
        <v>84.5</v>
      </c>
      <c r="H34" s="6">
        <v>169</v>
      </c>
      <c r="I34" s="6">
        <v>75.5</v>
      </c>
      <c r="J34" s="7">
        <v>132</v>
      </c>
      <c r="K34" s="7">
        <v>97</v>
      </c>
      <c r="L34" s="6">
        <v>104.5</v>
      </c>
      <c r="M34" s="6">
        <v>118</v>
      </c>
      <c r="N34" s="7">
        <v>89</v>
      </c>
      <c r="O34" s="6">
        <v>55</v>
      </c>
      <c r="P34" s="7">
        <v>204</v>
      </c>
      <c r="Q34" s="6">
        <v>93</v>
      </c>
      <c r="R34" s="6">
        <v>166.1</v>
      </c>
      <c r="S34" s="6">
        <v>171</v>
      </c>
      <c r="T34" s="6">
        <v>99.8</v>
      </c>
      <c r="U34" s="7">
        <v>124</v>
      </c>
      <c r="V34" s="7">
        <v>204</v>
      </c>
      <c r="W34" s="6">
        <v>110.4</v>
      </c>
      <c r="X34" s="6">
        <v>80</v>
      </c>
      <c r="Y34" s="6">
        <v>152.30000000000001</v>
      </c>
      <c r="Z34" s="7">
        <v>89</v>
      </c>
      <c r="AA34" s="76">
        <v>111</v>
      </c>
      <c r="AB34" s="7">
        <v>129.5</v>
      </c>
      <c r="AC34" s="6">
        <v>245.6</v>
      </c>
      <c r="AD34" s="6">
        <v>68.2</v>
      </c>
      <c r="AE34" s="6">
        <v>132.6</v>
      </c>
      <c r="AF34" s="6">
        <v>228</v>
      </c>
      <c r="AG34" s="6">
        <v>184</v>
      </c>
      <c r="AH34" s="6">
        <v>218</v>
      </c>
      <c r="AI34" s="7">
        <v>174</v>
      </c>
      <c r="AJ34" s="6">
        <v>116.9</v>
      </c>
      <c r="AK34" s="7">
        <v>131</v>
      </c>
      <c r="AL34" s="7">
        <v>224</v>
      </c>
    </row>
    <row r="35" spans="2:38" s="9" customFormat="1" ht="14">
      <c r="B35" s="76">
        <v>1982</v>
      </c>
      <c r="C35" s="178" t="s">
        <v>140</v>
      </c>
      <c r="D35" s="6">
        <v>65</v>
      </c>
      <c r="E35" s="7">
        <v>137</v>
      </c>
      <c r="F35" s="6">
        <v>117.3</v>
      </c>
      <c r="G35" s="7">
        <v>75</v>
      </c>
      <c r="H35" s="6">
        <v>74</v>
      </c>
      <c r="I35" s="6">
        <v>60</v>
      </c>
      <c r="J35" s="7">
        <v>131.5</v>
      </c>
      <c r="K35" s="7">
        <v>87</v>
      </c>
      <c r="L35" s="6">
        <v>136.5</v>
      </c>
      <c r="M35" s="6">
        <v>145</v>
      </c>
      <c r="N35" s="7">
        <v>95</v>
      </c>
      <c r="O35" s="6">
        <v>89</v>
      </c>
      <c r="P35" s="7">
        <v>114</v>
      </c>
      <c r="Q35" s="6">
        <v>89</v>
      </c>
      <c r="R35" s="6">
        <v>92</v>
      </c>
      <c r="S35" s="6">
        <v>179.7</v>
      </c>
      <c r="T35" s="6">
        <v>82.4</v>
      </c>
      <c r="U35" s="7">
        <v>110</v>
      </c>
      <c r="V35" s="7">
        <v>126</v>
      </c>
      <c r="W35" s="6">
        <v>70.3</v>
      </c>
      <c r="X35" s="6">
        <v>70</v>
      </c>
      <c r="Y35" s="6">
        <v>64.400000000000006</v>
      </c>
      <c r="Z35" s="7">
        <v>61</v>
      </c>
      <c r="AA35" s="373" t="s">
        <v>142</v>
      </c>
      <c r="AB35" s="7">
        <v>135</v>
      </c>
      <c r="AC35" s="6">
        <v>181.1</v>
      </c>
      <c r="AD35" s="6">
        <v>64.8</v>
      </c>
      <c r="AE35" s="6">
        <v>117</v>
      </c>
      <c r="AF35" s="6">
        <v>116</v>
      </c>
      <c r="AG35" s="6">
        <v>143</v>
      </c>
      <c r="AH35" s="6">
        <v>53</v>
      </c>
      <c r="AI35" s="7">
        <v>89</v>
      </c>
      <c r="AJ35" s="6">
        <v>108.6</v>
      </c>
      <c r="AK35" s="7">
        <v>69.5</v>
      </c>
      <c r="AL35" s="7">
        <v>103.3</v>
      </c>
    </row>
    <row r="36" spans="2:38" s="9" customFormat="1">
      <c r="B36" s="76">
        <v>1982</v>
      </c>
      <c r="C36" s="178" t="s">
        <v>141</v>
      </c>
      <c r="D36" s="6">
        <v>46</v>
      </c>
      <c r="E36" s="7">
        <v>94</v>
      </c>
      <c r="F36" s="6">
        <v>315.2</v>
      </c>
      <c r="G36" s="7">
        <v>72</v>
      </c>
      <c r="H36" s="6">
        <v>254</v>
      </c>
      <c r="I36" s="6">
        <v>47</v>
      </c>
      <c r="J36" s="7">
        <v>93</v>
      </c>
      <c r="K36" s="7">
        <v>27</v>
      </c>
      <c r="L36" s="6">
        <v>62.5</v>
      </c>
      <c r="M36" s="6">
        <v>155</v>
      </c>
      <c r="N36" s="7">
        <v>57</v>
      </c>
      <c r="O36" s="6">
        <v>68</v>
      </c>
      <c r="P36" s="7">
        <v>67</v>
      </c>
      <c r="Q36" s="6">
        <v>119</v>
      </c>
      <c r="R36" s="6">
        <v>40.4</v>
      </c>
      <c r="S36" s="6">
        <v>77.599999999999994</v>
      </c>
      <c r="T36" s="6">
        <v>55.2</v>
      </c>
      <c r="U36" s="7">
        <v>122</v>
      </c>
      <c r="V36" s="7">
        <v>155</v>
      </c>
      <c r="W36" s="6">
        <v>143</v>
      </c>
      <c r="X36" s="6">
        <v>27</v>
      </c>
      <c r="Y36" s="6">
        <v>38.799999999999997</v>
      </c>
      <c r="Z36" s="7">
        <v>74</v>
      </c>
      <c r="AA36" s="76">
        <v>91</v>
      </c>
      <c r="AB36" s="7">
        <v>107</v>
      </c>
      <c r="AC36" s="6">
        <v>213.9</v>
      </c>
      <c r="AD36" s="6">
        <v>34.299999999999997</v>
      </c>
      <c r="AE36" s="6">
        <v>169.9</v>
      </c>
      <c r="AF36" s="6">
        <v>180</v>
      </c>
      <c r="AG36" s="6">
        <v>180</v>
      </c>
      <c r="AH36" s="6">
        <v>190</v>
      </c>
      <c r="AI36" s="7">
        <v>142</v>
      </c>
      <c r="AJ36" s="6">
        <v>71.900000000000006</v>
      </c>
      <c r="AK36" s="7">
        <v>133.5</v>
      </c>
      <c r="AL36" s="7">
        <v>132.80000000000001</v>
      </c>
    </row>
    <row r="37" spans="2:38" s="9" customFormat="1">
      <c r="B37" s="76">
        <v>1982</v>
      </c>
      <c r="C37" s="178" t="s">
        <v>143</v>
      </c>
      <c r="D37" s="6">
        <v>71</v>
      </c>
      <c r="E37" s="7">
        <v>44</v>
      </c>
      <c r="F37" s="6">
        <v>34.700000000000003</v>
      </c>
      <c r="G37" s="7">
        <v>47</v>
      </c>
      <c r="H37" s="6">
        <v>77</v>
      </c>
      <c r="I37" s="6">
        <v>103</v>
      </c>
      <c r="J37" s="7">
        <v>30.5</v>
      </c>
      <c r="K37" s="7">
        <v>17</v>
      </c>
      <c r="L37" s="6">
        <v>43</v>
      </c>
      <c r="M37" s="6">
        <v>73</v>
      </c>
      <c r="N37" s="7">
        <v>30</v>
      </c>
      <c r="O37" s="6">
        <v>21</v>
      </c>
      <c r="P37" s="7">
        <v>28</v>
      </c>
      <c r="Q37" s="6">
        <v>13</v>
      </c>
      <c r="R37" s="6">
        <v>90.3</v>
      </c>
      <c r="S37" s="6">
        <v>61.5</v>
      </c>
      <c r="T37" s="6">
        <v>16.3</v>
      </c>
      <c r="U37" s="7">
        <v>83</v>
      </c>
      <c r="V37" s="7">
        <v>58</v>
      </c>
      <c r="W37" s="6">
        <v>37.799999999999997</v>
      </c>
      <c r="X37" s="6">
        <v>25</v>
      </c>
      <c r="Y37" s="6">
        <v>57.6</v>
      </c>
      <c r="Z37" s="7">
        <v>75</v>
      </c>
      <c r="AA37" s="76">
        <v>36</v>
      </c>
      <c r="AB37" s="7">
        <v>63.6</v>
      </c>
      <c r="AC37" s="6">
        <v>94.6</v>
      </c>
      <c r="AD37" s="6">
        <v>58.3</v>
      </c>
      <c r="AE37" s="6">
        <v>94.5</v>
      </c>
      <c r="AF37" s="6">
        <v>99</v>
      </c>
      <c r="AG37" s="6">
        <v>54</v>
      </c>
      <c r="AH37" s="6">
        <v>80</v>
      </c>
      <c r="AI37" s="7">
        <v>108</v>
      </c>
      <c r="AJ37" s="6">
        <v>52.3</v>
      </c>
      <c r="AK37" s="7">
        <v>64</v>
      </c>
      <c r="AL37" s="7">
        <v>28</v>
      </c>
    </row>
    <row r="38" spans="2:38" s="9" customFormat="1">
      <c r="B38" s="76">
        <v>1983</v>
      </c>
      <c r="C38" s="178" t="s">
        <v>131</v>
      </c>
      <c r="D38" s="6">
        <v>116</v>
      </c>
      <c r="E38" s="7">
        <v>62</v>
      </c>
      <c r="F38" s="6">
        <v>162.1</v>
      </c>
      <c r="G38" s="7">
        <v>172</v>
      </c>
      <c r="H38" s="6">
        <v>48</v>
      </c>
      <c r="I38" s="6">
        <v>95</v>
      </c>
      <c r="J38" s="7">
        <v>85.5</v>
      </c>
      <c r="K38" s="7">
        <v>48</v>
      </c>
      <c r="L38" s="6">
        <v>88.5</v>
      </c>
      <c r="M38" s="6">
        <v>94</v>
      </c>
      <c r="N38" s="7">
        <v>85</v>
      </c>
      <c r="O38" s="6">
        <v>150</v>
      </c>
      <c r="P38" s="7">
        <v>76</v>
      </c>
      <c r="Q38" s="6">
        <v>155</v>
      </c>
      <c r="R38" s="6">
        <v>29.9</v>
      </c>
      <c r="S38" s="6">
        <v>68.8</v>
      </c>
      <c r="T38" s="6">
        <v>79.900000000000006</v>
      </c>
      <c r="U38" s="7">
        <v>33</v>
      </c>
      <c r="V38" s="7">
        <v>106</v>
      </c>
      <c r="W38" s="6">
        <v>76</v>
      </c>
      <c r="X38" s="6">
        <v>36</v>
      </c>
      <c r="Y38" s="6">
        <v>91.2</v>
      </c>
      <c r="Z38" s="7">
        <v>52</v>
      </c>
      <c r="AA38" s="76">
        <v>59</v>
      </c>
      <c r="AB38" s="7">
        <v>93</v>
      </c>
      <c r="AC38" s="6">
        <v>104.1</v>
      </c>
      <c r="AD38" s="6">
        <v>91.5</v>
      </c>
      <c r="AE38" s="6">
        <v>185.9</v>
      </c>
      <c r="AF38" s="6">
        <v>188</v>
      </c>
      <c r="AG38" s="6">
        <v>125</v>
      </c>
      <c r="AH38" s="6">
        <v>80</v>
      </c>
      <c r="AI38" s="7">
        <v>118</v>
      </c>
      <c r="AJ38" s="6">
        <v>174.3</v>
      </c>
      <c r="AK38" s="7">
        <v>186</v>
      </c>
      <c r="AL38" s="7">
        <v>81.3</v>
      </c>
    </row>
    <row r="39" spans="2:38" s="9" customFormat="1">
      <c r="B39" s="76">
        <v>1983</v>
      </c>
      <c r="C39" s="178" t="s">
        <v>132</v>
      </c>
      <c r="D39" s="6">
        <v>60</v>
      </c>
      <c r="E39" s="7">
        <v>276</v>
      </c>
      <c r="F39" s="6">
        <v>427.6</v>
      </c>
      <c r="G39" s="7">
        <v>107</v>
      </c>
      <c r="H39" s="6">
        <v>433</v>
      </c>
      <c r="I39" s="6">
        <v>91</v>
      </c>
      <c r="J39" s="7">
        <v>99.5</v>
      </c>
      <c r="K39" s="7">
        <v>81</v>
      </c>
      <c r="L39" s="6">
        <v>138</v>
      </c>
      <c r="M39" s="6">
        <v>132</v>
      </c>
      <c r="N39" s="7">
        <v>187</v>
      </c>
      <c r="O39" s="6">
        <v>54</v>
      </c>
      <c r="P39" s="7">
        <v>77</v>
      </c>
      <c r="Q39" s="6">
        <v>146</v>
      </c>
      <c r="R39" s="6">
        <v>94.5</v>
      </c>
      <c r="S39" s="6">
        <v>171</v>
      </c>
      <c r="T39" s="6">
        <v>143</v>
      </c>
      <c r="U39" s="7">
        <v>137</v>
      </c>
      <c r="V39" s="7">
        <v>199.5</v>
      </c>
      <c r="W39" s="6">
        <v>164.4</v>
      </c>
      <c r="X39" s="6">
        <v>96</v>
      </c>
      <c r="Y39" s="6">
        <v>112.5</v>
      </c>
      <c r="Z39" s="7">
        <v>171</v>
      </c>
      <c r="AA39" s="76">
        <v>211</v>
      </c>
      <c r="AB39" s="7">
        <v>176.6</v>
      </c>
      <c r="AC39" s="6">
        <v>435.4</v>
      </c>
      <c r="AD39" s="6">
        <v>92.3</v>
      </c>
      <c r="AE39" s="6">
        <v>278.89999999999998</v>
      </c>
      <c r="AF39" s="6">
        <v>279</v>
      </c>
      <c r="AG39" s="6">
        <v>319</v>
      </c>
      <c r="AH39" s="6">
        <v>261</v>
      </c>
      <c r="AI39" s="7">
        <v>419.5</v>
      </c>
      <c r="AJ39" s="6">
        <v>84.2</v>
      </c>
      <c r="AK39" s="7">
        <v>298</v>
      </c>
      <c r="AL39" s="7">
        <v>124</v>
      </c>
    </row>
    <row r="40" spans="2:38" s="9" customFormat="1">
      <c r="B40" s="76">
        <v>1983</v>
      </c>
      <c r="C40" s="178" t="s">
        <v>133</v>
      </c>
      <c r="D40" s="6">
        <v>17</v>
      </c>
      <c r="E40" s="7">
        <v>40</v>
      </c>
      <c r="F40" s="6">
        <v>91.9</v>
      </c>
      <c r="G40" s="7">
        <v>40</v>
      </c>
      <c r="H40" s="6">
        <v>101</v>
      </c>
      <c r="I40" s="6">
        <v>41</v>
      </c>
      <c r="J40" s="7">
        <v>51</v>
      </c>
      <c r="K40" s="7">
        <v>45</v>
      </c>
      <c r="L40" s="6">
        <v>75</v>
      </c>
      <c r="M40" s="6">
        <v>64</v>
      </c>
      <c r="N40" s="7">
        <v>65</v>
      </c>
      <c r="O40" s="6">
        <v>22</v>
      </c>
      <c r="P40" s="7">
        <v>138</v>
      </c>
      <c r="Q40" s="6">
        <v>29</v>
      </c>
      <c r="R40" s="6">
        <v>41.5</v>
      </c>
      <c r="S40" s="6">
        <v>42.2</v>
      </c>
      <c r="T40" s="6">
        <v>42.3</v>
      </c>
      <c r="U40" s="7">
        <v>57</v>
      </c>
      <c r="V40" s="7">
        <v>66</v>
      </c>
      <c r="W40" s="6">
        <v>135.5</v>
      </c>
      <c r="X40" s="6">
        <v>48</v>
      </c>
      <c r="Y40" s="6">
        <v>36.200000000000003</v>
      </c>
      <c r="Z40" s="7">
        <v>82</v>
      </c>
      <c r="AA40" s="76">
        <v>123</v>
      </c>
      <c r="AB40" s="7">
        <v>107</v>
      </c>
      <c r="AC40" s="6">
        <v>90.2</v>
      </c>
      <c r="AD40" s="6">
        <v>13.6</v>
      </c>
      <c r="AE40" s="6">
        <v>69.3</v>
      </c>
      <c r="AF40" s="6">
        <v>65</v>
      </c>
      <c r="AG40" s="6">
        <v>68</v>
      </c>
      <c r="AH40" s="6">
        <v>85</v>
      </c>
      <c r="AI40" s="7">
        <v>124.5</v>
      </c>
      <c r="AJ40" s="6">
        <v>27.2</v>
      </c>
      <c r="AK40" s="7">
        <v>43.5</v>
      </c>
      <c r="AL40" s="7">
        <v>50.6</v>
      </c>
    </row>
    <row r="41" spans="2:38" s="9" customFormat="1">
      <c r="B41" s="76">
        <v>1983</v>
      </c>
      <c r="C41" s="178" t="s">
        <v>134</v>
      </c>
      <c r="D41" s="6">
        <v>143</v>
      </c>
      <c r="E41" s="7">
        <v>64</v>
      </c>
      <c r="F41" s="6">
        <v>80.099999999999994</v>
      </c>
      <c r="G41" s="7">
        <v>63.5</v>
      </c>
      <c r="H41" s="6">
        <v>116</v>
      </c>
      <c r="I41" s="6">
        <v>114</v>
      </c>
      <c r="J41" s="7">
        <v>120</v>
      </c>
      <c r="K41" s="7">
        <v>54</v>
      </c>
      <c r="L41" s="6">
        <v>75.599999999999994</v>
      </c>
      <c r="M41" s="6">
        <v>84</v>
      </c>
      <c r="N41" s="7">
        <v>164</v>
      </c>
      <c r="O41" s="6">
        <v>70</v>
      </c>
      <c r="P41" s="7">
        <v>153</v>
      </c>
      <c r="Q41" s="6">
        <v>85</v>
      </c>
      <c r="R41" s="6">
        <v>70.3</v>
      </c>
      <c r="S41" s="6">
        <v>60.6</v>
      </c>
      <c r="T41" s="6">
        <v>85</v>
      </c>
      <c r="U41" s="7">
        <v>119</v>
      </c>
      <c r="V41" s="7">
        <v>110</v>
      </c>
      <c r="W41" s="6">
        <v>156.80000000000001</v>
      </c>
      <c r="X41" s="6">
        <v>60</v>
      </c>
      <c r="Y41" s="6">
        <v>73.099999999999994</v>
      </c>
      <c r="Z41" s="7">
        <v>170</v>
      </c>
      <c r="AA41" s="76">
        <v>107</v>
      </c>
      <c r="AB41" s="7">
        <v>44</v>
      </c>
      <c r="AC41" s="6">
        <v>84.4</v>
      </c>
      <c r="AD41" s="6">
        <v>102.8</v>
      </c>
      <c r="AE41" s="6">
        <v>58</v>
      </c>
      <c r="AF41" s="6">
        <v>211</v>
      </c>
      <c r="AG41" s="6">
        <v>87</v>
      </c>
      <c r="AH41" s="6">
        <v>132</v>
      </c>
      <c r="AI41" s="7">
        <v>86</v>
      </c>
      <c r="AJ41" s="6">
        <v>91.9</v>
      </c>
      <c r="AK41" s="7">
        <v>194</v>
      </c>
      <c r="AL41" s="7">
        <v>91</v>
      </c>
    </row>
    <row r="42" spans="2:38" s="9" customFormat="1">
      <c r="B42" s="76">
        <v>1983</v>
      </c>
      <c r="C42" s="178" t="s">
        <v>135</v>
      </c>
      <c r="D42" s="6">
        <v>76</v>
      </c>
      <c r="E42" s="7">
        <v>74</v>
      </c>
      <c r="F42" s="6">
        <v>299.2</v>
      </c>
      <c r="G42" s="7">
        <v>51</v>
      </c>
      <c r="H42" s="6">
        <v>311</v>
      </c>
      <c r="I42" s="6">
        <v>47</v>
      </c>
      <c r="J42" s="7">
        <v>108.5</v>
      </c>
      <c r="K42" s="7">
        <v>32</v>
      </c>
      <c r="L42" s="6">
        <v>153.5</v>
      </c>
      <c r="M42" s="6">
        <v>95</v>
      </c>
      <c r="N42" s="7">
        <v>52</v>
      </c>
      <c r="O42" s="6">
        <v>47</v>
      </c>
      <c r="P42" s="7">
        <v>191</v>
      </c>
      <c r="Q42" s="6">
        <v>67</v>
      </c>
      <c r="R42" s="6">
        <v>38.799999999999997</v>
      </c>
      <c r="S42" s="6">
        <v>78.8</v>
      </c>
      <c r="T42" s="6">
        <v>60.1</v>
      </c>
      <c r="U42" s="7">
        <v>96</v>
      </c>
      <c r="V42" s="7">
        <v>137</v>
      </c>
      <c r="W42" s="6">
        <v>90.2</v>
      </c>
      <c r="X42" s="6">
        <v>71</v>
      </c>
      <c r="Y42" s="6">
        <v>42.9</v>
      </c>
      <c r="Z42" s="7">
        <v>50</v>
      </c>
      <c r="AA42" s="76">
        <v>127</v>
      </c>
      <c r="AB42" s="7">
        <v>135</v>
      </c>
      <c r="AC42" s="6">
        <v>209.6</v>
      </c>
      <c r="AD42" s="6">
        <v>57.5</v>
      </c>
      <c r="AE42" s="6">
        <v>175.7</v>
      </c>
      <c r="AF42" s="6">
        <v>172</v>
      </c>
      <c r="AG42" s="6">
        <v>152</v>
      </c>
      <c r="AH42" s="6">
        <v>347</v>
      </c>
      <c r="AI42" s="7">
        <v>190</v>
      </c>
      <c r="AJ42" s="6">
        <v>62.6</v>
      </c>
      <c r="AK42" s="7">
        <v>180</v>
      </c>
      <c r="AL42" s="7">
        <v>153</v>
      </c>
    </row>
    <row r="43" spans="2:38" s="9" customFormat="1">
      <c r="B43" s="76">
        <v>1983</v>
      </c>
      <c r="C43" s="178" t="s">
        <v>136</v>
      </c>
      <c r="D43" s="6">
        <v>124</v>
      </c>
      <c r="E43" s="7">
        <v>58</v>
      </c>
      <c r="F43" s="6">
        <v>80.2</v>
      </c>
      <c r="G43" s="7">
        <v>70</v>
      </c>
      <c r="H43" s="6">
        <v>82</v>
      </c>
      <c r="I43" s="6">
        <v>118</v>
      </c>
      <c r="J43" s="7">
        <v>64.5</v>
      </c>
      <c r="K43" s="7">
        <v>31</v>
      </c>
      <c r="L43" s="6">
        <v>45.5</v>
      </c>
      <c r="M43" s="6">
        <v>78</v>
      </c>
      <c r="N43" s="7">
        <v>43</v>
      </c>
      <c r="O43" s="6">
        <v>66</v>
      </c>
      <c r="P43" s="7">
        <v>91</v>
      </c>
      <c r="Q43" s="6">
        <v>146</v>
      </c>
      <c r="R43" s="6">
        <v>29.3</v>
      </c>
      <c r="S43" s="6">
        <v>58.4</v>
      </c>
      <c r="T43" s="6">
        <v>37.4</v>
      </c>
      <c r="U43" s="7">
        <v>66</v>
      </c>
      <c r="V43" s="7">
        <v>53.5</v>
      </c>
      <c r="W43" s="6">
        <v>43.5</v>
      </c>
      <c r="X43" s="6">
        <v>101</v>
      </c>
      <c r="Y43" s="6">
        <v>103.5</v>
      </c>
      <c r="Z43" s="7">
        <v>46</v>
      </c>
      <c r="AA43" s="76">
        <v>29</v>
      </c>
      <c r="AB43" s="7">
        <v>26</v>
      </c>
      <c r="AC43" s="6">
        <v>107.3</v>
      </c>
      <c r="AD43" s="6">
        <v>132.30000000000001</v>
      </c>
      <c r="AE43" s="6">
        <v>18.600000000000001</v>
      </c>
      <c r="AF43" s="6">
        <v>21</v>
      </c>
      <c r="AG43" s="6">
        <v>33</v>
      </c>
      <c r="AH43" s="6">
        <v>42</v>
      </c>
      <c r="AI43" s="7">
        <v>44.5</v>
      </c>
      <c r="AJ43" s="6">
        <v>80.8</v>
      </c>
      <c r="AK43" s="7">
        <v>20</v>
      </c>
      <c r="AL43" s="7">
        <v>77.2</v>
      </c>
    </row>
    <row r="44" spans="2:38" s="9" customFormat="1">
      <c r="B44" s="76">
        <v>1983</v>
      </c>
      <c r="C44" s="178" t="s">
        <v>137</v>
      </c>
      <c r="D44" s="6">
        <v>58</v>
      </c>
      <c r="E44" s="7">
        <v>121</v>
      </c>
      <c r="F44" s="6">
        <v>121.5</v>
      </c>
      <c r="G44" s="7">
        <v>7</v>
      </c>
      <c r="H44" s="6">
        <v>102</v>
      </c>
      <c r="I44" s="6">
        <v>39</v>
      </c>
      <c r="J44" s="7">
        <v>108</v>
      </c>
      <c r="K44" s="7">
        <v>4</v>
      </c>
      <c r="L44" s="6">
        <v>74</v>
      </c>
      <c r="M44" s="6">
        <v>120</v>
      </c>
      <c r="N44" s="7">
        <v>25</v>
      </c>
      <c r="O44" s="6">
        <v>98</v>
      </c>
      <c r="P44" s="7">
        <v>34</v>
      </c>
      <c r="Q44" s="6">
        <v>127</v>
      </c>
      <c r="R44" s="6">
        <v>13.4</v>
      </c>
      <c r="S44" s="6">
        <v>207</v>
      </c>
      <c r="T44" s="6">
        <v>24.2</v>
      </c>
      <c r="U44" s="7">
        <v>67</v>
      </c>
      <c r="V44" s="7">
        <v>230.5</v>
      </c>
      <c r="W44" s="6">
        <v>63.1</v>
      </c>
      <c r="X44" s="6">
        <v>33</v>
      </c>
      <c r="Y44" s="6">
        <v>23.4</v>
      </c>
      <c r="Z44" s="7">
        <v>44</v>
      </c>
      <c r="AA44" s="76">
        <v>64</v>
      </c>
      <c r="AB44" s="7">
        <v>82</v>
      </c>
      <c r="AC44" s="6">
        <v>162.6</v>
      </c>
      <c r="AD44" s="6">
        <v>45.6</v>
      </c>
      <c r="AE44" s="6">
        <v>118.2</v>
      </c>
      <c r="AF44" s="6">
        <v>113</v>
      </c>
      <c r="AG44" s="6">
        <v>128</v>
      </c>
      <c r="AH44" s="6">
        <v>116</v>
      </c>
      <c r="AI44" s="7">
        <v>166.5</v>
      </c>
      <c r="AJ44" s="6">
        <v>101.8</v>
      </c>
      <c r="AK44" s="7">
        <v>141</v>
      </c>
      <c r="AL44" s="7">
        <v>262</v>
      </c>
    </row>
    <row r="45" spans="2:38" s="9" customFormat="1">
      <c r="B45" s="76">
        <v>1983</v>
      </c>
      <c r="C45" s="178" t="s">
        <v>138</v>
      </c>
      <c r="D45" s="6">
        <v>216</v>
      </c>
      <c r="E45" s="7">
        <v>168</v>
      </c>
      <c r="F45" s="6">
        <v>47.8</v>
      </c>
      <c r="G45" s="7">
        <v>108</v>
      </c>
      <c r="H45" s="6">
        <v>37</v>
      </c>
      <c r="I45" s="6">
        <v>221</v>
      </c>
      <c r="J45" s="7">
        <v>218.5</v>
      </c>
      <c r="K45" s="7">
        <v>107</v>
      </c>
      <c r="L45" s="6">
        <v>144.5</v>
      </c>
      <c r="M45" s="6">
        <v>223</v>
      </c>
      <c r="N45" s="7">
        <v>179</v>
      </c>
      <c r="O45" s="6">
        <v>206</v>
      </c>
      <c r="P45" s="7">
        <v>74</v>
      </c>
      <c r="Q45" s="6">
        <v>0</v>
      </c>
      <c r="R45" s="6">
        <v>174.6</v>
      </c>
      <c r="S45" s="6">
        <v>174.3</v>
      </c>
      <c r="T45" s="6">
        <v>119.7</v>
      </c>
      <c r="U45" s="7">
        <v>153</v>
      </c>
      <c r="V45" s="7">
        <v>58</v>
      </c>
      <c r="W45" s="6">
        <v>109.7</v>
      </c>
      <c r="X45" s="6">
        <v>163</v>
      </c>
      <c r="Y45" s="6">
        <v>198</v>
      </c>
      <c r="Z45" s="7">
        <v>179</v>
      </c>
      <c r="AA45" s="76">
        <v>133</v>
      </c>
      <c r="AB45" s="7">
        <v>92.8</v>
      </c>
      <c r="AC45" s="6">
        <v>55.9</v>
      </c>
      <c r="AD45" s="6">
        <v>204.9</v>
      </c>
      <c r="AE45" s="6">
        <v>70.400000000000006</v>
      </c>
      <c r="AF45" s="6">
        <v>48</v>
      </c>
      <c r="AG45" s="6">
        <v>105</v>
      </c>
      <c r="AH45" s="6">
        <v>30</v>
      </c>
      <c r="AI45" s="7">
        <v>51</v>
      </c>
      <c r="AJ45" s="6">
        <v>168.9</v>
      </c>
      <c r="AK45" s="7">
        <v>71.5</v>
      </c>
      <c r="AL45" s="7">
        <v>44</v>
      </c>
    </row>
    <row r="46" spans="2:38" s="9" customFormat="1">
      <c r="B46" s="76">
        <v>1983</v>
      </c>
      <c r="C46" s="178" t="s">
        <v>139</v>
      </c>
      <c r="D46" s="6">
        <v>260</v>
      </c>
      <c r="E46" s="7">
        <v>119</v>
      </c>
      <c r="F46" s="6">
        <v>47.7</v>
      </c>
      <c r="G46" s="7">
        <v>119</v>
      </c>
      <c r="H46" s="6">
        <v>50</v>
      </c>
      <c r="I46" s="6">
        <v>259</v>
      </c>
      <c r="J46" s="7">
        <v>197</v>
      </c>
      <c r="K46" s="7">
        <v>117</v>
      </c>
      <c r="L46" s="6">
        <v>150.5</v>
      </c>
      <c r="M46" s="6">
        <v>161</v>
      </c>
      <c r="N46" s="7">
        <v>152</v>
      </c>
      <c r="O46" s="6">
        <v>136</v>
      </c>
      <c r="P46" s="7">
        <v>82</v>
      </c>
      <c r="Q46" s="6">
        <v>173</v>
      </c>
      <c r="R46" s="6">
        <v>106.7</v>
      </c>
      <c r="S46" s="6">
        <v>127.3</v>
      </c>
      <c r="T46" s="6">
        <v>163.1</v>
      </c>
      <c r="U46" s="7">
        <v>186</v>
      </c>
      <c r="V46" s="7">
        <v>127</v>
      </c>
      <c r="W46" s="6">
        <v>127.2</v>
      </c>
      <c r="X46" s="6">
        <v>143</v>
      </c>
      <c r="Y46" s="6">
        <v>105.3</v>
      </c>
      <c r="Z46" s="7">
        <v>253</v>
      </c>
      <c r="AA46" s="76">
        <v>119</v>
      </c>
      <c r="AB46" s="7">
        <v>103</v>
      </c>
      <c r="AC46" s="6">
        <v>90.3</v>
      </c>
      <c r="AD46" s="6">
        <v>201.9</v>
      </c>
      <c r="AE46" s="6">
        <v>138.5</v>
      </c>
      <c r="AF46" s="6">
        <v>113</v>
      </c>
      <c r="AG46" s="6">
        <v>152</v>
      </c>
      <c r="AH46" s="6">
        <v>90</v>
      </c>
      <c r="AI46" s="7">
        <v>109</v>
      </c>
      <c r="AJ46" s="6">
        <v>146.4</v>
      </c>
      <c r="AK46" s="7">
        <v>107</v>
      </c>
      <c r="AL46" s="7">
        <v>129</v>
      </c>
    </row>
    <row r="47" spans="2:38" s="9" customFormat="1">
      <c r="B47" s="76">
        <v>1983</v>
      </c>
      <c r="C47" s="178" t="s">
        <v>140</v>
      </c>
      <c r="D47" s="6">
        <v>172</v>
      </c>
      <c r="E47" s="7">
        <v>97</v>
      </c>
      <c r="F47" s="6">
        <v>87</v>
      </c>
      <c r="G47" s="7">
        <v>95</v>
      </c>
      <c r="H47" s="6">
        <v>112</v>
      </c>
      <c r="I47" s="6">
        <v>208</v>
      </c>
      <c r="J47" s="7">
        <v>70.5</v>
      </c>
      <c r="K47" s="7">
        <v>104</v>
      </c>
      <c r="L47" s="6">
        <v>42.5</v>
      </c>
      <c r="M47" s="6">
        <v>165</v>
      </c>
      <c r="N47" s="7">
        <v>128</v>
      </c>
      <c r="O47" s="6">
        <v>98</v>
      </c>
      <c r="P47" s="7">
        <v>203</v>
      </c>
      <c r="Q47" s="6">
        <v>163</v>
      </c>
      <c r="R47" s="6">
        <v>144.6</v>
      </c>
      <c r="S47" s="6">
        <v>143.69999999999999</v>
      </c>
      <c r="T47" s="6">
        <v>90</v>
      </c>
      <c r="U47" s="7">
        <v>50</v>
      </c>
      <c r="V47" s="7">
        <v>70.5</v>
      </c>
      <c r="W47" s="6">
        <v>86.1</v>
      </c>
      <c r="X47" s="6">
        <v>102</v>
      </c>
      <c r="Y47" s="6">
        <v>265.10000000000002</v>
      </c>
      <c r="Z47" s="7">
        <v>77</v>
      </c>
      <c r="AA47" s="76">
        <v>86</v>
      </c>
      <c r="AB47" s="7">
        <v>94</v>
      </c>
      <c r="AC47" s="6">
        <v>119.3</v>
      </c>
      <c r="AD47" s="6">
        <v>262.5</v>
      </c>
      <c r="AE47" s="6">
        <v>78.099999999999994</v>
      </c>
      <c r="AF47" s="6">
        <v>131</v>
      </c>
      <c r="AG47" s="6">
        <v>76</v>
      </c>
      <c r="AH47" s="6">
        <v>114</v>
      </c>
      <c r="AI47" s="7">
        <v>78</v>
      </c>
      <c r="AJ47" s="6">
        <v>238.9</v>
      </c>
      <c r="AK47" s="7">
        <v>117</v>
      </c>
      <c r="AL47" s="7">
        <v>103.9</v>
      </c>
    </row>
    <row r="48" spans="2:38" s="9" customFormat="1">
      <c r="B48" s="76">
        <v>1983</v>
      </c>
      <c r="C48" s="178" t="s">
        <v>141</v>
      </c>
      <c r="D48" s="6">
        <v>154</v>
      </c>
      <c r="E48" s="7">
        <v>350</v>
      </c>
      <c r="F48" s="6">
        <v>150.5</v>
      </c>
      <c r="G48" s="7">
        <v>179.5</v>
      </c>
      <c r="H48" s="6">
        <v>138</v>
      </c>
      <c r="I48" s="6">
        <v>118</v>
      </c>
      <c r="J48" s="7">
        <v>187</v>
      </c>
      <c r="K48" s="7">
        <v>110</v>
      </c>
      <c r="L48" s="6">
        <v>167.9</v>
      </c>
      <c r="M48" s="6">
        <v>155</v>
      </c>
      <c r="N48" s="7">
        <v>67</v>
      </c>
      <c r="O48" s="6">
        <v>204</v>
      </c>
      <c r="P48" s="7">
        <v>342.5</v>
      </c>
      <c r="Q48" s="6">
        <v>0</v>
      </c>
      <c r="R48" s="6">
        <v>117.1</v>
      </c>
      <c r="S48" s="6">
        <v>146.9</v>
      </c>
      <c r="T48" s="6">
        <v>47.1</v>
      </c>
      <c r="U48" s="7">
        <v>152</v>
      </c>
      <c r="V48" s="7">
        <v>111</v>
      </c>
      <c r="W48" s="6">
        <v>133.6</v>
      </c>
      <c r="X48" s="6">
        <v>121</v>
      </c>
      <c r="Y48" s="6">
        <v>128.1</v>
      </c>
      <c r="Z48" s="7">
        <v>54</v>
      </c>
      <c r="AA48" s="76">
        <v>200</v>
      </c>
      <c r="AB48" s="7">
        <v>192</v>
      </c>
      <c r="AC48" s="6">
        <v>159.30000000000001</v>
      </c>
      <c r="AD48" s="6">
        <v>175.6</v>
      </c>
      <c r="AE48" s="6">
        <v>108.7</v>
      </c>
      <c r="AF48" s="6">
        <v>123</v>
      </c>
      <c r="AG48" s="6">
        <v>145</v>
      </c>
      <c r="AH48" s="6">
        <v>198</v>
      </c>
      <c r="AI48" s="7">
        <v>154</v>
      </c>
      <c r="AJ48" s="6">
        <v>300.5</v>
      </c>
      <c r="AK48" s="7">
        <v>115</v>
      </c>
      <c r="AL48" s="7">
        <v>146.80000000000001</v>
      </c>
    </row>
    <row r="49" spans="2:38" s="9" customFormat="1">
      <c r="B49" s="76">
        <v>1983</v>
      </c>
      <c r="C49" s="178" t="s">
        <v>143</v>
      </c>
      <c r="D49" s="6">
        <v>154</v>
      </c>
      <c r="E49" s="7">
        <v>79</v>
      </c>
      <c r="F49" s="6">
        <v>19.3</v>
      </c>
      <c r="G49" s="7">
        <v>98</v>
      </c>
      <c r="H49" s="6">
        <v>19</v>
      </c>
      <c r="I49" s="6">
        <v>133</v>
      </c>
      <c r="J49" s="7">
        <v>85</v>
      </c>
      <c r="K49" s="7">
        <v>70.5</v>
      </c>
      <c r="L49" s="6">
        <v>23</v>
      </c>
      <c r="M49" s="6">
        <v>100</v>
      </c>
      <c r="N49" s="7">
        <v>147</v>
      </c>
      <c r="O49" s="6">
        <v>50</v>
      </c>
      <c r="P49" s="7">
        <v>22.5</v>
      </c>
      <c r="Q49" s="6">
        <v>0</v>
      </c>
      <c r="R49" s="6">
        <v>56.8</v>
      </c>
      <c r="S49" s="6">
        <v>83.6</v>
      </c>
      <c r="T49" s="6">
        <v>67.3</v>
      </c>
      <c r="U49" s="7">
        <v>33</v>
      </c>
      <c r="V49" s="7">
        <v>54</v>
      </c>
      <c r="W49" s="6">
        <v>65.599999999999994</v>
      </c>
      <c r="X49" s="6">
        <v>99</v>
      </c>
      <c r="Y49" s="6">
        <v>54</v>
      </c>
      <c r="Z49" s="7">
        <v>69</v>
      </c>
      <c r="AA49" s="76">
        <v>80</v>
      </c>
      <c r="AB49" s="7">
        <v>115</v>
      </c>
      <c r="AC49" s="6">
        <v>20.8</v>
      </c>
      <c r="AD49" s="6">
        <v>40</v>
      </c>
      <c r="AE49" s="6">
        <v>28.5</v>
      </c>
      <c r="AF49" s="6">
        <v>96</v>
      </c>
      <c r="AG49" s="6">
        <v>44</v>
      </c>
      <c r="AH49" s="6">
        <v>20</v>
      </c>
      <c r="AI49" s="7">
        <v>20</v>
      </c>
      <c r="AJ49" s="6">
        <v>111.9</v>
      </c>
      <c r="AK49" s="7">
        <v>8</v>
      </c>
      <c r="AL49" s="7">
        <v>13</v>
      </c>
    </row>
    <row r="50" spans="2:38" s="9" customFormat="1">
      <c r="B50" s="76">
        <v>1984</v>
      </c>
      <c r="C50" s="178" t="s">
        <v>131</v>
      </c>
      <c r="D50" s="6">
        <v>228</v>
      </c>
      <c r="E50" s="7">
        <v>152</v>
      </c>
      <c r="F50" s="6">
        <v>343.1</v>
      </c>
      <c r="G50" s="7">
        <v>187</v>
      </c>
      <c r="H50" s="6">
        <v>230</v>
      </c>
      <c r="I50" s="6">
        <v>109</v>
      </c>
      <c r="J50" s="7">
        <v>201</v>
      </c>
      <c r="K50" s="7">
        <v>171</v>
      </c>
      <c r="L50" s="6">
        <v>266.5</v>
      </c>
      <c r="M50" s="6">
        <v>287</v>
      </c>
      <c r="N50" s="7">
        <v>179</v>
      </c>
      <c r="O50" s="6">
        <v>235</v>
      </c>
      <c r="P50" s="7">
        <v>86</v>
      </c>
      <c r="Q50" s="6">
        <v>248</v>
      </c>
      <c r="R50" s="6">
        <v>127.8</v>
      </c>
      <c r="S50" s="6">
        <v>185.7</v>
      </c>
      <c r="T50" s="6">
        <v>124.9</v>
      </c>
      <c r="U50" s="7">
        <v>107</v>
      </c>
      <c r="V50" s="7">
        <v>163.5</v>
      </c>
      <c r="W50" s="6">
        <v>124.6</v>
      </c>
      <c r="X50" s="6">
        <v>286</v>
      </c>
      <c r="Y50" s="6">
        <v>156.69999999999999</v>
      </c>
      <c r="Z50" s="7">
        <v>115</v>
      </c>
      <c r="AA50" s="76">
        <v>223</v>
      </c>
      <c r="AB50" s="7">
        <v>94</v>
      </c>
      <c r="AC50" s="6">
        <v>253.1</v>
      </c>
      <c r="AD50" s="6">
        <v>110.6</v>
      </c>
      <c r="AE50" s="6">
        <v>125.6</v>
      </c>
      <c r="AF50" s="6">
        <v>223</v>
      </c>
      <c r="AG50" s="6">
        <v>146</v>
      </c>
      <c r="AH50" s="6">
        <v>150</v>
      </c>
      <c r="AI50" s="7">
        <v>221.5</v>
      </c>
      <c r="AJ50" s="6">
        <v>333.7</v>
      </c>
      <c r="AK50" s="7">
        <v>203</v>
      </c>
      <c r="AL50" s="7">
        <v>152</v>
      </c>
    </row>
    <row r="51" spans="2:38" s="9" customFormat="1">
      <c r="B51" s="76">
        <v>1984</v>
      </c>
      <c r="C51" s="178" t="s">
        <v>132</v>
      </c>
      <c r="D51" s="6">
        <v>350</v>
      </c>
      <c r="E51" s="7">
        <v>369</v>
      </c>
      <c r="F51" s="6">
        <v>332.6</v>
      </c>
      <c r="G51" s="7">
        <v>310</v>
      </c>
      <c r="H51" s="6">
        <v>332</v>
      </c>
      <c r="I51" s="6">
        <v>397</v>
      </c>
      <c r="J51" s="7">
        <v>377.5</v>
      </c>
      <c r="K51" s="7">
        <v>302</v>
      </c>
      <c r="L51" s="6">
        <v>552</v>
      </c>
      <c r="M51" s="6">
        <v>366</v>
      </c>
      <c r="N51" s="7">
        <v>579</v>
      </c>
      <c r="O51" s="6">
        <v>309</v>
      </c>
      <c r="P51" s="7">
        <v>127</v>
      </c>
      <c r="Q51" s="6">
        <v>541</v>
      </c>
      <c r="R51" s="6">
        <v>341.9</v>
      </c>
      <c r="S51" s="6">
        <v>297.5</v>
      </c>
      <c r="T51" s="6">
        <v>757.5</v>
      </c>
      <c r="U51" s="7">
        <v>493</v>
      </c>
      <c r="V51" s="7">
        <v>253</v>
      </c>
      <c r="W51" s="6">
        <v>505.6</v>
      </c>
      <c r="X51" s="6">
        <v>480</v>
      </c>
      <c r="Y51" s="6">
        <v>121.4</v>
      </c>
      <c r="Z51" s="7">
        <v>461</v>
      </c>
      <c r="AA51" s="76">
        <v>598</v>
      </c>
      <c r="AB51" s="7">
        <v>405.5</v>
      </c>
      <c r="AC51" s="6">
        <v>184.2</v>
      </c>
      <c r="AD51" s="6">
        <v>173.2</v>
      </c>
      <c r="AE51" s="6">
        <v>448.9</v>
      </c>
      <c r="AF51" s="6">
        <v>343</v>
      </c>
      <c r="AG51" s="6">
        <v>346</v>
      </c>
      <c r="AH51" s="6">
        <v>292</v>
      </c>
      <c r="AI51" s="7">
        <v>279.5</v>
      </c>
      <c r="AJ51" s="6">
        <v>343.1</v>
      </c>
      <c r="AK51" s="7">
        <v>348</v>
      </c>
      <c r="AL51" s="7">
        <v>274.5</v>
      </c>
    </row>
    <row r="52" spans="2:38" s="9" customFormat="1">
      <c r="B52" s="76">
        <v>1984</v>
      </c>
      <c r="C52" s="178" t="s">
        <v>133</v>
      </c>
      <c r="D52" s="6">
        <v>7</v>
      </c>
      <c r="E52" s="7">
        <v>50</v>
      </c>
      <c r="F52" s="6">
        <v>197.5</v>
      </c>
      <c r="G52" s="7">
        <v>12</v>
      </c>
      <c r="H52" s="6">
        <v>141</v>
      </c>
      <c r="I52" s="6">
        <v>22</v>
      </c>
      <c r="J52" s="7">
        <v>15</v>
      </c>
      <c r="K52" s="7">
        <v>135</v>
      </c>
      <c r="L52" s="6">
        <v>121.5</v>
      </c>
      <c r="M52" s="6">
        <v>18</v>
      </c>
      <c r="N52" s="7">
        <v>50.5</v>
      </c>
      <c r="O52" s="6">
        <v>22</v>
      </c>
      <c r="P52" s="7">
        <v>122</v>
      </c>
      <c r="Q52" s="6">
        <v>0</v>
      </c>
      <c r="R52" s="6">
        <v>87</v>
      </c>
      <c r="S52" s="6">
        <v>57.9</v>
      </c>
      <c r="T52" s="6">
        <v>98.2</v>
      </c>
      <c r="U52" s="7">
        <v>47</v>
      </c>
      <c r="V52" s="7">
        <v>38.5</v>
      </c>
      <c r="W52" s="6">
        <v>111.1</v>
      </c>
      <c r="X52" s="6">
        <v>43</v>
      </c>
      <c r="Y52" s="6">
        <v>65.7</v>
      </c>
      <c r="Z52" s="7">
        <v>29</v>
      </c>
      <c r="AA52" s="76">
        <v>174</v>
      </c>
      <c r="AB52" s="7">
        <v>95.5</v>
      </c>
      <c r="AC52" s="6">
        <v>81.099999999999994</v>
      </c>
      <c r="AD52" s="6">
        <v>31.7</v>
      </c>
      <c r="AE52" s="6">
        <v>151.5</v>
      </c>
      <c r="AF52" s="6">
        <v>104</v>
      </c>
      <c r="AG52" s="6">
        <v>61</v>
      </c>
      <c r="AH52" s="6">
        <v>132</v>
      </c>
      <c r="AI52" s="7">
        <v>83</v>
      </c>
      <c r="AJ52" s="6">
        <v>4.3</v>
      </c>
      <c r="AK52" s="7">
        <v>112</v>
      </c>
      <c r="AL52" s="7">
        <v>18</v>
      </c>
    </row>
    <row r="53" spans="2:38" s="9" customFormat="1">
      <c r="B53" s="76">
        <v>1984</v>
      </c>
      <c r="C53" s="178" t="s">
        <v>134</v>
      </c>
      <c r="D53" s="6">
        <v>77</v>
      </c>
      <c r="E53" s="7">
        <v>85</v>
      </c>
      <c r="F53" s="6">
        <v>125.1</v>
      </c>
      <c r="G53" s="7">
        <v>42</v>
      </c>
      <c r="H53" s="6">
        <v>85</v>
      </c>
      <c r="I53" s="6">
        <v>83</v>
      </c>
      <c r="J53" s="7">
        <v>119</v>
      </c>
      <c r="K53" s="7">
        <v>67</v>
      </c>
      <c r="L53" s="6">
        <v>114</v>
      </c>
      <c r="M53" s="6">
        <v>143</v>
      </c>
      <c r="N53" s="7">
        <v>77</v>
      </c>
      <c r="O53" s="6">
        <v>136</v>
      </c>
      <c r="P53" s="7">
        <v>119</v>
      </c>
      <c r="Q53" s="6">
        <v>153</v>
      </c>
      <c r="R53" s="6">
        <v>87.6</v>
      </c>
      <c r="S53" s="6">
        <v>126.7</v>
      </c>
      <c r="T53" s="6">
        <v>63.4</v>
      </c>
      <c r="U53" s="7">
        <v>97</v>
      </c>
      <c r="V53" s="7">
        <v>167</v>
      </c>
      <c r="W53" s="6">
        <v>135.69999999999999</v>
      </c>
      <c r="X53" s="6">
        <v>56</v>
      </c>
      <c r="Y53" s="6">
        <v>134.5</v>
      </c>
      <c r="Z53" s="7">
        <v>55</v>
      </c>
      <c r="AA53" s="76">
        <v>178</v>
      </c>
      <c r="AB53" s="7">
        <v>53.5</v>
      </c>
      <c r="AC53" s="6">
        <v>148.6</v>
      </c>
      <c r="AD53" s="6">
        <v>96.2</v>
      </c>
      <c r="AE53" s="6">
        <v>84.9</v>
      </c>
      <c r="AF53" s="6">
        <v>58</v>
      </c>
      <c r="AG53" s="6">
        <v>86</v>
      </c>
      <c r="AH53" s="6">
        <v>63</v>
      </c>
      <c r="AI53" s="7">
        <v>141.5</v>
      </c>
      <c r="AJ53" s="6">
        <v>150.1</v>
      </c>
      <c r="AK53" s="7">
        <v>100</v>
      </c>
      <c r="AL53" s="7">
        <v>190.5</v>
      </c>
    </row>
    <row r="54" spans="2:38" s="9" customFormat="1">
      <c r="B54" s="76">
        <v>1984</v>
      </c>
      <c r="C54" s="178" t="s">
        <v>135</v>
      </c>
      <c r="D54" s="6">
        <v>102</v>
      </c>
      <c r="E54" s="7">
        <v>178</v>
      </c>
      <c r="F54" s="6">
        <v>177.1</v>
      </c>
      <c r="G54" s="7">
        <v>78</v>
      </c>
      <c r="H54" s="6">
        <v>90</v>
      </c>
      <c r="I54" s="6">
        <v>115</v>
      </c>
      <c r="J54" s="7">
        <v>161.5</v>
      </c>
      <c r="K54" s="7">
        <v>109</v>
      </c>
      <c r="L54" s="6">
        <v>133</v>
      </c>
      <c r="M54" s="6">
        <v>235</v>
      </c>
      <c r="N54" s="7">
        <v>136</v>
      </c>
      <c r="O54" s="6">
        <v>178</v>
      </c>
      <c r="P54" s="7">
        <v>70</v>
      </c>
      <c r="Q54" s="6">
        <v>155</v>
      </c>
      <c r="R54" s="6">
        <v>102.7</v>
      </c>
      <c r="S54" s="6">
        <v>240.3</v>
      </c>
      <c r="T54" s="6">
        <v>91.3</v>
      </c>
      <c r="U54" s="7">
        <v>106</v>
      </c>
      <c r="V54" s="7">
        <v>208</v>
      </c>
      <c r="W54" s="6">
        <v>88.9</v>
      </c>
      <c r="X54" s="6">
        <v>83</v>
      </c>
      <c r="Y54" s="6">
        <v>159.9</v>
      </c>
      <c r="Z54" s="7">
        <v>137</v>
      </c>
      <c r="AA54" s="76">
        <v>169</v>
      </c>
      <c r="AB54" s="7">
        <v>192.5</v>
      </c>
      <c r="AC54" s="6">
        <v>290.89999999999998</v>
      </c>
      <c r="AD54" s="6">
        <v>125.3</v>
      </c>
      <c r="AE54" s="6">
        <v>161.69999999999999</v>
      </c>
      <c r="AF54" s="6">
        <v>89</v>
      </c>
      <c r="AG54" s="6">
        <v>274</v>
      </c>
      <c r="AH54" s="6">
        <v>105</v>
      </c>
      <c r="AI54" s="7">
        <v>202.5</v>
      </c>
      <c r="AJ54" s="6">
        <v>176.6</v>
      </c>
      <c r="AK54" s="7">
        <v>126</v>
      </c>
      <c r="AL54" s="7">
        <v>278.8</v>
      </c>
    </row>
    <row r="55" spans="2:38" s="9" customFormat="1">
      <c r="B55" s="76">
        <v>1984</v>
      </c>
      <c r="C55" s="178" t="s">
        <v>136</v>
      </c>
      <c r="D55" s="6">
        <v>143</v>
      </c>
      <c r="E55" s="7">
        <v>181</v>
      </c>
      <c r="F55" s="6">
        <v>131.6</v>
      </c>
      <c r="G55" s="7">
        <v>140.5</v>
      </c>
      <c r="H55" s="6">
        <v>105</v>
      </c>
      <c r="I55" s="6">
        <v>161</v>
      </c>
      <c r="J55" s="7">
        <v>228</v>
      </c>
      <c r="K55" s="7">
        <v>35</v>
      </c>
      <c r="L55" s="6">
        <v>130</v>
      </c>
      <c r="M55" s="6">
        <v>215</v>
      </c>
      <c r="N55" s="7">
        <v>104</v>
      </c>
      <c r="O55" s="6">
        <v>219</v>
      </c>
      <c r="P55" s="7">
        <v>31</v>
      </c>
      <c r="Q55" s="6">
        <v>254</v>
      </c>
      <c r="R55" s="6">
        <v>72.3</v>
      </c>
      <c r="S55" s="6">
        <v>198.5</v>
      </c>
      <c r="T55" s="6">
        <v>69.3</v>
      </c>
      <c r="U55" s="7">
        <v>105</v>
      </c>
      <c r="V55" s="7">
        <v>128.5</v>
      </c>
      <c r="W55" s="6">
        <v>78.099999999999994</v>
      </c>
      <c r="X55" s="6">
        <v>124</v>
      </c>
      <c r="Y55" s="6">
        <v>86.6</v>
      </c>
      <c r="Z55" s="7">
        <v>108.5</v>
      </c>
      <c r="AA55" s="76">
        <v>96</v>
      </c>
      <c r="AB55" s="7">
        <v>119</v>
      </c>
      <c r="AC55" s="6">
        <v>185.7</v>
      </c>
      <c r="AD55" s="6">
        <v>152.1</v>
      </c>
      <c r="AE55" s="6">
        <v>97.8</v>
      </c>
      <c r="AF55" s="6">
        <v>171</v>
      </c>
      <c r="AG55" s="6">
        <v>191</v>
      </c>
      <c r="AH55" s="6">
        <v>84</v>
      </c>
      <c r="AI55" s="7">
        <v>164.5</v>
      </c>
      <c r="AJ55" s="6">
        <v>237.8</v>
      </c>
      <c r="AK55" s="7">
        <v>85</v>
      </c>
      <c r="AL55" s="7">
        <v>194.5</v>
      </c>
    </row>
    <row r="56" spans="2:38" s="9" customFormat="1">
      <c r="B56" s="76">
        <v>1984</v>
      </c>
      <c r="C56" s="178" t="s">
        <v>137</v>
      </c>
      <c r="D56" s="6">
        <v>212</v>
      </c>
      <c r="E56" s="7">
        <v>323</v>
      </c>
      <c r="F56" s="6">
        <v>101.2</v>
      </c>
      <c r="G56" s="7">
        <v>201</v>
      </c>
      <c r="H56" s="6">
        <v>120</v>
      </c>
      <c r="I56" s="6">
        <v>231</v>
      </c>
      <c r="J56" s="7">
        <v>215</v>
      </c>
      <c r="K56" s="7">
        <v>56</v>
      </c>
      <c r="L56" s="6">
        <v>180.5</v>
      </c>
      <c r="M56" s="6">
        <v>385</v>
      </c>
      <c r="N56" s="7">
        <v>154</v>
      </c>
      <c r="O56" s="6">
        <v>236</v>
      </c>
      <c r="P56" s="7">
        <v>111</v>
      </c>
      <c r="Q56" s="6">
        <v>350</v>
      </c>
      <c r="R56" s="6">
        <v>94.4</v>
      </c>
      <c r="S56" s="6">
        <v>263.2</v>
      </c>
      <c r="T56" s="6">
        <v>86.2</v>
      </c>
      <c r="U56" s="7">
        <v>197</v>
      </c>
      <c r="V56" s="7">
        <v>143.5</v>
      </c>
      <c r="W56" s="6">
        <v>47.7</v>
      </c>
      <c r="X56" s="6">
        <v>120</v>
      </c>
      <c r="Y56" s="6">
        <v>120.5</v>
      </c>
      <c r="Z56" s="7">
        <v>171</v>
      </c>
      <c r="AA56" s="76">
        <v>158</v>
      </c>
      <c r="AB56" s="7">
        <v>161</v>
      </c>
      <c r="AC56" s="6">
        <v>103</v>
      </c>
      <c r="AD56" s="6">
        <v>171.7</v>
      </c>
      <c r="AE56" s="6">
        <v>37.1</v>
      </c>
      <c r="AF56" s="6">
        <v>130</v>
      </c>
      <c r="AG56" s="6">
        <v>174</v>
      </c>
      <c r="AH56" s="6">
        <v>113</v>
      </c>
      <c r="AI56" s="7">
        <v>128</v>
      </c>
      <c r="AJ56" s="6">
        <v>315.3</v>
      </c>
      <c r="AK56" s="7">
        <v>71</v>
      </c>
      <c r="AL56" s="7">
        <v>156</v>
      </c>
    </row>
    <row r="57" spans="2:38" s="9" customFormat="1" ht="14">
      <c r="B57" s="76">
        <v>1984</v>
      </c>
      <c r="C57" s="178" t="s">
        <v>138</v>
      </c>
      <c r="D57" s="6">
        <v>40</v>
      </c>
      <c r="E57" s="7">
        <v>19</v>
      </c>
      <c r="F57" s="6">
        <v>25.3</v>
      </c>
      <c r="G57" s="7">
        <v>19</v>
      </c>
      <c r="H57" s="6">
        <v>18</v>
      </c>
      <c r="I57" s="6">
        <v>22</v>
      </c>
      <c r="J57" s="7">
        <v>34</v>
      </c>
      <c r="K57" s="7">
        <v>3</v>
      </c>
      <c r="L57" s="6">
        <v>23.5</v>
      </c>
      <c r="M57" s="6">
        <v>16</v>
      </c>
      <c r="N57" s="7">
        <v>16</v>
      </c>
      <c r="O57" s="6">
        <v>39</v>
      </c>
      <c r="P57" s="7">
        <v>172</v>
      </c>
      <c r="Q57" s="6">
        <v>62</v>
      </c>
      <c r="R57" s="6">
        <v>7.6</v>
      </c>
      <c r="S57" s="6">
        <v>18.2</v>
      </c>
      <c r="T57" s="6">
        <v>11.1</v>
      </c>
      <c r="U57" s="7">
        <v>19</v>
      </c>
      <c r="V57" s="7">
        <v>39</v>
      </c>
      <c r="W57" s="6">
        <v>10.6</v>
      </c>
      <c r="X57" s="6">
        <v>9</v>
      </c>
      <c r="Y57" s="6">
        <v>35.5</v>
      </c>
      <c r="Z57" s="7">
        <v>16</v>
      </c>
      <c r="AA57" s="373" t="s">
        <v>142</v>
      </c>
      <c r="AB57" s="7">
        <v>20</v>
      </c>
      <c r="AC57" s="6">
        <v>42.3</v>
      </c>
      <c r="AD57" s="6">
        <v>54.5</v>
      </c>
      <c r="AE57" s="6">
        <v>10.5</v>
      </c>
      <c r="AF57" s="6">
        <v>18</v>
      </c>
      <c r="AG57" s="6">
        <v>18</v>
      </c>
      <c r="AH57" s="6">
        <v>17</v>
      </c>
      <c r="AI57" s="7">
        <v>33</v>
      </c>
      <c r="AJ57" s="6">
        <v>42</v>
      </c>
      <c r="AK57" s="7">
        <v>13</v>
      </c>
      <c r="AL57" s="7">
        <v>25</v>
      </c>
    </row>
    <row r="58" spans="2:38" s="9" customFormat="1">
      <c r="B58" s="76">
        <v>1984</v>
      </c>
      <c r="C58" s="178" t="s">
        <v>139</v>
      </c>
      <c r="D58" s="6">
        <v>64</v>
      </c>
      <c r="E58" s="7">
        <v>60</v>
      </c>
      <c r="F58" s="6">
        <v>207.1</v>
      </c>
      <c r="G58" s="7">
        <v>56</v>
      </c>
      <c r="H58" s="6">
        <v>184</v>
      </c>
      <c r="I58" s="6">
        <v>79</v>
      </c>
      <c r="J58" s="7">
        <v>136.5</v>
      </c>
      <c r="K58" s="7">
        <v>60</v>
      </c>
      <c r="L58" s="6">
        <v>164.5</v>
      </c>
      <c r="M58" s="6">
        <v>105</v>
      </c>
      <c r="N58" s="7">
        <v>113</v>
      </c>
      <c r="O58" s="6">
        <v>118</v>
      </c>
      <c r="P58" s="7">
        <v>103</v>
      </c>
      <c r="Q58" s="6">
        <v>162</v>
      </c>
      <c r="R58" s="6">
        <v>61.6</v>
      </c>
      <c r="S58" s="6">
        <v>107.8</v>
      </c>
      <c r="T58" s="6">
        <v>91.5</v>
      </c>
      <c r="U58" s="7">
        <v>144</v>
      </c>
      <c r="V58" s="7">
        <v>113</v>
      </c>
      <c r="W58" s="6">
        <v>124.6</v>
      </c>
      <c r="X58" s="6">
        <v>45</v>
      </c>
      <c r="Y58" s="6">
        <v>65.2</v>
      </c>
      <c r="Z58" s="7">
        <v>91</v>
      </c>
      <c r="AA58" s="76">
        <v>134</v>
      </c>
      <c r="AB58" s="7">
        <v>139</v>
      </c>
      <c r="AC58" s="6">
        <v>156.19999999999999</v>
      </c>
      <c r="AD58" s="6">
        <v>95.5</v>
      </c>
      <c r="AE58" s="6">
        <v>136.9</v>
      </c>
      <c r="AF58" s="6">
        <v>156</v>
      </c>
      <c r="AG58" s="6">
        <v>164</v>
      </c>
      <c r="AH58" s="6">
        <v>124</v>
      </c>
      <c r="AI58" s="7">
        <v>145</v>
      </c>
      <c r="AJ58" s="6">
        <v>115</v>
      </c>
      <c r="AK58" s="7">
        <v>145</v>
      </c>
      <c r="AL58" s="7">
        <v>108.7</v>
      </c>
    </row>
    <row r="59" spans="2:38" s="9" customFormat="1">
      <c r="B59" s="76">
        <v>1984</v>
      </c>
      <c r="C59" s="178" t="s">
        <v>140</v>
      </c>
      <c r="D59" s="6">
        <v>152</v>
      </c>
      <c r="E59" s="7">
        <v>133</v>
      </c>
      <c r="F59" s="6">
        <v>125.3</v>
      </c>
      <c r="G59" s="7">
        <v>120</v>
      </c>
      <c r="H59" s="6">
        <v>104</v>
      </c>
      <c r="I59" s="6">
        <v>135</v>
      </c>
      <c r="J59" s="7">
        <v>104</v>
      </c>
      <c r="K59" s="7">
        <v>189</v>
      </c>
      <c r="L59" s="6">
        <v>170</v>
      </c>
      <c r="M59" s="6">
        <v>113</v>
      </c>
      <c r="N59" s="7">
        <v>352</v>
      </c>
      <c r="O59" s="6">
        <v>111</v>
      </c>
      <c r="P59" s="7">
        <v>66</v>
      </c>
      <c r="Q59" s="6">
        <v>109</v>
      </c>
      <c r="R59" s="6">
        <v>181.8</v>
      </c>
      <c r="S59" s="6">
        <v>126.4</v>
      </c>
      <c r="T59" s="6">
        <v>264</v>
      </c>
      <c r="U59" s="7">
        <v>157</v>
      </c>
      <c r="V59" s="7">
        <v>129.5</v>
      </c>
      <c r="W59" s="6">
        <v>149.6</v>
      </c>
      <c r="X59" s="6">
        <v>149</v>
      </c>
      <c r="Y59" s="6">
        <v>220.2</v>
      </c>
      <c r="Z59" s="7">
        <v>138</v>
      </c>
      <c r="AA59" s="76">
        <v>239</v>
      </c>
      <c r="AB59" s="7">
        <v>111</v>
      </c>
      <c r="AC59" s="6">
        <v>73.7</v>
      </c>
      <c r="AD59" s="6">
        <v>154.9</v>
      </c>
      <c r="AE59" s="6">
        <v>158.1</v>
      </c>
      <c r="AF59" s="6">
        <v>92</v>
      </c>
      <c r="AG59" s="6">
        <v>224</v>
      </c>
      <c r="AH59" s="6">
        <v>96</v>
      </c>
      <c r="AI59" s="7">
        <v>94</v>
      </c>
      <c r="AJ59" s="6">
        <v>105.2</v>
      </c>
      <c r="AK59" s="7">
        <v>153</v>
      </c>
      <c r="AL59" s="7">
        <v>154.5</v>
      </c>
    </row>
    <row r="60" spans="2:38" s="9" customFormat="1">
      <c r="B60" s="76">
        <v>1984</v>
      </c>
      <c r="C60" s="178" t="s">
        <v>141</v>
      </c>
      <c r="D60" s="6">
        <v>61</v>
      </c>
      <c r="E60" s="7">
        <v>56</v>
      </c>
      <c r="F60" s="6">
        <v>143.9</v>
      </c>
      <c r="G60" s="7">
        <v>117</v>
      </c>
      <c r="H60" s="6">
        <v>95</v>
      </c>
      <c r="I60" s="6">
        <v>57</v>
      </c>
      <c r="J60" s="7">
        <v>31.5</v>
      </c>
      <c r="K60" s="7">
        <v>88</v>
      </c>
      <c r="L60" s="6">
        <v>106.5</v>
      </c>
      <c r="M60" s="6">
        <v>72</v>
      </c>
      <c r="N60" s="7">
        <v>158</v>
      </c>
      <c r="O60" s="6">
        <v>44</v>
      </c>
      <c r="P60" s="7">
        <v>92</v>
      </c>
      <c r="Q60" s="6">
        <v>42</v>
      </c>
      <c r="R60" s="6">
        <v>87.3</v>
      </c>
      <c r="S60" s="6">
        <v>72.599999999999994</v>
      </c>
      <c r="T60" s="6">
        <v>102.5</v>
      </c>
      <c r="U60" s="7">
        <v>56</v>
      </c>
      <c r="V60" s="7">
        <v>89</v>
      </c>
      <c r="W60" s="6">
        <v>84.4</v>
      </c>
      <c r="X60" s="6">
        <v>104</v>
      </c>
      <c r="Y60" s="6">
        <v>68.2</v>
      </c>
      <c r="Z60" s="7">
        <v>93</v>
      </c>
      <c r="AA60" s="76">
        <v>91</v>
      </c>
      <c r="AB60" s="7">
        <v>127</v>
      </c>
      <c r="AC60" s="6">
        <v>174.2</v>
      </c>
      <c r="AD60" s="6">
        <v>50.8</v>
      </c>
      <c r="AE60" s="6">
        <v>86.3</v>
      </c>
      <c r="AF60" s="6">
        <v>74</v>
      </c>
      <c r="AG60" s="6">
        <v>90</v>
      </c>
      <c r="AH60" s="6">
        <v>106</v>
      </c>
      <c r="AI60" s="7">
        <v>116</v>
      </c>
      <c r="AJ60" s="6">
        <v>37.299999999999997</v>
      </c>
      <c r="AK60" s="7">
        <v>115</v>
      </c>
      <c r="AL60" s="7">
        <v>117.2</v>
      </c>
    </row>
    <row r="61" spans="2:38" s="9" customFormat="1">
      <c r="B61" s="76">
        <v>1984</v>
      </c>
      <c r="C61" s="178" t="s">
        <v>143</v>
      </c>
      <c r="D61" s="6">
        <v>6</v>
      </c>
      <c r="E61" s="7">
        <v>35</v>
      </c>
      <c r="F61" s="6">
        <v>28.2</v>
      </c>
      <c r="G61" s="7">
        <v>10</v>
      </c>
      <c r="H61" s="6">
        <v>46</v>
      </c>
      <c r="I61" s="6">
        <v>21</v>
      </c>
      <c r="J61" s="7">
        <v>20.5</v>
      </c>
      <c r="K61" s="7">
        <v>27</v>
      </c>
      <c r="L61" s="6">
        <v>28</v>
      </c>
      <c r="M61" s="6">
        <v>8</v>
      </c>
      <c r="N61" s="7">
        <v>32</v>
      </c>
      <c r="O61" s="6">
        <v>21</v>
      </c>
      <c r="P61" s="7">
        <v>218</v>
      </c>
      <c r="Q61" s="6">
        <v>59</v>
      </c>
      <c r="R61" s="6">
        <v>29.5</v>
      </c>
      <c r="S61" s="6">
        <v>26.9</v>
      </c>
      <c r="T61" s="6">
        <v>39.700000000000003</v>
      </c>
      <c r="U61" s="7">
        <v>13.5</v>
      </c>
      <c r="V61" s="7">
        <v>37</v>
      </c>
      <c r="W61" s="6">
        <v>27.8</v>
      </c>
      <c r="X61" s="6">
        <v>21</v>
      </c>
      <c r="Y61" s="6">
        <v>30.5</v>
      </c>
      <c r="Z61" s="7">
        <v>19</v>
      </c>
      <c r="AA61" s="76">
        <v>10</v>
      </c>
      <c r="AB61" s="7">
        <v>9</v>
      </c>
      <c r="AC61" s="6">
        <v>50.9</v>
      </c>
      <c r="AD61" s="6">
        <v>24.1</v>
      </c>
      <c r="AE61" s="6">
        <v>39.1</v>
      </c>
      <c r="AF61" s="6">
        <v>59</v>
      </c>
      <c r="AG61" s="6">
        <v>36</v>
      </c>
      <c r="AH61" s="6">
        <v>27</v>
      </c>
      <c r="AI61" s="7">
        <v>33</v>
      </c>
      <c r="AJ61" s="6">
        <v>16</v>
      </c>
      <c r="AK61" s="7">
        <v>43</v>
      </c>
      <c r="AL61" s="7">
        <v>47</v>
      </c>
    </row>
    <row r="62" spans="2:38" s="9" customFormat="1">
      <c r="B62" s="76">
        <v>1985</v>
      </c>
      <c r="C62" s="178" t="s">
        <v>131</v>
      </c>
      <c r="D62" s="6">
        <v>92</v>
      </c>
      <c r="E62" s="7">
        <v>110</v>
      </c>
      <c r="F62" s="6">
        <v>66.400000000000006</v>
      </c>
      <c r="G62" s="7">
        <v>97.5</v>
      </c>
      <c r="H62" s="6">
        <v>36</v>
      </c>
      <c r="I62" s="6">
        <v>86</v>
      </c>
      <c r="J62" s="7">
        <v>44.5</v>
      </c>
      <c r="K62" s="7">
        <v>26</v>
      </c>
      <c r="L62" s="6">
        <v>27.5</v>
      </c>
      <c r="M62" s="6">
        <v>85</v>
      </c>
      <c r="N62" s="7">
        <v>92</v>
      </c>
      <c r="O62" s="6">
        <v>70</v>
      </c>
      <c r="P62" s="7">
        <v>290</v>
      </c>
      <c r="Q62" s="6">
        <v>55</v>
      </c>
      <c r="R62" s="6">
        <v>45.1</v>
      </c>
      <c r="S62" s="6">
        <v>108.6</v>
      </c>
      <c r="T62" s="6">
        <v>53.7</v>
      </c>
      <c r="U62" s="7">
        <v>61</v>
      </c>
      <c r="V62" s="7">
        <v>14</v>
      </c>
      <c r="W62" s="6">
        <v>51.4</v>
      </c>
      <c r="X62" s="6">
        <v>36</v>
      </c>
      <c r="Y62" s="6">
        <v>49.7</v>
      </c>
      <c r="Z62" s="7">
        <v>26</v>
      </c>
      <c r="AA62" s="76">
        <v>62</v>
      </c>
      <c r="AB62" s="7">
        <v>68</v>
      </c>
      <c r="AC62" s="6">
        <v>85.7</v>
      </c>
      <c r="AD62" s="6">
        <v>57.7</v>
      </c>
      <c r="AE62" s="6">
        <v>35.5</v>
      </c>
      <c r="AF62" s="6">
        <v>82</v>
      </c>
      <c r="AG62" s="6">
        <v>96</v>
      </c>
      <c r="AH62" s="6">
        <v>59</v>
      </c>
      <c r="AI62" s="7">
        <v>54</v>
      </c>
      <c r="AJ62" s="6">
        <v>35.200000000000003</v>
      </c>
      <c r="AK62" s="7">
        <v>39</v>
      </c>
      <c r="AL62" s="7">
        <v>78</v>
      </c>
    </row>
    <row r="63" spans="2:38" s="9" customFormat="1">
      <c r="B63" s="76">
        <v>1985</v>
      </c>
      <c r="C63" s="178" t="s">
        <v>132</v>
      </c>
      <c r="D63" s="6">
        <v>20</v>
      </c>
      <c r="E63" s="7">
        <v>51</v>
      </c>
      <c r="F63" s="6">
        <v>102.9</v>
      </c>
      <c r="G63" s="7">
        <v>10</v>
      </c>
      <c r="H63" s="6">
        <v>115</v>
      </c>
      <c r="I63" s="6">
        <v>8</v>
      </c>
      <c r="J63" s="7">
        <v>14</v>
      </c>
      <c r="K63" s="7">
        <v>60</v>
      </c>
      <c r="L63" s="6">
        <v>31.5</v>
      </c>
      <c r="M63" s="6">
        <v>23</v>
      </c>
      <c r="N63" s="7">
        <v>74</v>
      </c>
      <c r="O63" s="6">
        <v>52</v>
      </c>
      <c r="P63" s="7">
        <v>31</v>
      </c>
      <c r="Q63" s="6">
        <v>20</v>
      </c>
      <c r="R63" s="6">
        <v>38.700000000000003</v>
      </c>
      <c r="S63" s="6">
        <v>26.8</v>
      </c>
      <c r="T63" s="6">
        <v>74.3</v>
      </c>
      <c r="U63" s="7">
        <v>29</v>
      </c>
      <c r="V63" s="7">
        <v>60</v>
      </c>
      <c r="W63" s="6">
        <v>57.6</v>
      </c>
      <c r="X63" s="6">
        <v>33</v>
      </c>
      <c r="Y63" s="6">
        <v>30.5</v>
      </c>
      <c r="Z63" s="7">
        <v>38</v>
      </c>
      <c r="AA63" s="76">
        <v>78</v>
      </c>
      <c r="AB63" s="7">
        <v>32</v>
      </c>
      <c r="AC63" s="6">
        <v>171.7</v>
      </c>
      <c r="AD63" s="6">
        <v>94.1</v>
      </c>
      <c r="AE63" s="6">
        <v>73.2</v>
      </c>
      <c r="AF63" s="6">
        <v>147</v>
      </c>
      <c r="AG63" s="6">
        <v>60</v>
      </c>
      <c r="AH63" s="6">
        <v>232</v>
      </c>
      <c r="AI63" s="7">
        <v>80</v>
      </c>
      <c r="AJ63" s="6">
        <v>17.2</v>
      </c>
      <c r="AK63" s="7">
        <v>166</v>
      </c>
      <c r="AL63" s="7">
        <v>85</v>
      </c>
    </row>
    <row r="64" spans="2:38" s="9" customFormat="1">
      <c r="B64" s="76">
        <v>1985</v>
      </c>
      <c r="C64" s="178" t="s">
        <v>133</v>
      </c>
      <c r="D64" s="6">
        <v>194</v>
      </c>
      <c r="E64" s="7">
        <v>152</v>
      </c>
      <c r="F64" s="6">
        <v>261.7</v>
      </c>
      <c r="G64" s="7">
        <v>163</v>
      </c>
      <c r="H64" s="6">
        <v>227</v>
      </c>
      <c r="I64" s="6">
        <v>192</v>
      </c>
      <c r="J64" s="7">
        <v>158.80000000000001</v>
      </c>
      <c r="K64" s="7">
        <v>31</v>
      </c>
      <c r="L64" s="6">
        <v>220</v>
      </c>
      <c r="M64" s="6">
        <v>232</v>
      </c>
      <c r="N64" s="7">
        <v>219</v>
      </c>
      <c r="O64" s="6">
        <v>78</v>
      </c>
      <c r="P64" s="7">
        <v>52</v>
      </c>
      <c r="Q64" s="6">
        <v>132</v>
      </c>
      <c r="R64" s="6">
        <v>73</v>
      </c>
      <c r="S64" s="6">
        <v>159.5</v>
      </c>
      <c r="T64" s="6">
        <v>120</v>
      </c>
      <c r="U64" s="7">
        <v>180</v>
      </c>
      <c r="V64" s="7">
        <v>274.5</v>
      </c>
      <c r="W64" s="6">
        <v>195</v>
      </c>
      <c r="X64" s="6">
        <v>205</v>
      </c>
      <c r="Y64" s="6">
        <v>230</v>
      </c>
      <c r="Z64" s="7">
        <v>169</v>
      </c>
      <c r="AA64" s="76">
        <v>129</v>
      </c>
      <c r="AB64" s="7">
        <v>148</v>
      </c>
      <c r="AC64" s="6">
        <v>259.8</v>
      </c>
      <c r="AD64" s="6">
        <v>126.8</v>
      </c>
      <c r="AE64" s="6">
        <v>288.10000000000002</v>
      </c>
      <c r="AF64" s="6">
        <v>181</v>
      </c>
      <c r="AG64" s="6">
        <v>240</v>
      </c>
      <c r="AH64" s="6">
        <v>157</v>
      </c>
      <c r="AI64" s="7">
        <v>238</v>
      </c>
      <c r="AJ64" s="6">
        <v>150.4</v>
      </c>
      <c r="AK64" s="7">
        <v>319</v>
      </c>
      <c r="AL64" s="7">
        <v>182</v>
      </c>
    </row>
    <row r="65" spans="2:38" s="9" customFormat="1">
      <c r="B65" s="76">
        <v>1985</v>
      </c>
      <c r="C65" s="178" t="s">
        <v>134</v>
      </c>
      <c r="D65" s="6">
        <v>92</v>
      </c>
      <c r="E65" s="7">
        <v>74</v>
      </c>
      <c r="F65" s="6">
        <v>115.7</v>
      </c>
      <c r="G65" s="7">
        <v>72.5</v>
      </c>
      <c r="H65" s="6">
        <v>108</v>
      </c>
      <c r="I65" s="6">
        <v>101</v>
      </c>
      <c r="J65" s="7">
        <v>91</v>
      </c>
      <c r="K65" s="7">
        <v>229</v>
      </c>
      <c r="L65" s="6">
        <v>155.5</v>
      </c>
      <c r="M65" s="6">
        <v>137</v>
      </c>
      <c r="N65" s="7">
        <v>134</v>
      </c>
      <c r="O65" s="6">
        <v>44</v>
      </c>
      <c r="P65" s="7">
        <v>76</v>
      </c>
      <c r="Q65" s="6">
        <v>103</v>
      </c>
      <c r="R65" s="6">
        <v>185.7</v>
      </c>
      <c r="S65" s="6">
        <v>70.2</v>
      </c>
      <c r="T65" s="6">
        <v>91.9</v>
      </c>
      <c r="U65" s="7">
        <v>110</v>
      </c>
      <c r="V65" s="7">
        <v>111.5</v>
      </c>
      <c r="W65" s="6">
        <v>109.5</v>
      </c>
      <c r="X65" s="6">
        <v>108</v>
      </c>
      <c r="Y65" s="6">
        <v>129.9</v>
      </c>
      <c r="Z65" s="7">
        <v>75</v>
      </c>
      <c r="AA65" s="76">
        <v>203</v>
      </c>
      <c r="AB65" s="7">
        <v>146</v>
      </c>
      <c r="AC65" s="6">
        <v>136.80000000000001</v>
      </c>
      <c r="AD65" s="6">
        <v>83.7</v>
      </c>
      <c r="AE65" s="6">
        <v>202.3</v>
      </c>
      <c r="AF65" s="6">
        <v>156</v>
      </c>
      <c r="AG65" s="6">
        <v>98</v>
      </c>
      <c r="AH65" s="6">
        <v>160</v>
      </c>
      <c r="AI65" s="7">
        <v>142.5</v>
      </c>
      <c r="AJ65" s="6">
        <v>101</v>
      </c>
      <c r="AK65" s="7">
        <v>207</v>
      </c>
      <c r="AL65" s="7">
        <v>107.4</v>
      </c>
    </row>
    <row r="66" spans="2:38" s="9" customFormat="1">
      <c r="B66" s="76">
        <v>1985</v>
      </c>
      <c r="C66" s="178" t="s">
        <v>135</v>
      </c>
      <c r="D66" s="6">
        <v>65</v>
      </c>
      <c r="E66" s="7">
        <v>111</v>
      </c>
      <c r="F66" s="6">
        <v>150.69999999999999</v>
      </c>
      <c r="G66" s="7">
        <v>110</v>
      </c>
      <c r="H66" s="6">
        <v>188</v>
      </c>
      <c r="I66" s="6">
        <v>118</v>
      </c>
      <c r="J66" s="7">
        <v>83.5</v>
      </c>
      <c r="K66" s="7">
        <v>149</v>
      </c>
      <c r="L66" s="6">
        <v>130</v>
      </c>
      <c r="M66" s="6">
        <v>84</v>
      </c>
      <c r="N66" s="7">
        <v>201</v>
      </c>
      <c r="O66" s="6">
        <v>45</v>
      </c>
      <c r="P66" s="7">
        <v>10</v>
      </c>
      <c r="Q66" s="6">
        <v>71</v>
      </c>
      <c r="R66" s="6">
        <v>276.39999999999998</v>
      </c>
      <c r="S66" s="6">
        <v>109.9</v>
      </c>
      <c r="T66" s="6">
        <v>33.9</v>
      </c>
      <c r="U66" s="7">
        <v>83</v>
      </c>
      <c r="V66" s="7">
        <v>192.5</v>
      </c>
      <c r="W66" s="6">
        <v>58.8</v>
      </c>
      <c r="X66" s="6">
        <v>171</v>
      </c>
      <c r="Y66" s="6">
        <v>223.4</v>
      </c>
      <c r="Z66" s="7">
        <v>121</v>
      </c>
      <c r="AA66" s="76">
        <v>111</v>
      </c>
      <c r="AB66" s="7">
        <v>139.4</v>
      </c>
      <c r="AC66" s="6">
        <v>233.9</v>
      </c>
      <c r="AD66" s="6">
        <v>92.7</v>
      </c>
      <c r="AE66" s="6">
        <v>165.1</v>
      </c>
      <c r="AF66" s="6">
        <v>184</v>
      </c>
      <c r="AG66" s="6">
        <v>169</v>
      </c>
      <c r="AH66" s="6">
        <v>95</v>
      </c>
      <c r="AI66" s="7">
        <v>192</v>
      </c>
      <c r="AJ66" s="6">
        <v>45.6</v>
      </c>
      <c r="AK66" s="7">
        <v>228</v>
      </c>
      <c r="AL66" s="7">
        <v>74</v>
      </c>
    </row>
    <row r="67" spans="2:38" s="9" customFormat="1">
      <c r="B67" s="76">
        <v>1985</v>
      </c>
      <c r="C67" s="178" t="s">
        <v>136</v>
      </c>
      <c r="D67" s="6">
        <v>80</v>
      </c>
      <c r="E67" s="7">
        <v>116</v>
      </c>
      <c r="F67" s="6">
        <v>75.3</v>
      </c>
      <c r="G67" s="7">
        <v>152.5</v>
      </c>
      <c r="H67" s="6">
        <v>102</v>
      </c>
      <c r="I67" s="6">
        <v>150</v>
      </c>
      <c r="J67" s="7">
        <v>129</v>
      </c>
      <c r="K67" s="7">
        <v>92</v>
      </c>
      <c r="L67" s="6">
        <v>107.5</v>
      </c>
      <c r="M67" s="6">
        <v>113</v>
      </c>
      <c r="N67" s="7">
        <v>203</v>
      </c>
      <c r="O67" s="6">
        <v>88</v>
      </c>
      <c r="P67" s="7">
        <v>41</v>
      </c>
      <c r="Q67" s="6">
        <v>161</v>
      </c>
      <c r="R67" s="6">
        <v>81.400000000000006</v>
      </c>
      <c r="S67" s="6">
        <v>107.1</v>
      </c>
      <c r="T67" s="6">
        <v>144.4</v>
      </c>
      <c r="U67" s="7">
        <v>190</v>
      </c>
      <c r="V67" s="7">
        <v>92</v>
      </c>
      <c r="W67" s="6">
        <v>121.3</v>
      </c>
      <c r="X67" s="6">
        <v>137</v>
      </c>
      <c r="Y67" s="6">
        <v>162</v>
      </c>
      <c r="Z67" s="7">
        <v>226</v>
      </c>
      <c r="AA67" s="76">
        <v>98</v>
      </c>
      <c r="AB67" s="7">
        <v>128</v>
      </c>
      <c r="AC67" s="6">
        <v>117.4</v>
      </c>
      <c r="AD67" s="6">
        <v>156.69999999999999</v>
      </c>
      <c r="AE67" s="6">
        <v>60.5</v>
      </c>
      <c r="AF67" s="6">
        <v>94</v>
      </c>
      <c r="AG67" s="6">
        <v>106</v>
      </c>
      <c r="AH67" s="6">
        <v>90</v>
      </c>
      <c r="AI67" s="7">
        <v>106.5</v>
      </c>
      <c r="AJ67" s="6">
        <v>114.3</v>
      </c>
      <c r="AK67" s="7">
        <v>167</v>
      </c>
      <c r="AL67" s="7">
        <v>161</v>
      </c>
    </row>
    <row r="68" spans="2:38" s="9" customFormat="1">
      <c r="B68" s="76">
        <v>1985</v>
      </c>
      <c r="C68" s="178" t="s">
        <v>137</v>
      </c>
      <c r="D68" s="6">
        <v>68</v>
      </c>
      <c r="E68" s="7">
        <v>161</v>
      </c>
      <c r="F68" s="6">
        <v>136.80000000000001</v>
      </c>
      <c r="G68" s="7">
        <v>61</v>
      </c>
      <c r="H68" s="6">
        <v>150</v>
      </c>
      <c r="I68" s="6">
        <v>52</v>
      </c>
      <c r="J68" s="7">
        <v>102.5</v>
      </c>
      <c r="K68" s="7">
        <v>59</v>
      </c>
      <c r="L68" s="6">
        <v>48.5</v>
      </c>
      <c r="M68" s="6">
        <v>94</v>
      </c>
      <c r="N68" s="7">
        <v>84</v>
      </c>
      <c r="O68" s="6">
        <v>88</v>
      </c>
      <c r="P68" s="7">
        <v>172</v>
      </c>
      <c r="Q68" s="6">
        <v>108</v>
      </c>
      <c r="R68" s="6">
        <v>55.8</v>
      </c>
      <c r="S68" s="6">
        <v>142</v>
      </c>
      <c r="T68" s="6">
        <v>60.1</v>
      </c>
      <c r="U68" s="7">
        <v>52</v>
      </c>
      <c r="V68" s="7">
        <v>145.5</v>
      </c>
      <c r="W68" s="6">
        <v>56.7</v>
      </c>
      <c r="X68" s="6">
        <v>28</v>
      </c>
      <c r="Y68" s="6">
        <v>30.1</v>
      </c>
      <c r="Z68" s="7">
        <v>34</v>
      </c>
      <c r="AA68" s="76">
        <v>73</v>
      </c>
      <c r="AB68" s="7">
        <v>78</v>
      </c>
      <c r="AC68" s="6">
        <v>127</v>
      </c>
      <c r="AD68" s="6">
        <v>37.4</v>
      </c>
      <c r="AE68" s="6">
        <v>63.4</v>
      </c>
      <c r="AF68" s="6">
        <v>171</v>
      </c>
      <c r="AG68" s="6">
        <v>178</v>
      </c>
      <c r="AH68" s="6">
        <v>134</v>
      </c>
      <c r="AI68" s="7">
        <v>119</v>
      </c>
      <c r="AJ68" s="6">
        <v>94.9</v>
      </c>
      <c r="AK68" s="7">
        <v>100</v>
      </c>
      <c r="AL68" s="7">
        <v>168.2</v>
      </c>
    </row>
    <row r="69" spans="2:38" s="9" customFormat="1">
      <c r="B69" s="76">
        <v>1985</v>
      </c>
      <c r="C69" s="178" t="s">
        <v>138</v>
      </c>
      <c r="D69" s="6">
        <v>108</v>
      </c>
      <c r="E69" s="7">
        <v>249</v>
      </c>
      <c r="F69" s="6">
        <v>80</v>
      </c>
      <c r="G69" s="7">
        <v>70</v>
      </c>
      <c r="H69" s="6">
        <v>100</v>
      </c>
      <c r="I69" s="6">
        <v>106</v>
      </c>
      <c r="J69" s="7">
        <v>110</v>
      </c>
      <c r="K69" s="7">
        <v>37</v>
      </c>
      <c r="L69" s="6">
        <v>69.5</v>
      </c>
      <c r="M69" s="6">
        <v>172</v>
      </c>
      <c r="N69" s="7">
        <v>114</v>
      </c>
      <c r="O69" s="6">
        <v>145</v>
      </c>
      <c r="P69" s="7">
        <v>110</v>
      </c>
      <c r="Q69" s="6">
        <v>132</v>
      </c>
      <c r="R69" s="6">
        <v>51.3</v>
      </c>
      <c r="S69" s="6">
        <v>186.1</v>
      </c>
      <c r="T69" s="6">
        <v>84.2</v>
      </c>
      <c r="U69" s="7">
        <v>74</v>
      </c>
      <c r="V69" s="7">
        <v>118.5</v>
      </c>
      <c r="W69" s="6">
        <v>50.1</v>
      </c>
      <c r="X69" s="6">
        <v>86</v>
      </c>
      <c r="Y69" s="6">
        <v>54</v>
      </c>
      <c r="Z69" s="7">
        <v>110</v>
      </c>
      <c r="AA69" s="76">
        <v>65</v>
      </c>
      <c r="AB69" s="7">
        <v>93</v>
      </c>
      <c r="AC69" s="6">
        <v>131.19999999999999</v>
      </c>
      <c r="AD69" s="6">
        <v>93.9</v>
      </c>
      <c r="AE69" s="6">
        <v>82.7</v>
      </c>
      <c r="AF69" s="6">
        <v>97</v>
      </c>
      <c r="AG69" s="6">
        <v>193</v>
      </c>
      <c r="AH69" s="6">
        <v>95</v>
      </c>
      <c r="AI69" s="7">
        <v>137</v>
      </c>
      <c r="AJ69" s="6">
        <v>154.19999999999999</v>
      </c>
      <c r="AK69" s="7">
        <v>85</v>
      </c>
      <c r="AL69" s="7">
        <v>155</v>
      </c>
    </row>
    <row r="70" spans="2:38" s="9" customFormat="1">
      <c r="B70" s="76">
        <v>1985</v>
      </c>
      <c r="C70" s="178" t="s">
        <v>139</v>
      </c>
      <c r="D70" s="6">
        <v>108</v>
      </c>
      <c r="E70" s="7">
        <v>256</v>
      </c>
      <c r="F70" s="6">
        <v>106.8</v>
      </c>
      <c r="G70" s="7">
        <v>37.700000000000003</v>
      </c>
      <c r="H70" s="6">
        <v>120</v>
      </c>
      <c r="I70" s="6">
        <v>86</v>
      </c>
      <c r="J70" s="7">
        <v>86</v>
      </c>
      <c r="K70" s="7">
        <v>82</v>
      </c>
      <c r="L70" s="6">
        <v>54</v>
      </c>
      <c r="M70" s="6">
        <v>170</v>
      </c>
      <c r="N70" s="7">
        <v>90</v>
      </c>
      <c r="O70" s="6">
        <v>84</v>
      </c>
      <c r="P70" s="7">
        <v>140</v>
      </c>
      <c r="Q70" s="6">
        <v>122</v>
      </c>
      <c r="R70" s="6">
        <v>69.5</v>
      </c>
      <c r="S70" s="6">
        <v>218.5</v>
      </c>
      <c r="T70" s="6">
        <v>70.900000000000006</v>
      </c>
      <c r="U70" s="7">
        <v>38</v>
      </c>
      <c r="V70" s="7">
        <v>145.5</v>
      </c>
      <c r="W70" s="6">
        <v>26.1</v>
      </c>
      <c r="X70" s="6">
        <v>93</v>
      </c>
      <c r="Y70" s="6">
        <v>114.7</v>
      </c>
      <c r="Z70" s="7">
        <v>75</v>
      </c>
      <c r="AA70" s="76">
        <v>32</v>
      </c>
      <c r="AB70" s="7">
        <v>131.4</v>
      </c>
      <c r="AC70" s="6">
        <v>159.1</v>
      </c>
      <c r="AD70" s="6">
        <v>139.6</v>
      </c>
      <c r="AE70" s="6">
        <v>50.2</v>
      </c>
      <c r="AF70" s="6">
        <v>85</v>
      </c>
      <c r="AG70" s="6">
        <v>135</v>
      </c>
      <c r="AH70" s="6">
        <v>98</v>
      </c>
      <c r="AI70" s="7">
        <v>152</v>
      </c>
      <c r="AJ70" s="6">
        <v>145.6</v>
      </c>
      <c r="AK70" s="7">
        <v>150</v>
      </c>
      <c r="AL70" s="7">
        <v>192.6</v>
      </c>
    </row>
    <row r="71" spans="2:38" s="9" customFormat="1">
      <c r="B71" s="76">
        <v>1985</v>
      </c>
      <c r="C71" s="178" t="s">
        <v>140</v>
      </c>
      <c r="D71" s="6">
        <v>156</v>
      </c>
      <c r="E71" s="7">
        <v>117</v>
      </c>
      <c r="F71" s="6">
        <v>110.6</v>
      </c>
      <c r="G71" s="7">
        <v>114</v>
      </c>
      <c r="H71" s="6">
        <v>165</v>
      </c>
      <c r="I71" s="6">
        <v>173</v>
      </c>
      <c r="J71" s="7">
        <v>146.5</v>
      </c>
      <c r="K71" s="7">
        <v>173</v>
      </c>
      <c r="L71" s="6">
        <v>155.5</v>
      </c>
      <c r="M71" s="6">
        <v>139</v>
      </c>
      <c r="N71" s="7">
        <v>271</v>
      </c>
      <c r="O71" s="6">
        <v>123</v>
      </c>
      <c r="P71" s="7">
        <v>38</v>
      </c>
      <c r="Q71" s="6">
        <v>133</v>
      </c>
      <c r="R71" s="6">
        <v>155.30000000000001</v>
      </c>
      <c r="S71" s="6">
        <v>133.1</v>
      </c>
      <c r="T71" s="6">
        <v>130</v>
      </c>
      <c r="U71" s="7">
        <v>211</v>
      </c>
      <c r="V71" s="7">
        <v>130</v>
      </c>
      <c r="W71" s="6">
        <v>120.2</v>
      </c>
      <c r="X71" s="6">
        <v>144</v>
      </c>
      <c r="Y71" s="6">
        <v>183.3</v>
      </c>
      <c r="Z71" s="7">
        <v>194</v>
      </c>
      <c r="AA71" s="76">
        <v>158</v>
      </c>
      <c r="AB71" s="7">
        <v>174.9</v>
      </c>
      <c r="AC71" s="6">
        <v>94.7</v>
      </c>
      <c r="AD71" s="6">
        <v>157.30000000000001</v>
      </c>
      <c r="AE71" s="6">
        <v>183.9</v>
      </c>
      <c r="AF71" s="6">
        <v>210</v>
      </c>
      <c r="AG71" s="6">
        <v>129</v>
      </c>
      <c r="AH71" s="6">
        <v>158</v>
      </c>
      <c r="AI71" s="7">
        <v>123</v>
      </c>
      <c r="AJ71" s="6">
        <v>116.9</v>
      </c>
      <c r="AK71" s="7">
        <v>132</v>
      </c>
      <c r="AL71" s="7">
        <v>161</v>
      </c>
    </row>
    <row r="72" spans="2:38" s="9" customFormat="1">
      <c r="B72" s="76">
        <v>1985</v>
      </c>
      <c r="C72" s="178" t="s">
        <v>141</v>
      </c>
      <c r="D72" s="6">
        <v>54</v>
      </c>
      <c r="E72" s="7">
        <v>66</v>
      </c>
      <c r="F72" s="6">
        <v>3.6</v>
      </c>
      <c r="G72" s="7">
        <v>77</v>
      </c>
      <c r="H72" s="6">
        <v>4</v>
      </c>
      <c r="I72" s="6">
        <v>83</v>
      </c>
      <c r="J72" s="7">
        <v>79</v>
      </c>
      <c r="K72" s="7">
        <v>184</v>
      </c>
      <c r="L72" s="6">
        <v>42</v>
      </c>
      <c r="M72" s="6">
        <v>110</v>
      </c>
      <c r="N72" s="7">
        <v>63</v>
      </c>
      <c r="O72" s="6">
        <v>80</v>
      </c>
      <c r="P72" s="7">
        <v>52</v>
      </c>
      <c r="Q72" s="6">
        <v>93</v>
      </c>
      <c r="R72" s="6">
        <v>186.2</v>
      </c>
      <c r="S72" s="6">
        <v>65.099999999999994</v>
      </c>
      <c r="T72" s="6">
        <v>59.1</v>
      </c>
      <c r="U72" s="7">
        <v>46</v>
      </c>
      <c r="V72" s="7">
        <v>32</v>
      </c>
      <c r="W72" s="6">
        <v>62.8</v>
      </c>
      <c r="X72" s="6">
        <v>88.5</v>
      </c>
      <c r="Y72" s="6">
        <v>183.4</v>
      </c>
      <c r="Z72" s="7">
        <v>88</v>
      </c>
      <c r="AA72" s="76">
        <v>63</v>
      </c>
      <c r="AB72" s="7">
        <v>61</v>
      </c>
      <c r="AC72" s="6">
        <v>29.5</v>
      </c>
      <c r="AD72" s="6">
        <v>71.2</v>
      </c>
      <c r="AE72" s="6">
        <v>112.3</v>
      </c>
      <c r="AF72" s="6">
        <v>53</v>
      </c>
      <c r="AG72" s="6">
        <v>56</v>
      </c>
      <c r="AH72" s="6">
        <v>48</v>
      </c>
      <c r="AI72" s="7">
        <v>12</v>
      </c>
      <c r="AJ72" s="6">
        <v>93.1</v>
      </c>
      <c r="AK72" s="7">
        <v>61</v>
      </c>
      <c r="AL72" s="7">
        <v>26</v>
      </c>
    </row>
    <row r="73" spans="2:38" s="9" customFormat="1">
      <c r="B73" s="76">
        <v>1985</v>
      </c>
      <c r="C73" s="178" t="s">
        <v>143</v>
      </c>
      <c r="D73" s="6">
        <v>5</v>
      </c>
      <c r="E73" s="7">
        <v>19</v>
      </c>
      <c r="F73" s="6">
        <v>28.3</v>
      </c>
      <c r="G73" s="7">
        <v>10</v>
      </c>
      <c r="H73" s="6">
        <v>31</v>
      </c>
      <c r="I73" s="6">
        <v>7</v>
      </c>
      <c r="J73" s="7">
        <v>26</v>
      </c>
      <c r="K73" s="7">
        <v>50</v>
      </c>
      <c r="L73" s="6">
        <v>111</v>
      </c>
      <c r="M73" s="6">
        <v>62</v>
      </c>
      <c r="N73" s="7">
        <v>69</v>
      </c>
      <c r="O73" s="6">
        <v>2</v>
      </c>
      <c r="P73" s="7">
        <v>85</v>
      </c>
      <c r="Q73" s="6">
        <v>27</v>
      </c>
      <c r="R73" s="6">
        <v>38.5</v>
      </c>
      <c r="S73" s="6">
        <v>22.2</v>
      </c>
      <c r="T73" s="6">
        <v>96.5</v>
      </c>
      <c r="U73" s="7">
        <v>95</v>
      </c>
      <c r="V73" s="7">
        <v>29.5</v>
      </c>
      <c r="W73" s="6">
        <v>104</v>
      </c>
      <c r="X73" s="6">
        <v>53</v>
      </c>
      <c r="Y73" s="6">
        <v>15.1</v>
      </c>
      <c r="Z73" s="7">
        <v>24</v>
      </c>
      <c r="AA73" s="76">
        <v>122</v>
      </c>
      <c r="AB73" s="7">
        <v>102</v>
      </c>
      <c r="AC73" s="6">
        <v>19.7</v>
      </c>
      <c r="AD73" s="6">
        <v>5.7</v>
      </c>
      <c r="AE73" s="6">
        <v>32.200000000000003</v>
      </c>
      <c r="AF73" s="6">
        <v>18</v>
      </c>
      <c r="AG73" s="6">
        <v>54</v>
      </c>
      <c r="AH73" s="6">
        <v>65</v>
      </c>
      <c r="AI73" s="7">
        <v>19</v>
      </c>
      <c r="AJ73" s="6">
        <v>23.7</v>
      </c>
      <c r="AK73" s="7">
        <v>33</v>
      </c>
      <c r="AL73" s="7">
        <v>20</v>
      </c>
    </row>
    <row r="74" spans="2:38" s="9" customFormat="1">
      <c r="B74" s="76">
        <v>1986</v>
      </c>
      <c r="C74" s="178" t="s">
        <v>131</v>
      </c>
      <c r="D74" s="6">
        <v>125</v>
      </c>
      <c r="E74" s="7">
        <v>186</v>
      </c>
      <c r="F74" s="6">
        <v>216.8</v>
      </c>
      <c r="G74" s="7">
        <v>181</v>
      </c>
      <c r="H74" s="6">
        <v>294</v>
      </c>
      <c r="I74" s="6">
        <v>114</v>
      </c>
      <c r="J74" s="7">
        <v>148</v>
      </c>
      <c r="K74" s="7">
        <v>126</v>
      </c>
      <c r="L74" s="6">
        <v>81.5</v>
      </c>
      <c r="M74" s="6">
        <v>144</v>
      </c>
      <c r="N74" s="7">
        <v>203</v>
      </c>
      <c r="O74" s="6">
        <v>100</v>
      </c>
      <c r="P74" s="7">
        <v>50.5</v>
      </c>
      <c r="Q74" s="6">
        <v>188</v>
      </c>
      <c r="R74" s="6">
        <v>85.7</v>
      </c>
      <c r="S74" s="6">
        <v>137.5</v>
      </c>
      <c r="T74" s="6">
        <v>138.9</v>
      </c>
      <c r="U74" s="7">
        <v>83</v>
      </c>
      <c r="V74" s="7">
        <v>116</v>
      </c>
      <c r="W74" s="6">
        <v>129.30000000000001</v>
      </c>
      <c r="X74" s="6">
        <v>122</v>
      </c>
      <c r="Y74" s="6">
        <v>124.6</v>
      </c>
      <c r="Z74" s="7">
        <v>100</v>
      </c>
      <c r="AA74" s="76">
        <v>150</v>
      </c>
      <c r="AB74" s="7">
        <v>111</v>
      </c>
      <c r="AC74" s="6">
        <v>147.6</v>
      </c>
      <c r="AD74" s="6">
        <v>171.9</v>
      </c>
      <c r="AE74" s="6">
        <v>122.4</v>
      </c>
      <c r="AF74" s="6">
        <v>169</v>
      </c>
      <c r="AG74" s="6">
        <v>194</v>
      </c>
      <c r="AH74" s="6">
        <v>148</v>
      </c>
      <c r="AI74" s="7">
        <v>166.5</v>
      </c>
      <c r="AJ74" s="6">
        <v>119.4</v>
      </c>
      <c r="AK74" s="7">
        <v>145</v>
      </c>
      <c r="AL74" s="7">
        <v>114</v>
      </c>
    </row>
    <row r="75" spans="2:38" s="9" customFormat="1">
      <c r="B75" s="76">
        <v>1986</v>
      </c>
      <c r="C75" s="178" t="s">
        <v>132</v>
      </c>
      <c r="D75" s="6">
        <v>62</v>
      </c>
      <c r="E75" s="7">
        <v>127</v>
      </c>
      <c r="F75" s="6">
        <v>76.2</v>
      </c>
      <c r="G75" s="7">
        <v>69</v>
      </c>
      <c r="H75" s="6">
        <v>142</v>
      </c>
      <c r="I75" s="6">
        <v>58</v>
      </c>
      <c r="J75" s="7">
        <v>42</v>
      </c>
      <c r="K75" s="7">
        <v>25</v>
      </c>
      <c r="L75" s="6">
        <v>8</v>
      </c>
      <c r="M75" s="6">
        <v>77</v>
      </c>
      <c r="N75" s="7">
        <v>120</v>
      </c>
      <c r="O75" s="6">
        <v>56</v>
      </c>
      <c r="P75" s="7">
        <v>10</v>
      </c>
      <c r="Q75" s="6">
        <v>57</v>
      </c>
      <c r="R75" s="6">
        <v>29.5</v>
      </c>
      <c r="S75" s="6">
        <v>74.5</v>
      </c>
      <c r="T75" s="6">
        <v>45.8</v>
      </c>
      <c r="U75" s="7">
        <v>28</v>
      </c>
      <c r="V75" s="7">
        <v>60</v>
      </c>
      <c r="W75" s="6">
        <v>16.899999999999999</v>
      </c>
      <c r="X75" s="6">
        <v>43</v>
      </c>
      <c r="Y75" s="6">
        <v>23.6</v>
      </c>
      <c r="Z75" s="7">
        <v>69</v>
      </c>
      <c r="AA75" s="76">
        <v>20.5</v>
      </c>
      <c r="AB75" s="7">
        <v>196.5</v>
      </c>
      <c r="AC75" s="6">
        <v>50.9</v>
      </c>
      <c r="AD75" s="6">
        <v>65.099999999999994</v>
      </c>
      <c r="AE75" s="6">
        <v>106.3</v>
      </c>
      <c r="AF75" s="6">
        <v>69</v>
      </c>
      <c r="AG75" s="6">
        <v>129</v>
      </c>
      <c r="AH75" s="6">
        <v>138</v>
      </c>
      <c r="AI75" s="7">
        <v>76.5</v>
      </c>
      <c r="AJ75" s="6">
        <v>53.1</v>
      </c>
      <c r="AK75" s="7">
        <v>94.5</v>
      </c>
      <c r="AL75" s="7">
        <v>97</v>
      </c>
    </row>
    <row r="76" spans="2:38" s="9" customFormat="1">
      <c r="B76" s="76">
        <v>1986</v>
      </c>
      <c r="C76" s="178" t="s">
        <v>133</v>
      </c>
      <c r="D76" s="6">
        <v>97</v>
      </c>
      <c r="E76" s="7">
        <v>82</v>
      </c>
      <c r="F76" s="6">
        <v>319.2</v>
      </c>
      <c r="G76" s="7">
        <v>97</v>
      </c>
      <c r="H76" s="6">
        <v>415</v>
      </c>
      <c r="I76" s="6">
        <v>85</v>
      </c>
      <c r="J76" s="7">
        <v>69</v>
      </c>
      <c r="K76" s="7">
        <v>93</v>
      </c>
      <c r="L76" s="6">
        <v>105</v>
      </c>
      <c r="M76" s="6">
        <v>133</v>
      </c>
      <c r="N76" s="7">
        <v>141</v>
      </c>
      <c r="O76" s="6">
        <v>82</v>
      </c>
      <c r="P76" s="7">
        <v>66</v>
      </c>
      <c r="Q76" s="6">
        <v>70</v>
      </c>
      <c r="R76" s="6">
        <v>46.7</v>
      </c>
      <c r="S76" s="6">
        <v>154.69999999999999</v>
      </c>
      <c r="T76" s="6">
        <v>108.9</v>
      </c>
      <c r="U76" s="7">
        <v>111</v>
      </c>
      <c r="V76" s="7">
        <v>102.5</v>
      </c>
      <c r="W76" s="6">
        <v>172</v>
      </c>
      <c r="X76" s="6">
        <v>92</v>
      </c>
      <c r="Y76" s="6">
        <v>34.1</v>
      </c>
      <c r="Z76" s="7">
        <v>114</v>
      </c>
      <c r="AA76" s="76">
        <v>129</v>
      </c>
      <c r="AB76" s="7">
        <v>123.5</v>
      </c>
      <c r="AC76" s="6">
        <v>193.7</v>
      </c>
      <c r="AD76" s="6">
        <v>146.1</v>
      </c>
      <c r="AE76" s="6">
        <v>152.4</v>
      </c>
      <c r="AF76" s="6">
        <v>303</v>
      </c>
      <c r="AG76" s="6">
        <v>166</v>
      </c>
      <c r="AH76" s="6">
        <v>168</v>
      </c>
      <c r="AI76" s="7">
        <v>171.5</v>
      </c>
      <c r="AJ76" s="6">
        <v>80.599999999999994</v>
      </c>
      <c r="AK76" s="7">
        <v>179</v>
      </c>
      <c r="AL76" s="7">
        <v>181</v>
      </c>
    </row>
    <row r="77" spans="2:38" s="9" customFormat="1">
      <c r="B77" s="76">
        <v>1986</v>
      </c>
      <c r="C77" s="178" t="s">
        <v>134</v>
      </c>
      <c r="D77" s="6">
        <v>46</v>
      </c>
      <c r="E77" s="7">
        <v>120</v>
      </c>
      <c r="F77" s="6">
        <v>310.89999999999998</v>
      </c>
      <c r="G77" s="7">
        <v>40.5</v>
      </c>
      <c r="H77" s="6">
        <v>416</v>
      </c>
      <c r="I77" s="6">
        <v>51</v>
      </c>
      <c r="J77" s="7">
        <v>143</v>
      </c>
      <c r="K77" s="7">
        <v>158</v>
      </c>
      <c r="L77" s="6">
        <v>241</v>
      </c>
      <c r="M77" s="6">
        <v>148</v>
      </c>
      <c r="N77" s="7">
        <v>124</v>
      </c>
      <c r="O77" s="6">
        <v>58</v>
      </c>
      <c r="P77" s="7">
        <v>79</v>
      </c>
      <c r="Q77" s="6">
        <v>51</v>
      </c>
      <c r="R77" s="6">
        <v>274.7</v>
      </c>
      <c r="S77" s="6">
        <v>136.4</v>
      </c>
      <c r="T77" s="6">
        <v>163.69999999999999</v>
      </c>
      <c r="U77" s="7">
        <v>153</v>
      </c>
      <c r="V77" s="7">
        <v>149.1</v>
      </c>
      <c r="W77" s="6">
        <v>226.1</v>
      </c>
      <c r="X77" s="6">
        <v>106</v>
      </c>
      <c r="Y77" s="6">
        <v>131.6</v>
      </c>
      <c r="Z77" s="7">
        <v>69</v>
      </c>
      <c r="AA77" s="76">
        <v>432</v>
      </c>
      <c r="AB77" s="7">
        <v>232</v>
      </c>
      <c r="AC77" s="6">
        <v>263</v>
      </c>
      <c r="AD77" s="6">
        <v>39.1</v>
      </c>
      <c r="AE77" s="6">
        <v>323.5</v>
      </c>
      <c r="AF77" s="6">
        <v>232</v>
      </c>
      <c r="AG77" s="6">
        <v>262</v>
      </c>
      <c r="AH77" s="6">
        <v>337</v>
      </c>
      <c r="AI77" s="7">
        <v>209.5</v>
      </c>
      <c r="AJ77" s="6">
        <v>86.7</v>
      </c>
      <c r="AK77" s="7">
        <v>351</v>
      </c>
      <c r="AL77" s="7">
        <v>192</v>
      </c>
    </row>
    <row r="78" spans="2:38" s="9" customFormat="1">
      <c r="B78" s="76">
        <v>1986</v>
      </c>
      <c r="C78" s="178" t="s">
        <v>135</v>
      </c>
      <c r="D78" s="6">
        <v>203</v>
      </c>
      <c r="E78" s="7">
        <v>166</v>
      </c>
      <c r="F78" s="6">
        <v>243.1</v>
      </c>
      <c r="G78" s="7">
        <v>157</v>
      </c>
      <c r="H78" s="6">
        <v>320</v>
      </c>
      <c r="I78" s="6">
        <v>137</v>
      </c>
      <c r="J78" s="7">
        <v>232</v>
      </c>
      <c r="K78" s="7">
        <v>61</v>
      </c>
      <c r="L78" s="6">
        <v>252.5</v>
      </c>
      <c r="M78" s="6">
        <v>322</v>
      </c>
      <c r="N78" s="7">
        <v>59</v>
      </c>
      <c r="O78" s="6">
        <v>124</v>
      </c>
      <c r="P78" s="7">
        <v>27</v>
      </c>
      <c r="Q78" s="6">
        <v>217</v>
      </c>
      <c r="R78" s="6">
        <v>113.8</v>
      </c>
      <c r="S78" s="6">
        <v>242.5</v>
      </c>
      <c r="T78" s="6">
        <v>99.3</v>
      </c>
      <c r="U78" s="7">
        <v>177.5</v>
      </c>
      <c r="V78" s="7">
        <v>154</v>
      </c>
      <c r="W78" s="6">
        <v>190.2</v>
      </c>
      <c r="X78" s="6">
        <v>165</v>
      </c>
      <c r="Y78" s="6">
        <v>89.4</v>
      </c>
      <c r="Z78" s="7">
        <v>122</v>
      </c>
      <c r="AA78" s="76">
        <v>317.5</v>
      </c>
      <c r="AB78" s="7">
        <v>226</v>
      </c>
      <c r="AC78" s="6">
        <v>207.8</v>
      </c>
      <c r="AD78" s="6">
        <v>171.1</v>
      </c>
      <c r="AE78" s="6">
        <v>152.19999999999999</v>
      </c>
      <c r="AF78" s="6">
        <v>185</v>
      </c>
      <c r="AG78" s="6">
        <v>181</v>
      </c>
      <c r="AH78" s="6">
        <v>246</v>
      </c>
      <c r="AI78" s="7">
        <v>134</v>
      </c>
      <c r="AJ78" s="6">
        <v>187.8</v>
      </c>
      <c r="AK78" s="7">
        <v>202</v>
      </c>
      <c r="AL78" s="7">
        <v>180</v>
      </c>
    </row>
    <row r="79" spans="2:38" s="9" customFormat="1">
      <c r="B79" s="76">
        <v>1986</v>
      </c>
      <c r="C79" s="178" t="s">
        <v>136</v>
      </c>
      <c r="D79" s="6">
        <v>70</v>
      </c>
      <c r="E79" s="7">
        <v>121</v>
      </c>
      <c r="F79" s="6">
        <v>113.5</v>
      </c>
      <c r="G79" s="7">
        <v>118</v>
      </c>
      <c r="H79" s="6">
        <v>190</v>
      </c>
      <c r="I79" s="6">
        <v>99</v>
      </c>
      <c r="J79" s="7">
        <v>101</v>
      </c>
      <c r="K79" s="7">
        <v>108</v>
      </c>
      <c r="L79" s="6">
        <v>122.5</v>
      </c>
      <c r="M79" s="6">
        <v>181</v>
      </c>
      <c r="N79" s="7">
        <v>88</v>
      </c>
      <c r="O79" s="6">
        <v>129</v>
      </c>
      <c r="P79" s="7">
        <v>9</v>
      </c>
      <c r="Q79" s="6">
        <v>109</v>
      </c>
      <c r="R79" s="6">
        <v>97.5</v>
      </c>
      <c r="S79" s="6">
        <v>83.3</v>
      </c>
      <c r="T79" s="6">
        <v>74.5</v>
      </c>
      <c r="U79" s="7">
        <v>119</v>
      </c>
      <c r="V79" s="7">
        <v>54.5</v>
      </c>
      <c r="W79" s="6">
        <v>55.9</v>
      </c>
      <c r="X79" s="6">
        <v>84</v>
      </c>
      <c r="Y79" s="6">
        <v>151.1</v>
      </c>
      <c r="Z79" s="7">
        <v>85</v>
      </c>
      <c r="AA79" s="76">
        <v>112</v>
      </c>
      <c r="AB79" s="7">
        <v>73.5</v>
      </c>
      <c r="AC79" s="6">
        <v>50</v>
      </c>
      <c r="AD79" s="6">
        <v>93.6</v>
      </c>
      <c r="AE79" s="6">
        <v>67</v>
      </c>
      <c r="AF79" s="6">
        <v>85</v>
      </c>
      <c r="AG79" s="6">
        <v>57</v>
      </c>
      <c r="AH79" s="6">
        <v>167</v>
      </c>
      <c r="AI79" s="7">
        <v>60.5</v>
      </c>
      <c r="AJ79" s="6">
        <v>134</v>
      </c>
      <c r="AK79" s="7">
        <v>111</v>
      </c>
      <c r="AL79" s="7">
        <v>44.1</v>
      </c>
    </row>
    <row r="80" spans="2:38" s="9" customFormat="1">
      <c r="B80" s="76">
        <v>1986</v>
      </c>
      <c r="C80" s="178" t="s">
        <v>137</v>
      </c>
      <c r="D80" s="6">
        <v>85</v>
      </c>
      <c r="E80" s="7">
        <v>32</v>
      </c>
      <c r="F80" s="6">
        <v>30.6</v>
      </c>
      <c r="G80" s="7">
        <v>78</v>
      </c>
      <c r="H80" s="6">
        <v>30</v>
      </c>
      <c r="I80" s="6">
        <v>100</v>
      </c>
      <c r="J80" s="7">
        <v>62</v>
      </c>
      <c r="K80" s="7">
        <v>36</v>
      </c>
      <c r="L80" s="6">
        <v>94.5</v>
      </c>
      <c r="M80" s="6">
        <v>134</v>
      </c>
      <c r="N80" s="7">
        <v>68.5</v>
      </c>
      <c r="O80" s="6">
        <v>78</v>
      </c>
      <c r="P80" s="7">
        <v>50</v>
      </c>
      <c r="Q80" s="6">
        <v>68</v>
      </c>
      <c r="R80" s="6">
        <v>31.7</v>
      </c>
      <c r="S80" s="6">
        <v>33.299999999999997</v>
      </c>
      <c r="T80" s="6">
        <v>51.8</v>
      </c>
      <c r="U80" s="7">
        <v>36</v>
      </c>
      <c r="V80" s="7">
        <v>30.5</v>
      </c>
      <c r="W80" s="6">
        <v>24.1</v>
      </c>
      <c r="X80" s="6">
        <v>90.5</v>
      </c>
      <c r="Y80" s="6">
        <v>52.1</v>
      </c>
      <c r="Z80" s="7">
        <v>52</v>
      </c>
      <c r="AA80" s="76">
        <v>66</v>
      </c>
      <c r="AB80" s="7">
        <v>68</v>
      </c>
      <c r="AC80" s="6">
        <v>28.4</v>
      </c>
      <c r="AD80" s="6">
        <v>104.2</v>
      </c>
      <c r="AE80" s="6">
        <v>31.2</v>
      </c>
      <c r="AF80" s="6">
        <v>32</v>
      </c>
      <c r="AG80" s="6">
        <v>38</v>
      </c>
      <c r="AH80" s="6">
        <v>35</v>
      </c>
      <c r="AI80" s="7">
        <v>26</v>
      </c>
      <c r="AJ80" s="6">
        <v>70.3</v>
      </c>
      <c r="AK80" s="7">
        <v>30</v>
      </c>
      <c r="AL80" s="7">
        <v>28.5</v>
      </c>
    </row>
    <row r="81" spans="2:38" s="9" customFormat="1">
      <c r="B81" s="76">
        <v>1986</v>
      </c>
      <c r="C81" s="178" t="s">
        <v>138</v>
      </c>
      <c r="D81" s="6">
        <v>402</v>
      </c>
      <c r="E81" s="7">
        <v>139</v>
      </c>
      <c r="F81" s="6">
        <v>68.5</v>
      </c>
      <c r="G81" s="7">
        <v>453</v>
      </c>
      <c r="H81" s="6">
        <v>71</v>
      </c>
      <c r="I81" s="6">
        <v>343</v>
      </c>
      <c r="J81" s="7">
        <v>200</v>
      </c>
      <c r="K81" s="7">
        <v>140</v>
      </c>
      <c r="L81" s="6">
        <v>116.5</v>
      </c>
      <c r="M81" s="6">
        <v>197</v>
      </c>
      <c r="N81" s="7">
        <v>246</v>
      </c>
      <c r="O81" s="6">
        <v>402</v>
      </c>
      <c r="P81" s="7">
        <v>118</v>
      </c>
      <c r="Q81" s="6">
        <v>265</v>
      </c>
      <c r="R81" s="6">
        <v>235.2</v>
      </c>
      <c r="S81" s="6">
        <v>71</v>
      </c>
      <c r="T81" s="6">
        <v>152.6</v>
      </c>
      <c r="U81" s="7">
        <v>135</v>
      </c>
      <c r="V81" s="7">
        <v>49</v>
      </c>
      <c r="W81" s="6">
        <v>84.5</v>
      </c>
      <c r="X81" s="6">
        <v>227.5</v>
      </c>
      <c r="Y81" s="6">
        <v>318.89999999999998</v>
      </c>
      <c r="Z81" s="7">
        <v>230</v>
      </c>
      <c r="AA81" s="76">
        <v>250</v>
      </c>
      <c r="AB81" s="7">
        <v>76.5</v>
      </c>
      <c r="AC81" s="6">
        <v>67.2</v>
      </c>
      <c r="AD81" s="6">
        <v>414.1</v>
      </c>
      <c r="AE81" s="6">
        <v>80.400000000000006</v>
      </c>
      <c r="AF81" s="6">
        <v>121</v>
      </c>
      <c r="AG81" s="6">
        <v>48</v>
      </c>
      <c r="AH81" s="6">
        <v>80</v>
      </c>
      <c r="AI81" s="7">
        <v>76</v>
      </c>
      <c r="AJ81" s="6">
        <v>217.7</v>
      </c>
      <c r="AK81" s="7">
        <v>93</v>
      </c>
      <c r="AL81" s="7">
        <v>66</v>
      </c>
    </row>
    <row r="82" spans="2:38" s="9" customFormat="1">
      <c r="B82" s="76">
        <v>1986</v>
      </c>
      <c r="C82" s="178" t="s">
        <v>139</v>
      </c>
      <c r="D82" s="6">
        <v>111</v>
      </c>
      <c r="E82" s="7">
        <v>77</v>
      </c>
      <c r="F82" s="6">
        <v>113.4</v>
      </c>
      <c r="G82" s="7">
        <v>107</v>
      </c>
      <c r="H82" s="6">
        <v>135</v>
      </c>
      <c r="I82" s="6">
        <v>127</v>
      </c>
      <c r="J82" s="7">
        <v>78.5</v>
      </c>
      <c r="K82" s="7">
        <v>101</v>
      </c>
      <c r="L82" s="6">
        <v>90.5</v>
      </c>
      <c r="M82" s="6">
        <v>83</v>
      </c>
      <c r="N82" s="7">
        <v>119.5</v>
      </c>
      <c r="O82" s="6">
        <v>112</v>
      </c>
      <c r="P82" s="7">
        <v>68</v>
      </c>
      <c r="Q82" s="6">
        <v>127</v>
      </c>
      <c r="R82" s="6">
        <v>91.6</v>
      </c>
      <c r="S82" s="6">
        <v>91</v>
      </c>
      <c r="T82" s="6">
        <v>83.3</v>
      </c>
      <c r="U82" s="7">
        <v>80</v>
      </c>
      <c r="V82" s="7">
        <v>104.9</v>
      </c>
      <c r="W82" s="6">
        <v>83.9</v>
      </c>
      <c r="X82" s="6">
        <v>109</v>
      </c>
      <c r="Y82" s="6">
        <v>147.80000000000001</v>
      </c>
      <c r="Z82" s="7">
        <v>113</v>
      </c>
      <c r="AA82" s="76">
        <v>84</v>
      </c>
      <c r="AB82" s="7">
        <v>98.5</v>
      </c>
      <c r="AC82" s="6">
        <v>128.1</v>
      </c>
      <c r="AD82" s="6">
        <v>111.8</v>
      </c>
      <c r="AE82" s="6">
        <v>121.3</v>
      </c>
      <c r="AF82" s="6">
        <v>96</v>
      </c>
      <c r="AG82" s="6">
        <v>115</v>
      </c>
      <c r="AH82" s="6">
        <v>118</v>
      </c>
      <c r="AI82" s="7">
        <v>146</v>
      </c>
      <c r="AJ82" s="6">
        <v>76.3</v>
      </c>
      <c r="AK82" s="7">
        <v>137</v>
      </c>
      <c r="AL82" s="7">
        <v>84</v>
      </c>
    </row>
    <row r="83" spans="2:38" s="9" customFormat="1">
      <c r="B83" s="76">
        <v>1986</v>
      </c>
      <c r="C83" s="178" t="s">
        <v>140</v>
      </c>
      <c r="D83" s="6">
        <v>148</v>
      </c>
      <c r="E83" s="7">
        <v>178</v>
      </c>
      <c r="F83" s="6">
        <v>147.9</v>
      </c>
      <c r="G83" s="7">
        <v>98</v>
      </c>
      <c r="H83" s="6">
        <v>120</v>
      </c>
      <c r="I83" s="6">
        <v>153</v>
      </c>
      <c r="J83" s="7">
        <v>186</v>
      </c>
      <c r="K83" s="7">
        <v>155</v>
      </c>
      <c r="L83" s="6">
        <v>243</v>
      </c>
      <c r="M83" s="6">
        <v>198</v>
      </c>
      <c r="N83" s="7">
        <v>286.5</v>
      </c>
      <c r="O83" s="6">
        <v>91</v>
      </c>
      <c r="P83" s="7">
        <v>42</v>
      </c>
      <c r="Q83" s="6">
        <v>147</v>
      </c>
      <c r="R83" s="6">
        <v>223.5</v>
      </c>
      <c r="S83" s="6">
        <v>176.3</v>
      </c>
      <c r="T83" s="6">
        <v>221.9</v>
      </c>
      <c r="U83" s="7">
        <v>307</v>
      </c>
      <c r="V83" s="7">
        <v>120.5</v>
      </c>
      <c r="W83" s="6">
        <v>170.1</v>
      </c>
      <c r="X83" s="6">
        <v>170</v>
      </c>
      <c r="Y83" s="6">
        <v>133.5</v>
      </c>
      <c r="Z83" s="7">
        <v>177</v>
      </c>
      <c r="AA83" s="76">
        <v>120.5</v>
      </c>
      <c r="AB83" s="7">
        <v>113.3</v>
      </c>
      <c r="AC83" s="6">
        <v>187.8</v>
      </c>
      <c r="AD83" s="6">
        <v>147.19999999999999</v>
      </c>
      <c r="AE83" s="6">
        <v>92.1</v>
      </c>
      <c r="AF83" s="6">
        <v>108</v>
      </c>
      <c r="AG83" s="6">
        <v>98</v>
      </c>
      <c r="AH83" s="6">
        <v>102</v>
      </c>
      <c r="AI83" s="7">
        <v>158.5</v>
      </c>
      <c r="AJ83" s="6">
        <v>144.1</v>
      </c>
      <c r="AK83" s="7">
        <v>71</v>
      </c>
      <c r="AL83" s="7">
        <v>143</v>
      </c>
    </row>
    <row r="84" spans="2:38" s="9" customFormat="1">
      <c r="B84" s="76">
        <v>1986</v>
      </c>
      <c r="C84" s="178" t="s">
        <v>141</v>
      </c>
      <c r="D84" s="6">
        <v>240</v>
      </c>
      <c r="E84" s="7">
        <v>371</v>
      </c>
      <c r="F84" s="6">
        <v>312.39999999999998</v>
      </c>
      <c r="G84" s="7">
        <v>241</v>
      </c>
      <c r="H84" s="6">
        <v>314</v>
      </c>
      <c r="I84" s="6">
        <v>223</v>
      </c>
      <c r="J84" s="7">
        <v>332.5</v>
      </c>
      <c r="K84" s="7">
        <v>182</v>
      </c>
      <c r="L84" s="6">
        <v>294.5</v>
      </c>
      <c r="M84" s="6">
        <v>345</v>
      </c>
      <c r="N84" s="7">
        <v>274.5</v>
      </c>
      <c r="O84" s="6">
        <v>188</v>
      </c>
      <c r="P84" s="7">
        <v>225</v>
      </c>
      <c r="Q84" s="6">
        <v>274</v>
      </c>
      <c r="R84" s="6">
        <v>235.2</v>
      </c>
      <c r="S84" s="6">
        <v>329.2</v>
      </c>
      <c r="T84" s="6">
        <v>267.3</v>
      </c>
      <c r="U84" s="7">
        <v>275</v>
      </c>
      <c r="V84" s="7">
        <v>313.5</v>
      </c>
      <c r="W84" s="6">
        <v>340.6</v>
      </c>
      <c r="X84" s="6">
        <v>274</v>
      </c>
      <c r="Y84" s="6">
        <v>190.3</v>
      </c>
      <c r="Z84" s="7">
        <v>321</v>
      </c>
      <c r="AA84" s="76">
        <v>419.5</v>
      </c>
      <c r="AB84" s="7">
        <v>319.3</v>
      </c>
      <c r="AC84" s="6">
        <v>312.10000000000002</v>
      </c>
      <c r="AD84" s="6">
        <v>209.1</v>
      </c>
      <c r="AE84" s="6">
        <v>380.9</v>
      </c>
      <c r="AF84" s="6">
        <v>354</v>
      </c>
      <c r="AG84" s="6">
        <v>393</v>
      </c>
      <c r="AH84" s="6">
        <v>449</v>
      </c>
      <c r="AI84" s="7">
        <v>338.5</v>
      </c>
      <c r="AJ84" s="6">
        <v>350.7</v>
      </c>
      <c r="AK84" s="7">
        <v>341.5</v>
      </c>
      <c r="AL84" s="7">
        <v>300.5</v>
      </c>
    </row>
    <row r="85" spans="2:38" s="9" customFormat="1">
      <c r="B85" s="76">
        <v>1986</v>
      </c>
      <c r="C85" s="178" t="s">
        <v>143</v>
      </c>
      <c r="D85" s="6">
        <v>55</v>
      </c>
      <c r="E85" s="7">
        <v>89</v>
      </c>
      <c r="F85" s="6">
        <v>34.799999999999997</v>
      </c>
      <c r="G85" s="7">
        <v>0</v>
      </c>
      <c r="H85" s="6">
        <v>40</v>
      </c>
      <c r="I85" s="6">
        <v>22</v>
      </c>
      <c r="J85" s="7">
        <v>28</v>
      </c>
      <c r="K85" s="7">
        <v>30</v>
      </c>
      <c r="L85" s="6">
        <v>11.5</v>
      </c>
      <c r="M85" s="6">
        <v>21</v>
      </c>
      <c r="N85" s="7">
        <v>7</v>
      </c>
      <c r="O85" s="6">
        <v>42</v>
      </c>
      <c r="P85" s="7">
        <v>80</v>
      </c>
      <c r="Q85" s="6">
        <v>38</v>
      </c>
      <c r="R85" s="6">
        <v>40.299999999999997</v>
      </c>
      <c r="S85" s="6">
        <v>16.100000000000001</v>
      </c>
      <c r="T85" s="6">
        <v>41.1</v>
      </c>
      <c r="U85" s="7">
        <v>65</v>
      </c>
      <c r="V85" s="7">
        <v>32</v>
      </c>
      <c r="W85" s="6">
        <v>23.2</v>
      </c>
      <c r="X85" s="6">
        <v>10</v>
      </c>
      <c r="Y85" s="6">
        <v>40.200000000000003</v>
      </c>
      <c r="Z85" s="7">
        <v>18</v>
      </c>
      <c r="AA85" s="76">
        <v>9</v>
      </c>
      <c r="AB85" s="7">
        <v>10</v>
      </c>
      <c r="AC85" s="6">
        <v>20.2</v>
      </c>
      <c r="AD85" s="6">
        <v>80.5</v>
      </c>
      <c r="AE85" s="6">
        <v>25.4</v>
      </c>
      <c r="AF85" s="6">
        <v>25</v>
      </c>
      <c r="AG85" s="6">
        <v>41</v>
      </c>
      <c r="AH85" s="6">
        <v>34</v>
      </c>
      <c r="AI85" s="7">
        <v>29</v>
      </c>
      <c r="AJ85" s="6">
        <v>38.799999999999997</v>
      </c>
      <c r="AK85" s="7">
        <v>20</v>
      </c>
      <c r="AL85" s="7">
        <v>20</v>
      </c>
    </row>
    <row r="86" spans="2:38" s="9" customFormat="1">
      <c r="B86" s="76">
        <v>1987</v>
      </c>
      <c r="C86" s="178" t="s">
        <v>131</v>
      </c>
      <c r="D86" s="6">
        <v>34</v>
      </c>
      <c r="E86" s="7">
        <v>65</v>
      </c>
      <c r="F86" s="6">
        <v>149.19999999999999</v>
      </c>
      <c r="G86" s="7">
        <v>82</v>
      </c>
      <c r="H86" s="6">
        <v>92</v>
      </c>
      <c r="I86" s="6">
        <v>82</v>
      </c>
      <c r="J86" s="7">
        <v>68</v>
      </c>
      <c r="K86" s="7">
        <v>41</v>
      </c>
      <c r="L86" s="6">
        <v>59.5</v>
      </c>
      <c r="M86" s="6">
        <v>70</v>
      </c>
      <c r="N86" s="7">
        <v>113.25</v>
      </c>
      <c r="O86" s="6">
        <v>56</v>
      </c>
      <c r="P86" s="7">
        <v>41</v>
      </c>
      <c r="Q86" s="6">
        <v>24</v>
      </c>
      <c r="R86" s="6">
        <v>36.1</v>
      </c>
      <c r="S86" s="6">
        <v>76.5</v>
      </c>
      <c r="T86" s="6">
        <v>88.9</v>
      </c>
      <c r="U86" s="7">
        <v>36.299999999999997</v>
      </c>
      <c r="V86" s="7">
        <v>127.5</v>
      </c>
      <c r="W86" s="6">
        <v>72.900000000000006</v>
      </c>
      <c r="X86" s="6">
        <v>11</v>
      </c>
      <c r="Y86" s="6">
        <v>39.200000000000003</v>
      </c>
      <c r="Z86" s="7">
        <v>9</v>
      </c>
      <c r="AA86" s="76">
        <v>158.5</v>
      </c>
      <c r="AB86" s="7">
        <v>180.9</v>
      </c>
      <c r="AC86" s="6">
        <v>125</v>
      </c>
      <c r="AD86" s="6">
        <v>69.2</v>
      </c>
      <c r="AE86" s="6">
        <v>104.1</v>
      </c>
      <c r="AF86" s="6">
        <v>87</v>
      </c>
      <c r="AG86" s="6">
        <v>197</v>
      </c>
      <c r="AH86" s="6">
        <v>89</v>
      </c>
      <c r="AI86" s="7">
        <v>222.5</v>
      </c>
      <c r="AJ86" s="6">
        <v>57.6</v>
      </c>
      <c r="AK86" s="7">
        <v>146</v>
      </c>
      <c r="AL86" s="7">
        <v>116.5</v>
      </c>
    </row>
    <row r="87" spans="2:38" s="9" customFormat="1">
      <c r="B87" s="76">
        <v>1987</v>
      </c>
      <c r="C87" s="178" t="s">
        <v>132</v>
      </c>
      <c r="D87" s="6">
        <v>128</v>
      </c>
      <c r="E87" s="7">
        <v>160</v>
      </c>
      <c r="F87" s="6">
        <v>68.8</v>
      </c>
      <c r="G87" s="7">
        <v>96</v>
      </c>
      <c r="H87" s="6">
        <v>54</v>
      </c>
      <c r="I87" s="6">
        <v>123</v>
      </c>
      <c r="J87" s="7">
        <v>102</v>
      </c>
      <c r="K87" s="7">
        <v>211</v>
      </c>
      <c r="L87" s="6">
        <v>94</v>
      </c>
      <c r="M87" s="6">
        <v>98</v>
      </c>
      <c r="N87" s="7">
        <v>120.5</v>
      </c>
      <c r="O87" s="6">
        <v>66</v>
      </c>
      <c r="P87" s="7">
        <v>316</v>
      </c>
      <c r="Q87" s="6">
        <v>132</v>
      </c>
      <c r="R87" s="6">
        <v>213.3</v>
      </c>
      <c r="S87" s="6">
        <v>68.5</v>
      </c>
      <c r="T87" s="6">
        <v>138.1</v>
      </c>
      <c r="U87" s="7">
        <v>130</v>
      </c>
      <c r="V87" s="7">
        <v>54</v>
      </c>
      <c r="W87" s="6">
        <v>109.6</v>
      </c>
      <c r="X87" s="6">
        <v>91</v>
      </c>
      <c r="Y87" s="6">
        <v>131.69999999999999</v>
      </c>
      <c r="Z87" s="7">
        <v>133</v>
      </c>
      <c r="AA87" s="76">
        <v>85</v>
      </c>
      <c r="AB87" s="7">
        <v>30</v>
      </c>
      <c r="AC87" s="6">
        <v>95.3</v>
      </c>
      <c r="AD87" s="6">
        <v>105.4</v>
      </c>
      <c r="AE87" s="6">
        <v>45</v>
      </c>
      <c r="AF87" s="6">
        <v>46</v>
      </c>
      <c r="AG87" s="6">
        <v>49</v>
      </c>
      <c r="AH87" s="6">
        <v>48</v>
      </c>
      <c r="AI87" s="7">
        <v>68</v>
      </c>
      <c r="AJ87" s="6">
        <v>152.80000000000001</v>
      </c>
      <c r="AK87" s="7">
        <v>22</v>
      </c>
      <c r="AL87" s="7">
        <v>36</v>
      </c>
    </row>
    <row r="88" spans="2:38" s="9" customFormat="1">
      <c r="B88" s="76">
        <v>1987</v>
      </c>
      <c r="C88" s="178" t="s">
        <v>133</v>
      </c>
      <c r="D88" s="6">
        <v>165</v>
      </c>
      <c r="E88" s="7">
        <v>117</v>
      </c>
      <c r="F88" s="6">
        <v>358.6</v>
      </c>
      <c r="G88" s="7">
        <v>148</v>
      </c>
      <c r="H88" s="6">
        <v>403</v>
      </c>
      <c r="I88" s="6">
        <v>118.5</v>
      </c>
      <c r="J88" s="7">
        <v>91</v>
      </c>
      <c r="K88" s="7">
        <v>173</v>
      </c>
      <c r="L88" s="6">
        <v>67.5</v>
      </c>
      <c r="M88" s="6">
        <v>119</v>
      </c>
      <c r="N88" s="7">
        <v>142.25</v>
      </c>
      <c r="O88" s="6">
        <v>78</v>
      </c>
      <c r="P88" s="7">
        <v>269</v>
      </c>
      <c r="Q88" s="6">
        <v>69</v>
      </c>
      <c r="R88" s="6">
        <v>135.80000000000001</v>
      </c>
      <c r="S88" s="6">
        <v>121.6</v>
      </c>
      <c r="T88" s="6">
        <v>174.6</v>
      </c>
      <c r="U88" s="7">
        <v>63.4</v>
      </c>
      <c r="V88" s="7">
        <v>171</v>
      </c>
      <c r="W88" s="6">
        <v>118.7</v>
      </c>
      <c r="X88" s="6">
        <v>54</v>
      </c>
      <c r="Y88" s="6">
        <v>159.19999999999999</v>
      </c>
      <c r="Z88" s="7">
        <v>79</v>
      </c>
      <c r="AA88" s="76">
        <v>234</v>
      </c>
      <c r="AB88" s="7">
        <v>40.5</v>
      </c>
      <c r="AC88" s="6">
        <v>262.5</v>
      </c>
      <c r="AD88" s="6">
        <v>113.2</v>
      </c>
      <c r="AE88" s="6">
        <v>171</v>
      </c>
      <c r="AF88" s="6">
        <v>262</v>
      </c>
      <c r="AG88" s="6">
        <v>203</v>
      </c>
      <c r="AH88" s="6">
        <v>224</v>
      </c>
      <c r="AI88" s="7">
        <v>236.5</v>
      </c>
      <c r="AJ88" s="6">
        <v>70.7</v>
      </c>
      <c r="AK88" s="7">
        <v>281</v>
      </c>
      <c r="AL88" s="7">
        <v>153</v>
      </c>
    </row>
    <row r="89" spans="2:38" s="9" customFormat="1">
      <c r="B89" s="76">
        <v>1987</v>
      </c>
      <c r="C89" s="178" t="s">
        <v>134</v>
      </c>
      <c r="D89" s="6">
        <v>60</v>
      </c>
      <c r="E89" s="7">
        <v>194</v>
      </c>
      <c r="F89" s="6">
        <v>193.2</v>
      </c>
      <c r="G89" s="7">
        <v>57</v>
      </c>
      <c r="H89" s="6">
        <v>190</v>
      </c>
      <c r="I89" s="6">
        <v>33</v>
      </c>
      <c r="J89" s="7">
        <v>91</v>
      </c>
      <c r="K89" s="7">
        <v>94</v>
      </c>
      <c r="L89" s="6">
        <v>50</v>
      </c>
      <c r="M89" s="6">
        <v>104</v>
      </c>
      <c r="N89" s="7">
        <v>83.5</v>
      </c>
      <c r="O89" s="6">
        <v>77</v>
      </c>
      <c r="P89" s="7">
        <v>252</v>
      </c>
      <c r="Q89" s="6">
        <v>83</v>
      </c>
      <c r="R89" s="6">
        <v>99.8</v>
      </c>
      <c r="S89" s="6">
        <v>132.80000000000001</v>
      </c>
      <c r="T89" s="6">
        <v>80.5</v>
      </c>
      <c r="U89" s="7">
        <v>42</v>
      </c>
      <c r="V89" s="7">
        <v>160</v>
      </c>
      <c r="W89" s="6">
        <v>65.8</v>
      </c>
      <c r="X89" s="6">
        <v>62</v>
      </c>
      <c r="Y89" s="6">
        <v>44.6</v>
      </c>
      <c r="Z89" s="7">
        <v>80</v>
      </c>
      <c r="AA89" s="76">
        <v>93.5</v>
      </c>
      <c r="AB89" s="7">
        <v>84</v>
      </c>
      <c r="AC89" s="6">
        <v>264.10000000000002</v>
      </c>
      <c r="AD89" s="6">
        <v>51.6</v>
      </c>
      <c r="AE89" s="6">
        <v>202.3</v>
      </c>
      <c r="AF89" s="6">
        <v>166</v>
      </c>
      <c r="AG89" s="6">
        <v>225</v>
      </c>
      <c r="AH89" s="6">
        <v>160</v>
      </c>
      <c r="AI89" s="7">
        <v>173</v>
      </c>
      <c r="AJ89" s="6">
        <v>88.1</v>
      </c>
      <c r="AK89" s="7">
        <v>163</v>
      </c>
      <c r="AL89" s="7">
        <v>224</v>
      </c>
    </row>
    <row r="90" spans="2:38" s="9" customFormat="1">
      <c r="B90" s="76">
        <v>1987</v>
      </c>
      <c r="C90" s="178" t="s">
        <v>135</v>
      </c>
      <c r="D90" s="6">
        <v>44</v>
      </c>
      <c r="E90" s="7">
        <v>109</v>
      </c>
      <c r="F90" s="6">
        <v>69.8</v>
      </c>
      <c r="G90" s="7">
        <v>34</v>
      </c>
      <c r="H90" s="6">
        <v>110</v>
      </c>
      <c r="I90" s="6">
        <v>24</v>
      </c>
      <c r="J90" s="7">
        <v>47</v>
      </c>
      <c r="K90" s="7">
        <v>33</v>
      </c>
      <c r="L90" s="6">
        <v>42</v>
      </c>
      <c r="M90" s="6">
        <v>100</v>
      </c>
      <c r="N90" s="7">
        <v>8.75</v>
      </c>
      <c r="O90" s="6">
        <v>37</v>
      </c>
      <c r="P90" s="7">
        <v>67</v>
      </c>
      <c r="Q90" s="6">
        <v>39</v>
      </c>
      <c r="R90" s="6">
        <v>24.6</v>
      </c>
      <c r="S90" s="6">
        <v>91.6</v>
      </c>
      <c r="T90" s="6">
        <v>14.9</v>
      </c>
      <c r="U90" s="7">
        <v>29</v>
      </c>
      <c r="V90" s="7">
        <v>128</v>
      </c>
      <c r="W90" s="6">
        <v>28.6</v>
      </c>
      <c r="X90" s="6">
        <v>41</v>
      </c>
      <c r="Y90" s="6">
        <v>27.3</v>
      </c>
      <c r="Z90" s="7">
        <v>80</v>
      </c>
      <c r="AA90" s="76">
        <v>19</v>
      </c>
      <c r="AB90" s="7">
        <v>39.5</v>
      </c>
      <c r="AC90" s="6">
        <v>149.19999999999999</v>
      </c>
      <c r="AD90" s="6">
        <v>120.5</v>
      </c>
      <c r="AE90" s="6">
        <v>111.8</v>
      </c>
      <c r="AF90" s="6">
        <v>95</v>
      </c>
      <c r="AG90" s="6">
        <v>110</v>
      </c>
      <c r="AH90" s="6">
        <v>84</v>
      </c>
      <c r="AI90" s="7">
        <v>136.5</v>
      </c>
      <c r="AJ90" s="6">
        <v>57.3</v>
      </c>
      <c r="AK90" s="7">
        <v>86</v>
      </c>
      <c r="AL90" s="7">
        <v>156.5</v>
      </c>
    </row>
    <row r="91" spans="2:38" s="9" customFormat="1">
      <c r="B91" s="76">
        <v>1987</v>
      </c>
      <c r="C91" s="178" t="s">
        <v>136</v>
      </c>
      <c r="D91" s="6">
        <v>0</v>
      </c>
      <c r="E91" s="7">
        <v>31</v>
      </c>
      <c r="F91" s="6">
        <v>54.3</v>
      </c>
      <c r="G91" s="7">
        <v>15</v>
      </c>
      <c r="H91" s="6">
        <v>43</v>
      </c>
      <c r="I91" s="6">
        <v>20</v>
      </c>
      <c r="J91" s="7">
        <v>24</v>
      </c>
      <c r="K91" s="7">
        <v>10</v>
      </c>
      <c r="L91" s="6">
        <v>1</v>
      </c>
      <c r="M91" s="6">
        <v>23</v>
      </c>
      <c r="N91" s="7">
        <v>0</v>
      </c>
      <c r="O91" s="6">
        <v>12</v>
      </c>
      <c r="P91" s="7">
        <v>3</v>
      </c>
      <c r="Q91" s="6">
        <v>31</v>
      </c>
      <c r="R91" s="6">
        <v>0.3</v>
      </c>
      <c r="S91" s="6">
        <v>41.4</v>
      </c>
      <c r="T91" s="6">
        <v>3.6</v>
      </c>
      <c r="U91" s="7">
        <v>1</v>
      </c>
      <c r="V91" s="7">
        <v>52.5</v>
      </c>
      <c r="W91" s="6">
        <v>0.3</v>
      </c>
      <c r="X91" s="6">
        <v>22</v>
      </c>
      <c r="Y91" s="6">
        <v>1.3</v>
      </c>
      <c r="Z91" s="7">
        <v>15</v>
      </c>
      <c r="AA91" s="76">
        <v>0</v>
      </c>
      <c r="AB91" s="7">
        <v>8.5</v>
      </c>
      <c r="AC91" s="6">
        <v>63.8</v>
      </c>
      <c r="AD91" s="6">
        <v>4.3</v>
      </c>
      <c r="AE91" s="6">
        <v>6.1</v>
      </c>
      <c r="AF91" s="6">
        <v>38</v>
      </c>
      <c r="AG91" s="6">
        <v>25</v>
      </c>
      <c r="AH91" s="6">
        <v>28</v>
      </c>
      <c r="AI91" s="7">
        <v>38</v>
      </c>
      <c r="AJ91" s="6">
        <v>35.9</v>
      </c>
      <c r="AK91" s="7">
        <v>32</v>
      </c>
      <c r="AL91" s="7">
        <v>39.5</v>
      </c>
    </row>
    <row r="92" spans="2:38" s="9" customFormat="1">
      <c r="B92" s="76">
        <v>1987</v>
      </c>
      <c r="C92" s="178" t="s">
        <v>137</v>
      </c>
      <c r="D92" s="6">
        <v>169</v>
      </c>
      <c r="E92" s="7">
        <v>159</v>
      </c>
      <c r="F92" s="6">
        <v>155.30000000000001</v>
      </c>
      <c r="G92" s="7">
        <v>117</v>
      </c>
      <c r="H92" s="6">
        <v>180</v>
      </c>
      <c r="I92" s="6">
        <v>137.5</v>
      </c>
      <c r="J92" s="7">
        <v>216</v>
      </c>
      <c r="K92" s="7">
        <v>107</v>
      </c>
      <c r="L92" s="6">
        <v>180.5</v>
      </c>
      <c r="M92" s="6">
        <v>125</v>
      </c>
      <c r="N92" s="7">
        <v>212</v>
      </c>
      <c r="O92" s="6">
        <v>146</v>
      </c>
      <c r="P92" s="7">
        <v>21.5</v>
      </c>
      <c r="Q92" s="6">
        <v>187</v>
      </c>
      <c r="R92" s="6">
        <v>131.9</v>
      </c>
      <c r="S92" s="6">
        <v>149.9</v>
      </c>
      <c r="T92" s="6">
        <v>160</v>
      </c>
      <c r="U92" s="7">
        <v>118.7</v>
      </c>
      <c r="V92" s="7">
        <v>161</v>
      </c>
      <c r="W92" s="6">
        <v>100.5</v>
      </c>
      <c r="X92" s="6">
        <v>126.5</v>
      </c>
      <c r="Y92" s="6">
        <v>122.7</v>
      </c>
      <c r="Z92" s="7">
        <v>165</v>
      </c>
      <c r="AA92" s="76">
        <v>207.5</v>
      </c>
      <c r="AB92" s="7">
        <v>92.5</v>
      </c>
      <c r="AC92" s="6">
        <v>196.5</v>
      </c>
      <c r="AD92" s="6">
        <v>125.2</v>
      </c>
      <c r="AE92" s="6">
        <v>80.2</v>
      </c>
      <c r="AF92" s="6">
        <v>86</v>
      </c>
      <c r="AG92" s="6">
        <v>95</v>
      </c>
      <c r="AH92" s="6">
        <v>148</v>
      </c>
      <c r="AI92" s="7">
        <v>181</v>
      </c>
      <c r="AJ92" s="6">
        <v>124.8</v>
      </c>
      <c r="AK92" s="7">
        <v>105</v>
      </c>
      <c r="AL92" s="7">
        <v>162</v>
      </c>
    </row>
    <row r="93" spans="2:38" s="9" customFormat="1">
      <c r="B93" s="76">
        <v>1987</v>
      </c>
      <c r="C93" s="178" t="s">
        <v>138</v>
      </c>
      <c r="D93" s="6">
        <v>74</v>
      </c>
      <c r="E93" s="7">
        <v>250</v>
      </c>
      <c r="F93" s="6">
        <v>91.4</v>
      </c>
      <c r="G93" s="7">
        <v>147</v>
      </c>
      <c r="H93" s="6">
        <v>86</v>
      </c>
      <c r="I93" s="6">
        <v>85</v>
      </c>
      <c r="J93" s="7">
        <v>158</v>
      </c>
      <c r="K93" s="7">
        <v>97</v>
      </c>
      <c r="L93" s="6">
        <v>162.5</v>
      </c>
      <c r="M93" s="6">
        <v>134</v>
      </c>
      <c r="N93" s="7">
        <v>95.3</v>
      </c>
      <c r="O93" s="6">
        <v>109</v>
      </c>
      <c r="P93" s="7">
        <v>46</v>
      </c>
      <c r="Q93" s="6">
        <v>189</v>
      </c>
      <c r="R93" s="6">
        <v>37.700000000000003</v>
      </c>
      <c r="S93" s="6">
        <v>228.7</v>
      </c>
      <c r="T93" s="6">
        <v>89.7</v>
      </c>
      <c r="U93" s="7">
        <v>125</v>
      </c>
      <c r="V93" s="7">
        <v>179</v>
      </c>
      <c r="W93" s="6">
        <v>40</v>
      </c>
      <c r="X93" s="6">
        <v>36</v>
      </c>
      <c r="Y93" s="6">
        <v>39</v>
      </c>
      <c r="Z93" s="7">
        <v>101</v>
      </c>
      <c r="AA93" s="76">
        <v>104</v>
      </c>
      <c r="AB93" s="7">
        <v>125.5</v>
      </c>
      <c r="AC93" s="6">
        <v>191.6</v>
      </c>
      <c r="AD93" s="6">
        <v>82</v>
      </c>
      <c r="AE93" s="6">
        <v>113.3</v>
      </c>
      <c r="AF93" s="6">
        <v>91</v>
      </c>
      <c r="AG93" s="6">
        <v>146</v>
      </c>
      <c r="AH93" s="6">
        <v>68</v>
      </c>
      <c r="AI93" s="7">
        <v>151.5</v>
      </c>
      <c r="AJ93" s="6">
        <v>186.5</v>
      </c>
      <c r="AK93" s="7">
        <v>66</v>
      </c>
      <c r="AL93" s="7">
        <v>205</v>
      </c>
    </row>
    <row r="94" spans="2:38" s="9" customFormat="1">
      <c r="B94" s="76">
        <v>1987</v>
      </c>
      <c r="C94" s="178" t="s">
        <v>139</v>
      </c>
      <c r="D94" s="6">
        <v>79</v>
      </c>
      <c r="E94" s="7">
        <v>107</v>
      </c>
      <c r="F94" s="6">
        <v>196.4</v>
      </c>
      <c r="G94" s="7">
        <v>75</v>
      </c>
      <c r="H94" s="6">
        <v>161</v>
      </c>
      <c r="I94" s="6">
        <v>59</v>
      </c>
      <c r="J94" s="7">
        <v>96</v>
      </c>
      <c r="K94" s="7">
        <v>74</v>
      </c>
      <c r="L94" s="6">
        <v>60.5</v>
      </c>
      <c r="M94" s="6">
        <v>74</v>
      </c>
      <c r="N94" s="7">
        <v>90</v>
      </c>
      <c r="O94" s="6">
        <v>53</v>
      </c>
      <c r="P94" s="7">
        <v>116</v>
      </c>
      <c r="Q94" s="6">
        <v>90</v>
      </c>
      <c r="R94" s="6">
        <v>75.3</v>
      </c>
      <c r="S94" s="6">
        <v>113</v>
      </c>
      <c r="T94" s="6">
        <v>66.7</v>
      </c>
      <c r="U94" s="7">
        <v>43.5</v>
      </c>
      <c r="V94" s="7">
        <v>96.5</v>
      </c>
      <c r="W94" s="6">
        <v>70.099999999999994</v>
      </c>
      <c r="X94" s="6">
        <v>45</v>
      </c>
      <c r="Y94" s="6">
        <v>48.1</v>
      </c>
      <c r="Z94" s="7">
        <v>62</v>
      </c>
      <c r="AA94" s="76">
        <v>50</v>
      </c>
      <c r="AB94" s="7">
        <v>89</v>
      </c>
      <c r="AC94" s="6">
        <v>197.7</v>
      </c>
      <c r="AD94" s="6">
        <v>58</v>
      </c>
      <c r="AE94" s="6">
        <v>79.3</v>
      </c>
      <c r="AF94" s="6">
        <v>83</v>
      </c>
      <c r="AG94" s="6">
        <v>51</v>
      </c>
      <c r="AH94" s="6">
        <v>96</v>
      </c>
      <c r="AI94" s="7">
        <v>104</v>
      </c>
      <c r="AJ94" s="6">
        <v>76</v>
      </c>
      <c r="AK94" s="7">
        <v>75</v>
      </c>
      <c r="AL94" s="7">
        <v>91</v>
      </c>
    </row>
    <row r="95" spans="2:38" s="9" customFormat="1">
      <c r="B95" s="76">
        <v>1987</v>
      </c>
      <c r="C95" s="178" t="s">
        <v>140</v>
      </c>
      <c r="D95" s="6">
        <v>115</v>
      </c>
      <c r="E95" s="7">
        <v>78</v>
      </c>
      <c r="F95" s="6">
        <v>50.9</v>
      </c>
      <c r="G95" s="7">
        <v>135</v>
      </c>
      <c r="H95" s="6">
        <v>20</v>
      </c>
      <c r="I95" s="6">
        <v>137</v>
      </c>
      <c r="J95" s="7">
        <v>115</v>
      </c>
      <c r="K95" s="7">
        <v>113</v>
      </c>
      <c r="L95" s="6">
        <v>59</v>
      </c>
      <c r="M95" s="6">
        <v>81</v>
      </c>
      <c r="N95" s="7">
        <v>101.5</v>
      </c>
      <c r="O95" s="6">
        <v>122</v>
      </c>
      <c r="P95" s="7">
        <v>104</v>
      </c>
      <c r="Q95" s="6">
        <v>157</v>
      </c>
      <c r="R95" s="6">
        <v>111.7</v>
      </c>
      <c r="S95" s="6">
        <v>71</v>
      </c>
      <c r="T95" s="6">
        <v>77.099999999999994</v>
      </c>
      <c r="U95" s="7">
        <v>73</v>
      </c>
      <c r="V95" s="7">
        <v>80</v>
      </c>
      <c r="W95" s="6">
        <v>118.1</v>
      </c>
      <c r="X95" s="6">
        <v>112</v>
      </c>
      <c r="Y95" s="6">
        <v>72.7</v>
      </c>
      <c r="Z95" s="7">
        <v>160</v>
      </c>
      <c r="AA95" s="76">
        <v>79</v>
      </c>
      <c r="AB95" s="7">
        <v>62</v>
      </c>
      <c r="AC95" s="6">
        <v>53.1</v>
      </c>
      <c r="AD95" s="6">
        <v>102.5</v>
      </c>
      <c r="AE95" s="6">
        <v>39.4</v>
      </c>
      <c r="AF95" s="6">
        <v>33</v>
      </c>
      <c r="AG95" s="6">
        <v>87</v>
      </c>
      <c r="AH95" s="6">
        <v>58</v>
      </c>
      <c r="AI95" s="7">
        <v>74.5</v>
      </c>
      <c r="AJ95" s="6">
        <v>100.5</v>
      </c>
      <c r="AK95" s="7">
        <v>40</v>
      </c>
      <c r="AL95" s="7">
        <v>81.5</v>
      </c>
    </row>
    <row r="96" spans="2:38" s="9" customFormat="1">
      <c r="B96" s="76">
        <v>1987</v>
      </c>
      <c r="C96" s="178" t="s">
        <v>141</v>
      </c>
      <c r="D96" s="6">
        <v>76</v>
      </c>
      <c r="E96" s="7">
        <v>113</v>
      </c>
      <c r="F96" s="6">
        <v>97.7</v>
      </c>
      <c r="G96" s="7">
        <v>50.5</v>
      </c>
      <c r="H96" s="6">
        <v>82</v>
      </c>
      <c r="I96" s="6">
        <v>71</v>
      </c>
      <c r="J96" s="7">
        <v>31</v>
      </c>
      <c r="K96" s="7">
        <v>115</v>
      </c>
      <c r="L96" s="6">
        <v>118</v>
      </c>
      <c r="M96" s="6">
        <v>66</v>
      </c>
      <c r="N96" s="7">
        <v>103</v>
      </c>
      <c r="O96" s="6">
        <v>174</v>
      </c>
      <c r="P96" s="7">
        <v>177.5</v>
      </c>
      <c r="Q96" s="6">
        <v>36</v>
      </c>
      <c r="R96" s="6">
        <v>119</v>
      </c>
      <c r="S96" s="6">
        <v>119.6</v>
      </c>
      <c r="T96" s="6">
        <v>81.2</v>
      </c>
      <c r="U96" s="7">
        <v>58.3</v>
      </c>
      <c r="V96" s="7">
        <v>98.5</v>
      </c>
      <c r="W96" s="6">
        <v>242.7</v>
      </c>
      <c r="X96" s="6">
        <v>47</v>
      </c>
      <c r="Y96" s="6">
        <v>48.4</v>
      </c>
      <c r="Z96" s="7">
        <v>58</v>
      </c>
      <c r="AA96" s="76">
        <v>281</v>
      </c>
      <c r="AB96" s="7">
        <v>160</v>
      </c>
      <c r="AC96" s="6">
        <v>102.1</v>
      </c>
      <c r="AD96" s="6">
        <v>77.2</v>
      </c>
      <c r="AE96" s="6">
        <v>96.7</v>
      </c>
      <c r="AF96" s="6">
        <v>138</v>
      </c>
      <c r="AG96" s="6">
        <v>226</v>
      </c>
      <c r="AH96" s="6">
        <v>194</v>
      </c>
      <c r="AI96" s="7">
        <v>111</v>
      </c>
      <c r="AJ96" s="6">
        <v>60.4</v>
      </c>
      <c r="AK96" s="7">
        <v>97</v>
      </c>
      <c r="AL96" s="7">
        <v>95.8</v>
      </c>
    </row>
    <row r="97" spans="2:38" s="9" customFormat="1">
      <c r="B97" s="76">
        <v>1987</v>
      </c>
      <c r="C97" s="178" t="s">
        <v>143</v>
      </c>
      <c r="D97" s="6">
        <v>120</v>
      </c>
      <c r="E97" s="7">
        <v>218</v>
      </c>
      <c r="F97" s="6">
        <v>74.900000000000006</v>
      </c>
      <c r="G97" s="7">
        <v>160</v>
      </c>
      <c r="H97" s="6">
        <v>118</v>
      </c>
      <c r="I97" s="6">
        <v>101</v>
      </c>
      <c r="J97" s="7">
        <v>210</v>
      </c>
      <c r="K97" s="7">
        <v>105</v>
      </c>
      <c r="L97" s="6">
        <v>159</v>
      </c>
      <c r="M97" s="6">
        <v>240</v>
      </c>
      <c r="N97" s="7">
        <v>156.5</v>
      </c>
      <c r="O97" s="6">
        <v>147</v>
      </c>
      <c r="P97" s="7">
        <v>148</v>
      </c>
      <c r="Q97" s="6">
        <v>219</v>
      </c>
      <c r="R97" s="6">
        <v>93.5</v>
      </c>
      <c r="S97" s="6">
        <v>131.4</v>
      </c>
      <c r="T97" s="6">
        <v>198.6</v>
      </c>
      <c r="U97" s="7">
        <v>210</v>
      </c>
      <c r="V97" s="7">
        <v>134.1</v>
      </c>
      <c r="W97" s="6">
        <v>155.1</v>
      </c>
      <c r="X97" s="6">
        <v>119</v>
      </c>
      <c r="Y97" s="6">
        <v>66.599999999999994</v>
      </c>
      <c r="Z97" s="7">
        <v>94</v>
      </c>
      <c r="AA97" s="76">
        <v>301</v>
      </c>
      <c r="AB97" s="7">
        <v>156.5</v>
      </c>
      <c r="AC97" s="6">
        <v>125.9</v>
      </c>
      <c r="AD97" s="6">
        <v>118.1</v>
      </c>
      <c r="AE97" s="6">
        <v>92.2</v>
      </c>
      <c r="AF97" s="6">
        <v>97</v>
      </c>
      <c r="AG97" s="6">
        <v>199</v>
      </c>
      <c r="AH97" s="6">
        <v>120</v>
      </c>
      <c r="AI97" s="7">
        <v>125.5</v>
      </c>
      <c r="AJ97" s="6">
        <v>345.6</v>
      </c>
      <c r="AK97" s="7">
        <v>142</v>
      </c>
      <c r="AL97" s="7">
        <v>155</v>
      </c>
    </row>
    <row r="98" spans="2:38" s="9" customFormat="1">
      <c r="B98" s="76">
        <v>1988</v>
      </c>
      <c r="C98" s="178" t="s">
        <v>131</v>
      </c>
      <c r="D98" s="6">
        <v>258</v>
      </c>
      <c r="E98" s="7">
        <v>396</v>
      </c>
      <c r="F98" s="6">
        <v>381.9</v>
      </c>
      <c r="G98" s="7">
        <v>102</v>
      </c>
      <c r="H98" s="6">
        <v>384</v>
      </c>
      <c r="I98" s="6">
        <v>126</v>
      </c>
      <c r="J98" s="7">
        <v>250.5</v>
      </c>
      <c r="K98" s="7">
        <v>86</v>
      </c>
      <c r="L98" s="6">
        <v>190.5</v>
      </c>
      <c r="M98" s="6">
        <v>369</v>
      </c>
      <c r="N98" s="7">
        <v>103.5</v>
      </c>
      <c r="O98" s="6">
        <v>162</v>
      </c>
      <c r="P98" s="7">
        <v>31</v>
      </c>
      <c r="Q98" s="6">
        <v>137</v>
      </c>
      <c r="R98" s="6">
        <v>110.1</v>
      </c>
      <c r="S98" s="6">
        <v>311.60000000000002</v>
      </c>
      <c r="T98" s="6">
        <v>104.6</v>
      </c>
      <c r="U98" s="7">
        <v>196</v>
      </c>
      <c r="V98" s="7">
        <v>322.5</v>
      </c>
      <c r="W98" s="6">
        <v>150.30000000000001</v>
      </c>
      <c r="X98" s="6">
        <v>111</v>
      </c>
      <c r="Y98" s="6">
        <v>119.6</v>
      </c>
      <c r="Z98" s="7">
        <v>176</v>
      </c>
      <c r="AA98" s="76">
        <v>384</v>
      </c>
      <c r="AB98" s="7">
        <v>136</v>
      </c>
      <c r="AC98" s="6">
        <v>309.10000000000002</v>
      </c>
      <c r="AD98" s="6">
        <v>207.7</v>
      </c>
      <c r="AE98" s="6">
        <v>296.39999999999998</v>
      </c>
      <c r="AF98" s="6">
        <v>192</v>
      </c>
      <c r="AG98" s="6">
        <v>332</v>
      </c>
      <c r="AH98" s="6">
        <v>443</v>
      </c>
      <c r="AI98" s="7">
        <v>343.5</v>
      </c>
      <c r="AJ98" s="6">
        <v>227.4</v>
      </c>
      <c r="AK98" s="7">
        <v>398</v>
      </c>
      <c r="AL98" s="7">
        <v>314</v>
      </c>
    </row>
    <row r="99" spans="2:38" s="9" customFormat="1">
      <c r="B99" s="76">
        <v>1988</v>
      </c>
      <c r="C99" s="178" t="s">
        <v>132</v>
      </c>
      <c r="D99" s="6">
        <v>84</v>
      </c>
      <c r="E99" s="7">
        <v>118</v>
      </c>
      <c r="F99" s="6">
        <v>78.3</v>
      </c>
      <c r="G99" s="7">
        <v>64</v>
      </c>
      <c r="H99" s="6">
        <v>39</v>
      </c>
      <c r="I99" s="6">
        <v>84</v>
      </c>
      <c r="J99" s="7">
        <v>56.5</v>
      </c>
      <c r="K99" s="7">
        <v>72</v>
      </c>
      <c r="L99" s="6">
        <v>73</v>
      </c>
      <c r="M99" s="6">
        <v>37</v>
      </c>
      <c r="N99" s="7">
        <v>129.5</v>
      </c>
      <c r="O99" s="6">
        <v>165</v>
      </c>
      <c r="P99" s="7">
        <v>47</v>
      </c>
      <c r="Q99" s="6">
        <v>71</v>
      </c>
      <c r="R99" s="6">
        <v>80.7</v>
      </c>
      <c r="S99" s="6">
        <v>32.299999999999997</v>
      </c>
      <c r="T99" s="6">
        <v>115.1</v>
      </c>
      <c r="U99" s="7">
        <v>83</v>
      </c>
      <c r="V99" s="7">
        <v>36.5</v>
      </c>
      <c r="W99" s="6">
        <v>248.6</v>
      </c>
      <c r="X99" s="6">
        <v>20</v>
      </c>
      <c r="Y99" s="6">
        <v>86.3</v>
      </c>
      <c r="Z99" s="7">
        <v>44</v>
      </c>
      <c r="AA99" s="76">
        <v>64</v>
      </c>
      <c r="AB99" s="7">
        <v>15</v>
      </c>
      <c r="AC99" s="6">
        <v>88.9</v>
      </c>
      <c r="AD99" s="6">
        <v>78.5</v>
      </c>
      <c r="AE99" s="6">
        <v>47.6</v>
      </c>
      <c r="AF99" s="6">
        <v>27</v>
      </c>
      <c r="AG99" s="6">
        <v>44</v>
      </c>
      <c r="AH99" s="6">
        <v>42</v>
      </c>
      <c r="AI99" s="7">
        <v>66</v>
      </c>
      <c r="AJ99" s="6">
        <v>52</v>
      </c>
      <c r="AK99" s="7">
        <v>12.5</v>
      </c>
      <c r="AL99" s="7">
        <v>60</v>
      </c>
    </row>
    <row r="100" spans="2:38" s="9" customFormat="1">
      <c r="B100" s="76">
        <v>1988</v>
      </c>
      <c r="C100" s="178" t="s">
        <v>133</v>
      </c>
      <c r="D100" s="6">
        <v>222</v>
      </c>
      <c r="E100" s="7">
        <v>11</v>
      </c>
      <c r="F100" s="6">
        <v>51.8</v>
      </c>
      <c r="G100" s="7">
        <v>150</v>
      </c>
      <c r="H100" s="6">
        <v>81</v>
      </c>
      <c r="I100" s="6">
        <v>203</v>
      </c>
      <c r="J100" s="7">
        <v>107</v>
      </c>
      <c r="K100" s="7">
        <v>490</v>
      </c>
      <c r="L100" s="6">
        <v>221</v>
      </c>
      <c r="M100" s="6">
        <v>106</v>
      </c>
      <c r="N100" s="7">
        <v>246.5</v>
      </c>
      <c r="O100" s="6">
        <v>106</v>
      </c>
      <c r="P100" s="7">
        <v>38</v>
      </c>
      <c r="Q100" s="6">
        <v>114</v>
      </c>
      <c r="R100" s="6">
        <v>425.3</v>
      </c>
      <c r="S100" s="6">
        <v>34.6</v>
      </c>
      <c r="T100" s="6">
        <v>207.6</v>
      </c>
      <c r="U100" s="7">
        <v>162</v>
      </c>
      <c r="V100" s="7">
        <v>50.5</v>
      </c>
      <c r="W100" s="6">
        <v>241.8</v>
      </c>
      <c r="X100" s="6">
        <v>243.5</v>
      </c>
      <c r="Y100" s="6">
        <v>316.60000000000002</v>
      </c>
      <c r="Z100" s="7">
        <v>217</v>
      </c>
      <c r="AA100" s="76">
        <v>338.5</v>
      </c>
      <c r="AB100" s="7">
        <v>94</v>
      </c>
      <c r="AC100" s="6">
        <v>130.9</v>
      </c>
      <c r="AD100" s="6">
        <v>191.6</v>
      </c>
      <c r="AE100" s="6">
        <v>123.2</v>
      </c>
      <c r="AF100" s="6">
        <v>0</v>
      </c>
      <c r="AG100" s="6">
        <v>142</v>
      </c>
      <c r="AH100" s="6">
        <v>118</v>
      </c>
      <c r="AI100" s="7">
        <v>154</v>
      </c>
      <c r="AJ100" s="6">
        <v>87.1</v>
      </c>
      <c r="AK100" s="7">
        <v>105</v>
      </c>
      <c r="AL100" s="7">
        <v>80</v>
      </c>
    </row>
    <row r="101" spans="2:38" s="9" customFormat="1">
      <c r="B101" s="76">
        <v>1988</v>
      </c>
      <c r="C101" s="178" t="s">
        <v>134</v>
      </c>
      <c r="D101" s="6">
        <v>59</v>
      </c>
      <c r="E101" s="7">
        <v>109</v>
      </c>
      <c r="F101" s="6">
        <v>36.200000000000003</v>
      </c>
      <c r="G101" s="7">
        <v>61</v>
      </c>
      <c r="H101" s="6">
        <v>48</v>
      </c>
      <c r="I101" s="6">
        <v>67</v>
      </c>
      <c r="J101" s="7">
        <v>88</v>
      </c>
      <c r="K101" s="7">
        <v>32</v>
      </c>
      <c r="L101" s="6">
        <v>78</v>
      </c>
      <c r="M101" s="6">
        <v>116</v>
      </c>
      <c r="N101" s="7">
        <v>29.5</v>
      </c>
      <c r="O101" s="6">
        <v>26</v>
      </c>
      <c r="P101" s="7">
        <v>150</v>
      </c>
      <c r="Q101" s="6">
        <v>59</v>
      </c>
      <c r="R101" s="6">
        <v>11.5</v>
      </c>
      <c r="S101" s="6">
        <v>75.400000000000006</v>
      </c>
      <c r="T101" s="6">
        <v>28.8</v>
      </c>
      <c r="U101" s="7">
        <v>36</v>
      </c>
      <c r="V101" s="7">
        <v>110</v>
      </c>
      <c r="W101" s="6">
        <v>112.5</v>
      </c>
      <c r="X101" s="6">
        <v>24</v>
      </c>
      <c r="Y101" s="6">
        <v>27</v>
      </c>
      <c r="Z101" s="7">
        <v>64</v>
      </c>
      <c r="AA101" s="76">
        <v>85</v>
      </c>
      <c r="AB101" s="7">
        <v>183</v>
      </c>
      <c r="AC101" s="6">
        <v>44.7</v>
      </c>
      <c r="AD101" s="6">
        <v>59.8</v>
      </c>
      <c r="AE101" s="6">
        <v>53.2</v>
      </c>
      <c r="AF101" s="6">
        <v>50</v>
      </c>
      <c r="AG101" s="6">
        <v>76</v>
      </c>
      <c r="AH101" s="6">
        <v>34</v>
      </c>
      <c r="AI101" s="7">
        <v>38</v>
      </c>
      <c r="AJ101" s="6">
        <v>76.3</v>
      </c>
      <c r="AK101" s="7">
        <v>63</v>
      </c>
      <c r="AL101" s="7">
        <v>114</v>
      </c>
    </row>
    <row r="102" spans="2:38" s="9" customFormat="1">
      <c r="B102" s="76">
        <v>1988</v>
      </c>
      <c r="C102" s="178" t="s">
        <v>135</v>
      </c>
      <c r="D102" s="6">
        <v>2</v>
      </c>
      <c r="E102" s="7">
        <v>17</v>
      </c>
      <c r="F102" s="6">
        <v>9.6999999999999993</v>
      </c>
      <c r="G102" s="7">
        <v>24</v>
      </c>
      <c r="H102" s="6">
        <v>13</v>
      </c>
      <c r="I102" s="6">
        <v>10</v>
      </c>
      <c r="J102" s="7">
        <v>14</v>
      </c>
      <c r="K102" s="7">
        <v>0</v>
      </c>
      <c r="L102" s="6">
        <v>0</v>
      </c>
      <c r="M102" s="6">
        <v>21</v>
      </c>
      <c r="N102" s="7">
        <v>16</v>
      </c>
      <c r="O102" s="6">
        <v>18</v>
      </c>
      <c r="P102" s="7">
        <v>88</v>
      </c>
      <c r="Q102" s="6">
        <v>6</v>
      </c>
      <c r="R102" s="6">
        <v>2.1</v>
      </c>
      <c r="S102" s="6">
        <v>2.9</v>
      </c>
      <c r="T102" s="6">
        <v>4.7</v>
      </c>
      <c r="U102" s="7">
        <v>7</v>
      </c>
      <c r="V102" s="7">
        <v>29</v>
      </c>
      <c r="W102" s="6">
        <v>0.5</v>
      </c>
      <c r="X102" s="6">
        <v>5</v>
      </c>
      <c r="Y102" s="6">
        <v>20.7</v>
      </c>
      <c r="Z102" s="7">
        <v>2</v>
      </c>
      <c r="AA102" s="76">
        <v>0</v>
      </c>
      <c r="AB102" s="7">
        <v>0</v>
      </c>
      <c r="AC102" s="6">
        <v>5.4</v>
      </c>
      <c r="AD102" s="6">
        <v>45.6</v>
      </c>
      <c r="AE102" s="6">
        <v>0.8</v>
      </c>
      <c r="AF102" s="6">
        <v>5</v>
      </c>
      <c r="AG102" s="6">
        <v>2</v>
      </c>
      <c r="AH102" s="6">
        <v>5</v>
      </c>
      <c r="AI102" s="7">
        <v>10</v>
      </c>
      <c r="AJ102" s="6">
        <v>4.5</v>
      </c>
      <c r="AK102" s="7">
        <v>3</v>
      </c>
      <c r="AL102" s="7">
        <v>3</v>
      </c>
    </row>
    <row r="103" spans="2:38" s="9" customFormat="1">
      <c r="B103" s="76">
        <v>1988</v>
      </c>
      <c r="C103" s="178" t="s">
        <v>136</v>
      </c>
      <c r="D103" s="6">
        <v>32</v>
      </c>
      <c r="E103" s="7">
        <v>62</v>
      </c>
      <c r="F103" s="6">
        <v>68.2</v>
      </c>
      <c r="G103" s="7">
        <v>26</v>
      </c>
      <c r="H103" s="6">
        <v>57</v>
      </c>
      <c r="I103" s="6">
        <v>36</v>
      </c>
      <c r="J103" s="7">
        <v>29</v>
      </c>
      <c r="K103" s="7">
        <v>19</v>
      </c>
      <c r="L103" s="371" t="s">
        <v>142</v>
      </c>
      <c r="M103" s="6">
        <v>35</v>
      </c>
      <c r="N103" s="7">
        <v>28.5</v>
      </c>
      <c r="O103" s="6">
        <v>23</v>
      </c>
      <c r="P103" s="7">
        <v>137</v>
      </c>
      <c r="Q103" s="6">
        <v>56</v>
      </c>
      <c r="R103" s="6">
        <v>6.9</v>
      </c>
      <c r="S103" s="6">
        <v>49.7</v>
      </c>
      <c r="T103" s="6">
        <v>20.100000000000001</v>
      </c>
      <c r="U103" s="7">
        <v>24</v>
      </c>
      <c r="V103" s="7">
        <v>18.5</v>
      </c>
      <c r="W103" s="6">
        <v>22</v>
      </c>
      <c r="X103" s="6">
        <v>25</v>
      </c>
      <c r="Y103" s="6">
        <v>6.1</v>
      </c>
      <c r="Z103" s="7">
        <v>38</v>
      </c>
      <c r="AA103" s="76">
        <v>10</v>
      </c>
      <c r="AB103" s="7">
        <v>20.5</v>
      </c>
      <c r="AC103" s="6">
        <v>86.1</v>
      </c>
      <c r="AD103" s="6">
        <v>26.6</v>
      </c>
      <c r="AE103" s="6">
        <v>27.6</v>
      </c>
      <c r="AF103" s="6">
        <v>57</v>
      </c>
      <c r="AG103" s="6">
        <v>28</v>
      </c>
      <c r="AH103" s="6">
        <v>54</v>
      </c>
      <c r="AI103" s="7">
        <v>52</v>
      </c>
      <c r="AJ103" s="6">
        <v>67.8</v>
      </c>
      <c r="AK103" s="7">
        <v>26</v>
      </c>
      <c r="AL103" s="7">
        <v>66</v>
      </c>
    </row>
    <row r="104" spans="2:38" s="9" customFormat="1">
      <c r="B104" s="76">
        <v>1988</v>
      </c>
      <c r="C104" s="178" t="s">
        <v>137</v>
      </c>
      <c r="D104" s="6">
        <v>111</v>
      </c>
      <c r="E104" s="7">
        <v>203</v>
      </c>
      <c r="F104" s="6">
        <v>33.9</v>
      </c>
      <c r="G104" s="7">
        <v>137</v>
      </c>
      <c r="H104" s="6">
        <v>39</v>
      </c>
      <c r="I104" s="6">
        <v>94</v>
      </c>
      <c r="J104" s="7">
        <v>139</v>
      </c>
      <c r="K104" s="7">
        <v>40</v>
      </c>
      <c r="L104" s="6">
        <v>151.5</v>
      </c>
      <c r="M104" s="6">
        <v>119</v>
      </c>
      <c r="N104" s="7">
        <v>74.5</v>
      </c>
      <c r="O104" s="6">
        <v>166</v>
      </c>
      <c r="P104" s="7">
        <v>256</v>
      </c>
      <c r="Q104" s="6">
        <v>132</v>
      </c>
      <c r="R104" s="6">
        <v>26.6</v>
      </c>
      <c r="S104" s="6">
        <v>136.19999999999999</v>
      </c>
      <c r="T104" s="6">
        <v>69</v>
      </c>
      <c r="U104" s="7">
        <v>81</v>
      </c>
      <c r="V104" s="7">
        <v>98</v>
      </c>
      <c r="W104" s="6">
        <v>101.7</v>
      </c>
      <c r="X104" s="6">
        <v>66</v>
      </c>
      <c r="Y104" s="6">
        <v>58</v>
      </c>
      <c r="Z104" s="7">
        <v>83</v>
      </c>
      <c r="AA104" s="76">
        <v>48</v>
      </c>
      <c r="AB104" s="7">
        <v>138.5</v>
      </c>
      <c r="AC104" s="6">
        <v>29.7</v>
      </c>
      <c r="AD104" s="6">
        <v>141.9</v>
      </c>
      <c r="AE104" s="6">
        <v>43.4</v>
      </c>
      <c r="AF104" s="6">
        <v>78</v>
      </c>
      <c r="AG104" s="6">
        <v>111</v>
      </c>
      <c r="AH104" s="6">
        <v>48</v>
      </c>
      <c r="AI104" s="7">
        <v>73</v>
      </c>
      <c r="AJ104" s="6">
        <v>176.4</v>
      </c>
      <c r="AK104" s="7">
        <v>23</v>
      </c>
      <c r="AL104" s="7">
        <v>115</v>
      </c>
    </row>
    <row r="105" spans="2:38" s="9" customFormat="1">
      <c r="B105" s="76">
        <v>1988</v>
      </c>
      <c r="C105" s="178" t="s">
        <v>138</v>
      </c>
      <c r="D105" s="6">
        <v>49</v>
      </c>
      <c r="E105" s="7">
        <v>143</v>
      </c>
      <c r="F105" s="6">
        <v>65</v>
      </c>
      <c r="G105" s="7">
        <v>39</v>
      </c>
      <c r="H105" s="6">
        <v>59</v>
      </c>
      <c r="I105" s="6">
        <v>50</v>
      </c>
      <c r="J105" s="7">
        <v>72</v>
      </c>
      <c r="K105" s="7">
        <v>40</v>
      </c>
      <c r="L105" s="6">
        <v>64</v>
      </c>
      <c r="M105" s="6">
        <v>83</v>
      </c>
      <c r="N105" s="7">
        <v>27</v>
      </c>
      <c r="O105" s="6">
        <v>18</v>
      </c>
      <c r="P105" s="7">
        <v>28</v>
      </c>
      <c r="Q105" s="6">
        <v>52</v>
      </c>
      <c r="R105" s="6">
        <v>41.2</v>
      </c>
      <c r="S105" s="6">
        <v>126.1</v>
      </c>
      <c r="T105" s="6">
        <v>19.8</v>
      </c>
      <c r="U105" s="7">
        <v>67</v>
      </c>
      <c r="V105" s="7">
        <v>80</v>
      </c>
      <c r="W105" s="6">
        <v>74.900000000000006</v>
      </c>
      <c r="X105" s="6">
        <v>25</v>
      </c>
      <c r="Y105" s="6">
        <v>91.9</v>
      </c>
      <c r="Z105" s="7">
        <v>12</v>
      </c>
      <c r="AA105" s="76">
        <v>132</v>
      </c>
      <c r="AB105" s="7">
        <v>91</v>
      </c>
      <c r="AC105" s="6">
        <v>59.6</v>
      </c>
      <c r="AD105" s="6">
        <v>21</v>
      </c>
      <c r="AE105" s="6">
        <v>90.4</v>
      </c>
      <c r="AF105" s="6">
        <v>101</v>
      </c>
      <c r="AG105" s="6">
        <v>133</v>
      </c>
      <c r="AH105" s="6">
        <v>86</v>
      </c>
      <c r="AI105" s="7">
        <v>71</v>
      </c>
      <c r="AJ105" s="6">
        <v>56.8</v>
      </c>
      <c r="AK105" s="7">
        <v>131</v>
      </c>
      <c r="AL105" s="7">
        <v>104.5</v>
      </c>
    </row>
    <row r="106" spans="2:38" s="9" customFormat="1">
      <c r="B106" s="76">
        <v>1988</v>
      </c>
      <c r="C106" s="178" t="s">
        <v>139</v>
      </c>
      <c r="D106" s="6">
        <v>69</v>
      </c>
      <c r="E106" s="7">
        <v>129</v>
      </c>
      <c r="F106" s="6">
        <v>162.4</v>
      </c>
      <c r="G106" s="7">
        <v>60</v>
      </c>
      <c r="H106" s="6">
        <v>252</v>
      </c>
      <c r="I106" s="6">
        <v>60</v>
      </c>
      <c r="J106" s="7">
        <v>97</v>
      </c>
      <c r="K106" s="7">
        <v>42</v>
      </c>
      <c r="L106" s="6">
        <v>100.4</v>
      </c>
      <c r="M106" s="6">
        <v>99</v>
      </c>
      <c r="N106" s="7">
        <v>51</v>
      </c>
      <c r="O106" s="6">
        <v>72</v>
      </c>
      <c r="P106" s="7">
        <v>63</v>
      </c>
      <c r="Q106" s="6">
        <v>43</v>
      </c>
      <c r="R106" s="6">
        <v>26.5</v>
      </c>
      <c r="S106" s="6">
        <v>88.4</v>
      </c>
      <c r="T106" s="6">
        <v>68.099999999999994</v>
      </c>
      <c r="U106" s="7">
        <v>76</v>
      </c>
      <c r="V106" s="7">
        <v>128</v>
      </c>
      <c r="W106" s="6">
        <v>109.2</v>
      </c>
      <c r="X106" s="6">
        <v>35</v>
      </c>
      <c r="Y106" s="6">
        <v>33.799999999999997</v>
      </c>
      <c r="Z106" s="7">
        <v>45</v>
      </c>
      <c r="AA106" s="76">
        <v>212</v>
      </c>
      <c r="AB106" s="7">
        <v>126</v>
      </c>
      <c r="AC106" s="6">
        <v>230.9</v>
      </c>
      <c r="AD106" s="6">
        <v>79</v>
      </c>
      <c r="AE106" s="6">
        <v>170.1</v>
      </c>
      <c r="AF106" s="6">
        <v>168</v>
      </c>
      <c r="AG106" s="6">
        <v>150</v>
      </c>
      <c r="AH106" s="6">
        <v>125</v>
      </c>
      <c r="AI106" s="7">
        <v>173</v>
      </c>
      <c r="AJ106" s="6">
        <v>93.9</v>
      </c>
      <c r="AK106" s="7">
        <v>213.5</v>
      </c>
      <c r="AL106" s="7">
        <v>137</v>
      </c>
    </row>
    <row r="107" spans="2:38" s="9" customFormat="1">
      <c r="B107" s="76">
        <v>1988</v>
      </c>
      <c r="C107" s="178" t="s">
        <v>140</v>
      </c>
      <c r="D107" s="6">
        <v>54</v>
      </c>
      <c r="E107" s="7">
        <v>35</v>
      </c>
      <c r="F107" s="6">
        <v>60.9</v>
      </c>
      <c r="G107" s="7">
        <v>56</v>
      </c>
      <c r="H107" s="6">
        <v>79</v>
      </c>
      <c r="I107" s="6">
        <v>64</v>
      </c>
      <c r="J107" s="7">
        <v>91.5</v>
      </c>
      <c r="K107" s="7">
        <v>157</v>
      </c>
      <c r="L107" s="6">
        <v>58</v>
      </c>
      <c r="M107" s="6">
        <v>31</v>
      </c>
      <c r="N107" s="7">
        <v>110.4</v>
      </c>
      <c r="O107" s="6">
        <v>46</v>
      </c>
      <c r="P107" s="7">
        <v>186</v>
      </c>
      <c r="Q107" s="6">
        <v>50</v>
      </c>
      <c r="R107" s="6">
        <v>162.30000000000001</v>
      </c>
      <c r="S107" s="6">
        <v>45.3</v>
      </c>
      <c r="T107" s="6">
        <v>78.099999999999994</v>
      </c>
      <c r="U107" s="7">
        <v>45</v>
      </c>
      <c r="V107" s="7">
        <v>62</v>
      </c>
      <c r="W107" s="6">
        <v>52.7</v>
      </c>
      <c r="X107" s="6">
        <v>72</v>
      </c>
      <c r="Y107" s="6">
        <v>116.4</v>
      </c>
      <c r="Z107" s="7">
        <v>40</v>
      </c>
      <c r="AA107" s="76">
        <v>62</v>
      </c>
      <c r="AB107" s="7">
        <v>32</v>
      </c>
      <c r="AC107" s="6">
        <v>53</v>
      </c>
      <c r="AD107" s="6">
        <v>63.5</v>
      </c>
      <c r="AE107" s="6">
        <v>94.4</v>
      </c>
      <c r="AF107" s="6">
        <v>88</v>
      </c>
      <c r="AG107" s="6">
        <v>54</v>
      </c>
      <c r="AH107" s="6">
        <v>76</v>
      </c>
      <c r="AI107" s="7">
        <v>134</v>
      </c>
      <c r="AJ107" s="6">
        <v>24.3</v>
      </c>
      <c r="AK107" s="7">
        <v>60</v>
      </c>
      <c r="AL107" s="7">
        <v>60</v>
      </c>
    </row>
    <row r="108" spans="2:38" s="9" customFormat="1">
      <c r="B108" s="76">
        <v>1988</v>
      </c>
      <c r="C108" s="178" t="s">
        <v>141</v>
      </c>
      <c r="D108" s="6">
        <v>134</v>
      </c>
      <c r="E108" s="7">
        <v>104</v>
      </c>
      <c r="F108" s="6">
        <v>100.9</v>
      </c>
      <c r="G108" s="7">
        <v>96</v>
      </c>
      <c r="H108" s="6">
        <v>141</v>
      </c>
      <c r="I108" s="6">
        <v>49</v>
      </c>
      <c r="J108" s="7">
        <v>43</v>
      </c>
      <c r="K108" s="7">
        <v>155</v>
      </c>
      <c r="L108" s="6">
        <v>68</v>
      </c>
      <c r="M108" s="6">
        <v>57</v>
      </c>
      <c r="N108" s="7">
        <v>52</v>
      </c>
      <c r="O108" s="6">
        <v>78</v>
      </c>
      <c r="P108" s="7">
        <v>179</v>
      </c>
      <c r="Q108" s="6">
        <v>94</v>
      </c>
      <c r="R108" s="6">
        <v>68</v>
      </c>
      <c r="S108" s="6">
        <v>97.9</v>
      </c>
      <c r="T108" s="6">
        <v>62.7</v>
      </c>
      <c r="U108" s="7">
        <v>61</v>
      </c>
      <c r="V108" s="7">
        <v>65</v>
      </c>
      <c r="W108" s="6">
        <v>48.4</v>
      </c>
      <c r="X108" s="6">
        <v>100</v>
      </c>
      <c r="Y108" s="6">
        <v>77.099999999999994</v>
      </c>
      <c r="Z108" s="7">
        <v>61</v>
      </c>
      <c r="AA108" s="76">
        <v>35</v>
      </c>
      <c r="AB108" s="7">
        <v>59.5</v>
      </c>
      <c r="AC108" s="6">
        <v>114</v>
      </c>
      <c r="AD108" s="6">
        <v>198</v>
      </c>
      <c r="AE108" s="6">
        <v>67.2</v>
      </c>
      <c r="AF108" s="6">
        <v>90</v>
      </c>
      <c r="AG108" s="6">
        <v>72</v>
      </c>
      <c r="AH108" s="6">
        <v>82</v>
      </c>
      <c r="AI108" s="7">
        <v>59</v>
      </c>
      <c r="AJ108" s="6">
        <v>66.099999999999994</v>
      </c>
      <c r="AK108" s="7">
        <v>81.5</v>
      </c>
      <c r="AL108" s="7">
        <v>96</v>
      </c>
    </row>
    <row r="109" spans="2:38" s="9" customFormat="1">
      <c r="B109" s="76">
        <v>1988</v>
      </c>
      <c r="C109" s="178" t="s">
        <v>143</v>
      </c>
      <c r="D109" s="6">
        <v>50</v>
      </c>
      <c r="E109" s="7">
        <v>52</v>
      </c>
      <c r="F109" s="6">
        <v>79.400000000000006</v>
      </c>
      <c r="G109" s="7">
        <v>51</v>
      </c>
      <c r="H109" s="6">
        <v>38</v>
      </c>
      <c r="I109" s="6">
        <v>46</v>
      </c>
      <c r="J109" s="7">
        <v>71</v>
      </c>
      <c r="K109" s="7">
        <v>47.5</v>
      </c>
      <c r="L109" s="6">
        <v>0</v>
      </c>
      <c r="M109" s="6">
        <v>38</v>
      </c>
      <c r="N109" s="7">
        <v>61</v>
      </c>
      <c r="O109" s="6">
        <v>5</v>
      </c>
      <c r="P109" s="7">
        <v>132</v>
      </c>
      <c r="Q109" s="6">
        <v>109</v>
      </c>
      <c r="R109" s="6">
        <v>25</v>
      </c>
      <c r="S109" s="6">
        <v>42.5</v>
      </c>
      <c r="T109" s="6">
        <v>102.4</v>
      </c>
      <c r="U109" s="7">
        <v>62</v>
      </c>
      <c r="V109" s="7">
        <v>51.5</v>
      </c>
      <c r="W109" s="6">
        <v>125.6</v>
      </c>
      <c r="X109" s="6">
        <v>62</v>
      </c>
      <c r="Y109" s="6">
        <v>95.5</v>
      </c>
      <c r="Z109" s="7">
        <v>60</v>
      </c>
      <c r="AA109" s="76">
        <v>79</v>
      </c>
      <c r="AB109" s="7">
        <v>113</v>
      </c>
      <c r="AC109" s="6">
        <v>54.3</v>
      </c>
      <c r="AD109" s="6">
        <v>44.4</v>
      </c>
      <c r="AE109" s="6">
        <v>59.7</v>
      </c>
      <c r="AF109" s="6">
        <v>39</v>
      </c>
      <c r="AG109" s="6">
        <v>56</v>
      </c>
      <c r="AH109" s="6">
        <v>88</v>
      </c>
      <c r="AI109" s="7">
        <v>50</v>
      </c>
      <c r="AJ109" s="6">
        <v>33.299999999999997</v>
      </c>
      <c r="AK109" s="7">
        <v>51</v>
      </c>
      <c r="AL109" s="7">
        <v>10</v>
      </c>
    </row>
    <row r="110" spans="2:38" s="9" customFormat="1">
      <c r="B110" s="76">
        <v>1989</v>
      </c>
      <c r="C110" s="178" t="s">
        <v>131</v>
      </c>
      <c r="D110" s="6">
        <v>18</v>
      </c>
      <c r="E110" s="7">
        <v>161</v>
      </c>
      <c r="F110" s="6">
        <v>53.7</v>
      </c>
      <c r="G110" s="7">
        <v>25.5</v>
      </c>
      <c r="H110" s="6">
        <v>100</v>
      </c>
      <c r="I110" s="6">
        <v>29</v>
      </c>
      <c r="J110" s="7">
        <v>19</v>
      </c>
      <c r="K110" s="7">
        <v>38</v>
      </c>
      <c r="L110" s="6">
        <v>44</v>
      </c>
      <c r="M110" s="6">
        <v>118</v>
      </c>
      <c r="N110" s="7">
        <v>66</v>
      </c>
      <c r="O110" s="6">
        <v>47</v>
      </c>
      <c r="P110" s="7">
        <v>56</v>
      </c>
      <c r="Q110" s="6">
        <v>27</v>
      </c>
      <c r="R110" s="6">
        <v>44.4</v>
      </c>
      <c r="S110" s="6">
        <v>56.4</v>
      </c>
      <c r="T110" s="6">
        <v>7.3</v>
      </c>
      <c r="U110" s="7">
        <v>23</v>
      </c>
      <c r="V110" s="7">
        <v>100.5</v>
      </c>
      <c r="W110" s="6">
        <v>15.5</v>
      </c>
      <c r="X110" s="6">
        <v>46</v>
      </c>
      <c r="Y110" s="6">
        <v>14</v>
      </c>
      <c r="Z110" s="7">
        <v>33</v>
      </c>
      <c r="AA110" s="76">
        <v>11</v>
      </c>
      <c r="AB110" s="7">
        <v>6</v>
      </c>
      <c r="AC110" s="6">
        <v>108.4</v>
      </c>
      <c r="AD110" s="6">
        <v>55.7</v>
      </c>
      <c r="AE110" s="6">
        <v>9.6</v>
      </c>
      <c r="AF110" s="6">
        <v>38</v>
      </c>
      <c r="AG110" s="6">
        <v>38</v>
      </c>
      <c r="AH110" s="6">
        <v>69</v>
      </c>
      <c r="AI110" s="7">
        <v>75</v>
      </c>
      <c r="AJ110" s="6">
        <v>63.5</v>
      </c>
      <c r="AK110" s="7">
        <v>36</v>
      </c>
      <c r="AL110" s="7">
        <v>67</v>
      </c>
    </row>
    <row r="111" spans="2:38" s="9" customFormat="1">
      <c r="B111" s="76">
        <v>1989</v>
      </c>
      <c r="C111" s="178" t="s">
        <v>132</v>
      </c>
      <c r="D111" s="6">
        <v>42</v>
      </c>
      <c r="E111" s="7">
        <v>36</v>
      </c>
      <c r="F111" s="6">
        <v>11.7</v>
      </c>
      <c r="G111" s="7">
        <v>26</v>
      </c>
      <c r="H111" s="6">
        <v>33</v>
      </c>
      <c r="I111" s="6">
        <v>31</v>
      </c>
      <c r="J111" s="7">
        <v>100</v>
      </c>
      <c r="K111" s="7">
        <v>94.1</v>
      </c>
      <c r="L111" s="6">
        <v>27</v>
      </c>
      <c r="M111" s="6">
        <v>14</v>
      </c>
      <c r="N111" s="7">
        <v>95</v>
      </c>
      <c r="O111" s="6">
        <v>46</v>
      </c>
      <c r="P111" s="7">
        <v>138</v>
      </c>
      <c r="Q111" s="6">
        <v>36</v>
      </c>
      <c r="R111" s="6">
        <v>60</v>
      </c>
      <c r="S111" s="6">
        <v>51.5</v>
      </c>
      <c r="T111" s="6">
        <v>105.6</v>
      </c>
      <c r="U111" s="7">
        <v>24</v>
      </c>
      <c r="V111" s="7">
        <v>27</v>
      </c>
      <c r="W111" s="6">
        <v>16.8</v>
      </c>
      <c r="X111" s="6">
        <v>94</v>
      </c>
      <c r="Y111" s="6">
        <v>42.4</v>
      </c>
      <c r="Z111" s="7">
        <v>64</v>
      </c>
      <c r="AA111" s="76">
        <v>22</v>
      </c>
      <c r="AB111" s="7">
        <v>69</v>
      </c>
      <c r="AC111" s="6">
        <v>9.6999999999999993</v>
      </c>
      <c r="AD111" s="6">
        <v>103.6</v>
      </c>
      <c r="AE111" s="6">
        <v>13.7</v>
      </c>
      <c r="AF111" s="6">
        <v>0</v>
      </c>
      <c r="AG111" s="6">
        <v>14</v>
      </c>
      <c r="AH111" s="6">
        <v>41</v>
      </c>
      <c r="AI111" s="7">
        <v>20.5</v>
      </c>
      <c r="AJ111" s="6">
        <v>4.8</v>
      </c>
      <c r="AK111" s="7">
        <v>1</v>
      </c>
      <c r="AL111" s="7">
        <v>14</v>
      </c>
    </row>
    <row r="112" spans="2:38" s="9" customFormat="1">
      <c r="B112" s="76">
        <v>1989</v>
      </c>
      <c r="C112" s="178" t="s">
        <v>133</v>
      </c>
      <c r="D112" s="6">
        <v>88</v>
      </c>
      <c r="E112" s="7">
        <v>32</v>
      </c>
      <c r="F112" s="6">
        <v>136.6</v>
      </c>
      <c r="G112" s="7">
        <v>93</v>
      </c>
      <c r="H112" s="6">
        <v>175</v>
      </c>
      <c r="I112" s="6">
        <v>74</v>
      </c>
      <c r="J112" s="7">
        <v>60.5</v>
      </c>
      <c r="K112" s="7">
        <v>148</v>
      </c>
      <c r="L112" s="6">
        <v>72</v>
      </c>
      <c r="M112" s="6">
        <v>22</v>
      </c>
      <c r="N112" s="7">
        <v>99</v>
      </c>
      <c r="O112" s="6">
        <v>72</v>
      </c>
      <c r="P112" s="7">
        <v>177</v>
      </c>
      <c r="Q112" s="6">
        <v>76</v>
      </c>
      <c r="R112" s="6">
        <v>193.1</v>
      </c>
      <c r="S112" s="6">
        <v>37.200000000000003</v>
      </c>
      <c r="T112" s="6">
        <v>97.6</v>
      </c>
      <c r="U112" s="7">
        <v>75</v>
      </c>
      <c r="V112" s="7">
        <v>61</v>
      </c>
      <c r="W112" s="6">
        <v>66.2</v>
      </c>
      <c r="X112" s="6">
        <v>95</v>
      </c>
      <c r="Y112" s="6">
        <v>104.3</v>
      </c>
      <c r="Z112" s="7">
        <v>32</v>
      </c>
      <c r="AA112" s="76">
        <v>126</v>
      </c>
      <c r="AB112" s="7">
        <v>131.5</v>
      </c>
      <c r="AC112" s="6">
        <v>76.8</v>
      </c>
      <c r="AD112" s="6">
        <v>87.3</v>
      </c>
      <c r="AE112" s="6">
        <v>78.3</v>
      </c>
      <c r="AF112" s="6">
        <v>141</v>
      </c>
      <c r="AG112" s="6">
        <v>74</v>
      </c>
      <c r="AH112" s="6">
        <v>113</v>
      </c>
      <c r="AI112" s="7">
        <v>73.5</v>
      </c>
      <c r="AJ112" s="6">
        <v>43.1</v>
      </c>
      <c r="AK112" s="7">
        <v>99</v>
      </c>
      <c r="AL112" s="7">
        <v>60</v>
      </c>
    </row>
    <row r="113" spans="2:38" s="9" customFormat="1">
      <c r="B113" s="76">
        <v>1989</v>
      </c>
      <c r="C113" s="178" t="s">
        <v>134</v>
      </c>
      <c r="D113" s="6">
        <v>69</v>
      </c>
      <c r="E113" s="7">
        <v>54</v>
      </c>
      <c r="F113" s="6">
        <v>144.80000000000001</v>
      </c>
      <c r="G113" s="7">
        <v>137</v>
      </c>
      <c r="H113" s="6">
        <v>167</v>
      </c>
      <c r="I113" s="6">
        <v>69</v>
      </c>
      <c r="J113" s="7">
        <v>123</v>
      </c>
      <c r="K113" s="7">
        <v>75.5</v>
      </c>
      <c r="L113" s="6">
        <v>121</v>
      </c>
      <c r="M113" s="6">
        <v>90</v>
      </c>
      <c r="N113" s="7">
        <v>88</v>
      </c>
      <c r="O113" s="6">
        <v>50</v>
      </c>
      <c r="P113" s="7">
        <v>189</v>
      </c>
      <c r="Q113" s="6">
        <v>80</v>
      </c>
      <c r="R113" s="6">
        <v>108.9</v>
      </c>
      <c r="S113" s="6">
        <v>69.099999999999994</v>
      </c>
      <c r="T113" s="6">
        <v>89.7</v>
      </c>
      <c r="U113" s="7">
        <v>105</v>
      </c>
      <c r="V113" s="7">
        <v>85.5</v>
      </c>
      <c r="W113" s="6">
        <v>93.9</v>
      </c>
      <c r="X113" s="6">
        <v>80</v>
      </c>
      <c r="Y113" s="6">
        <v>153.19999999999999</v>
      </c>
      <c r="Z113" s="7">
        <v>110</v>
      </c>
      <c r="AA113" s="76">
        <v>172</v>
      </c>
      <c r="AB113" s="7">
        <v>124.5</v>
      </c>
      <c r="AC113" s="6">
        <v>112.2</v>
      </c>
      <c r="AD113" s="6">
        <v>146.19999999999999</v>
      </c>
      <c r="AE113" s="6">
        <v>184.2</v>
      </c>
      <c r="AF113" s="6">
        <v>119</v>
      </c>
      <c r="AG113" s="6">
        <v>101</v>
      </c>
      <c r="AH113" s="6">
        <v>130</v>
      </c>
      <c r="AI113" s="7">
        <v>206</v>
      </c>
      <c r="AJ113" s="6">
        <v>38.299999999999997</v>
      </c>
      <c r="AK113" s="7">
        <v>148.5</v>
      </c>
      <c r="AL113" s="7">
        <v>91.5</v>
      </c>
    </row>
    <row r="114" spans="2:38" s="9" customFormat="1">
      <c r="B114" s="76">
        <v>1989</v>
      </c>
      <c r="C114" s="178" t="s">
        <v>135</v>
      </c>
      <c r="D114" s="6">
        <v>48</v>
      </c>
      <c r="E114" s="7">
        <v>22</v>
      </c>
      <c r="F114" s="6">
        <v>16.600000000000001</v>
      </c>
      <c r="G114" s="7">
        <v>42</v>
      </c>
      <c r="H114" s="6">
        <v>12</v>
      </c>
      <c r="I114" s="6">
        <v>49</v>
      </c>
      <c r="J114" s="7">
        <v>43</v>
      </c>
      <c r="K114" s="7">
        <v>12.5</v>
      </c>
      <c r="L114" s="6">
        <v>38</v>
      </c>
      <c r="M114" s="6">
        <v>37</v>
      </c>
      <c r="N114" s="7">
        <v>22</v>
      </c>
      <c r="O114" s="6">
        <v>62</v>
      </c>
      <c r="P114" s="7">
        <v>119</v>
      </c>
      <c r="Q114" s="6">
        <v>30</v>
      </c>
      <c r="R114" s="6">
        <v>8.1</v>
      </c>
      <c r="S114" s="6">
        <v>25.8</v>
      </c>
      <c r="T114" s="6">
        <v>12.5</v>
      </c>
      <c r="U114" s="7">
        <v>34</v>
      </c>
      <c r="V114" s="7">
        <v>42</v>
      </c>
      <c r="W114" s="6">
        <v>26.5</v>
      </c>
      <c r="X114" s="6">
        <v>52</v>
      </c>
      <c r="Y114" s="6">
        <v>22</v>
      </c>
      <c r="Z114" s="7">
        <v>29</v>
      </c>
      <c r="AA114" s="76">
        <v>29</v>
      </c>
      <c r="AB114" s="7">
        <v>44</v>
      </c>
      <c r="AC114" s="6">
        <v>25.2</v>
      </c>
      <c r="AD114" s="6">
        <v>42.8</v>
      </c>
      <c r="AE114" s="6">
        <v>42.7</v>
      </c>
      <c r="AF114" s="6">
        <v>34</v>
      </c>
      <c r="AG114" s="6">
        <v>34</v>
      </c>
      <c r="AH114" s="6">
        <v>0</v>
      </c>
      <c r="AI114" s="7">
        <v>28</v>
      </c>
      <c r="AJ114" s="6">
        <v>17.399999999999999</v>
      </c>
      <c r="AK114" s="7">
        <v>29.5</v>
      </c>
      <c r="AL114" s="7">
        <v>27</v>
      </c>
    </row>
    <row r="115" spans="2:38" s="9" customFormat="1">
      <c r="B115" s="76">
        <v>1989</v>
      </c>
      <c r="C115" s="178" t="s">
        <v>136</v>
      </c>
      <c r="D115" s="6">
        <v>39</v>
      </c>
      <c r="E115" s="7">
        <v>4</v>
      </c>
      <c r="F115" s="6">
        <v>20.5</v>
      </c>
      <c r="G115" s="7">
        <v>26</v>
      </c>
      <c r="H115" s="6">
        <v>20</v>
      </c>
      <c r="I115" s="6">
        <v>32</v>
      </c>
      <c r="J115" s="7">
        <v>23</v>
      </c>
      <c r="K115" s="7">
        <v>26</v>
      </c>
      <c r="L115" s="6">
        <v>30</v>
      </c>
      <c r="M115" s="6">
        <v>11</v>
      </c>
      <c r="N115" s="7">
        <v>17</v>
      </c>
      <c r="O115" s="6">
        <v>10</v>
      </c>
      <c r="P115" s="7">
        <v>310</v>
      </c>
      <c r="Q115" s="6">
        <v>28</v>
      </c>
      <c r="R115" s="6">
        <v>28.2</v>
      </c>
      <c r="S115" s="6">
        <v>6.1</v>
      </c>
      <c r="T115" s="6">
        <v>24.3</v>
      </c>
      <c r="U115" s="7">
        <v>29</v>
      </c>
      <c r="V115" s="7">
        <v>18</v>
      </c>
      <c r="W115" s="6">
        <v>23.8</v>
      </c>
      <c r="X115" s="6">
        <v>7</v>
      </c>
      <c r="Y115" s="6">
        <v>24</v>
      </c>
      <c r="Z115" s="7">
        <v>14</v>
      </c>
      <c r="AA115" s="76">
        <v>0.5</v>
      </c>
      <c r="AB115" s="7">
        <v>8.5</v>
      </c>
      <c r="AC115" s="6">
        <v>31.5</v>
      </c>
      <c r="AD115" s="6">
        <v>37.6</v>
      </c>
      <c r="AE115" s="6">
        <v>12.7</v>
      </c>
      <c r="AF115" s="6">
        <v>15</v>
      </c>
      <c r="AG115" s="6">
        <v>6</v>
      </c>
      <c r="AH115" s="6">
        <v>43</v>
      </c>
      <c r="AI115" s="7">
        <v>25.5</v>
      </c>
      <c r="AJ115" s="6">
        <v>26.2</v>
      </c>
      <c r="AK115" s="7">
        <v>13</v>
      </c>
      <c r="AL115" s="7">
        <v>13</v>
      </c>
    </row>
    <row r="116" spans="2:38" s="9" customFormat="1">
      <c r="B116" s="76">
        <v>1989</v>
      </c>
      <c r="C116" s="178" t="s">
        <v>137</v>
      </c>
      <c r="D116" s="6">
        <v>65</v>
      </c>
      <c r="E116" s="7">
        <v>82</v>
      </c>
      <c r="F116" s="6">
        <v>24.9</v>
      </c>
      <c r="G116" s="7">
        <v>54</v>
      </c>
      <c r="H116" s="6">
        <v>30</v>
      </c>
      <c r="I116" s="6">
        <v>58</v>
      </c>
      <c r="J116" s="7">
        <v>45.5</v>
      </c>
      <c r="K116" s="7">
        <v>90</v>
      </c>
      <c r="L116" s="6">
        <v>24</v>
      </c>
      <c r="M116" s="6">
        <v>48</v>
      </c>
      <c r="N116" s="7">
        <v>26.5</v>
      </c>
      <c r="O116" s="6">
        <v>97</v>
      </c>
      <c r="P116" s="7">
        <v>208</v>
      </c>
      <c r="Q116" s="6">
        <v>47</v>
      </c>
      <c r="R116" s="6">
        <v>88.8</v>
      </c>
      <c r="S116" s="6">
        <v>50.8</v>
      </c>
      <c r="T116" s="6">
        <v>26.8</v>
      </c>
      <c r="U116" s="7">
        <v>52</v>
      </c>
      <c r="V116" s="7">
        <v>31</v>
      </c>
      <c r="W116" s="6">
        <v>18.899999999999999</v>
      </c>
      <c r="X116" s="6">
        <v>39</v>
      </c>
      <c r="Y116" s="6">
        <v>60.5</v>
      </c>
      <c r="Z116" s="7">
        <v>21</v>
      </c>
      <c r="AA116" s="76">
        <v>28</v>
      </c>
      <c r="AB116" s="7">
        <v>41</v>
      </c>
      <c r="AC116" s="6">
        <v>24.5</v>
      </c>
      <c r="AD116" s="6">
        <v>86.7</v>
      </c>
      <c r="AE116" s="6">
        <v>50.6</v>
      </c>
      <c r="AF116" s="6">
        <v>36</v>
      </c>
      <c r="AG116" s="6">
        <v>39</v>
      </c>
      <c r="AH116" s="6">
        <v>18</v>
      </c>
      <c r="AI116" s="7">
        <v>77</v>
      </c>
      <c r="AJ116" s="6">
        <v>55.2</v>
      </c>
      <c r="AK116" s="7">
        <v>73</v>
      </c>
      <c r="AL116" s="7">
        <v>40.5</v>
      </c>
    </row>
    <row r="117" spans="2:38" s="9" customFormat="1">
      <c r="B117" s="76">
        <v>1989</v>
      </c>
      <c r="C117" s="178" t="s">
        <v>138</v>
      </c>
      <c r="D117" s="6">
        <v>154</v>
      </c>
      <c r="E117" s="7">
        <v>123</v>
      </c>
      <c r="F117" s="6">
        <v>125.5</v>
      </c>
      <c r="G117" s="7">
        <v>116.5</v>
      </c>
      <c r="H117" s="6">
        <v>156</v>
      </c>
      <c r="I117" s="6">
        <v>130</v>
      </c>
      <c r="J117" s="7">
        <v>131.5</v>
      </c>
      <c r="K117" s="7">
        <v>181</v>
      </c>
      <c r="L117" s="6">
        <v>154</v>
      </c>
      <c r="M117" s="6">
        <v>110</v>
      </c>
      <c r="N117" s="7">
        <v>93</v>
      </c>
      <c r="O117" s="6">
        <v>94</v>
      </c>
      <c r="P117" s="7">
        <v>50</v>
      </c>
      <c r="Q117" s="6">
        <v>135</v>
      </c>
      <c r="R117" s="6">
        <v>222.9</v>
      </c>
      <c r="S117" s="6">
        <v>121.8</v>
      </c>
      <c r="T117" s="6">
        <v>95.6</v>
      </c>
      <c r="U117" s="7">
        <v>109</v>
      </c>
      <c r="V117" s="7">
        <v>94</v>
      </c>
      <c r="W117" s="6">
        <v>92.5</v>
      </c>
      <c r="X117" s="6">
        <v>94</v>
      </c>
      <c r="Y117" s="6">
        <v>160.30000000000001</v>
      </c>
      <c r="Z117" s="7">
        <v>82</v>
      </c>
      <c r="AA117" s="76">
        <v>103</v>
      </c>
      <c r="AB117" s="7">
        <v>163</v>
      </c>
      <c r="AC117" s="6">
        <v>126.4</v>
      </c>
      <c r="AD117" s="6">
        <v>168.8</v>
      </c>
      <c r="AE117" s="6">
        <v>80.8</v>
      </c>
      <c r="AF117" s="6">
        <v>113</v>
      </c>
      <c r="AG117" s="6">
        <v>115</v>
      </c>
      <c r="AH117" s="6">
        <v>129</v>
      </c>
      <c r="AI117" s="7">
        <v>93</v>
      </c>
      <c r="AJ117" s="6">
        <v>128.4</v>
      </c>
      <c r="AK117" s="7">
        <v>137</v>
      </c>
      <c r="AL117" s="7">
        <v>99</v>
      </c>
    </row>
    <row r="118" spans="2:38" s="9" customFormat="1">
      <c r="B118" s="76">
        <v>1989</v>
      </c>
      <c r="C118" s="178" t="s">
        <v>139</v>
      </c>
      <c r="D118" s="6">
        <v>54</v>
      </c>
      <c r="E118" s="7">
        <v>58</v>
      </c>
      <c r="F118" s="6">
        <v>21.4</v>
      </c>
      <c r="G118" s="7">
        <v>55.5</v>
      </c>
      <c r="H118" s="6">
        <v>43</v>
      </c>
      <c r="I118" s="6">
        <v>49</v>
      </c>
      <c r="J118" s="7">
        <v>42.5</v>
      </c>
      <c r="K118" s="7">
        <v>43</v>
      </c>
      <c r="L118" s="6">
        <v>26</v>
      </c>
      <c r="M118" s="6">
        <v>60</v>
      </c>
      <c r="N118" s="7">
        <v>52.5</v>
      </c>
      <c r="O118" s="6">
        <v>68</v>
      </c>
      <c r="P118" s="7">
        <v>62.5</v>
      </c>
      <c r="Q118" s="6">
        <v>62</v>
      </c>
      <c r="R118" s="6">
        <v>33.200000000000003</v>
      </c>
      <c r="S118" s="6">
        <v>53.8</v>
      </c>
      <c r="T118" s="6">
        <v>99.5</v>
      </c>
      <c r="U118" s="7">
        <v>32</v>
      </c>
      <c r="V118" s="7">
        <v>89.5</v>
      </c>
      <c r="W118" s="6">
        <v>32</v>
      </c>
      <c r="X118" s="6">
        <v>64.5</v>
      </c>
      <c r="Y118" s="6">
        <v>33.5</v>
      </c>
      <c r="Z118" s="7">
        <v>49</v>
      </c>
      <c r="AA118" s="76">
        <v>25</v>
      </c>
      <c r="AB118" s="7">
        <v>38</v>
      </c>
      <c r="AC118" s="6">
        <v>52.9</v>
      </c>
      <c r="AD118" s="6">
        <v>83.4</v>
      </c>
      <c r="AE118" s="6">
        <v>15</v>
      </c>
      <c r="AF118" s="6">
        <v>19</v>
      </c>
      <c r="AG118" s="6">
        <v>83</v>
      </c>
      <c r="AH118" s="6">
        <v>35</v>
      </c>
      <c r="AI118" s="7">
        <v>65</v>
      </c>
      <c r="AJ118" s="6">
        <v>46.7</v>
      </c>
      <c r="AK118" s="7">
        <v>4.5</v>
      </c>
      <c r="AL118" s="7">
        <v>68.5</v>
      </c>
    </row>
    <row r="119" spans="2:38" s="9" customFormat="1">
      <c r="B119" s="76">
        <v>1989</v>
      </c>
      <c r="C119" s="178" t="s">
        <v>140</v>
      </c>
      <c r="D119" s="6">
        <v>36</v>
      </c>
      <c r="E119" s="7">
        <v>26</v>
      </c>
      <c r="F119" s="6">
        <v>97</v>
      </c>
      <c r="G119" s="7">
        <v>17.5</v>
      </c>
      <c r="H119" s="6">
        <v>175</v>
      </c>
      <c r="I119" s="6">
        <v>18</v>
      </c>
      <c r="J119" s="7">
        <v>21</v>
      </c>
      <c r="K119" s="7">
        <v>40</v>
      </c>
      <c r="L119" s="6">
        <v>53</v>
      </c>
      <c r="M119" s="6">
        <v>26</v>
      </c>
      <c r="N119" s="7">
        <v>17.5</v>
      </c>
      <c r="O119" s="6">
        <v>32</v>
      </c>
      <c r="P119" s="7">
        <v>42</v>
      </c>
      <c r="Q119" s="6">
        <v>10</v>
      </c>
      <c r="R119" s="6">
        <v>69.099999999999994</v>
      </c>
      <c r="S119" s="6">
        <v>42</v>
      </c>
      <c r="T119" s="6">
        <v>42.7</v>
      </c>
      <c r="U119" s="7">
        <v>18</v>
      </c>
      <c r="V119" s="7">
        <v>51</v>
      </c>
      <c r="W119" s="6">
        <v>85.6</v>
      </c>
      <c r="X119" s="6">
        <v>15</v>
      </c>
      <c r="Y119" s="6">
        <v>24.6</v>
      </c>
      <c r="Z119" s="7">
        <v>9</v>
      </c>
      <c r="AA119" s="76">
        <v>143</v>
      </c>
      <c r="AB119" s="7">
        <v>82</v>
      </c>
      <c r="AC119" s="6">
        <v>108.3</v>
      </c>
      <c r="AD119" s="6">
        <v>50.2</v>
      </c>
      <c r="AE119" s="6">
        <v>143.6</v>
      </c>
      <c r="AF119" s="6">
        <v>155</v>
      </c>
      <c r="AG119" s="6">
        <v>100</v>
      </c>
      <c r="AH119" s="6">
        <v>89</v>
      </c>
      <c r="AI119" s="7">
        <v>93</v>
      </c>
      <c r="AJ119" s="6">
        <v>20.5</v>
      </c>
      <c r="AK119" s="7">
        <v>115</v>
      </c>
      <c r="AL119" s="7">
        <v>51</v>
      </c>
    </row>
    <row r="120" spans="2:38" s="9" customFormat="1">
      <c r="B120" s="76">
        <v>1989</v>
      </c>
      <c r="C120" s="178" t="s">
        <v>141</v>
      </c>
      <c r="D120" s="6">
        <v>126</v>
      </c>
      <c r="E120" s="7">
        <v>174</v>
      </c>
      <c r="F120" s="6">
        <v>109.6</v>
      </c>
      <c r="G120" s="7">
        <v>0</v>
      </c>
      <c r="H120" s="6">
        <v>121</v>
      </c>
      <c r="I120" s="6">
        <v>91</v>
      </c>
      <c r="J120" s="7">
        <v>215</v>
      </c>
      <c r="K120" s="7">
        <v>104</v>
      </c>
      <c r="L120" s="6">
        <v>200.5</v>
      </c>
      <c r="M120" s="6">
        <v>202</v>
      </c>
      <c r="N120" s="7">
        <v>119.5</v>
      </c>
      <c r="O120" s="371" t="s">
        <v>142</v>
      </c>
      <c r="P120" s="7">
        <v>53</v>
      </c>
      <c r="Q120" s="6">
        <v>157</v>
      </c>
      <c r="R120" s="6">
        <v>117.4</v>
      </c>
      <c r="S120" s="6">
        <v>170</v>
      </c>
      <c r="T120" s="6">
        <v>166</v>
      </c>
      <c r="U120" s="7">
        <v>139</v>
      </c>
      <c r="V120" s="7">
        <v>110</v>
      </c>
      <c r="W120" s="6">
        <v>224.4</v>
      </c>
      <c r="X120" s="6">
        <v>61</v>
      </c>
      <c r="Y120" s="6">
        <v>69.7</v>
      </c>
      <c r="Z120" s="7">
        <v>159</v>
      </c>
      <c r="AA120" s="76">
        <v>169</v>
      </c>
      <c r="AB120" s="7">
        <v>189</v>
      </c>
      <c r="AC120" s="6">
        <v>164.3</v>
      </c>
      <c r="AD120" s="6">
        <v>118.8</v>
      </c>
      <c r="AE120" s="6">
        <v>201.5</v>
      </c>
      <c r="AF120" s="6">
        <v>159</v>
      </c>
      <c r="AG120" s="6">
        <v>157</v>
      </c>
      <c r="AH120" s="6">
        <v>140</v>
      </c>
      <c r="AI120" s="7">
        <v>125</v>
      </c>
      <c r="AJ120" s="6">
        <v>310.39999999999998</v>
      </c>
      <c r="AK120" s="7">
        <v>164</v>
      </c>
      <c r="AL120" s="7">
        <v>107</v>
      </c>
    </row>
    <row r="121" spans="2:38" s="9" customFormat="1">
      <c r="B121" s="76">
        <v>1989</v>
      </c>
      <c r="C121" s="178" t="s">
        <v>143</v>
      </c>
      <c r="D121" s="6">
        <v>89</v>
      </c>
      <c r="E121" s="7">
        <v>42</v>
      </c>
      <c r="F121" s="6">
        <v>197.7</v>
      </c>
      <c r="G121" s="7">
        <v>79.5</v>
      </c>
      <c r="H121" s="6">
        <v>76</v>
      </c>
      <c r="I121" s="6">
        <v>117</v>
      </c>
      <c r="J121" s="7">
        <v>119</v>
      </c>
      <c r="K121" s="7">
        <v>165</v>
      </c>
      <c r="L121" s="6">
        <v>78</v>
      </c>
      <c r="M121" s="6">
        <v>93</v>
      </c>
      <c r="N121" s="7">
        <v>155</v>
      </c>
      <c r="O121" s="371" t="s">
        <v>142</v>
      </c>
      <c r="P121" s="7">
        <v>113</v>
      </c>
      <c r="Q121" s="6">
        <v>93</v>
      </c>
      <c r="R121" s="6">
        <v>146.30000000000001</v>
      </c>
      <c r="S121" s="6">
        <v>96.2</v>
      </c>
      <c r="T121" s="6">
        <v>120</v>
      </c>
      <c r="U121" s="7">
        <v>104</v>
      </c>
      <c r="V121" s="7">
        <v>135.5</v>
      </c>
      <c r="W121" s="6">
        <v>104.8</v>
      </c>
      <c r="X121" s="6">
        <v>70</v>
      </c>
      <c r="Y121" s="6">
        <v>115</v>
      </c>
      <c r="Z121" s="7">
        <v>94</v>
      </c>
      <c r="AA121" s="76">
        <v>113</v>
      </c>
      <c r="AB121" s="7">
        <v>93</v>
      </c>
      <c r="AC121" s="6">
        <v>88.6</v>
      </c>
      <c r="AD121" s="6">
        <v>99.4</v>
      </c>
      <c r="AE121" s="6">
        <v>186.1</v>
      </c>
      <c r="AF121" s="6">
        <v>0</v>
      </c>
      <c r="AG121" s="6">
        <v>99</v>
      </c>
      <c r="AH121" s="6">
        <v>152</v>
      </c>
      <c r="AI121" s="7">
        <v>125</v>
      </c>
      <c r="AJ121" s="6">
        <v>77.2</v>
      </c>
      <c r="AK121" s="7">
        <v>145</v>
      </c>
      <c r="AL121" s="7">
        <v>95.5</v>
      </c>
    </row>
    <row r="122" spans="2:38" s="9" customFormat="1">
      <c r="B122" s="76">
        <v>1990</v>
      </c>
      <c r="C122" s="178" t="s">
        <v>131</v>
      </c>
      <c r="D122" s="6">
        <v>138</v>
      </c>
      <c r="E122" s="7">
        <v>112</v>
      </c>
      <c r="F122" s="6">
        <v>163.1</v>
      </c>
      <c r="G122" s="7">
        <v>78</v>
      </c>
      <c r="H122" s="6">
        <v>173</v>
      </c>
      <c r="I122" s="6">
        <v>78</v>
      </c>
      <c r="J122" s="7">
        <v>107.5</v>
      </c>
      <c r="K122" s="7">
        <v>142</v>
      </c>
      <c r="L122" s="6">
        <v>75</v>
      </c>
      <c r="M122" s="6">
        <v>24</v>
      </c>
      <c r="N122" s="7">
        <v>140</v>
      </c>
      <c r="O122" s="6">
        <v>49</v>
      </c>
      <c r="P122" s="7">
        <v>87</v>
      </c>
      <c r="Q122" s="6">
        <v>131</v>
      </c>
      <c r="R122" s="6">
        <v>224.5</v>
      </c>
      <c r="S122" s="6">
        <v>82.9</v>
      </c>
      <c r="T122" s="6">
        <v>57</v>
      </c>
      <c r="U122" s="7">
        <v>54</v>
      </c>
      <c r="V122" s="7">
        <v>23.5</v>
      </c>
      <c r="W122" s="6">
        <v>61.1</v>
      </c>
      <c r="X122" s="6">
        <v>61</v>
      </c>
      <c r="Y122" s="6">
        <v>127.3</v>
      </c>
      <c r="Z122" s="7">
        <v>64</v>
      </c>
      <c r="AA122" s="76">
        <v>71.5</v>
      </c>
      <c r="AB122" s="7">
        <v>68.5</v>
      </c>
      <c r="AC122" s="6">
        <v>102.8</v>
      </c>
      <c r="AD122" s="6">
        <v>62</v>
      </c>
      <c r="AE122" s="6">
        <v>98.3</v>
      </c>
      <c r="AF122" s="6">
        <v>68</v>
      </c>
      <c r="AG122" s="6">
        <v>19</v>
      </c>
      <c r="AH122" s="6">
        <v>120</v>
      </c>
      <c r="AI122" s="7">
        <v>37</v>
      </c>
      <c r="AJ122" s="6">
        <v>70.400000000000006</v>
      </c>
      <c r="AK122" s="7">
        <v>52</v>
      </c>
      <c r="AL122" s="7">
        <v>70</v>
      </c>
    </row>
    <row r="123" spans="2:38" s="9" customFormat="1">
      <c r="B123" s="76">
        <v>1990</v>
      </c>
      <c r="C123" s="178" t="s">
        <v>132</v>
      </c>
      <c r="D123" s="6">
        <v>184</v>
      </c>
      <c r="E123" s="7">
        <v>411</v>
      </c>
      <c r="F123" s="6">
        <v>240.3</v>
      </c>
      <c r="G123" s="7">
        <v>170</v>
      </c>
      <c r="H123" s="6">
        <v>124</v>
      </c>
      <c r="I123" s="6">
        <v>245</v>
      </c>
      <c r="J123" s="7">
        <v>272</v>
      </c>
      <c r="K123" s="7">
        <v>160</v>
      </c>
      <c r="L123" s="6">
        <v>269</v>
      </c>
      <c r="M123" s="6">
        <v>316</v>
      </c>
      <c r="N123" s="7">
        <v>137</v>
      </c>
      <c r="O123" s="6">
        <v>278</v>
      </c>
      <c r="P123" s="7">
        <v>97</v>
      </c>
      <c r="Q123" s="6">
        <v>434</v>
      </c>
      <c r="R123" s="6">
        <v>336.7</v>
      </c>
      <c r="S123" s="6">
        <v>461.3</v>
      </c>
      <c r="T123" s="6">
        <v>251.9</v>
      </c>
      <c r="U123" s="7">
        <v>255</v>
      </c>
      <c r="V123" s="7">
        <v>253.5</v>
      </c>
      <c r="W123" s="6">
        <v>360.7</v>
      </c>
      <c r="X123" s="6">
        <v>115.5</v>
      </c>
      <c r="Y123" s="6">
        <v>142</v>
      </c>
      <c r="Z123" s="7">
        <v>264</v>
      </c>
      <c r="AA123" s="76">
        <v>282.5</v>
      </c>
      <c r="AB123" s="7">
        <v>358.5</v>
      </c>
      <c r="AC123" s="6">
        <v>336.8</v>
      </c>
      <c r="AD123" s="6">
        <v>194.2</v>
      </c>
      <c r="AE123" s="6">
        <v>301.3</v>
      </c>
      <c r="AF123" s="6">
        <v>195</v>
      </c>
      <c r="AG123" s="6">
        <v>307</v>
      </c>
      <c r="AH123" s="6">
        <v>144</v>
      </c>
      <c r="AI123" s="7">
        <v>226</v>
      </c>
      <c r="AJ123" s="6">
        <v>537.1</v>
      </c>
      <c r="AK123" s="7">
        <v>250.3</v>
      </c>
      <c r="AL123" s="7">
        <v>320.5</v>
      </c>
    </row>
    <row r="124" spans="2:38" s="9" customFormat="1">
      <c r="B124" s="76">
        <v>1990</v>
      </c>
      <c r="C124" s="178" t="s">
        <v>133</v>
      </c>
      <c r="D124" s="6">
        <v>70</v>
      </c>
      <c r="E124" s="7">
        <v>387</v>
      </c>
      <c r="F124" s="6">
        <v>210.4</v>
      </c>
      <c r="G124" s="7">
        <v>133</v>
      </c>
      <c r="H124" s="6">
        <v>264</v>
      </c>
      <c r="I124" s="6">
        <v>130.6</v>
      </c>
      <c r="J124" s="7">
        <v>244.5</v>
      </c>
      <c r="K124" s="7">
        <v>121</v>
      </c>
      <c r="L124" s="6">
        <v>213.5</v>
      </c>
      <c r="M124" s="6">
        <v>312</v>
      </c>
      <c r="N124" s="7">
        <v>143</v>
      </c>
      <c r="O124" s="6">
        <v>181</v>
      </c>
      <c r="P124" s="7">
        <v>29</v>
      </c>
      <c r="Q124" s="6">
        <v>119</v>
      </c>
      <c r="R124" s="6">
        <v>128.19999999999999</v>
      </c>
      <c r="S124" s="6">
        <v>286.39999999999998</v>
      </c>
      <c r="T124" s="6">
        <v>140.6</v>
      </c>
      <c r="U124" s="7">
        <v>187</v>
      </c>
      <c r="V124" s="7">
        <v>244</v>
      </c>
      <c r="W124" s="6">
        <v>256</v>
      </c>
      <c r="X124" s="6">
        <v>117</v>
      </c>
      <c r="Y124" s="6">
        <v>62.2</v>
      </c>
      <c r="Z124" s="7">
        <v>142</v>
      </c>
      <c r="AA124" s="76">
        <v>187</v>
      </c>
      <c r="AB124" s="7">
        <v>231</v>
      </c>
      <c r="AC124" s="6">
        <v>285.7</v>
      </c>
      <c r="AD124" s="6">
        <v>74.2</v>
      </c>
      <c r="AE124" s="6">
        <v>345.3</v>
      </c>
      <c r="AF124" s="6">
        <v>344</v>
      </c>
      <c r="AG124" s="6">
        <v>295</v>
      </c>
      <c r="AH124" s="6">
        <v>292</v>
      </c>
      <c r="AI124" s="7">
        <v>306</v>
      </c>
      <c r="AJ124" s="6">
        <v>196</v>
      </c>
      <c r="AK124" s="7">
        <v>238</v>
      </c>
      <c r="AL124" s="7">
        <v>230</v>
      </c>
    </row>
    <row r="125" spans="2:38" s="9" customFormat="1">
      <c r="B125" s="76">
        <v>1990</v>
      </c>
      <c r="C125" s="178" t="s">
        <v>134</v>
      </c>
      <c r="D125" s="6">
        <v>210</v>
      </c>
      <c r="E125" s="7">
        <v>279</v>
      </c>
      <c r="F125" s="6">
        <v>279.60000000000002</v>
      </c>
      <c r="G125" s="7">
        <v>216.5</v>
      </c>
      <c r="H125" s="6">
        <v>359</v>
      </c>
      <c r="I125" s="6">
        <v>186</v>
      </c>
      <c r="J125" s="7">
        <v>253</v>
      </c>
      <c r="K125" s="7">
        <v>186</v>
      </c>
      <c r="L125" s="6">
        <v>180</v>
      </c>
      <c r="M125" s="6">
        <v>202</v>
      </c>
      <c r="N125" s="7">
        <v>217.5</v>
      </c>
      <c r="O125" s="6">
        <v>86</v>
      </c>
      <c r="P125" s="7">
        <v>113</v>
      </c>
      <c r="Q125" s="6">
        <v>204</v>
      </c>
      <c r="R125" s="6">
        <v>234.8</v>
      </c>
      <c r="S125" s="6">
        <v>235.8</v>
      </c>
      <c r="T125" s="6">
        <v>172.1</v>
      </c>
      <c r="U125" s="7">
        <v>157</v>
      </c>
      <c r="V125" s="7">
        <v>172</v>
      </c>
      <c r="W125" s="6">
        <v>209.5</v>
      </c>
      <c r="X125" s="6">
        <v>187.5</v>
      </c>
      <c r="Y125" s="6">
        <v>172.2</v>
      </c>
      <c r="Z125" s="7">
        <v>179</v>
      </c>
      <c r="AA125" s="76">
        <v>184.5</v>
      </c>
      <c r="AB125" s="7">
        <v>267.5</v>
      </c>
      <c r="AC125" s="6">
        <v>217.3</v>
      </c>
      <c r="AD125" s="6">
        <v>180.9</v>
      </c>
      <c r="AE125" s="6">
        <v>244.3</v>
      </c>
      <c r="AF125" s="6">
        <v>470</v>
      </c>
      <c r="AG125" s="6">
        <v>236</v>
      </c>
      <c r="AH125" s="6">
        <v>337</v>
      </c>
      <c r="AI125" s="7">
        <v>192.5</v>
      </c>
      <c r="AJ125" s="6">
        <v>170.7</v>
      </c>
      <c r="AK125" s="7">
        <v>298</v>
      </c>
      <c r="AL125" s="7">
        <v>141</v>
      </c>
    </row>
    <row r="126" spans="2:38" s="9" customFormat="1">
      <c r="B126" s="76">
        <v>1990</v>
      </c>
      <c r="C126" s="178" t="s">
        <v>135</v>
      </c>
      <c r="D126" s="6">
        <v>58</v>
      </c>
      <c r="E126" s="7">
        <v>41</v>
      </c>
      <c r="F126" s="6">
        <v>72</v>
      </c>
      <c r="G126" s="7">
        <v>50.5</v>
      </c>
      <c r="H126" s="6">
        <v>56</v>
      </c>
      <c r="I126" s="6">
        <v>37</v>
      </c>
      <c r="J126" s="7">
        <v>79</v>
      </c>
      <c r="K126" s="7">
        <v>29</v>
      </c>
      <c r="L126" s="6">
        <v>75.5</v>
      </c>
      <c r="M126" s="6">
        <v>75</v>
      </c>
      <c r="N126" s="7">
        <v>47.5</v>
      </c>
      <c r="O126" s="6">
        <v>81</v>
      </c>
      <c r="P126" s="7">
        <v>271</v>
      </c>
      <c r="Q126" s="6">
        <v>111</v>
      </c>
      <c r="R126" s="6">
        <v>24.6</v>
      </c>
      <c r="S126" s="6">
        <v>51.4</v>
      </c>
      <c r="T126" s="6">
        <v>53.8</v>
      </c>
      <c r="U126" s="7">
        <v>33.5</v>
      </c>
      <c r="V126" s="7">
        <v>85</v>
      </c>
      <c r="W126" s="6">
        <v>29.3</v>
      </c>
      <c r="X126" s="6">
        <v>48.7</v>
      </c>
      <c r="Y126" s="6">
        <v>72.099999999999994</v>
      </c>
      <c r="Z126" s="7">
        <v>23</v>
      </c>
      <c r="AA126" s="76">
        <v>34</v>
      </c>
      <c r="AB126" s="7">
        <v>60.5</v>
      </c>
      <c r="AC126" s="6">
        <v>78.099999999999994</v>
      </c>
      <c r="AD126" s="6">
        <v>62.1</v>
      </c>
      <c r="AE126" s="6">
        <v>58.3</v>
      </c>
      <c r="AF126" s="6">
        <v>50</v>
      </c>
      <c r="AG126" s="6">
        <v>100</v>
      </c>
      <c r="AH126" s="6">
        <v>58</v>
      </c>
      <c r="AI126" s="7">
        <v>107</v>
      </c>
      <c r="AJ126" s="6">
        <v>77.2</v>
      </c>
      <c r="AK126" s="7">
        <v>59</v>
      </c>
      <c r="AL126" s="7">
        <v>91</v>
      </c>
    </row>
    <row r="127" spans="2:38" s="9" customFormat="1">
      <c r="B127" s="76">
        <v>1990</v>
      </c>
      <c r="C127" s="178" t="s">
        <v>136</v>
      </c>
      <c r="D127" s="6">
        <v>126</v>
      </c>
      <c r="E127" s="7">
        <v>3</v>
      </c>
      <c r="F127" s="6">
        <v>23.4</v>
      </c>
      <c r="G127" s="7">
        <v>57</v>
      </c>
      <c r="H127" s="6">
        <v>23</v>
      </c>
      <c r="I127" s="6">
        <v>49</v>
      </c>
      <c r="J127" s="7">
        <v>11</v>
      </c>
      <c r="K127" s="7">
        <v>3</v>
      </c>
      <c r="L127" s="6">
        <v>10.5</v>
      </c>
      <c r="M127" s="6">
        <v>3</v>
      </c>
      <c r="N127" s="7">
        <v>24</v>
      </c>
      <c r="O127" s="6">
        <v>16</v>
      </c>
      <c r="P127" s="7">
        <v>149</v>
      </c>
      <c r="Q127" s="6">
        <v>18</v>
      </c>
      <c r="R127" s="6">
        <v>13.5</v>
      </c>
      <c r="S127" s="6">
        <v>8.1999999999999993</v>
      </c>
      <c r="T127" s="6">
        <v>15.6</v>
      </c>
      <c r="U127" s="7">
        <v>40</v>
      </c>
      <c r="V127" s="7">
        <v>14</v>
      </c>
      <c r="W127" s="6">
        <v>80.2</v>
      </c>
      <c r="X127" s="6">
        <v>32</v>
      </c>
      <c r="Y127" s="6">
        <v>51.8</v>
      </c>
      <c r="Z127" s="7">
        <v>37</v>
      </c>
      <c r="AA127" s="76">
        <v>30</v>
      </c>
      <c r="AB127" s="7">
        <v>10</v>
      </c>
      <c r="AC127" s="6">
        <v>9.6</v>
      </c>
      <c r="AD127" s="6">
        <v>69</v>
      </c>
      <c r="AE127" s="6">
        <v>14.2</v>
      </c>
      <c r="AF127" s="6">
        <v>0</v>
      </c>
      <c r="AG127" s="6">
        <v>4</v>
      </c>
      <c r="AH127" s="6">
        <v>24</v>
      </c>
      <c r="AI127" s="7">
        <v>4</v>
      </c>
      <c r="AJ127" s="6">
        <v>3</v>
      </c>
      <c r="AK127" s="7">
        <v>18</v>
      </c>
      <c r="AL127" s="7">
        <v>3</v>
      </c>
    </row>
    <row r="128" spans="2:38" s="9" customFormat="1">
      <c r="B128" s="76">
        <v>1990</v>
      </c>
      <c r="C128" s="178" t="s">
        <v>137</v>
      </c>
      <c r="D128" s="6">
        <v>21</v>
      </c>
      <c r="E128" s="7">
        <v>33</v>
      </c>
      <c r="F128" s="6">
        <v>39.5</v>
      </c>
      <c r="G128" s="7">
        <v>25</v>
      </c>
      <c r="H128" s="6">
        <v>68</v>
      </c>
      <c r="I128" s="6">
        <v>24</v>
      </c>
      <c r="J128" s="7">
        <v>34.5</v>
      </c>
      <c r="K128" s="7">
        <v>33</v>
      </c>
      <c r="L128" s="6">
        <v>11</v>
      </c>
      <c r="M128" s="6">
        <v>26</v>
      </c>
      <c r="N128" s="7">
        <v>10.5</v>
      </c>
      <c r="O128" s="6">
        <v>25</v>
      </c>
      <c r="P128" s="7">
        <v>80</v>
      </c>
      <c r="Q128" s="6">
        <v>27</v>
      </c>
      <c r="R128" s="6">
        <v>25.4</v>
      </c>
      <c r="S128" s="6">
        <v>24.4</v>
      </c>
      <c r="T128" s="6">
        <v>20.7</v>
      </c>
      <c r="U128" s="7">
        <v>18</v>
      </c>
      <c r="V128" s="7">
        <v>25</v>
      </c>
      <c r="W128" s="6">
        <v>22.9</v>
      </c>
      <c r="X128" s="6">
        <v>21.5</v>
      </c>
      <c r="Y128" s="6">
        <v>20.9</v>
      </c>
      <c r="Z128" s="7">
        <v>27</v>
      </c>
      <c r="AA128" s="76">
        <v>9</v>
      </c>
      <c r="AB128" s="7">
        <v>26.5</v>
      </c>
      <c r="AC128" s="6">
        <v>15.5</v>
      </c>
      <c r="AD128" s="6">
        <v>21.3</v>
      </c>
      <c r="AE128" s="6">
        <v>5.6</v>
      </c>
      <c r="AF128" s="6">
        <v>31</v>
      </c>
      <c r="AG128" s="6">
        <v>17</v>
      </c>
      <c r="AH128" s="6">
        <v>34</v>
      </c>
      <c r="AI128" s="7">
        <v>29.5</v>
      </c>
      <c r="AJ128" s="6">
        <v>30.2</v>
      </c>
      <c r="AK128" s="7">
        <v>24</v>
      </c>
      <c r="AL128" s="7">
        <v>24</v>
      </c>
    </row>
    <row r="129" spans="2:38" s="9" customFormat="1">
      <c r="B129" s="76">
        <v>1990</v>
      </c>
      <c r="C129" s="178" t="s">
        <v>138</v>
      </c>
      <c r="D129" s="6">
        <v>21</v>
      </c>
      <c r="E129" s="7">
        <v>37</v>
      </c>
      <c r="F129" s="6">
        <v>20.9</v>
      </c>
      <c r="G129" s="7">
        <v>18</v>
      </c>
      <c r="H129" s="6">
        <v>36</v>
      </c>
      <c r="I129" s="6">
        <v>11</v>
      </c>
      <c r="J129" s="7">
        <v>36</v>
      </c>
      <c r="K129" s="7">
        <v>14</v>
      </c>
      <c r="L129" s="6">
        <v>21</v>
      </c>
      <c r="M129" s="6">
        <v>34</v>
      </c>
      <c r="N129" s="7">
        <v>9</v>
      </c>
      <c r="O129" s="6">
        <v>29</v>
      </c>
      <c r="P129" s="7">
        <v>107</v>
      </c>
      <c r="Q129" s="6">
        <v>15</v>
      </c>
      <c r="R129" s="6">
        <v>16.7</v>
      </c>
      <c r="S129" s="6">
        <v>26.4</v>
      </c>
      <c r="T129" s="6">
        <v>8.1</v>
      </c>
      <c r="U129" s="7">
        <v>4.5</v>
      </c>
      <c r="V129" s="7">
        <v>46</v>
      </c>
      <c r="W129" s="6">
        <v>19.2</v>
      </c>
      <c r="X129" s="6">
        <v>7.5</v>
      </c>
      <c r="Y129" s="6">
        <v>24</v>
      </c>
      <c r="Z129" s="7">
        <v>4</v>
      </c>
      <c r="AA129" s="76">
        <v>22</v>
      </c>
      <c r="AB129" s="7">
        <v>14</v>
      </c>
      <c r="AC129" s="6">
        <v>21.6</v>
      </c>
      <c r="AD129" s="6">
        <v>19.2</v>
      </c>
      <c r="AE129" s="6">
        <v>25.6</v>
      </c>
      <c r="AF129" s="6">
        <v>37</v>
      </c>
      <c r="AG129" s="6">
        <v>32</v>
      </c>
      <c r="AH129" s="6">
        <v>37</v>
      </c>
      <c r="AI129" s="7">
        <v>65.900000000000006</v>
      </c>
      <c r="AJ129" s="6">
        <v>28.6</v>
      </c>
      <c r="AK129" s="7">
        <v>44</v>
      </c>
      <c r="AL129" s="7">
        <v>76.5</v>
      </c>
    </row>
    <row r="130" spans="2:38" s="9" customFormat="1">
      <c r="B130" s="76">
        <v>1990</v>
      </c>
      <c r="C130" s="178" t="s">
        <v>139</v>
      </c>
      <c r="D130" s="6">
        <v>99</v>
      </c>
      <c r="E130" s="7">
        <v>131</v>
      </c>
      <c r="F130" s="6">
        <v>86.4</v>
      </c>
      <c r="G130" s="7">
        <v>0</v>
      </c>
      <c r="H130" s="6">
        <v>75</v>
      </c>
      <c r="I130" s="6">
        <v>91</v>
      </c>
      <c r="J130" s="7">
        <v>103.1</v>
      </c>
      <c r="K130" s="7">
        <v>91</v>
      </c>
      <c r="L130" s="6">
        <v>48</v>
      </c>
      <c r="M130" s="6">
        <v>102</v>
      </c>
      <c r="N130" s="7">
        <v>22.5</v>
      </c>
      <c r="O130" s="6">
        <v>154</v>
      </c>
      <c r="P130" s="7">
        <v>48</v>
      </c>
      <c r="Q130" s="6">
        <v>70</v>
      </c>
      <c r="R130" s="6">
        <v>79.8</v>
      </c>
      <c r="S130" s="6">
        <v>91.8</v>
      </c>
      <c r="T130" s="6">
        <v>32.200000000000003</v>
      </c>
      <c r="U130" s="7">
        <v>47</v>
      </c>
      <c r="V130" s="7">
        <v>91</v>
      </c>
      <c r="W130" s="6">
        <v>50.7</v>
      </c>
      <c r="X130" s="6">
        <v>17.5</v>
      </c>
      <c r="Y130" s="6">
        <v>68.900000000000006</v>
      </c>
      <c r="Z130" s="7">
        <v>52</v>
      </c>
      <c r="AA130" s="76">
        <v>67</v>
      </c>
      <c r="AB130" s="7">
        <v>70</v>
      </c>
      <c r="AC130" s="6">
        <v>113.7</v>
      </c>
      <c r="AD130" s="6">
        <v>112.1</v>
      </c>
      <c r="AE130" s="6">
        <v>63.3</v>
      </c>
      <c r="AF130" s="6">
        <v>67</v>
      </c>
      <c r="AG130" s="6">
        <v>87</v>
      </c>
      <c r="AH130" s="6">
        <v>85</v>
      </c>
      <c r="AI130" s="7">
        <v>97</v>
      </c>
      <c r="AJ130" s="6">
        <v>107</v>
      </c>
      <c r="AK130" s="7">
        <v>68</v>
      </c>
      <c r="AL130" s="7">
        <v>105</v>
      </c>
    </row>
    <row r="131" spans="2:38" s="9" customFormat="1">
      <c r="B131" s="76">
        <v>1990</v>
      </c>
      <c r="C131" s="178" t="s">
        <v>140</v>
      </c>
      <c r="D131" s="6">
        <v>116</v>
      </c>
      <c r="E131" s="7">
        <v>130</v>
      </c>
      <c r="F131" s="6">
        <v>135.1</v>
      </c>
      <c r="G131" s="7">
        <v>146</v>
      </c>
      <c r="H131" s="6">
        <v>106</v>
      </c>
      <c r="I131" s="6">
        <v>199</v>
      </c>
      <c r="J131" s="7">
        <v>117</v>
      </c>
      <c r="K131" s="7">
        <v>125</v>
      </c>
      <c r="L131" s="6">
        <v>235.5</v>
      </c>
      <c r="M131" s="6">
        <v>132</v>
      </c>
      <c r="N131" s="7">
        <v>229</v>
      </c>
      <c r="O131" s="6">
        <v>124</v>
      </c>
      <c r="P131" s="7">
        <v>87</v>
      </c>
      <c r="Q131" s="6">
        <v>93</v>
      </c>
      <c r="R131" s="6">
        <v>88.1</v>
      </c>
      <c r="S131" s="6">
        <v>101</v>
      </c>
      <c r="T131" s="6">
        <v>151.69999999999999</v>
      </c>
      <c r="U131" s="7">
        <v>198</v>
      </c>
      <c r="V131" s="7">
        <v>86</v>
      </c>
      <c r="W131" s="6">
        <v>304.89999999999998</v>
      </c>
      <c r="X131" s="6">
        <v>131.5</v>
      </c>
      <c r="Y131" s="6">
        <v>132.30000000000001</v>
      </c>
      <c r="Z131" s="7">
        <v>124</v>
      </c>
      <c r="AA131" s="76">
        <v>174.5</v>
      </c>
      <c r="AB131" s="7">
        <v>146</v>
      </c>
      <c r="AC131" s="6">
        <v>202.4</v>
      </c>
      <c r="AD131" s="6">
        <v>140</v>
      </c>
      <c r="AE131" s="6">
        <v>214.1</v>
      </c>
      <c r="AF131" s="6">
        <v>124</v>
      </c>
      <c r="AG131" s="6">
        <v>172</v>
      </c>
      <c r="AH131" s="6">
        <v>143</v>
      </c>
      <c r="AI131" s="7">
        <v>162.5</v>
      </c>
      <c r="AJ131" s="6">
        <v>67.7</v>
      </c>
      <c r="AK131" s="7">
        <v>191.5</v>
      </c>
      <c r="AL131" s="7">
        <v>126</v>
      </c>
    </row>
    <row r="132" spans="2:38" s="9" customFormat="1">
      <c r="B132" s="76">
        <v>1990</v>
      </c>
      <c r="C132" s="178" t="s">
        <v>141</v>
      </c>
      <c r="D132" s="6">
        <v>164</v>
      </c>
      <c r="E132" s="7">
        <v>197</v>
      </c>
      <c r="F132" s="6">
        <v>174.7</v>
      </c>
      <c r="G132" s="7">
        <v>206.2</v>
      </c>
      <c r="H132" s="6">
        <v>166</v>
      </c>
      <c r="I132" s="6">
        <v>158</v>
      </c>
      <c r="J132" s="7">
        <v>197</v>
      </c>
      <c r="K132" s="7">
        <v>109</v>
      </c>
      <c r="L132" s="6">
        <v>114</v>
      </c>
      <c r="M132" s="6">
        <v>201</v>
      </c>
      <c r="N132" s="7">
        <v>143</v>
      </c>
      <c r="O132" s="6">
        <v>226</v>
      </c>
      <c r="P132" s="7">
        <v>136</v>
      </c>
      <c r="Q132" s="6">
        <v>112</v>
      </c>
      <c r="R132" s="6">
        <v>146.6</v>
      </c>
      <c r="S132" s="6">
        <v>142.69999999999999</v>
      </c>
      <c r="T132" s="6">
        <v>189.1</v>
      </c>
      <c r="U132" s="7">
        <v>165</v>
      </c>
      <c r="V132" s="7">
        <v>133</v>
      </c>
      <c r="W132" s="6">
        <v>139.69999999999999</v>
      </c>
      <c r="X132" s="6">
        <v>117.5</v>
      </c>
      <c r="Y132" s="6">
        <v>233.7</v>
      </c>
      <c r="Z132" s="7">
        <v>195</v>
      </c>
      <c r="AA132" s="76">
        <v>112.5</v>
      </c>
      <c r="AB132" s="7">
        <v>58</v>
      </c>
      <c r="AC132" s="6">
        <v>252.2</v>
      </c>
      <c r="AD132" s="6">
        <v>131</v>
      </c>
      <c r="AE132" s="6">
        <v>142.9</v>
      </c>
      <c r="AF132" s="6">
        <v>220</v>
      </c>
      <c r="AG132" s="6">
        <v>142</v>
      </c>
      <c r="AH132" s="6">
        <v>275</v>
      </c>
      <c r="AI132" s="7">
        <v>140</v>
      </c>
      <c r="AJ132" s="6">
        <v>142.69999999999999</v>
      </c>
      <c r="AK132" s="7">
        <v>199</v>
      </c>
      <c r="AL132" s="7">
        <v>133</v>
      </c>
    </row>
    <row r="133" spans="2:38" s="9" customFormat="1">
      <c r="B133" s="76">
        <v>1990</v>
      </c>
      <c r="C133" s="178" t="s">
        <v>143</v>
      </c>
      <c r="D133" s="6">
        <v>66</v>
      </c>
      <c r="E133" s="7">
        <v>155</v>
      </c>
      <c r="F133" s="6">
        <v>308.39999999999998</v>
      </c>
      <c r="G133" s="7">
        <v>89</v>
      </c>
      <c r="H133" s="6">
        <v>210</v>
      </c>
      <c r="I133" s="6">
        <v>61</v>
      </c>
      <c r="J133" s="7">
        <v>173.5</v>
      </c>
      <c r="K133" s="7">
        <v>61</v>
      </c>
      <c r="L133" s="6">
        <v>227</v>
      </c>
      <c r="M133" s="6">
        <v>311</v>
      </c>
      <c r="N133" s="7">
        <v>158</v>
      </c>
      <c r="O133" s="6">
        <v>31</v>
      </c>
      <c r="P133" s="7">
        <v>142</v>
      </c>
      <c r="Q133" s="6">
        <v>137</v>
      </c>
      <c r="R133" s="6">
        <v>105.4</v>
      </c>
      <c r="S133" s="6">
        <v>100.3</v>
      </c>
      <c r="T133" s="6">
        <v>123.7</v>
      </c>
      <c r="U133" s="7">
        <v>118</v>
      </c>
      <c r="V133" s="7">
        <v>120</v>
      </c>
      <c r="W133" s="6">
        <v>227</v>
      </c>
      <c r="X133" s="6">
        <v>82.5</v>
      </c>
      <c r="Y133" s="6">
        <v>150.30000000000001</v>
      </c>
      <c r="Z133" s="7">
        <v>59</v>
      </c>
      <c r="AA133" s="76">
        <v>279</v>
      </c>
      <c r="AB133" s="7">
        <v>281</v>
      </c>
      <c r="AC133" s="6">
        <v>178.6</v>
      </c>
      <c r="AD133" s="6">
        <v>31.5</v>
      </c>
      <c r="AE133" s="6">
        <v>248.1</v>
      </c>
      <c r="AF133" s="6">
        <v>199</v>
      </c>
      <c r="AG133" s="6">
        <v>262</v>
      </c>
      <c r="AH133" s="6">
        <v>382</v>
      </c>
      <c r="AI133" s="7">
        <v>92.5</v>
      </c>
      <c r="AJ133" s="6">
        <v>115.9</v>
      </c>
      <c r="AK133" s="7">
        <v>144</v>
      </c>
      <c r="AL133" s="7">
        <v>154</v>
      </c>
    </row>
    <row r="134" spans="2:38" s="9" customFormat="1">
      <c r="B134" s="76">
        <v>1991</v>
      </c>
      <c r="C134" s="178" t="s">
        <v>131</v>
      </c>
      <c r="D134" s="6">
        <v>101</v>
      </c>
      <c r="E134" s="7">
        <v>45</v>
      </c>
      <c r="F134" s="6">
        <v>39.5</v>
      </c>
      <c r="G134" s="7">
        <v>106.2</v>
      </c>
      <c r="H134" s="6">
        <v>108</v>
      </c>
      <c r="I134" s="6">
        <v>169</v>
      </c>
      <c r="J134" s="7">
        <v>68.5</v>
      </c>
      <c r="K134" s="7">
        <v>115</v>
      </c>
      <c r="L134" s="6">
        <v>152</v>
      </c>
      <c r="M134" s="6">
        <v>43</v>
      </c>
      <c r="N134" s="7">
        <v>108</v>
      </c>
      <c r="O134" s="6">
        <v>51</v>
      </c>
      <c r="P134" s="7">
        <v>31</v>
      </c>
      <c r="Q134" s="6">
        <v>44</v>
      </c>
      <c r="R134" s="6">
        <v>134.69999999999999</v>
      </c>
      <c r="S134" s="6">
        <v>10.8</v>
      </c>
      <c r="T134" s="6">
        <v>114.7</v>
      </c>
      <c r="U134" s="7">
        <v>91</v>
      </c>
      <c r="V134" s="7">
        <v>51</v>
      </c>
      <c r="W134" s="6">
        <v>140.80000000000001</v>
      </c>
      <c r="X134" s="6">
        <v>106.5</v>
      </c>
      <c r="Y134" s="6">
        <v>62.9</v>
      </c>
      <c r="Z134" s="7">
        <v>64</v>
      </c>
      <c r="AA134" s="76">
        <v>176</v>
      </c>
      <c r="AB134" s="7">
        <v>139</v>
      </c>
      <c r="AC134" s="6">
        <v>108.2</v>
      </c>
      <c r="AD134" s="6">
        <v>74.099999999999994</v>
      </c>
      <c r="AE134" s="6">
        <v>199.2</v>
      </c>
      <c r="AF134" s="6">
        <v>114</v>
      </c>
      <c r="AG134" s="6">
        <v>115</v>
      </c>
      <c r="AH134" s="6">
        <v>126</v>
      </c>
      <c r="AI134" s="7">
        <v>92</v>
      </c>
      <c r="AJ134" s="6">
        <v>62.6</v>
      </c>
      <c r="AK134" s="7">
        <v>123</v>
      </c>
      <c r="AL134" s="7">
        <v>65</v>
      </c>
    </row>
    <row r="135" spans="2:38" s="9" customFormat="1">
      <c r="B135" s="76">
        <v>1991</v>
      </c>
      <c r="C135" s="178" t="s">
        <v>132</v>
      </c>
      <c r="D135" s="6">
        <v>61</v>
      </c>
      <c r="E135" s="7">
        <v>18</v>
      </c>
      <c r="F135" s="6">
        <v>57.7</v>
      </c>
      <c r="G135" s="7">
        <v>0</v>
      </c>
      <c r="H135" s="6">
        <v>86</v>
      </c>
      <c r="I135" s="6">
        <v>98</v>
      </c>
      <c r="J135" s="7">
        <v>15</v>
      </c>
      <c r="K135" s="7">
        <v>62</v>
      </c>
      <c r="L135" s="6">
        <v>58.4</v>
      </c>
      <c r="M135" s="6">
        <v>26</v>
      </c>
      <c r="N135" s="7">
        <v>36</v>
      </c>
      <c r="O135" s="6">
        <v>12</v>
      </c>
      <c r="P135" s="7">
        <v>47</v>
      </c>
      <c r="Q135" s="6">
        <v>148</v>
      </c>
      <c r="R135" s="6">
        <v>24.1</v>
      </c>
      <c r="S135" s="6">
        <v>48.8</v>
      </c>
      <c r="T135" s="6">
        <v>23.4</v>
      </c>
      <c r="U135" s="7">
        <v>114.9</v>
      </c>
      <c r="V135" s="7">
        <v>12</v>
      </c>
      <c r="W135" s="6">
        <v>14</v>
      </c>
      <c r="X135" s="6">
        <v>50.5</v>
      </c>
      <c r="Y135" s="6">
        <v>52</v>
      </c>
      <c r="Z135" s="7">
        <v>47</v>
      </c>
      <c r="AA135" s="76">
        <v>16</v>
      </c>
      <c r="AB135" s="7">
        <v>28</v>
      </c>
      <c r="AC135" s="6">
        <v>55.5</v>
      </c>
      <c r="AD135" s="6">
        <v>26.9</v>
      </c>
      <c r="AE135" s="6">
        <v>10.7</v>
      </c>
      <c r="AF135" s="6">
        <v>40</v>
      </c>
      <c r="AG135" s="6">
        <v>22</v>
      </c>
      <c r="AH135" s="6">
        <v>47</v>
      </c>
      <c r="AI135" s="7">
        <v>36</v>
      </c>
      <c r="AJ135" s="6">
        <v>23.8</v>
      </c>
      <c r="AK135" s="7">
        <v>49</v>
      </c>
      <c r="AL135" s="7">
        <v>30</v>
      </c>
    </row>
    <row r="136" spans="2:38" s="9" customFormat="1">
      <c r="B136" s="76">
        <v>1991</v>
      </c>
      <c r="C136" s="178" t="s">
        <v>133</v>
      </c>
      <c r="D136" s="6">
        <v>56</v>
      </c>
      <c r="E136" s="7">
        <v>46</v>
      </c>
      <c r="F136" s="6">
        <v>80.3</v>
      </c>
      <c r="G136" s="7">
        <v>35</v>
      </c>
      <c r="H136" s="6">
        <v>105</v>
      </c>
      <c r="I136" s="6">
        <v>31</v>
      </c>
      <c r="J136" s="7">
        <v>31</v>
      </c>
      <c r="K136" s="7">
        <v>28</v>
      </c>
      <c r="L136" s="6">
        <v>52.5</v>
      </c>
      <c r="M136" s="371" t="s">
        <v>142</v>
      </c>
      <c r="N136" s="7">
        <v>39</v>
      </c>
      <c r="O136" s="6">
        <v>7</v>
      </c>
      <c r="P136" s="7">
        <v>38</v>
      </c>
      <c r="Q136" s="6">
        <v>38</v>
      </c>
      <c r="R136" s="6">
        <v>35.5</v>
      </c>
      <c r="S136" s="6">
        <v>27.4</v>
      </c>
      <c r="T136" s="6">
        <v>67.3</v>
      </c>
      <c r="U136" s="7">
        <v>35</v>
      </c>
      <c r="V136" s="7">
        <v>35</v>
      </c>
      <c r="W136" s="6">
        <v>41.6</v>
      </c>
      <c r="X136" s="6">
        <v>48.5</v>
      </c>
      <c r="Y136" s="6">
        <v>18.5</v>
      </c>
      <c r="Z136" s="7">
        <v>35</v>
      </c>
      <c r="AA136" s="76">
        <v>101</v>
      </c>
      <c r="AB136" s="7">
        <v>31</v>
      </c>
      <c r="AC136" s="6">
        <v>28.4</v>
      </c>
      <c r="AD136" s="6">
        <v>19.399999999999999</v>
      </c>
      <c r="AE136" s="6">
        <v>122.3</v>
      </c>
      <c r="AF136" s="6">
        <v>86</v>
      </c>
      <c r="AG136" s="6">
        <v>25</v>
      </c>
      <c r="AH136" s="6">
        <v>74</v>
      </c>
      <c r="AI136" s="7">
        <v>25</v>
      </c>
      <c r="AJ136" s="6">
        <v>75.2</v>
      </c>
      <c r="AK136" s="7">
        <v>66.5</v>
      </c>
      <c r="AL136" s="7">
        <v>99</v>
      </c>
    </row>
    <row r="137" spans="2:38" s="9" customFormat="1">
      <c r="B137" s="76">
        <v>1991</v>
      </c>
      <c r="C137" s="178" t="s">
        <v>134</v>
      </c>
      <c r="D137" s="6">
        <v>82</v>
      </c>
      <c r="E137" s="7">
        <v>141</v>
      </c>
      <c r="F137" s="6">
        <v>520.6</v>
      </c>
      <c r="G137" s="7">
        <v>100</v>
      </c>
      <c r="H137" s="6">
        <v>606</v>
      </c>
      <c r="I137" s="6">
        <v>124</v>
      </c>
      <c r="J137" s="7">
        <v>107</v>
      </c>
      <c r="K137" s="7">
        <v>110</v>
      </c>
      <c r="L137" s="6">
        <v>61</v>
      </c>
      <c r="M137" s="6">
        <v>137</v>
      </c>
      <c r="N137" s="7">
        <v>322</v>
      </c>
      <c r="O137" s="6">
        <v>41</v>
      </c>
      <c r="P137" s="7">
        <v>150</v>
      </c>
      <c r="Q137" s="6">
        <v>77</v>
      </c>
      <c r="R137" s="6">
        <v>104.4</v>
      </c>
      <c r="S137" s="6">
        <v>225.4</v>
      </c>
      <c r="T137" s="6">
        <v>103.8</v>
      </c>
      <c r="U137" s="7">
        <v>86</v>
      </c>
      <c r="V137" s="7">
        <v>332</v>
      </c>
      <c r="W137" s="6">
        <v>170.7</v>
      </c>
      <c r="X137" s="6">
        <v>137.5</v>
      </c>
      <c r="Y137" s="6">
        <v>102.9</v>
      </c>
      <c r="Z137" s="7">
        <v>124</v>
      </c>
      <c r="AA137" s="76">
        <v>115.5</v>
      </c>
      <c r="AB137" s="7">
        <v>91</v>
      </c>
      <c r="AC137" s="6">
        <v>418.9</v>
      </c>
      <c r="AD137" s="6">
        <v>44.7</v>
      </c>
      <c r="AE137" s="6">
        <v>185</v>
      </c>
      <c r="AF137" s="6">
        <v>434</v>
      </c>
      <c r="AG137" s="6">
        <v>316</v>
      </c>
      <c r="AH137" s="6">
        <v>648</v>
      </c>
      <c r="AI137" s="7">
        <v>396.5</v>
      </c>
      <c r="AJ137" s="6">
        <v>89.8</v>
      </c>
      <c r="AK137" s="7">
        <v>294</v>
      </c>
      <c r="AL137" s="7">
        <v>368</v>
      </c>
    </row>
    <row r="138" spans="2:38" s="9" customFormat="1">
      <c r="B138" s="76">
        <v>1991</v>
      </c>
      <c r="C138" s="178" t="s">
        <v>135</v>
      </c>
      <c r="D138" s="6">
        <v>96</v>
      </c>
      <c r="E138" s="7">
        <v>137</v>
      </c>
      <c r="F138" s="6">
        <v>106.5</v>
      </c>
      <c r="G138" s="7">
        <v>125</v>
      </c>
      <c r="H138" s="6">
        <v>63</v>
      </c>
      <c r="I138" s="6">
        <v>99</v>
      </c>
      <c r="J138" s="7">
        <v>325.5</v>
      </c>
      <c r="K138" s="7">
        <v>137</v>
      </c>
      <c r="L138" s="6">
        <v>191.5</v>
      </c>
      <c r="M138" s="6">
        <v>191</v>
      </c>
      <c r="N138" s="7">
        <v>107</v>
      </c>
      <c r="O138" s="6">
        <v>153</v>
      </c>
      <c r="P138" s="7">
        <v>88</v>
      </c>
      <c r="Q138" s="6">
        <v>227</v>
      </c>
      <c r="R138" s="6">
        <v>67.599999999999994</v>
      </c>
      <c r="S138" s="6">
        <v>110.1</v>
      </c>
      <c r="T138" s="6">
        <v>129.69999999999999</v>
      </c>
      <c r="U138" s="7">
        <v>242.5</v>
      </c>
      <c r="V138" s="7">
        <v>88</v>
      </c>
      <c r="W138" s="6">
        <v>180.4</v>
      </c>
      <c r="X138" s="6">
        <v>124.5</v>
      </c>
      <c r="Y138" s="6">
        <v>87.9</v>
      </c>
      <c r="Z138" s="7">
        <v>142.5</v>
      </c>
      <c r="AA138" s="76">
        <v>84</v>
      </c>
      <c r="AB138" s="7">
        <v>141</v>
      </c>
      <c r="AC138" s="6">
        <v>97.7</v>
      </c>
      <c r="AD138" s="6">
        <v>120.5</v>
      </c>
      <c r="AE138" s="6">
        <v>93</v>
      </c>
      <c r="AF138" s="6">
        <v>61</v>
      </c>
      <c r="AG138" s="6">
        <v>54</v>
      </c>
      <c r="AH138" s="6">
        <v>70</v>
      </c>
      <c r="AI138" s="7">
        <v>69.5</v>
      </c>
      <c r="AJ138" s="6">
        <v>247.4</v>
      </c>
      <c r="AK138" s="7">
        <v>59</v>
      </c>
      <c r="AL138" s="7">
        <v>88</v>
      </c>
    </row>
    <row r="139" spans="2:38" s="9" customFormat="1">
      <c r="B139" s="76">
        <v>1991</v>
      </c>
      <c r="C139" s="178" t="s">
        <v>136</v>
      </c>
      <c r="D139" s="6">
        <v>86</v>
      </c>
      <c r="E139" s="7">
        <v>171</v>
      </c>
      <c r="F139" s="6">
        <v>168.1</v>
      </c>
      <c r="G139" s="7">
        <v>104</v>
      </c>
      <c r="H139" s="6">
        <v>214</v>
      </c>
      <c r="I139" s="6">
        <v>127</v>
      </c>
      <c r="J139" s="7">
        <v>149</v>
      </c>
      <c r="K139" s="7">
        <v>81</v>
      </c>
      <c r="L139" s="6">
        <v>108.5</v>
      </c>
      <c r="M139" s="6">
        <v>169</v>
      </c>
      <c r="N139" s="7">
        <v>187</v>
      </c>
      <c r="O139" s="6">
        <v>78</v>
      </c>
      <c r="P139" s="7">
        <v>137</v>
      </c>
      <c r="Q139" s="6">
        <v>120</v>
      </c>
      <c r="R139" s="6">
        <v>124.8</v>
      </c>
      <c r="S139" s="6">
        <v>199.7</v>
      </c>
      <c r="T139" s="6">
        <v>174.5</v>
      </c>
      <c r="U139" s="7">
        <v>126</v>
      </c>
      <c r="V139" s="7">
        <v>132</v>
      </c>
      <c r="W139" s="6">
        <v>213.5</v>
      </c>
      <c r="X139" s="6">
        <v>107</v>
      </c>
      <c r="Y139" s="6">
        <v>125.3</v>
      </c>
      <c r="Z139" s="7">
        <v>157</v>
      </c>
      <c r="AA139" s="76">
        <v>163</v>
      </c>
      <c r="AB139" s="7">
        <v>128</v>
      </c>
      <c r="AC139" s="6">
        <v>124</v>
      </c>
      <c r="AD139" s="6">
        <v>92.1</v>
      </c>
      <c r="AE139" s="6">
        <v>188</v>
      </c>
      <c r="AF139" s="6">
        <v>171</v>
      </c>
      <c r="AG139" s="6">
        <v>149</v>
      </c>
      <c r="AH139" s="6">
        <v>118</v>
      </c>
      <c r="AI139" s="7">
        <v>79</v>
      </c>
      <c r="AJ139" s="6">
        <v>112.7</v>
      </c>
      <c r="AK139" s="7">
        <v>138</v>
      </c>
      <c r="AL139" s="7">
        <v>158.5</v>
      </c>
    </row>
    <row r="140" spans="2:38" s="9" customFormat="1">
      <c r="B140" s="76">
        <v>1991</v>
      </c>
      <c r="C140" s="178" t="s">
        <v>137</v>
      </c>
      <c r="D140" s="6">
        <v>168</v>
      </c>
      <c r="E140" s="7">
        <v>241</v>
      </c>
      <c r="F140" s="6">
        <v>130.19999999999999</v>
      </c>
      <c r="G140" s="7">
        <v>197</v>
      </c>
      <c r="H140" s="6">
        <v>234</v>
      </c>
      <c r="I140" s="6">
        <v>178</v>
      </c>
      <c r="J140" s="7">
        <v>216</v>
      </c>
      <c r="K140" s="7">
        <v>118</v>
      </c>
      <c r="L140" s="6">
        <v>176</v>
      </c>
      <c r="M140" s="6">
        <v>215</v>
      </c>
      <c r="N140" s="7">
        <v>197.5</v>
      </c>
      <c r="O140" s="6">
        <v>196</v>
      </c>
      <c r="P140" s="7">
        <v>256</v>
      </c>
      <c r="Q140" s="6">
        <v>220</v>
      </c>
      <c r="R140" s="6">
        <v>107.6</v>
      </c>
      <c r="S140" s="6">
        <v>187.3</v>
      </c>
      <c r="T140" s="6">
        <v>93.8</v>
      </c>
      <c r="U140" s="7">
        <v>143</v>
      </c>
      <c r="V140" s="7">
        <v>159.5</v>
      </c>
      <c r="W140" s="6">
        <v>48.1</v>
      </c>
      <c r="X140" s="6">
        <v>107.5</v>
      </c>
      <c r="Y140" s="6">
        <v>160.4</v>
      </c>
      <c r="Z140" s="7">
        <v>133</v>
      </c>
      <c r="AA140" s="76">
        <v>93.5</v>
      </c>
      <c r="AB140" s="7">
        <v>136</v>
      </c>
      <c r="AC140" s="6">
        <v>114.6</v>
      </c>
      <c r="AD140" s="6">
        <v>175.6</v>
      </c>
      <c r="AE140" s="6">
        <v>121.2</v>
      </c>
      <c r="AF140" s="6">
        <v>169</v>
      </c>
      <c r="AG140" s="6">
        <v>204</v>
      </c>
      <c r="AH140" s="6">
        <v>105</v>
      </c>
      <c r="AI140" s="7">
        <v>162.5</v>
      </c>
      <c r="AJ140" s="6">
        <v>241.2</v>
      </c>
      <c r="AK140" s="7">
        <v>130</v>
      </c>
      <c r="AL140" s="7">
        <v>239</v>
      </c>
    </row>
    <row r="141" spans="2:38" s="9" customFormat="1">
      <c r="B141" s="76">
        <v>1991</v>
      </c>
      <c r="C141" s="178" t="s">
        <v>138</v>
      </c>
      <c r="D141" s="6">
        <v>98</v>
      </c>
      <c r="E141" s="7">
        <v>18</v>
      </c>
      <c r="F141" s="6">
        <v>35.9</v>
      </c>
      <c r="G141" s="7">
        <v>42</v>
      </c>
      <c r="H141" s="6">
        <v>30</v>
      </c>
      <c r="I141" s="6">
        <v>117</v>
      </c>
      <c r="J141" s="7">
        <v>30</v>
      </c>
      <c r="K141" s="7">
        <v>103</v>
      </c>
      <c r="L141" s="6">
        <v>32</v>
      </c>
      <c r="M141" s="6">
        <v>16</v>
      </c>
      <c r="N141" s="7">
        <v>92</v>
      </c>
      <c r="O141" s="6">
        <v>57</v>
      </c>
      <c r="P141" s="7">
        <v>28</v>
      </c>
      <c r="Q141" s="6">
        <v>56</v>
      </c>
      <c r="R141" s="6">
        <v>80.400000000000006</v>
      </c>
      <c r="S141" s="6">
        <v>22.6</v>
      </c>
      <c r="T141" s="6">
        <v>47.3</v>
      </c>
      <c r="U141" s="7">
        <v>48</v>
      </c>
      <c r="V141" s="7">
        <v>27</v>
      </c>
      <c r="W141" s="6">
        <v>42.4</v>
      </c>
      <c r="X141" s="6">
        <v>91</v>
      </c>
      <c r="Y141" s="6">
        <v>107.3</v>
      </c>
      <c r="Z141" s="7">
        <v>61</v>
      </c>
      <c r="AA141" s="76">
        <v>20</v>
      </c>
      <c r="AB141" s="7">
        <v>23</v>
      </c>
      <c r="AC141" s="6">
        <v>17.5</v>
      </c>
      <c r="AD141" s="6">
        <v>124.6</v>
      </c>
      <c r="AE141" s="6">
        <v>54.7</v>
      </c>
      <c r="AF141" s="6">
        <v>31</v>
      </c>
      <c r="AG141" s="6">
        <v>25</v>
      </c>
      <c r="AH141" s="6">
        <v>38</v>
      </c>
      <c r="AI141" s="7">
        <v>18</v>
      </c>
      <c r="AJ141" s="6">
        <v>25.2</v>
      </c>
      <c r="AK141" s="7">
        <v>35</v>
      </c>
      <c r="AL141" s="7">
        <v>42</v>
      </c>
    </row>
    <row r="142" spans="2:38" s="9" customFormat="1">
      <c r="B142" s="76">
        <v>1991</v>
      </c>
      <c r="C142" s="178" t="s">
        <v>139</v>
      </c>
      <c r="D142" s="6">
        <v>124</v>
      </c>
      <c r="E142" s="7">
        <v>71</v>
      </c>
      <c r="F142" s="6">
        <v>40.700000000000003</v>
      </c>
      <c r="G142" s="7">
        <v>144</v>
      </c>
      <c r="H142" s="6">
        <v>72</v>
      </c>
      <c r="I142" s="6">
        <v>142</v>
      </c>
      <c r="J142" s="7">
        <v>104</v>
      </c>
      <c r="K142" s="7">
        <v>53</v>
      </c>
      <c r="L142" s="6">
        <v>56.5</v>
      </c>
      <c r="M142" s="6">
        <v>147</v>
      </c>
      <c r="N142" s="7">
        <v>160</v>
      </c>
      <c r="O142" s="6">
        <v>35</v>
      </c>
      <c r="P142" s="7">
        <v>63</v>
      </c>
      <c r="Q142" s="6">
        <v>153</v>
      </c>
      <c r="R142" s="6">
        <v>96.1</v>
      </c>
      <c r="S142" s="6">
        <v>52.9</v>
      </c>
      <c r="T142" s="6">
        <v>87.6</v>
      </c>
      <c r="U142" s="7">
        <v>71.5</v>
      </c>
      <c r="V142" s="7">
        <v>109.5</v>
      </c>
      <c r="W142" s="6">
        <v>60.3</v>
      </c>
      <c r="X142" s="6">
        <v>145</v>
      </c>
      <c r="Y142" s="6">
        <v>86.6</v>
      </c>
      <c r="Z142" s="7">
        <v>39</v>
      </c>
      <c r="AA142" s="76">
        <v>63</v>
      </c>
      <c r="AB142" s="7">
        <v>60</v>
      </c>
      <c r="AC142" s="6">
        <v>68.599999999999994</v>
      </c>
      <c r="AD142" s="6">
        <v>127.1</v>
      </c>
      <c r="AE142" s="6">
        <v>68.599999999999994</v>
      </c>
      <c r="AF142" s="6">
        <v>58</v>
      </c>
      <c r="AG142" s="6">
        <v>95</v>
      </c>
      <c r="AH142" s="6">
        <v>61</v>
      </c>
      <c r="AI142" s="7">
        <v>72</v>
      </c>
      <c r="AJ142" s="6">
        <v>95.1</v>
      </c>
      <c r="AK142" s="7">
        <v>68</v>
      </c>
      <c r="AL142" s="7">
        <v>124</v>
      </c>
    </row>
    <row r="143" spans="2:38" s="9" customFormat="1">
      <c r="B143" s="76">
        <v>1991</v>
      </c>
      <c r="C143" s="178" t="s">
        <v>140</v>
      </c>
      <c r="D143" s="6">
        <v>222</v>
      </c>
      <c r="E143" s="7">
        <v>233</v>
      </c>
      <c r="F143" s="6">
        <v>182</v>
      </c>
      <c r="G143" s="7">
        <v>124.5</v>
      </c>
      <c r="H143" s="6">
        <v>163</v>
      </c>
      <c r="I143" s="6">
        <v>216</v>
      </c>
      <c r="J143" s="7">
        <v>189</v>
      </c>
      <c r="K143" s="7">
        <v>175</v>
      </c>
      <c r="L143" s="6">
        <v>129</v>
      </c>
      <c r="M143" s="6">
        <v>213</v>
      </c>
      <c r="N143" s="7">
        <v>219</v>
      </c>
      <c r="O143" s="6">
        <v>105</v>
      </c>
      <c r="P143" s="7">
        <v>186</v>
      </c>
      <c r="Q143" s="6">
        <v>179</v>
      </c>
      <c r="R143" s="6">
        <v>148.5</v>
      </c>
      <c r="S143" s="6">
        <v>212.9</v>
      </c>
      <c r="T143" s="6">
        <v>158.30000000000001</v>
      </c>
      <c r="U143" s="7">
        <v>135.5</v>
      </c>
      <c r="V143" s="7">
        <v>222.5</v>
      </c>
      <c r="W143" s="6">
        <v>82.1</v>
      </c>
      <c r="X143" s="6">
        <v>137</v>
      </c>
      <c r="Y143" s="6">
        <v>116.4</v>
      </c>
      <c r="Z143" s="7">
        <v>161</v>
      </c>
      <c r="AA143" s="76">
        <v>96</v>
      </c>
      <c r="AB143" s="7">
        <v>91</v>
      </c>
      <c r="AC143" s="6">
        <v>197.3</v>
      </c>
      <c r="AD143" s="6">
        <v>186.4</v>
      </c>
      <c r="AE143" s="6">
        <v>99.4</v>
      </c>
      <c r="AF143" s="6">
        <v>160</v>
      </c>
      <c r="AG143" s="6">
        <v>182</v>
      </c>
      <c r="AH143" s="6">
        <v>162</v>
      </c>
      <c r="AI143" s="7">
        <v>215.5</v>
      </c>
      <c r="AJ143" s="6">
        <v>213.3</v>
      </c>
      <c r="AK143" s="7">
        <v>120</v>
      </c>
      <c r="AL143" s="7">
        <v>230.5</v>
      </c>
    </row>
    <row r="144" spans="2:38" s="9" customFormat="1">
      <c r="B144" s="76">
        <v>1991</v>
      </c>
      <c r="C144" s="178" t="s">
        <v>141</v>
      </c>
      <c r="D144" s="6">
        <v>82</v>
      </c>
      <c r="E144" s="7">
        <v>139</v>
      </c>
      <c r="F144" s="6">
        <v>59.9</v>
      </c>
      <c r="G144" s="7">
        <v>72.5</v>
      </c>
      <c r="H144" s="6">
        <v>101</v>
      </c>
      <c r="I144" s="6">
        <v>79</v>
      </c>
      <c r="J144" s="7">
        <v>131</v>
      </c>
      <c r="K144" s="7">
        <v>106</v>
      </c>
      <c r="L144" s="6">
        <v>53</v>
      </c>
      <c r="M144" s="6">
        <v>210</v>
      </c>
      <c r="N144" s="7">
        <v>83</v>
      </c>
      <c r="O144" s="6">
        <v>64</v>
      </c>
      <c r="P144" s="7">
        <v>179</v>
      </c>
      <c r="Q144" s="6">
        <v>70</v>
      </c>
      <c r="R144" s="6">
        <v>124.9</v>
      </c>
      <c r="S144" s="6">
        <v>160.80000000000001</v>
      </c>
      <c r="T144" s="6">
        <v>63.3</v>
      </c>
      <c r="U144" s="7">
        <v>63</v>
      </c>
      <c r="V144" s="7">
        <v>138.5</v>
      </c>
      <c r="W144" s="6">
        <v>67.3</v>
      </c>
      <c r="X144" s="6">
        <v>116.5</v>
      </c>
      <c r="Y144" s="6">
        <v>79.3</v>
      </c>
      <c r="Z144" s="7">
        <v>190</v>
      </c>
      <c r="AA144" s="76">
        <v>50.5</v>
      </c>
      <c r="AB144" s="7">
        <v>79</v>
      </c>
      <c r="AC144" s="6">
        <v>94.6</v>
      </c>
      <c r="AD144" s="6">
        <v>88.1</v>
      </c>
      <c r="AE144" s="6">
        <v>98.5</v>
      </c>
      <c r="AF144" s="6">
        <v>125</v>
      </c>
      <c r="AG144" s="6">
        <v>120</v>
      </c>
      <c r="AH144" s="6">
        <v>113</v>
      </c>
      <c r="AI144" s="7">
        <v>89</v>
      </c>
      <c r="AJ144" s="6">
        <v>109.2</v>
      </c>
      <c r="AK144" s="7">
        <v>100</v>
      </c>
      <c r="AL144" s="7">
        <v>181</v>
      </c>
    </row>
    <row r="145" spans="2:38" s="9" customFormat="1">
      <c r="B145" s="76">
        <v>1991</v>
      </c>
      <c r="C145" s="178" t="s">
        <v>143</v>
      </c>
      <c r="D145" s="6">
        <v>64</v>
      </c>
      <c r="E145" s="7">
        <v>0</v>
      </c>
      <c r="F145" s="6">
        <v>292.39999999999998</v>
      </c>
      <c r="G145" s="7">
        <v>79.5</v>
      </c>
      <c r="H145" s="6">
        <v>164</v>
      </c>
      <c r="I145" s="6">
        <v>75</v>
      </c>
      <c r="J145" s="7">
        <v>129.5</v>
      </c>
      <c r="K145" s="7">
        <v>290</v>
      </c>
      <c r="L145" s="6">
        <v>269</v>
      </c>
      <c r="M145" s="6">
        <v>235</v>
      </c>
      <c r="N145" s="7">
        <v>226</v>
      </c>
      <c r="O145" s="6">
        <v>21</v>
      </c>
      <c r="P145" s="7">
        <v>132</v>
      </c>
      <c r="Q145" s="6">
        <v>180</v>
      </c>
      <c r="R145" s="6">
        <v>179.5</v>
      </c>
      <c r="S145" s="6">
        <v>112.4</v>
      </c>
      <c r="T145" s="6">
        <v>247.2</v>
      </c>
      <c r="U145" s="7">
        <v>138.5</v>
      </c>
      <c r="V145" s="7">
        <v>74</v>
      </c>
      <c r="W145" s="6">
        <v>179.5</v>
      </c>
      <c r="X145" s="6">
        <v>112</v>
      </c>
      <c r="Y145" s="6">
        <v>50.3</v>
      </c>
      <c r="Z145" s="7">
        <v>90</v>
      </c>
      <c r="AA145" s="76">
        <v>201</v>
      </c>
      <c r="AB145" s="7">
        <v>278</v>
      </c>
      <c r="AC145" s="6">
        <v>130.9</v>
      </c>
      <c r="AD145" s="6">
        <v>49.7</v>
      </c>
      <c r="AE145" s="6">
        <v>221.1</v>
      </c>
      <c r="AF145" s="6">
        <v>184</v>
      </c>
      <c r="AG145" s="6">
        <v>193</v>
      </c>
      <c r="AH145" s="6">
        <v>254</v>
      </c>
      <c r="AI145" s="7">
        <v>205.5</v>
      </c>
      <c r="AJ145" s="6">
        <v>220</v>
      </c>
      <c r="AK145" s="7">
        <v>195</v>
      </c>
      <c r="AL145" s="7">
        <v>129</v>
      </c>
    </row>
    <row r="146" spans="2:38" s="9" customFormat="1">
      <c r="B146" s="76">
        <v>1992</v>
      </c>
      <c r="C146" s="178" t="s">
        <v>131</v>
      </c>
      <c r="D146" s="6">
        <v>89</v>
      </c>
      <c r="E146" s="7">
        <v>75</v>
      </c>
      <c r="F146" s="6">
        <v>63.6</v>
      </c>
      <c r="G146" s="7">
        <v>86</v>
      </c>
      <c r="H146" s="6">
        <v>70</v>
      </c>
      <c r="I146" s="6">
        <v>32</v>
      </c>
      <c r="J146" s="7">
        <v>79</v>
      </c>
      <c r="K146" s="7">
        <v>80</v>
      </c>
      <c r="L146" s="6">
        <v>41</v>
      </c>
      <c r="M146" s="6">
        <v>68</v>
      </c>
      <c r="N146" s="7">
        <v>102</v>
      </c>
      <c r="O146" s="6">
        <v>62</v>
      </c>
      <c r="P146" s="7">
        <v>56</v>
      </c>
      <c r="Q146" s="6">
        <v>68</v>
      </c>
      <c r="R146" s="6">
        <v>84.1</v>
      </c>
      <c r="S146" s="6">
        <v>49.2</v>
      </c>
      <c r="T146" s="6">
        <v>186</v>
      </c>
      <c r="U146" s="7">
        <v>37.5</v>
      </c>
      <c r="V146" s="7">
        <v>94</v>
      </c>
      <c r="W146" s="6">
        <v>103.9</v>
      </c>
      <c r="X146" s="6">
        <v>32</v>
      </c>
      <c r="Y146" s="6">
        <v>48.9</v>
      </c>
      <c r="Z146" s="7">
        <v>50</v>
      </c>
      <c r="AA146" s="76">
        <v>103</v>
      </c>
      <c r="AB146" s="7">
        <v>32</v>
      </c>
      <c r="AC146" s="6">
        <v>87.5</v>
      </c>
      <c r="AD146" s="6">
        <v>77.400000000000006</v>
      </c>
      <c r="AE146" s="6">
        <v>100.2</v>
      </c>
      <c r="AF146" s="6">
        <v>126</v>
      </c>
      <c r="AG146" s="6">
        <v>100</v>
      </c>
      <c r="AH146" s="6">
        <v>74</v>
      </c>
      <c r="AI146" s="7">
        <v>54.5</v>
      </c>
      <c r="AJ146" s="6">
        <v>64.900000000000006</v>
      </c>
      <c r="AK146" s="7">
        <v>94</v>
      </c>
      <c r="AL146" s="7">
        <v>127.5</v>
      </c>
    </row>
    <row r="147" spans="2:38" s="9" customFormat="1">
      <c r="B147" s="76">
        <v>1992</v>
      </c>
      <c r="C147" s="178" t="s">
        <v>132</v>
      </c>
      <c r="D147" s="6">
        <v>105</v>
      </c>
      <c r="E147" s="7">
        <v>219</v>
      </c>
      <c r="F147" s="6">
        <v>238.1</v>
      </c>
      <c r="G147" s="7">
        <v>165</v>
      </c>
      <c r="H147" s="6">
        <v>217</v>
      </c>
      <c r="I147" s="6">
        <v>95</v>
      </c>
      <c r="J147" s="7">
        <v>106</v>
      </c>
      <c r="K147" s="7">
        <v>43</v>
      </c>
      <c r="L147" s="6">
        <v>85</v>
      </c>
      <c r="M147" s="6">
        <v>147</v>
      </c>
      <c r="N147" s="7">
        <v>85</v>
      </c>
      <c r="O147" s="6">
        <v>269</v>
      </c>
      <c r="P147" s="7">
        <v>138</v>
      </c>
      <c r="Q147" s="6">
        <v>139</v>
      </c>
      <c r="R147" s="6">
        <v>25.2</v>
      </c>
      <c r="S147" s="6">
        <v>117.4</v>
      </c>
      <c r="T147" s="6">
        <v>122.3</v>
      </c>
      <c r="U147" s="7">
        <v>80</v>
      </c>
      <c r="V147" s="7">
        <v>185</v>
      </c>
      <c r="W147" s="6">
        <v>81</v>
      </c>
      <c r="X147" s="6">
        <v>70</v>
      </c>
      <c r="Y147" s="6">
        <v>66.599999999999994</v>
      </c>
      <c r="Z147" s="7">
        <v>84</v>
      </c>
      <c r="AA147" s="76">
        <v>77</v>
      </c>
      <c r="AB147" s="7">
        <v>84</v>
      </c>
      <c r="AC147" s="6">
        <v>268</v>
      </c>
      <c r="AD147" s="6">
        <v>141.1</v>
      </c>
      <c r="AE147" s="6">
        <v>93.8</v>
      </c>
      <c r="AF147" s="6">
        <v>120</v>
      </c>
      <c r="AG147" s="6">
        <v>157</v>
      </c>
      <c r="AH147" s="6">
        <v>136</v>
      </c>
      <c r="AI147" s="7">
        <v>235</v>
      </c>
      <c r="AJ147" s="6">
        <v>163.19999999999999</v>
      </c>
      <c r="AK147" s="7">
        <v>119</v>
      </c>
      <c r="AL147" s="7">
        <v>167.5</v>
      </c>
    </row>
    <row r="148" spans="2:38" s="9" customFormat="1">
      <c r="B148" s="76">
        <v>1992</v>
      </c>
      <c r="C148" s="178" t="s">
        <v>133</v>
      </c>
      <c r="D148" s="6">
        <v>76</v>
      </c>
      <c r="E148" s="7">
        <v>78</v>
      </c>
      <c r="F148" s="6">
        <v>165</v>
      </c>
      <c r="G148" s="7">
        <v>82</v>
      </c>
      <c r="H148" s="6">
        <v>173</v>
      </c>
      <c r="I148" s="6">
        <v>53</v>
      </c>
      <c r="J148" s="7">
        <v>72</v>
      </c>
      <c r="K148" s="7">
        <v>34</v>
      </c>
      <c r="L148" s="6">
        <v>131</v>
      </c>
      <c r="M148" s="6">
        <v>106</v>
      </c>
      <c r="N148" s="7">
        <v>33</v>
      </c>
      <c r="O148" s="6">
        <v>48</v>
      </c>
      <c r="P148" s="7">
        <v>177</v>
      </c>
      <c r="Q148" s="6">
        <v>30</v>
      </c>
      <c r="R148" s="6">
        <v>90.4</v>
      </c>
      <c r="S148" s="6">
        <v>91.9</v>
      </c>
      <c r="T148" s="6">
        <v>111.9</v>
      </c>
      <c r="U148" s="7">
        <v>52</v>
      </c>
      <c r="V148" s="7">
        <v>95</v>
      </c>
      <c r="W148" s="6">
        <v>96.7</v>
      </c>
      <c r="X148" s="6">
        <v>22</v>
      </c>
      <c r="Y148" s="6">
        <v>53.5</v>
      </c>
      <c r="Z148" s="7">
        <v>52.5</v>
      </c>
      <c r="AA148" s="76">
        <v>98.5</v>
      </c>
      <c r="AB148" s="7">
        <v>212</v>
      </c>
      <c r="AC148" s="6">
        <v>185.8</v>
      </c>
      <c r="AD148" s="6">
        <v>59</v>
      </c>
      <c r="AE148" s="6">
        <v>179.6</v>
      </c>
      <c r="AF148" s="6">
        <v>120</v>
      </c>
      <c r="AG148" s="6">
        <v>86</v>
      </c>
      <c r="AH148" s="6">
        <v>171</v>
      </c>
      <c r="AI148" s="7">
        <v>156.5</v>
      </c>
      <c r="AJ148" s="6">
        <v>100</v>
      </c>
      <c r="AK148" s="7">
        <v>124</v>
      </c>
      <c r="AL148" s="7">
        <v>104.5</v>
      </c>
    </row>
    <row r="149" spans="2:38" s="9" customFormat="1">
      <c r="B149" s="76">
        <v>1992</v>
      </c>
      <c r="C149" s="178" t="s">
        <v>134</v>
      </c>
      <c r="D149" s="6">
        <v>147</v>
      </c>
      <c r="E149" s="7">
        <v>292</v>
      </c>
      <c r="F149" s="6">
        <v>394.7</v>
      </c>
      <c r="G149" s="7">
        <v>236.5</v>
      </c>
      <c r="H149" s="6">
        <v>412</v>
      </c>
      <c r="I149" s="6">
        <v>202</v>
      </c>
      <c r="J149" s="7">
        <v>202</v>
      </c>
      <c r="K149" s="7">
        <v>140</v>
      </c>
      <c r="L149" s="6">
        <v>199</v>
      </c>
      <c r="M149" s="6">
        <v>122</v>
      </c>
      <c r="N149" s="7">
        <v>184</v>
      </c>
      <c r="O149" s="6">
        <v>172</v>
      </c>
      <c r="P149" s="7">
        <v>189</v>
      </c>
      <c r="Q149" s="6">
        <v>234</v>
      </c>
      <c r="R149" s="6">
        <v>99.2</v>
      </c>
      <c r="S149" s="6">
        <v>176.5</v>
      </c>
      <c r="T149" s="6">
        <v>161.9</v>
      </c>
      <c r="U149" s="7">
        <v>149</v>
      </c>
      <c r="V149" s="7">
        <v>258</v>
      </c>
      <c r="W149" s="6">
        <v>152.30000000000001</v>
      </c>
      <c r="X149" s="6">
        <v>105</v>
      </c>
      <c r="Y149" s="6">
        <v>143</v>
      </c>
      <c r="Z149" s="7">
        <v>145</v>
      </c>
      <c r="AA149" s="76">
        <v>283</v>
      </c>
      <c r="AB149" s="7">
        <v>274</v>
      </c>
      <c r="AC149" s="6">
        <v>359.5</v>
      </c>
      <c r="AD149" s="6">
        <v>173.3</v>
      </c>
      <c r="AE149" s="6">
        <v>288.3</v>
      </c>
      <c r="AF149" s="6">
        <v>346</v>
      </c>
      <c r="AG149" s="6">
        <v>274</v>
      </c>
      <c r="AH149" s="6">
        <v>444</v>
      </c>
      <c r="AI149" s="7">
        <v>343.5</v>
      </c>
      <c r="AJ149" s="6">
        <v>214.7</v>
      </c>
      <c r="AK149" s="7">
        <v>277</v>
      </c>
      <c r="AL149" s="7">
        <v>267</v>
      </c>
    </row>
    <row r="150" spans="2:38" s="9" customFormat="1">
      <c r="B150" s="76">
        <v>1992</v>
      </c>
      <c r="C150" s="178" t="s">
        <v>135</v>
      </c>
      <c r="D150" s="6">
        <v>124</v>
      </c>
      <c r="E150" s="7">
        <v>57</v>
      </c>
      <c r="F150" s="6">
        <v>287.2</v>
      </c>
      <c r="G150" s="7">
        <v>93</v>
      </c>
      <c r="H150" s="6">
        <v>155</v>
      </c>
      <c r="I150" s="6">
        <v>125</v>
      </c>
      <c r="J150" s="7">
        <v>159</v>
      </c>
      <c r="K150" s="7">
        <v>87</v>
      </c>
      <c r="L150" s="6">
        <v>81</v>
      </c>
      <c r="M150" s="6">
        <v>155</v>
      </c>
      <c r="N150" s="7">
        <v>70</v>
      </c>
      <c r="O150" s="6">
        <v>80</v>
      </c>
      <c r="P150" s="7">
        <v>119</v>
      </c>
      <c r="Q150" s="6">
        <v>146</v>
      </c>
      <c r="R150" s="6">
        <v>139.5</v>
      </c>
      <c r="S150" s="6">
        <v>78</v>
      </c>
      <c r="T150" s="6">
        <v>67.099999999999994</v>
      </c>
      <c r="U150" s="7">
        <v>176</v>
      </c>
      <c r="V150" s="7">
        <v>183</v>
      </c>
      <c r="W150" s="6">
        <v>75.3</v>
      </c>
      <c r="X150" s="6">
        <v>373</v>
      </c>
      <c r="Y150" s="6">
        <v>82.7</v>
      </c>
      <c r="Z150" s="7">
        <v>108</v>
      </c>
      <c r="AA150" s="76">
        <v>100</v>
      </c>
      <c r="AB150" s="7">
        <v>106</v>
      </c>
      <c r="AC150" s="6">
        <v>198.2</v>
      </c>
      <c r="AD150" s="6">
        <v>98.9</v>
      </c>
      <c r="AE150" s="6">
        <v>109.5</v>
      </c>
      <c r="AF150" s="6">
        <v>144</v>
      </c>
      <c r="AG150" s="6">
        <v>192</v>
      </c>
      <c r="AH150" s="6">
        <v>114</v>
      </c>
      <c r="AI150" s="7">
        <v>196.5</v>
      </c>
      <c r="AJ150" s="6">
        <v>171.6</v>
      </c>
      <c r="AK150" s="7">
        <v>133</v>
      </c>
      <c r="AL150" s="7">
        <v>186</v>
      </c>
    </row>
    <row r="151" spans="2:38" s="9" customFormat="1">
      <c r="B151" s="76">
        <v>1992</v>
      </c>
      <c r="C151" s="178" t="s">
        <v>136</v>
      </c>
      <c r="D151" s="6">
        <v>140</v>
      </c>
      <c r="E151" s="7">
        <v>252</v>
      </c>
      <c r="F151" s="6">
        <v>247.9</v>
      </c>
      <c r="G151" s="7">
        <v>210</v>
      </c>
      <c r="H151" s="6">
        <v>97</v>
      </c>
      <c r="I151" s="6">
        <v>109</v>
      </c>
      <c r="J151" s="7">
        <v>194</v>
      </c>
      <c r="K151" s="7">
        <v>119</v>
      </c>
      <c r="L151" s="6">
        <v>103</v>
      </c>
      <c r="M151" s="6">
        <v>331</v>
      </c>
      <c r="N151" s="7">
        <v>71</v>
      </c>
      <c r="O151" s="6">
        <v>148</v>
      </c>
      <c r="P151" s="7">
        <v>310</v>
      </c>
      <c r="Q151" s="6">
        <v>231</v>
      </c>
      <c r="R151" s="6">
        <v>118.4</v>
      </c>
      <c r="S151" s="6">
        <v>250.5</v>
      </c>
      <c r="T151" s="6">
        <v>64.5</v>
      </c>
      <c r="U151" s="7">
        <v>148.5</v>
      </c>
      <c r="V151" s="7">
        <v>285.5</v>
      </c>
      <c r="W151" s="6">
        <v>93</v>
      </c>
      <c r="X151" s="6">
        <v>98</v>
      </c>
      <c r="Y151" s="6">
        <v>159.69999999999999</v>
      </c>
      <c r="Z151" s="7">
        <v>157</v>
      </c>
      <c r="AA151" s="76">
        <v>116</v>
      </c>
      <c r="AB151" s="7">
        <v>196</v>
      </c>
      <c r="AC151" s="6">
        <v>196.5</v>
      </c>
      <c r="AD151" s="6">
        <v>135.19999999999999</v>
      </c>
      <c r="AE151" s="6">
        <v>54.1</v>
      </c>
      <c r="AF151" s="6">
        <v>153</v>
      </c>
      <c r="AG151" s="6">
        <v>208</v>
      </c>
      <c r="AH151" s="6">
        <v>194</v>
      </c>
      <c r="AI151" s="7">
        <v>254.5</v>
      </c>
      <c r="AJ151" s="6">
        <v>264.60000000000002</v>
      </c>
      <c r="AK151" s="7">
        <v>208</v>
      </c>
      <c r="AL151" s="7">
        <v>266</v>
      </c>
    </row>
    <row r="152" spans="2:38" s="9" customFormat="1">
      <c r="B152" s="76">
        <v>1992</v>
      </c>
      <c r="C152" s="178" t="s">
        <v>137</v>
      </c>
      <c r="D152" s="6">
        <v>98</v>
      </c>
      <c r="E152" s="7">
        <v>296</v>
      </c>
      <c r="F152" s="6">
        <v>102.5</v>
      </c>
      <c r="G152" s="7">
        <v>120</v>
      </c>
      <c r="H152" s="6">
        <v>81</v>
      </c>
      <c r="I152" s="6">
        <v>84</v>
      </c>
      <c r="J152" s="7">
        <v>90</v>
      </c>
      <c r="K152" s="7">
        <v>59</v>
      </c>
      <c r="L152" s="6">
        <v>57</v>
      </c>
      <c r="M152" s="6">
        <v>128</v>
      </c>
      <c r="N152" s="7">
        <v>99</v>
      </c>
      <c r="O152" s="6">
        <v>102</v>
      </c>
      <c r="P152" s="7">
        <v>208</v>
      </c>
      <c r="Q152" s="6">
        <v>92</v>
      </c>
      <c r="R152" s="6">
        <v>53</v>
      </c>
      <c r="S152" s="6">
        <v>112.7</v>
      </c>
      <c r="T152" s="6">
        <v>57.4</v>
      </c>
      <c r="U152" s="7">
        <v>58</v>
      </c>
      <c r="V152" s="7">
        <v>197</v>
      </c>
      <c r="W152" s="6">
        <v>51.3</v>
      </c>
      <c r="X152" s="6">
        <v>49</v>
      </c>
      <c r="Y152" s="6">
        <v>53</v>
      </c>
      <c r="Z152" s="7">
        <v>66</v>
      </c>
      <c r="AA152" s="76">
        <v>47</v>
      </c>
      <c r="AB152" s="7">
        <v>47</v>
      </c>
      <c r="AC152" s="6">
        <v>107.5</v>
      </c>
      <c r="AD152" s="6">
        <v>114.1</v>
      </c>
      <c r="AE152" s="6">
        <v>34.5</v>
      </c>
      <c r="AF152" s="6">
        <v>46</v>
      </c>
      <c r="AG152" s="6">
        <v>68</v>
      </c>
      <c r="AH152" s="6">
        <v>65</v>
      </c>
      <c r="AI152" s="7">
        <v>149.5</v>
      </c>
      <c r="AJ152" s="6">
        <v>113.7</v>
      </c>
      <c r="AK152" s="7">
        <v>35</v>
      </c>
      <c r="AL152" s="7">
        <v>222</v>
      </c>
    </row>
    <row r="153" spans="2:38" s="9" customFormat="1">
      <c r="B153" s="76">
        <v>1992</v>
      </c>
      <c r="C153" s="178" t="s">
        <v>138</v>
      </c>
      <c r="D153" s="6">
        <v>22</v>
      </c>
      <c r="E153" s="7">
        <v>54</v>
      </c>
      <c r="F153" s="6">
        <v>16.2</v>
      </c>
      <c r="G153" s="7">
        <v>60</v>
      </c>
      <c r="H153" s="6">
        <v>12</v>
      </c>
      <c r="I153" s="6">
        <v>83</v>
      </c>
      <c r="J153" s="7">
        <v>68</v>
      </c>
      <c r="K153" s="7">
        <v>106</v>
      </c>
      <c r="L153" s="6">
        <v>83</v>
      </c>
      <c r="M153" s="6">
        <v>50</v>
      </c>
      <c r="N153" s="7">
        <v>97</v>
      </c>
      <c r="O153" s="6">
        <v>36</v>
      </c>
      <c r="P153" s="7">
        <v>50</v>
      </c>
      <c r="Q153" s="6">
        <v>45</v>
      </c>
      <c r="R153" s="6">
        <v>111</v>
      </c>
      <c r="S153" s="6">
        <v>62.7</v>
      </c>
      <c r="T153" s="6">
        <v>77.2</v>
      </c>
      <c r="U153" s="7">
        <v>63</v>
      </c>
      <c r="V153" s="7">
        <v>30.5</v>
      </c>
      <c r="W153" s="6">
        <v>51.5</v>
      </c>
      <c r="X153" s="6">
        <v>111</v>
      </c>
      <c r="Y153" s="6">
        <v>82.4</v>
      </c>
      <c r="Z153" s="7">
        <v>99</v>
      </c>
      <c r="AA153" s="76">
        <v>52</v>
      </c>
      <c r="AB153" s="7">
        <v>29</v>
      </c>
      <c r="AC153" s="6">
        <v>39.299999999999997</v>
      </c>
      <c r="AD153" s="6">
        <v>52.9</v>
      </c>
      <c r="AE153" s="6">
        <v>27.5</v>
      </c>
      <c r="AF153" s="6">
        <v>17</v>
      </c>
      <c r="AG153" s="6">
        <v>21</v>
      </c>
      <c r="AH153" s="6">
        <v>26</v>
      </c>
      <c r="AI153" s="7">
        <v>16</v>
      </c>
      <c r="AJ153" s="6">
        <v>33.200000000000003</v>
      </c>
      <c r="AK153" s="7">
        <v>31</v>
      </c>
      <c r="AL153" s="7">
        <v>39.5</v>
      </c>
    </row>
    <row r="154" spans="2:38" s="9" customFormat="1">
      <c r="B154" s="76">
        <v>1992</v>
      </c>
      <c r="C154" s="178" t="s">
        <v>139</v>
      </c>
      <c r="D154" s="6">
        <v>40</v>
      </c>
      <c r="E154" s="7">
        <v>123</v>
      </c>
      <c r="F154" s="6">
        <v>98.6</v>
      </c>
      <c r="G154" s="7">
        <v>64</v>
      </c>
      <c r="H154" s="6">
        <v>80</v>
      </c>
      <c r="I154" s="6">
        <v>75</v>
      </c>
      <c r="J154" s="7">
        <v>82</v>
      </c>
      <c r="K154" s="7">
        <v>42</v>
      </c>
      <c r="L154" s="6">
        <v>57</v>
      </c>
      <c r="M154" s="6">
        <v>134</v>
      </c>
      <c r="N154" s="7">
        <v>66</v>
      </c>
      <c r="O154" s="6">
        <v>75</v>
      </c>
      <c r="P154" s="7">
        <v>62.5</v>
      </c>
      <c r="Q154" s="6">
        <v>79</v>
      </c>
      <c r="R154" s="6">
        <v>36.700000000000003</v>
      </c>
      <c r="S154" s="6">
        <v>90.5</v>
      </c>
      <c r="T154" s="6">
        <v>37.200000000000003</v>
      </c>
      <c r="U154" s="7">
        <v>62</v>
      </c>
      <c r="V154" s="7">
        <v>118</v>
      </c>
      <c r="W154" s="6">
        <v>57.7</v>
      </c>
      <c r="X154" s="6">
        <v>37</v>
      </c>
      <c r="Y154" s="6">
        <v>65</v>
      </c>
      <c r="Z154" s="7">
        <v>59</v>
      </c>
      <c r="AA154" s="76">
        <v>54</v>
      </c>
      <c r="AB154" s="7">
        <v>83</v>
      </c>
      <c r="AC154" s="6">
        <v>103</v>
      </c>
      <c r="AD154" s="6">
        <v>38.1</v>
      </c>
      <c r="AE154" s="6">
        <v>82.5</v>
      </c>
      <c r="AF154" s="6">
        <v>69</v>
      </c>
      <c r="AG154" s="6">
        <v>56</v>
      </c>
      <c r="AH154" s="6">
        <v>63</v>
      </c>
      <c r="AI154" s="7">
        <v>110</v>
      </c>
      <c r="AJ154" s="6">
        <v>93.9</v>
      </c>
      <c r="AK154" s="7">
        <v>71</v>
      </c>
      <c r="AL154" s="7">
        <v>130</v>
      </c>
    </row>
    <row r="155" spans="2:38" s="9" customFormat="1">
      <c r="B155" s="76">
        <v>1992</v>
      </c>
      <c r="C155" s="178" t="s">
        <v>140</v>
      </c>
      <c r="D155" s="6">
        <v>87</v>
      </c>
      <c r="E155" s="7">
        <v>67</v>
      </c>
      <c r="F155" s="6">
        <v>89.1</v>
      </c>
      <c r="G155" s="7">
        <v>88</v>
      </c>
      <c r="H155" s="6">
        <v>102</v>
      </c>
      <c r="I155" s="6">
        <v>94</v>
      </c>
      <c r="J155" s="7">
        <v>96</v>
      </c>
      <c r="K155" s="7">
        <v>64</v>
      </c>
      <c r="L155" s="6">
        <v>103.5</v>
      </c>
      <c r="M155" s="6">
        <v>92</v>
      </c>
      <c r="N155" s="7">
        <v>93</v>
      </c>
      <c r="O155" s="6">
        <v>54</v>
      </c>
      <c r="P155" s="7">
        <v>42</v>
      </c>
      <c r="Q155" s="6">
        <v>122</v>
      </c>
      <c r="R155" s="6">
        <v>82.2</v>
      </c>
      <c r="S155" s="6">
        <v>65.8</v>
      </c>
      <c r="T155" s="6">
        <v>81.099999999999994</v>
      </c>
      <c r="U155" s="7">
        <v>74</v>
      </c>
      <c r="V155" s="7">
        <v>59.5</v>
      </c>
      <c r="W155" s="6">
        <v>109.2</v>
      </c>
      <c r="X155" s="6">
        <v>86</v>
      </c>
      <c r="Y155" s="6">
        <v>138.80000000000001</v>
      </c>
      <c r="Z155" s="7">
        <v>79</v>
      </c>
      <c r="AA155" s="76">
        <v>110</v>
      </c>
      <c r="AB155" s="7">
        <v>77</v>
      </c>
      <c r="AC155" s="6">
        <v>57.5</v>
      </c>
      <c r="AD155" s="6">
        <v>124.1</v>
      </c>
      <c r="AE155" s="6">
        <v>61.5</v>
      </c>
      <c r="AF155" s="6">
        <v>63</v>
      </c>
      <c r="AG155" s="6">
        <v>60</v>
      </c>
      <c r="AH155" s="6">
        <v>73</v>
      </c>
      <c r="AI155" s="7">
        <v>69</v>
      </c>
      <c r="AJ155" s="6">
        <v>95.4</v>
      </c>
      <c r="AK155" s="7">
        <v>66</v>
      </c>
      <c r="AL155" s="7">
        <v>64</v>
      </c>
    </row>
    <row r="156" spans="2:38" s="9" customFormat="1">
      <c r="B156" s="76">
        <v>1992</v>
      </c>
      <c r="C156" s="178" t="s">
        <v>141</v>
      </c>
      <c r="D156" s="6">
        <v>48</v>
      </c>
      <c r="E156" s="7">
        <v>37</v>
      </c>
      <c r="F156" s="6">
        <v>59.4</v>
      </c>
      <c r="G156" s="7">
        <v>58</v>
      </c>
      <c r="H156" s="6">
        <v>63</v>
      </c>
      <c r="I156" s="6">
        <v>74.5</v>
      </c>
      <c r="J156" s="7">
        <v>46</v>
      </c>
      <c r="K156" s="7">
        <v>43</v>
      </c>
      <c r="L156" s="6">
        <v>94</v>
      </c>
      <c r="M156" s="6">
        <v>45</v>
      </c>
      <c r="N156" s="7">
        <v>154</v>
      </c>
      <c r="O156" s="6">
        <v>29</v>
      </c>
      <c r="P156" s="7">
        <v>53</v>
      </c>
      <c r="Q156" s="6">
        <v>68</v>
      </c>
      <c r="R156" s="6">
        <v>59.4</v>
      </c>
      <c r="S156" s="6">
        <v>90.9</v>
      </c>
      <c r="T156" s="6">
        <v>89.5</v>
      </c>
      <c r="U156" s="7">
        <v>95</v>
      </c>
      <c r="V156" s="7">
        <v>76.099999999999994</v>
      </c>
      <c r="W156" s="6">
        <v>110.5</v>
      </c>
      <c r="X156" s="6">
        <v>125</v>
      </c>
      <c r="Y156" s="6">
        <v>60.7</v>
      </c>
      <c r="Z156" s="7">
        <v>98</v>
      </c>
      <c r="AA156" s="76">
        <v>151</v>
      </c>
      <c r="AB156" s="7">
        <v>61</v>
      </c>
      <c r="AC156" s="6">
        <v>73.099999999999994</v>
      </c>
      <c r="AD156" s="6">
        <v>82.7</v>
      </c>
      <c r="AE156" s="6">
        <v>59.4</v>
      </c>
      <c r="AF156" s="6">
        <v>86</v>
      </c>
      <c r="AG156" s="6">
        <v>50</v>
      </c>
      <c r="AH156" s="6">
        <v>101</v>
      </c>
      <c r="AI156" s="7">
        <v>64.5</v>
      </c>
      <c r="AJ156" s="6">
        <v>52</v>
      </c>
      <c r="AK156" s="7">
        <v>72</v>
      </c>
      <c r="AL156" s="7">
        <v>86</v>
      </c>
    </row>
    <row r="157" spans="2:38" s="9" customFormat="1">
      <c r="B157" s="76">
        <v>1992</v>
      </c>
      <c r="C157" s="178" t="s">
        <v>143</v>
      </c>
      <c r="D157" s="6">
        <v>126</v>
      </c>
      <c r="E157" s="7">
        <v>117</v>
      </c>
      <c r="F157" s="6">
        <v>116.8</v>
      </c>
      <c r="G157" s="7">
        <v>43.6</v>
      </c>
      <c r="H157" s="6">
        <v>65</v>
      </c>
      <c r="I157" s="6">
        <v>32</v>
      </c>
      <c r="J157" s="7">
        <v>134</v>
      </c>
      <c r="K157" s="7">
        <v>48</v>
      </c>
      <c r="L157" s="6">
        <v>50</v>
      </c>
      <c r="M157" s="6">
        <v>101</v>
      </c>
      <c r="N157" s="7">
        <v>55</v>
      </c>
      <c r="O157" s="6">
        <v>60</v>
      </c>
      <c r="P157" s="7">
        <v>113</v>
      </c>
      <c r="Q157" s="6">
        <v>100</v>
      </c>
      <c r="R157" s="6">
        <v>94.7</v>
      </c>
      <c r="S157" s="6">
        <v>92</v>
      </c>
      <c r="T157" s="6">
        <v>72.8</v>
      </c>
      <c r="U157" s="7">
        <v>150</v>
      </c>
      <c r="V157" s="7">
        <v>142</v>
      </c>
      <c r="W157" s="6">
        <v>123.4</v>
      </c>
      <c r="X157" s="6">
        <v>31.5</v>
      </c>
      <c r="Y157" s="6">
        <v>10.4</v>
      </c>
      <c r="Z157" s="7">
        <v>41</v>
      </c>
      <c r="AA157" s="76">
        <v>147</v>
      </c>
      <c r="AB157" s="7">
        <v>78</v>
      </c>
      <c r="AC157" s="6">
        <v>178.7</v>
      </c>
      <c r="AD157" s="6">
        <v>31.7</v>
      </c>
      <c r="AE157" s="6">
        <v>154.9</v>
      </c>
      <c r="AF157" s="6">
        <v>115</v>
      </c>
      <c r="AG157" s="6">
        <v>247</v>
      </c>
      <c r="AH157" s="6">
        <v>33</v>
      </c>
      <c r="AI157" s="7">
        <v>78.900000000000006</v>
      </c>
      <c r="AJ157" s="6">
        <v>152.19999999999999</v>
      </c>
      <c r="AK157" s="7">
        <v>194.5</v>
      </c>
      <c r="AL157" s="7">
        <v>167</v>
      </c>
    </row>
    <row r="158" spans="2:38" s="9" customFormat="1">
      <c r="B158" s="76">
        <v>1993</v>
      </c>
      <c r="C158" s="178" t="s">
        <v>131</v>
      </c>
      <c r="D158" s="6">
        <v>101</v>
      </c>
      <c r="E158" s="7">
        <v>119</v>
      </c>
      <c r="F158" s="6">
        <v>253.3</v>
      </c>
      <c r="G158" s="7">
        <v>267</v>
      </c>
      <c r="H158" s="6">
        <v>296</v>
      </c>
      <c r="I158" s="6">
        <v>117</v>
      </c>
      <c r="J158" s="7">
        <v>125</v>
      </c>
      <c r="K158" s="7">
        <v>130</v>
      </c>
      <c r="L158" s="6">
        <v>216</v>
      </c>
      <c r="M158" s="6">
        <v>224</v>
      </c>
      <c r="N158" s="7">
        <v>180</v>
      </c>
      <c r="O158" s="6">
        <v>73</v>
      </c>
      <c r="P158" s="7">
        <v>87</v>
      </c>
      <c r="Q158" s="6">
        <v>214</v>
      </c>
      <c r="R158" s="6">
        <v>136.4</v>
      </c>
      <c r="S158" s="6">
        <v>105.8</v>
      </c>
      <c r="T158" s="6">
        <v>187.7</v>
      </c>
      <c r="U158" s="7">
        <v>107</v>
      </c>
      <c r="V158" s="7">
        <v>138</v>
      </c>
      <c r="W158" s="6">
        <v>161.69999999999999</v>
      </c>
      <c r="X158" s="6">
        <v>150</v>
      </c>
      <c r="Y158" s="6">
        <v>90</v>
      </c>
      <c r="Z158" s="7">
        <v>129</v>
      </c>
      <c r="AA158" s="76">
        <v>119</v>
      </c>
      <c r="AB158" s="7">
        <v>199</v>
      </c>
      <c r="AC158" s="6">
        <v>237</v>
      </c>
      <c r="AD158" s="6">
        <v>118.6</v>
      </c>
      <c r="AE158" s="6">
        <v>134.80000000000001</v>
      </c>
      <c r="AF158" s="6">
        <v>232</v>
      </c>
      <c r="AG158" s="6">
        <v>210</v>
      </c>
      <c r="AH158" s="6">
        <v>152</v>
      </c>
      <c r="AI158" s="7">
        <v>224</v>
      </c>
      <c r="AJ158" s="6">
        <v>128.80000000000001</v>
      </c>
      <c r="AK158" s="7">
        <v>259</v>
      </c>
      <c r="AL158" s="7">
        <v>99</v>
      </c>
    </row>
    <row r="159" spans="2:38" s="9" customFormat="1">
      <c r="B159" s="76">
        <v>1993</v>
      </c>
      <c r="C159" s="178" t="s">
        <v>132</v>
      </c>
      <c r="D159" s="6">
        <v>109</v>
      </c>
      <c r="E159" s="7">
        <v>97</v>
      </c>
      <c r="F159" s="6">
        <v>73.599999999999994</v>
      </c>
      <c r="G159" s="7">
        <v>224</v>
      </c>
      <c r="H159" s="6">
        <v>22</v>
      </c>
      <c r="I159" s="6">
        <v>111</v>
      </c>
      <c r="J159" s="7">
        <v>88.5</v>
      </c>
      <c r="K159" s="7">
        <v>203</v>
      </c>
      <c r="L159" s="6">
        <v>34</v>
      </c>
      <c r="M159" s="6">
        <v>71</v>
      </c>
      <c r="N159" s="7">
        <v>158.5</v>
      </c>
      <c r="O159" s="6">
        <v>70</v>
      </c>
      <c r="P159" s="7">
        <v>97</v>
      </c>
      <c r="Q159" s="6">
        <v>58</v>
      </c>
      <c r="R159" s="6">
        <v>221.3</v>
      </c>
      <c r="S159" s="6">
        <v>112.2</v>
      </c>
      <c r="T159" s="6">
        <v>77.5</v>
      </c>
      <c r="U159" s="7">
        <v>111.5</v>
      </c>
      <c r="V159" s="7">
        <v>92.5</v>
      </c>
      <c r="W159" s="6">
        <v>88.1</v>
      </c>
      <c r="X159" s="6">
        <v>218.5</v>
      </c>
      <c r="Y159" s="6">
        <v>275.60000000000002</v>
      </c>
      <c r="Z159" s="7">
        <v>158</v>
      </c>
      <c r="AA159" s="76">
        <v>85</v>
      </c>
      <c r="AB159" s="7">
        <v>66</v>
      </c>
      <c r="AC159" s="6">
        <v>102.7</v>
      </c>
      <c r="AD159" s="6">
        <v>185</v>
      </c>
      <c r="AE159" s="6">
        <v>39.6</v>
      </c>
      <c r="AF159" s="6">
        <v>18</v>
      </c>
      <c r="AG159" s="6">
        <v>63</v>
      </c>
      <c r="AH159" s="6">
        <v>36</v>
      </c>
      <c r="AI159" s="7">
        <v>68.5</v>
      </c>
      <c r="AJ159" s="6">
        <v>185.5</v>
      </c>
      <c r="AK159" s="7">
        <v>76</v>
      </c>
      <c r="AL159" s="7">
        <v>109</v>
      </c>
    </row>
    <row r="160" spans="2:38" s="9" customFormat="1">
      <c r="B160" s="76">
        <v>1993</v>
      </c>
      <c r="C160" s="178" t="s">
        <v>133</v>
      </c>
      <c r="D160" s="6">
        <v>12</v>
      </c>
      <c r="E160" s="7">
        <v>57</v>
      </c>
      <c r="F160" s="6">
        <v>64.900000000000006</v>
      </c>
      <c r="G160" s="7">
        <v>138.5</v>
      </c>
      <c r="H160" s="6">
        <v>145</v>
      </c>
      <c r="I160" s="6">
        <v>28</v>
      </c>
      <c r="J160" s="7">
        <v>22</v>
      </c>
      <c r="K160" s="7">
        <v>62</v>
      </c>
      <c r="L160" s="6">
        <v>50</v>
      </c>
      <c r="M160" s="6">
        <v>23</v>
      </c>
      <c r="N160" s="7">
        <v>86</v>
      </c>
      <c r="O160" s="6">
        <v>13</v>
      </c>
      <c r="P160" s="7">
        <v>29</v>
      </c>
      <c r="Q160" s="6">
        <v>10</v>
      </c>
      <c r="R160" s="6">
        <v>49.3</v>
      </c>
      <c r="S160" s="6">
        <v>27.9</v>
      </c>
      <c r="T160" s="6">
        <v>193.1</v>
      </c>
      <c r="U160" s="7">
        <v>96</v>
      </c>
      <c r="V160" s="7">
        <v>29.5</v>
      </c>
      <c r="W160" s="6">
        <v>47</v>
      </c>
      <c r="X160" s="6">
        <v>69</v>
      </c>
      <c r="Y160" s="6">
        <v>26.4</v>
      </c>
      <c r="Z160" s="7">
        <v>36</v>
      </c>
      <c r="AA160" s="76">
        <v>57</v>
      </c>
      <c r="AB160" s="7">
        <v>56</v>
      </c>
      <c r="AC160" s="6">
        <v>52.5</v>
      </c>
      <c r="AD160" s="6">
        <v>31.8</v>
      </c>
      <c r="AE160" s="6">
        <v>128.19999999999999</v>
      </c>
      <c r="AF160" s="6">
        <v>73</v>
      </c>
      <c r="AG160" s="6">
        <v>132</v>
      </c>
      <c r="AH160" s="6">
        <v>88</v>
      </c>
      <c r="AI160" s="7">
        <v>44</v>
      </c>
      <c r="AJ160" s="6">
        <v>79.900000000000006</v>
      </c>
      <c r="AK160" s="7">
        <v>78</v>
      </c>
      <c r="AL160" s="7">
        <v>28</v>
      </c>
    </row>
    <row r="161" spans="2:38" s="9" customFormat="1">
      <c r="B161" s="76">
        <v>1993</v>
      </c>
      <c r="C161" s="178" t="s">
        <v>134</v>
      </c>
      <c r="D161" s="6">
        <v>147</v>
      </c>
      <c r="E161" s="7">
        <v>78</v>
      </c>
      <c r="F161" s="6">
        <v>119.8</v>
      </c>
      <c r="G161" s="7">
        <v>216.5</v>
      </c>
      <c r="H161" s="6">
        <v>135</v>
      </c>
      <c r="I161" s="6">
        <v>107</v>
      </c>
      <c r="J161" s="7">
        <v>101</v>
      </c>
      <c r="K161" s="7">
        <v>131</v>
      </c>
      <c r="L161" s="6">
        <v>243</v>
      </c>
      <c r="M161" s="6">
        <v>101</v>
      </c>
      <c r="N161" s="7">
        <v>253</v>
      </c>
      <c r="O161" s="6">
        <v>214</v>
      </c>
      <c r="P161" s="7">
        <v>113</v>
      </c>
      <c r="Q161" s="6">
        <v>114</v>
      </c>
      <c r="R161" s="6">
        <v>193.1</v>
      </c>
      <c r="S161" s="6">
        <v>118.8</v>
      </c>
      <c r="T161" s="6">
        <v>204.9</v>
      </c>
      <c r="U161" s="7">
        <v>118</v>
      </c>
      <c r="V161" s="7">
        <v>88</v>
      </c>
      <c r="W161" s="6">
        <v>273.89999999999998</v>
      </c>
      <c r="X161" s="6">
        <v>302.5</v>
      </c>
      <c r="Y161" s="6">
        <v>344.6</v>
      </c>
      <c r="Z161" s="7">
        <v>189</v>
      </c>
      <c r="AA161" s="76">
        <v>363.5</v>
      </c>
      <c r="AB161" s="7">
        <v>294</v>
      </c>
      <c r="AC161" s="6">
        <v>111.3</v>
      </c>
      <c r="AD161" s="6">
        <v>239.5</v>
      </c>
      <c r="AE161" s="6">
        <v>158.4</v>
      </c>
      <c r="AF161" s="6">
        <v>167</v>
      </c>
      <c r="AG161" s="6">
        <v>147</v>
      </c>
      <c r="AH161" s="6">
        <v>146</v>
      </c>
      <c r="AI161" s="7">
        <v>133</v>
      </c>
      <c r="AJ161" s="6">
        <v>117.7</v>
      </c>
      <c r="AK161" s="7">
        <v>100</v>
      </c>
      <c r="AL161" s="7">
        <v>150</v>
      </c>
    </row>
    <row r="162" spans="2:38" s="9" customFormat="1">
      <c r="B162" s="76">
        <v>1993</v>
      </c>
      <c r="C162" s="178" t="s">
        <v>135</v>
      </c>
      <c r="D162" s="6">
        <v>38</v>
      </c>
      <c r="E162" s="7">
        <v>186</v>
      </c>
      <c r="F162" s="6">
        <v>367.4</v>
      </c>
      <c r="G162" s="7">
        <v>243</v>
      </c>
      <c r="H162" s="6">
        <v>261</v>
      </c>
      <c r="I162" s="6">
        <v>90</v>
      </c>
      <c r="J162" s="7">
        <v>279</v>
      </c>
      <c r="K162" s="7">
        <v>46</v>
      </c>
      <c r="L162" s="6">
        <v>135</v>
      </c>
      <c r="M162" s="6">
        <v>199</v>
      </c>
      <c r="N162" s="7">
        <v>116</v>
      </c>
      <c r="O162" s="6">
        <v>160</v>
      </c>
      <c r="P162" s="7">
        <v>271</v>
      </c>
      <c r="Q162" s="6">
        <v>139</v>
      </c>
      <c r="R162" s="6">
        <v>96.2</v>
      </c>
      <c r="S162" s="6">
        <v>280.2</v>
      </c>
      <c r="T162" s="6">
        <v>105.2</v>
      </c>
      <c r="U162" s="7">
        <v>160</v>
      </c>
      <c r="V162" s="7">
        <v>358</v>
      </c>
      <c r="W162" s="6">
        <v>153</v>
      </c>
      <c r="X162" s="6">
        <v>102.5</v>
      </c>
      <c r="Y162" s="6">
        <v>74.8</v>
      </c>
      <c r="Z162" s="7">
        <v>71</v>
      </c>
      <c r="AA162" s="76">
        <v>228</v>
      </c>
      <c r="AB162" s="7">
        <v>310</v>
      </c>
      <c r="AC162" s="6">
        <v>417</v>
      </c>
      <c r="AD162" s="6">
        <v>98.8</v>
      </c>
      <c r="AE162" s="6">
        <v>333.7</v>
      </c>
      <c r="AF162" s="6">
        <v>258</v>
      </c>
      <c r="AG162" s="6">
        <v>509</v>
      </c>
      <c r="AH162" s="6">
        <v>215</v>
      </c>
      <c r="AI162" s="7">
        <v>479.5</v>
      </c>
      <c r="AJ162" s="6">
        <v>243.1</v>
      </c>
      <c r="AK162" s="7">
        <v>328</v>
      </c>
      <c r="AL162" s="7">
        <v>382</v>
      </c>
    </row>
    <row r="163" spans="2:38" s="9" customFormat="1">
      <c r="B163" s="76">
        <v>1993</v>
      </c>
      <c r="C163" s="178" t="s">
        <v>136</v>
      </c>
      <c r="D163" s="6">
        <v>82</v>
      </c>
      <c r="E163" s="7">
        <v>103</v>
      </c>
      <c r="F163" s="6">
        <v>72.8</v>
      </c>
      <c r="G163" s="7">
        <v>107.7</v>
      </c>
      <c r="H163" s="6">
        <v>89</v>
      </c>
      <c r="I163" s="6">
        <v>71</v>
      </c>
      <c r="J163" s="7">
        <v>69</v>
      </c>
      <c r="K163" s="7">
        <v>38</v>
      </c>
      <c r="L163" s="371" t="s">
        <v>142</v>
      </c>
      <c r="M163" s="6">
        <v>82</v>
      </c>
      <c r="N163" s="7">
        <v>81</v>
      </c>
      <c r="O163" s="6">
        <v>76</v>
      </c>
      <c r="P163" s="7">
        <v>149</v>
      </c>
      <c r="Q163" s="6">
        <v>100</v>
      </c>
      <c r="R163" s="6">
        <v>120.2</v>
      </c>
      <c r="S163" s="6">
        <v>105.6</v>
      </c>
      <c r="T163" s="6">
        <v>77</v>
      </c>
      <c r="U163" s="7">
        <v>48</v>
      </c>
      <c r="V163" s="7">
        <v>136</v>
      </c>
      <c r="W163" s="6">
        <v>58</v>
      </c>
      <c r="X163" s="6">
        <v>51</v>
      </c>
      <c r="Y163" s="6">
        <v>64</v>
      </c>
      <c r="Z163" s="7">
        <v>76</v>
      </c>
      <c r="AA163" s="76">
        <v>14</v>
      </c>
      <c r="AB163" s="7">
        <v>44</v>
      </c>
      <c r="AC163" s="6">
        <v>147</v>
      </c>
      <c r="AD163" s="6">
        <v>49</v>
      </c>
      <c r="AE163" s="6">
        <v>31.8</v>
      </c>
      <c r="AF163" s="6">
        <v>56</v>
      </c>
      <c r="AG163" s="6">
        <v>98</v>
      </c>
      <c r="AH163" s="6">
        <v>56</v>
      </c>
      <c r="AI163" s="7">
        <v>120</v>
      </c>
      <c r="AJ163" s="6">
        <v>81.599999999999994</v>
      </c>
      <c r="AK163" s="7">
        <v>78</v>
      </c>
      <c r="AL163" s="7">
        <v>107</v>
      </c>
    </row>
    <row r="164" spans="2:38" s="9" customFormat="1">
      <c r="B164" s="76">
        <v>1993</v>
      </c>
      <c r="C164" s="178" t="s">
        <v>137</v>
      </c>
      <c r="D164" s="6">
        <v>104</v>
      </c>
      <c r="E164" s="7">
        <v>117</v>
      </c>
      <c r="F164" s="6">
        <v>51</v>
      </c>
      <c r="G164" s="7">
        <v>268</v>
      </c>
      <c r="H164" s="6">
        <v>43</v>
      </c>
      <c r="I164" s="6">
        <v>75</v>
      </c>
      <c r="J164" s="7">
        <v>102</v>
      </c>
      <c r="K164" s="7">
        <v>2</v>
      </c>
      <c r="L164" s="6">
        <v>31.5</v>
      </c>
      <c r="M164" s="6">
        <v>89</v>
      </c>
      <c r="N164" s="7">
        <v>50</v>
      </c>
      <c r="O164" s="6">
        <v>96</v>
      </c>
      <c r="P164" s="7">
        <v>80</v>
      </c>
      <c r="Q164" s="6">
        <v>118</v>
      </c>
      <c r="R164" s="6">
        <v>34.700000000000003</v>
      </c>
      <c r="S164" s="6">
        <v>72.099999999999994</v>
      </c>
      <c r="T164" s="6">
        <v>29.6</v>
      </c>
      <c r="U164" s="7">
        <v>60.5</v>
      </c>
      <c r="V164" s="7">
        <v>90</v>
      </c>
      <c r="W164" s="6">
        <v>33.200000000000003</v>
      </c>
      <c r="X164" s="6">
        <v>74</v>
      </c>
      <c r="Y164" s="6">
        <v>56.5</v>
      </c>
      <c r="Z164" s="7">
        <v>56</v>
      </c>
      <c r="AA164" s="76">
        <v>36</v>
      </c>
      <c r="AB164" s="7">
        <v>61</v>
      </c>
      <c r="AC164" s="6">
        <v>67</v>
      </c>
      <c r="AD164" s="6">
        <v>164.9</v>
      </c>
      <c r="AE164" s="6">
        <v>38.799999999999997</v>
      </c>
      <c r="AF164" s="6">
        <v>35</v>
      </c>
      <c r="AG164" s="6">
        <v>73</v>
      </c>
      <c r="AH164" s="6">
        <v>23</v>
      </c>
      <c r="AI164" s="7">
        <v>68</v>
      </c>
      <c r="AJ164" s="6">
        <v>116.6</v>
      </c>
      <c r="AK164" s="7">
        <v>60</v>
      </c>
      <c r="AL164" s="7">
        <v>59</v>
      </c>
    </row>
    <row r="165" spans="2:38" s="9" customFormat="1">
      <c r="B165" s="76">
        <v>1993</v>
      </c>
      <c r="C165" s="178" t="s">
        <v>138</v>
      </c>
      <c r="D165" s="6">
        <v>116</v>
      </c>
      <c r="E165" s="7">
        <v>178</v>
      </c>
      <c r="F165" s="6">
        <v>9.5</v>
      </c>
      <c r="G165" s="7">
        <v>256.5</v>
      </c>
      <c r="H165" s="6">
        <v>6</v>
      </c>
      <c r="I165" s="6">
        <v>118</v>
      </c>
      <c r="J165" s="7">
        <v>113</v>
      </c>
      <c r="K165" s="7">
        <v>62</v>
      </c>
      <c r="L165" s="6">
        <v>31</v>
      </c>
      <c r="M165" s="6">
        <v>115</v>
      </c>
      <c r="N165" s="7">
        <v>125</v>
      </c>
      <c r="O165" s="6">
        <v>183</v>
      </c>
      <c r="P165" s="7">
        <v>107</v>
      </c>
      <c r="Q165" s="6">
        <v>166</v>
      </c>
      <c r="R165" s="6">
        <v>66.099999999999994</v>
      </c>
      <c r="S165" s="6">
        <v>93.9</v>
      </c>
      <c r="T165" s="6">
        <v>97.8</v>
      </c>
      <c r="U165" s="7">
        <v>92</v>
      </c>
      <c r="V165" s="7">
        <v>15</v>
      </c>
      <c r="W165" s="6">
        <v>33.9</v>
      </c>
      <c r="X165" s="6">
        <v>83</v>
      </c>
      <c r="Y165" s="6">
        <v>43.8</v>
      </c>
      <c r="Z165" s="7">
        <v>119</v>
      </c>
      <c r="AA165" s="76">
        <v>40</v>
      </c>
      <c r="AB165" s="7">
        <v>29</v>
      </c>
      <c r="AC165" s="6">
        <v>23.1</v>
      </c>
      <c r="AD165" s="6">
        <v>123.6</v>
      </c>
      <c r="AE165" s="6">
        <v>22.7</v>
      </c>
      <c r="AF165" s="6">
        <v>8</v>
      </c>
      <c r="AG165" s="6">
        <v>22</v>
      </c>
      <c r="AH165" s="6">
        <v>14</v>
      </c>
      <c r="AI165" s="7">
        <v>20</v>
      </c>
      <c r="AJ165" s="6">
        <v>117</v>
      </c>
      <c r="AK165" s="7">
        <v>37</v>
      </c>
      <c r="AL165" s="7">
        <v>45</v>
      </c>
    </row>
    <row r="166" spans="2:38" s="9" customFormat="1">
      <c r="B166" s="76">
        <v>1993</v>
      </c>
      <c r="C166" s="178" t="s">
        <v>139</v>
      </c>
      <c r="D166" s="6">
        <v>40</v>
      </c>
      <c r="E166" s="7">
        <v>35</v>
      </c>
      <c r="F166" s="6">
        <v>41.9</v>
      </c>
      <c r="G166" s="7">
        <v>191.5</v>
      </c>
      <c r="H166" s="6">
        <v>5</v>
      </c>
      <c r="I166" s="6">
        <v>47</v>
      </c>
      <c r="J166" s="7">
        <v>45</v>
      </c>
      <c r="K166" s="7">
        <v>16</v>
      </c>
      <c r="L166" s="6">
        <v>14.5</v>
      </c>
      <c r="M166" s="6">
        <v>48</v>
      </c>
      <c r="N166" s="7">
        <v>15</v>
      </c>
      <c r="O166" s="6">
        <v>47</v>
      </c>
      <c r="P166" s="7">
        <v>48</v>
      </c>
      <c r="Q166" s="6">
        <v>41</v>
      </c>
      <c r="R166" s="6">
        <v>34.700000000000003</v>
      </c>
      <c r="S166" s="6">
        <v>44.1</v>
      </c>
      <c r="T166" s="6">
        <v>9.3000000000000007</v>
      </c>
      <c r="U166" s="7">
        <v>23</v>
      </c>
      <c r="V166" s="7">
        <v>51</v>
      </c>
      <c r="W166" s="6">
        <v>12.9</v>
      </c>
      <c r="X166" s="6">
        <v>25</v>
      </c>
      <c r="Y166" s="6">
        <v>51.6</v>
      </c>
      <c r="Z166" s="7">
        <v>70</v>
      </c>
      <c r="AA166" s="76">
        <v>6.5</v>
      </c>
      <c r="AB166" s="7">
        <v>7</v>
      </c>
      <c r="AC166" s="6">
        <v>38.799999999999997</v>
      </c>
      <c r="AD166" s="6">
        <v>55.9</v>
      </c>
      <c r="AE166" s="6">
        <v>7.5</v>
      </c>
      <c r="AF166" s="371" t="s">
        <v>142</v>
      </c>
      <c r="AG166" s="6">
        <v>43</v>
      </c>
      <c r="AH166" s="6">
        <v>12</v>
      </c>
      <c r="AI166" s="7">
        <v>15.9</v>
      </c>
      <c r="AJ166" s="6">
        <v>39.700000000000003</v>
      </c>
      <c r="AK166" s="7">
        <v>4.5</v>
      </c>
      <c r="AL166" s="7">
        <v>41</v>
      </c>
    </row>
    <row r="167" spans="2:38" s="9" customFormat="1">
      <c r="B167" s="76">
        <v>1993</v>
      </c>
      <c r="C167" s="178" t="s">
        <v>140</v>
      </c>
      <c r="D167" s="6">
        <v>210</v>
      </c>
      <c r="E167" s="7">
        <v>218</v>
      </c>
      <c r="F167" s="6">
        <v>284.3</v>
      </c>
      <c r="G167" s="7">
        <v>386</v>
      </c>
      <c r="H167" s="6">
        <v>298</v>
      </c>
      <c r="I167" s="6">
        <v>280</v>
      </c>
      <c r="J167" s="7">
        <v>91</v>
      </c>
      <c r="K167" s="7">
        <v>115</v>
      </c>
      <c r="L167" s="6">
        <v>166.5</v>
      </c>
      <c r="M167" s="6">
        <v>110</v>
      </c>
      <c r="N167" s="7">
        <v>198</v>
      </c>
      <c r="O167" s="6">
        <v>101</v>
      </c>
      <c r="P167" s="7">
        <v>87</v>
      </c>
      <c r="Q167" s="6">
        <v>78</v>
      </c>
      <c r="R167" s="6">
        <v>239.1</v>
      </c>
      <c r="S167" s="6">
        <v>139.19999999999999</v>
      </c>
      <c r="T167" s="6">
        <v>218.5</v>
      </c>
      <c r="U167" s="7">
        <v>146</v>
      </c>
      <c r="V167" s="7">
        <v>135</v>
      </c>
      <c r="W167" s="6">
        <v>249.1</v>
      </c>
      <c r="X167" s="6">
        <v>161.5</v>
      </c>
      <c r="Y167" s="6">
        <v>216.4</v>
      </c>
      <c r="Z167" s="7">
        <v>163</v>
      </c>
      <c r="AA167" s="76">
        <v>290</v>
      </c>
      <c r="AB167" s="7">
        <v>230.5</v>
      </c>
      <c r="AC167" s="6">
        <v>243.8</v>
      </c>
      <c r="AD167" s="6">
        <v>204.8</v>
      </c>
      <c r="AE167" s="6">
        <v>301.89999999999998</v>
      </c>
      <c r="AF167" s="6">
        <v>265</v>
      </c>
      <c r="AG167" s="6">
        <v>135</v>
      </c>
      <c r="AH167" s="6">
        <v>181</v>
      </c>
      <c r="AI167" s="7">
        <v>258</v>
      </c>
      <c r="AJ167" s="6">
        <v>82</v>
      </c>
      <c r="AK167" s="7">
        <v>337</v>
      </c>
      <c r="AL167" s="7">
        <v>135</v>
      </c>
    </row>
    <row r="168" spans="2:38" s="9" customFormat="1">
      <c r="B168" s="76">
        <v>1993</v>
      </c>
      <c r="C168" s="178" t="s">
        <v>141</v>
      </c>
      <c r="D168" s="6">
        <v>68</v>
      </c>
      <c r="E168" s="7">
        <v>197</v>
      </c>
      <c r="F168" s="6">
        <v>227.5</v>
      </c>
      <c r="G168" s="7">
        <v>173.5</v>
      </c>
      <c r="H168" s="6">
        <v>282</v>
      </c>
      <c r="I168" s="6">
        <v>206</v>
      </c>
      <c r="J168" s="7">
        <v>126</v>
      </c>
      <c r="K168" s="7">
        <v>272</v>
      </c>
      <c r="L168" s="6">
        <v>114</v>
      </c>
      <c r="M168" s="6">
        <v>156</v>
      </c>
      <c r="N168" s="7">
        <v>205.5</v>
      </c>
      <c r="O168" s="6">
        <v>316</v>
      </c>
      <c r="P168" s="7">
        <v>136</v>
      </c>
      <c r="Q168" s="6">
        <v>170</v>
      </c>
      <c r="R168" s="6">
        <v>300.60000000000002</v>
      </c>
      <c r="S168" s="6">
        <v>171.6</v>
      </c>
      <c r="T168" s="6">
        <v>178.5</v>
      </c>
      <c r="U168" s="7">
        <v>116</v>
      </c>
      <c r="V168" s="7">
        <v>134.5</v>
      </c>
      <c r="W168" s="6">
        <v>148.4</v>
      </c>
      <c r="X168" s="6">
        <v>254</v>
      </c>
      <c r="Y168" s="6">
        <v>201.2</v>
      </c>
      <c r="Z168" s="7">
        <v>6</v>
      </c>
      <c r="AA168" s="76">
        <v>152.5</v>
      </c>
      <c r="AB168" s="7">
        <v>95</v>
      </c>
      <c r="AC168" s="6">
        <v>157.80000000000001</v>
      </c>
      <c r="AD168" s="6">
        <v>99.3</v>
      </c>
      <c r="AE168" s="6">
        <v>165.5</v>
      </c>
      <c r="AF168" s="6">
        <v>97</v>
      </c>
      <c r="AG168" s="6">
        <v>131</v>
      </c>
      <c r="AH168" s="6">
        <v>183</v>
      </c>
      <c r="AI168" s="7">
        <v>144.5</v>
      </c>
      <c r="AJ168" s="6">
        <v>117</v>
      </c>
      <c r="AK168" s="7">
        <v>111</v>
      </c>
      <c r="AL168" s="7">
        <v>207</v>
      </c>
    </row>
    <row r="169" spans="2:38" s="9" customFormat="1">
      <c r="B169" s="76">
        <v>1993</v>
      </c>
      <c r="C169" s="178" t="s">
        <v>143</v>
      </c>
      <c r="D169" s="6">
        <v>121</v>
      </c>
      <c r="E169" s="7">
        <v>164</v>
      </c>
      <c r="F169" s="6">
        <v>134.4</v>
      </c>
      <c r="G169" s="7">
        <v>230</v>
      </c>
      <c r="H169" s="6">
        <v>73</v>
      </c>
      <c r="I169" s="6">
        <v>173</v>
      </c>
      <c r="J169" s="7">
        <v>148.5</v>
      </c>
      <c r="K169" s="7">
        <v>159</v>
      </c>
      <c r="L169" s="6">
        <v>109.5</v>
      </c>
      <c r="M169" s="6">
        <v>214</v>
      </c>
      <c r="N169" s="7">
        <v>187.5</v>
      </c>
      <c r="O169" s="6">
        <v>130</v>
      </c>
      <c r="P169" s="7">
        <v>142</v>
      </c>
      <c r="Q169" s="6">
        <v>196</v>
      </c>
      <c r="R169" s="6">
        <v>177.9</v>
      </c>
      <c r="S169" s="6">
        <v>134.9</v>
      </c>
      <c r="T169" s="6">
        <v>158.1</v>
      </c>
      <c r="U169" s="7">
        <v>149</v>
      </c>
      <c r="V169" s="7">
        <v>224</v>
      </c>
      <c r="W169" s="6">
        <v>138.6</v>
      </c>
      <c r="X169" s="6">
        <v>146.5</v>
      </c>
      <c r="Y169" s="6">
        <v>132.69999999999999</v>
      </c>
      <c r="Z169" s="7">
        <v>90</v>
      </c>
      <c r="AA169" s="76">
        <v>154</v>
      </c>
      <c r="AB169" s="7">
        <v>220</v>
      </c>
      <c r="AC169" s="6">
        <v>185.1</v>
      </c>
      <c r="AD169" s="6">
        <v>118.5</v>
      </c>
      <c r="AE169" s="6">
        <v>140.69999999999999</v>
      </c>
      <c r="AF169" s="6">
        <v>108</v>
      </c>
      <c r="AG169" s="6">
        <v>256</v>
      </c>
      <c r="AH169" s="6">
        <v>69</v>
      </c>
      <c r="AI169" s="7">
        <v>216</v>
      </c>
      <c r="AJ169" s="6">
        <v>203</v>
      </c>
      <c r="AK169" s="7">
        <v>110</v>
      </c>
      <c r="AL169" s="7">
        <v>192</v>
      </c>
    </row>
    <row r="170" spans="2:38" s="9" customFormat="1">
      <c r="B170" s="76">
        <v>1994</v>
      </c>
      <c r="C170" s="178" t="s">
        <v>131</v>
      </c>
      <c r="D170" s="6">
        <v>77</v>
      </c>
      <c r="E170" s="7">
        <v>83</v>
      </c>
      <c r="F170" s="6">
        <v>14.4</v>
      </c>
      <c r="G170" s="7">
        <v>109</v>
      </c>
      <c r="H170" s="6">
        <v>22</v>
      </c>
      <c r="I170" s="6">
        <v>41</v>
      </c>
      <c r="J170" s="7">
        <v>105.5</v>
      </c>
      <c r="K170" s="7">
        <v>84</v>
      </c>
      <c r="L170" s="6">
        <v>134</v>
      </c>
      <c r="M170" s="6">
        <v>96</v>
      </c>
      <c r="N170" s="7">
        <v>68</v>
      </c>
      <c r="O170" s="6">
        <v>69</v>
      </c>
      <c r="P170" s="7">
        <v>69</v>
      </c>
      <c r="Q170" s="6">
        <v>184</v>
      </c>
      <c r="R170" s="6">
        <v>58.4</v>
      </c>
      <c r="S170" s="6">
        <v>97.6</v>
      </c>
      <c r="T170" s="6">
        <v>76</v>
      </c>
      <c r="U170" s="7">
        <v>169.5</v>
      </c>
      <c r="V170" s="7">
        <v>54</v>
      </c>
      <c r="W170" s="6">
        <v>95.7</v>
      </c>
      <c r="X170" s="6">
        <v>84</v>
      </c>
      <c r="Y170" s="6">
        <v>45.2</v>
      </c>
      <c r="Z170" s="7">
        <v>125</v>
      </c>
      <c r="AA170" s="76">
        <v>55</v>
      </c>
      <c r="AB170" s="7">
        <v>99</v>
      </c>
      <c r="AC170" s="6">
        <v>58.9</v>
      </c>
      <c r="AD170" s="6">
        <v>56.8</v>
      </c>
      <c r="AE170" s="6">
        <v>41.6</v>
      </c>
      <c r="AF170" s="6">
        <v>24</v>
      </c>
      <c r="AG170" s="6">
        <v>112</v>
      </c>
      <c r="AH170" s="6">
        <v>54</v>
      </c>
      <c r="AI170" s="7">
        <v>48</v>
      </c>
      <c r="AJ170" s="6">
        <v>152.80000000000001</v>
      </c>
      <c r="AK170" s="7">
        <v>34</v>
      </c>
      <c r="AL170" s="7">
        <v>40</v>
      </c>
    </row>
    <row r="171" spans="2:38" s="9" customFormat="1">
      <c r="B171" s="76">
        <v>1994</v>
      </c>
      <c r="C171" s="178" t="s">
        <v>132</v>
      </c>
      <c r="D171" s="6">
        <v>32</v>
      </c>
      <c r="E171" s="7">
        <v>153</v>
      </c>
      <c r="F171" s="6">
        <v>205.4</v>
      </c>
      <c r="G171" s="7">
        <v>65</v>
      </c>
      <c r="H171" s="6">
        <v>92</v>
      </c>
      <c r="I171" s="6">
        <v>58</v>
      </c>
      <c r="J171" s="7">
        <v>68</v>
      </c>
      <c r="K171" s="7">
        <v>20</v>
      </c>
      <c r="L171" s="6">
        <v>66</v>
      </c>
      <c r="M171" s="6">
        <v>63</v>
      </c>
      <c r="N171" s="7">
        <v>57</v>
      </c>
      <c r="O171" s="6">
        <v>37</v>
      </c>
      <c r="P171" s="7">
        <v>133</v>
      </c>
      <c r="Q171" s="6">
        <v>94</v>
      </c>
      <c r="R171" s="6">
        <v>31.5</v>
      </c>
      <c r="S171" s="6">
        <v>155.1</v>
      </c>
      <c r="T171" s="6">
        <v>65.7</v>
      </c>
      <c r="U171" s="7">
        <v>168.5</v>
      </c>
      <c r="V171" s="7">
        <v>221.5</v>
      </c>
      <c r="W171" s="6">
        <v>75.3</v>
      </c>
      <c r="X171" s="6">
        <v>32</v>
      </c>
      <c r="Y171" s="6">
        <v>44.2</v>
      </c>
      <c r="Z171" s="7">
        <v>74</v>
      </c>
      <c r="AA171" s="76">
        <v>48</v>
      </c>
      <c r="AB171" s="7">
        <v>141</v>
      </c>
      <c r="AC171" s="6">
        <v>214.5</v>
      </c>
      <c r="AD171" s="6">
        <v>43.7</v>
      </c>
      <c r="AE171" s="6">
        <v>109.1</v>
      </c>
      <c r="AF171" s="6">
        <v>147</v>
      </c>
      <c r="AG171" s="6">
        <v>99</v>
      </c>
      <c r="AH171" s="6">
        <v>97</v>
      </c>
      <c r="AI171" s="7">
        <v>200.5</v>
      </c>
      <c r="AJ171" s="6">
        <v>120.5</v>
      </c>
      <c r="AK171" s="7">
        <v>89</v>
      </c>
      <c r="AL171" s="7">
        <v>174.5</v>
      </c>
    </row>
    <row r="172" spans="2:38" s="9" customFormat="1">
      <c r="B172" s="76">
        <v>1994</v>
      </c>
      <c r="C172" s="178" t="s">
        <v>133</v>
      </c>
      <c r="D172" s="6">
        <v>86</v>
      </c>
      <c r="E172" s="7">
        <v>250</v>
      </c>
      <c r="F172" s="6">
        <v>100.6</v>
      </c>
      <c r="G172" s="7">
        <v>122.5</v>
      </c>
      <c r="H172" s="6">
        <v>164</v>
      </c>
      <c r="I172" s="6">
        <v>80</v>
      </c>
      <c r="J172" s="7">
        <v>263</v>
      </c>
      <c r="K172" s="7">
        <v>56</v>
      </c>
      <c r="L172" s="6">
        <v>97.5</v>
      </c>
      <c r="M172" s="6">
        <v>157</v>
      </c>
      <c r="N172" s="7">
        <v>128.5</v>
      </c>
      <c r="O172" s="6">
        <v>113</v>
      </c>
      <c r="P172" s="7">
        <v>198</v>
      </c>
      <c r="Q172" s="6">
        <v>159</v>
      </c>
      <c r="R172" s="6">
        <v>126</v>
      </c>
      <c r="S172" s="6">
        <v>192.1</v>
      </c>
      <c r="T172" s="6">
        <v>150.80000000000001</v>
      </c>
      <c r="U172" s="7">
        <v>236.5</v>
      </c>
      <c r="V172" s="7">
        <v>106.5</v>
      </c>
      <c r="W172" s="6">
        <v>95.9</v>
      </c>
      <c r="X172" s="6">
        <v>217</v>
      </c>
      <c r="Y172" s="6">
        <v>97.7</v>
      </c>
      <c r="Z172" s="7">
        <v>127</v>
      </c>
      <c r="AA172" s="76">
        <v>89</v>
      </c>
      <c r="AB172" s="7">
        <v>82</v>
      </c>
      <c r="AC172" s="6">
        <v>88.7</v>
      </c>
      <c r="AD172" s="6">
        <v>111.3</v>
      </c>
      <c r="AE172" s="6">
        <v>93.2</v>
      </c>
      <c r="AF172" s="6">
        <v>160</v>
      </c>
      <c r="AG172" s="6">
        <v>104</v>
      </c>
      <c r="AH172" s="6">
        <v>135</v>
      </c>
      <c r="AI172" s="7">
        <v>120</v>
      </c>
      <c r="AJ172" s="6">
        <v>178.1</v>
      </c>
      <c r="AK172" s="7">
        <v>115</v>
      </c>
      <c r="AL172" s="7">
        <v>185.5</v>
      </c>
    </row>
    <row r="173" spans="2:38" s="9" customFormat="1">
      <c r="B173" s="76">
        <v>1994</v>
      </c>
      <c r="C173" s="178" t="s">
        <v>134</v>
      </c>
      <c r="D173" s="6">
        <v>51</v>
      </c>
      <c r="E173" s="7">
        <v>49</v>
      </c>
      <c r="F173" s="6">
        <v>71.599999999999994</v>
      </c>
      <c r="G173" s="7">
        <v>23</v>
      </c>
      <c r="H173" s="6">
        <v>42</v>
      </c>
      <c r="I173" s="6">
        <v>45</v>
      </c>
      <c r="J173" s="7">
        <v>32</v>
      </c>
      <c r="K173" s="7">
        <v>46</v>
      </c>
      <c r="L173" s="6">
        <v>34</v>
      </c>
      <c r="M173" s="6">
        <v>13</v>
      </c>
      <c r="N173" s="7">
        <v>83</v>
      </c>
      <c r="O173" s="6">
        <v>62</v>
      </c>
      <c r="P173" s="7">
        <v>71</v>
      </c>
      <c r="Q173" s="6">
        <v>20</v>
      </c>
      <c r="R173" s="6">
        <v>88.4</v>
      </c>
      <c r="S173" s="6">
        <v>48.4</v>
      </c>
      <c r="T173" s="6">
        <v>94.9</v>
      </c>
      <c r="U173" s="7">
        <v>37</v>
      </c>
      <c r="V173" s="7">
        <v>82</v>
      </c>
      <c r="W173" s="6">
        <v>77</v>
      </c>
      <c r="X173" s="6">
        <v>79</v>
      </c>
      <c r="Y173" s="6">
        <v>140.80000000000001</v>
      </c>
      <c r="Z173" s="7">
        <v>38</v>
      </c>
      <c r="AA173" s="76">
        <v>60</v>
      </c>
      <c r="AB173" s="7">
        <v>36.5</v>
      </c>
      <c r="AC173" s="6">
        <v>93.3</v>
      </c>
      <c r="AD173" s="6">
        <v>87.1</v>
      </c>
      <c r="AE173" s="6">
        <v>52.8</v>
      </c>
      <c r="AF173" s="6">
        <v>53</v>
      </c>
      <c r="AG173" s="6">
        <v>49</v>
      </c>
      <c r="AH173" s="6">
        <v>60</v>
      </c>
      <c r="AI173" s="7">
        <v>121</v>
      </c>
      <c r="AJ173" s="6">
        <v>18.7</v>
      </c>
      <c r="AK173" s="7">
        <v>43.5</v>
      </c>
      <c r="AL173" s="7">
        <v>55</v>
      </c>
    </row>
    <row r="174" spans="2:38" s="9" customFormat="1">
      <c r="B174" s="76">
        <v>1994</v>
      </c>
      <c r="C174" s="178" t="s">
        <v>135</v>
      </c>
      <c r="D174" s="6">
        <v>150</v>
      </c>
      <c r="E174" s="7">
        <v>54</v>
      </c>
      <c r="F174" s="6">
        <v>71.8</v>
      </c>
      <c r="G174" s="7">
        <v>82</v>
      </c>
      <c r="H174" s="6">
        <v>134</v>
      </c>
      <c r="I174" s="6">
        <v>190</v>
      </c>
      <c r="J174" s="7">
        <v>113</v>
      </c>
      <c r="K174" s="7">
        <v>110</v>
      </c>
      <c r="L174" s="6">
        <v>129</v>
      </c>
      <c r="M174" s="6">
        <v>133</v>
      </c>
      <c r="N174" s="7">
        <v>122.5</v>
      </c>
      <c r="O174" s="6">
        <v>58</v>
      </c>
      <c r="P174" s="7">
        <v>84</v>
      </c>
      <c r="Q174" s="6">
        <v>72</v>
      </c>
      <c r="R174" s="6">
        <v>131.5</v>
      </c>
      <c r="S174" s="6">
        <v>63</v>
      </c>
      <c r="T174" s="6">
        <v>93.3</v>
      </c>
      <c r="U174" s="7">
        <v>97</v>
      </c>
      <c r="V174" s="7">
        <v>74</v>
      </c>
      <c r="W174" s="6">
        <v>79.5</v>
      </c>
      <c r="X174" s="6">
        <v>138</v>
      </c>
      <c r="Y174" s="6">
        <v>153.4</v>
      </c>
      <c r="Z174" s="7">
        <v>194</v>
      </c>
      <c r="AA174" s="76">
        <v>62</v>
      </c>
      <c r="AB174" s="7">
        <v>101</v>
      </c>
      <c r="AC174" s="6">
        <v>81.2</v>
      </c>
      <c r="AD174" s="6">
        <v>154.19999999999999</v>
      </c>
      <c r="AE174" s="6">
        <v>56</v>
      </c>
      <c r="AF174" s="6">
        <v>74</v>
      </c>
      <c r="AG174" s="6">
        <v>60</v>
      </c>
      <c r="AH174" s="6">
        <v>81</v>
      </c>
      <c r="AI174" s="7">
        <v>67.5</v>
      </c>
      <c r="AJ174" s="6">
        <v>102.7</v>
      </c>
      <c r="AK174" s="7">
        <v>30.5</v>
      </c>
      <c r="AL174" s="7">
        <v>94.5</v>
      </c>
    </row>
    <row r="175" spans="2:38" s="9" customFormat="1">
      <c r="B175" s="76">
        <v>1994</v>
      </c>
      <c r="C175" s="178" t="s">
        <v>136</v>
      </c>
      <c r="D175" s="6">
        <v>46</v>
      </c>
      <c r="E175" s="7">
        <v>123</v>
      </c>
      <c r="F175" s="6">
        <v>129.80000000000001</v>
      </c>
      <c r="G175" s="7">
        <v>31</v>
      </c>
      <c r="H175" s="6">
        <v>73</v>
      </c>
      <c r="I175" s="6">
        <v>41</v>
      </c>
      <c r="J175" s="7">
        <v>51</v>
      </c>
      <c r="K175" s="7">
        <v>25</v>
      </c>
      <c r="L175" s="6">
        <v>19.5</v>
      </c>
      <c r="M175" s="6">
        <v>81</v>
      </c>
      <c r="N175" s="7">
        <v>20</v>
      </c>
      <c r="O175" s="6">
        <v>47</v>
      </c>
      <c r="P175" s="7">
        <v>139</v>
      </c>
      <c r="Q175" s="6">
        <v>55</v>
      </c>
      <c r="R175" s="6">
        <v>44.8</v>
      </c>
      <c r="S175" s="6">
        <v>187.9</v>
      </c>
      <c r="T175" s="6">
        <v>18.399999999999999</v>
      </c>
      <c r="U175" s="7">
        <v>40</v>
      </c>
      <c r="V175" s="7">
        <v>237</v>
      </c>
      <c r="W175" s="6">
        <v>29.6</v>
      </c>
      <c r="X175" s="6">
        <v>19</v>
      </c>
      <c r="Y175" s="6">
        <v>51.3</v>
      </c>
      <c r="Z175" s="7">
        <v>15</v>
      </c>
      <c r="AA175" s="76">
        <v>24</v>
      </c>
      <c r="AB175" s="7">
        <v>141</v>
      </c>
      <c r="AC175" s="6">
        <v>86.1</v>
      </c>
      <c r="AD175" s="6">
        <v>53.8</v>
      </c>
      <c r="AE175" s="6">
        <v>81.5</v>
      </c>
      <c r="AF175" s="6">
        <v>28</v>
      </c>
      <c r="AG175" s="6">
        <v>140</v>
      </c>
      <c r="AH175" s="6">
        <v>101</v>
      </c>
      <c r="AI175" s="7">
        <v>102.5</v>
      </c>
      <c r="AJ175" s="6">
        <v>73.8</v>
      </c>
      <c r="AK175" s="7">
        <v>81</v>
      </c>
      <c r="AL175" s="7">
        <v>229</v>
      </c>
    </row>
    <row r="176" spans="2:38" s="9" customFormat="1">
      <c r="B176" s="76">
        <v>1994</v>
      </c>
      <c r="C176" s="178" t="s">
        <v>137</v>
      </c>
      <c r="D176" s="6">
        <v>166</v>
      </c>
      <c r="E176" s="7">
        <v>225</v>
      </c>
      <c r="F176" s="6">
        <v>60.9</v>
      </c>
      <c r="G176" s="7">
        <v>167</v>
      </c>
      <c r="H176" s="6">
        <v>48</v>
      </c>
      <c r="I176" s="6">
        <v>126</v>
      </c>
      <c r="J176" s="7">
        <v>198.5</v>
      </c>
      <c r="K176" s="7">
        <v>99</v>
      </c>
      <c r="L176" s="6">
        <v>133</v>
      </c>
      <c r="M176" s="6">
        <v>231</v>
      </c>
      <c r="N176" s="7">
        <v>92</v>
      </c>
      <c r="O176" s="6">
        <v>232</v>
      </c>
      <c r="P176" s="7">
        <v>241</v>
      </c>
      <c r="Q176" s="6">
        <v>233</v>
      </c>
      <c r="R176" s="6">
        <v>149.1</v>
      </c>
      <c r="S176" s="6">
        <v>223</v>
      </c>
      <c r="T176" s="6">
        <v>94.4</v>
      </c>
      <c r="U176" s="7">
        <v>119</v>
      </c>
      <c r="V176" s="7">
        <v>121</v>
      </c>
      <c r="W176" s="6">
        <v>74.7</v>
      </c>
      <c r="X176" s="6">
        <v>87</v>
      </c>
      <c r="Y176" s="6">
        <v>144.69999999999999</v>
      </c>
      <c r="Z176" s="7">
        <v>98</v>
      </c>
      <c r="AA176" s="76">
        <v>80</v>
      </c>
      <c r="AB176" s="7">
        <v>137</v>
      </c>
      <c r="AC176" s="6">
        <v>115.8</v>
      </c>
      <c r="AD176" s="6">
        <v>216.2</v>
      </c>
      <c r="AE176" s="6">
        <v>111.1</v>
      </c>
      <c r="AF176" s="6">
        <v>56</v>
      </c>
      <c r="AG176" s="6">
        <v>224</v>
      </c>
      <c r="AH176" s="6">
        <v>36</v>
      </c>
      <c r="AI176" s="7">
        <v>124</v>
      </c>
      <c r="AJ176" s="6">
        <v>240.7</v>
      </c>
      <c r="AK176" s="7">
        <v>99</v>
      </c>
      <c r="AL176" s="7">
        <v>155</v>
      </c>
    </row>
    <row r="177" spans="2:38" s="9" customFormat="1">
      <c r="B177" s="76">
        <v>1994</v>
      </c>
      <c r="C177" s="178" t="s">
        <v>138</v>
      </c>
      <c r="D177" s="6">
        <v>78</v>
      </c>
      <c r="E177" s="7">
        <v>61</v>
      </c>
      <c r="F177" s="6">
        <v>63</v>
      </c>
      <c r="G177" s="7">
        <v>92.5</v>
      </c>
      <c r="H177" s="6">
        <v>45</v>
      </c>
      <c r="I177" s="6">
        <v>49</v>
      </c>
      <c r="J177" s="7">
        <v>150.5</v>
      </c>
      <c r="K177" s="7">
        <v>25</v>
      </c>
      <c r="L177" s="6">
        <v>140</v>
      </c>
      <c r="M177" s="6">
        <v>81</v>
      </c>
      <c r="N177" s="7">
        <v>26.5</v>
      </c>
      <c r="O177" s="6">
        <v>144</v>
      </c>
      <c r="P177" s="7">
        <v>61</v>
      </c>
      <c r="Q177" s="6">
        <v>181</v>
      </c>
      <c r="R177" s="6">
        <v>26.9</v>
      </c>
      <c r="S177" s="6">
        <v>82.7</v>
      </c>
      <c r="T177" s="6">
        <v>27.5</v>
      </c>
      <c r="U177" s="7">
        <v>62</v>
      </c>
      <c r="V177" s="7">
        <v>50</v>
      </c>
      <c r="W177" s="6">
        <v>24.3</v>
      </c>
      <c r="X177" s="6">
        <v>29</v>
      </c>
      <c r="Y177" s="6">
        <v>33.200000000000003</v>
      </c>
      <c r="Z177" s="7">
        <v>124</v>
      </c>
      <c r="AA177" s="76">
        <v>62</v>
      </c>
      <c r="AB177" s="7">
        <v>103</v>
      </c>
      <c r="AC177" s="6">
        <v>70.099999999999994</v>
      </c>
      <c r="AD177" s="6">
        <v>106</v>
      </c>
      <c r="AE177" s="6">
        <v>91.1</v>
      </c>
      <c r="AF177" s="6">
        <v>90</v>
      </c>
      <c r="AG177" s="6">
        <v>64</v>
      </c>
      <c r="AH177" s="6">
        <v>76</v>
      </c>
      <c r="AI177" s="7">
        <v>72.5</v>
      </c>
      <c r="AJ177" s="6">
        <v>171.6</v>
      </c>
      <c r="AK177" s="7">
        <v>120</v>
      </c>
      <c r="AL177" s="7">
        <v>125.5</v>
      </c>
    </row>
    <row r="178" spans="2:38" s="9" customFormat="1">
      <c r="B178" s="76">
        <v>1994</v>
      </c>
      <c r="C178" s="178" t="s">
        <v>139</v>
      </c>
      <c r="D178" s="6">
        <v>157</v>
      </c>
      <c r="E178" s="7">
        <v>54</v>
      </c>
      <c r="F178" s="6">
        <v>73.099999999999994</v>
      </c>
      <c r="G178" s="7">
        <v>138</v>
      </c>
      <c r="H178" s="6">
        <v>81</v>
      </c>
      <c r="I178" s="6">
        <v>112</v>
      </c>
      <c r="J178" s="7">
        <v>71</v>
      </c>
      <c r="K178" s="7">
        <v>75</v>
      </c>
      <c r="L178" s="6">
        <v>34</v>
      </c>
      <c r="M178" s="6">
        <v>45</v>
      </c>
      <c r="N178" s="7">
        <v>140</v>
      </c>
      <c r="O178" s="6">
        <v>137</v>
      </c>
      <c r="P178" s="7">
        <v>103</v>
      </c>
      <c r="Q178" s="6">
        <v>195</v>
      </c>
      <c r="R178" s="6">
        <v>21.2</v>
      </c>
      <c r="S178" s="6">
        <v>51.2</v>
      </c>
      <c r="T178" s="6">
        <v>30.3</v>
      </c>
      <c r="U178" s="7">
        <v>62.6</v>
      </c>
      <c r="V178" s="7">
        <v>3</v>
      </c>
      <c r="W178" s="6">
        <v>24.3</v>
      </c>
      <c r="X178" s="6">
        <v>131</v>
      </c>
      <c r="Y178" s="6">
        <v>74.7</v>
      </c>
      <c r="Z178" s="7">
        <v>140.5</v>
      </c>
      <c r="AA178" s="76">
        <v>62.5</v>
      </c>
      <c r="AB178" s="7">
        <v>94</v>
      </c>
      <c r="AC178" s="6">
        <v>99.4</v>
      </c>
      <c r="AD178" s="6">
        <v>94.2</v>
      </c>
      <c r="AE178" s="6">
        <v>69.900000000000006</v>
      </c>
      <c r="AF178" s="6">
        <v>160</v>
      </c>
      <c r="AG178" s="6">
        <v>79</v>
      </c>
      <c r="AH178" s="6">
        <v>81</v>
      </c>
      <c r="AI178" s="7">
        <v>74.400000000000006</v>
      </c>
      <c r="AJ178" s="6">
        <v>100.1</v>
      </c>
      <c r="AK178" s="7">
        <v>51</v>
      </c>
      <c r="AL178" s="7">
        <v>55</v>
      </c>
    </row>
    <row r="179" spans="2:38" s="9" customFormat="1">
      <c r="B179" s="76">
        <v>1994</v>
      </c>
      <c r="C179" s="178" t="s">
        <v>140</v>
      </c>
      <c r="D179" s="6">
        <v>181</v>
      </c>
      <c r="E179" s="7">
        <v>132</v>
      </c>
      <c r="F179" s="6">
        <v>181.8</v>
      </c>
      <c r="G179" s="7">
        <v>178</v>
      </c>
      <c r="H179" s="6">
        <v>150</v>
      </c>
      <c r="I179" s="6">
        <v>212</v>
      </c>
      <c r="J179" s="7">
        <v>128</v>
      </c>
      <c r="K179" s="7">
        <v>82</v>
      </c>
      <c r="L179" s="6">
        <v>128</v>
      </c>
      <c r="M179" s="6">
        <v>216</v>
      </c>
      <c r="N179" s="7">
        <v>173</v>
      </c>
      <c r="O179" s="6">
        <v>136</v>
      </c>
      <c r="P179" s="7">
        <v>180</v>
      </c>
      <c r="Q179" s="6">
        <v>180</v>
      </c>
      <c r="R179" s="6">
        <v>125.1</v>
      </c>
      <c r="S179" s="6">
        <v>220.4</v>
      </c>
      <c r="T179" s="6">
        <v>99.2</v>
      </c>
      <c r="U179" s="7">
        <v>142.5</v>
      </c>
      <c r="V179" s="7">
        <v>220</v>
      </c>
      <c r="W179" s="6">
        <v>200.6</v>
      </c>
      <c r="X179" s="6">
        <v>184</v>
      </c>
      <c r="Y179" s="6">
        <v>160.30000000000001</v>
      </c>
      <c r="Z179" s="7">
        <v>242</v>
      </c>
      <c r="AA179" s="76">
        <v>187</v>
      </c>
      <c r="AB179" s="7">
        <v>149.5</v>
      </c>
      <c r="AC179" s="6">
        <v>208.1</v>
      </c>
      <c r="AD179" s="6">
        <v>131.19999999999999</v>
      </c>
      <c r="AE179" s="6">
        <v>151.5</v>
      </c>
      <c r="AF179" s="6">
        <v>112</v>
      </c>
      <c r="AG179" s="6">
        <v>203</v>
      </c>
      <c r="AH179" s="6">
        <v>246</v>
      </c>
      <c r="AI179" s="7">
        <v>204.5</v>
      </c>
      <c r="AJ179" s="6">
        <v>183.1</v>
      </c>
      <c r="AK179" s="7">
        <v>172</v>
      </c>
      <c r="AL179" s="7">
        <v>169</v>
      </c>
    </row>
    <row r="180" spans="2:38" s="9" customFormat="1">
      <c r="B180" s="76">
        <v>1994</v>
      </c>
      <c r="C180" s="178" t="s">
        <v>141</v>
      </c>
      <c r="D180" s="6">
        <v>56</v>
      </c>
      <c r="E180" s="7">
        <v>16</v>
      </c>
      <c r="F180" s="6">
        <v>47.3</v>
      </c>
      <c r="G180" s="7">
        <v>57</v>
      </c>
      <c r="H180" s="6">
        <v>72</v>
      </c>
      <c r="I180" s="6">
        <v>79</v>
      </c>
      <c r="J180" s="7">
        <v>24</v>
      </c>
      <c r="K180" s="7">
        <v>25</v>
      </c>
      <c r="L180" s="6">
        <v>61</v>
      </c>
      <c r="M180" s="6">
        <v>44</v>
      </c>
      <c r="N180" s="7">
        <v>30</v>
      </c>
      <c r="O180" s="6">
        <v>38</v>
      </c>
      <c r="P180" s="7">
        <v>31</v>
      </c>
      <c r="Q180" s="6">
        <v>43</v>
      </c>
      <c r="R180" s="6">
        <v>40.6</v>
      </c>
      <c r="S180" s="6">
        <v>38.299999999999997</v>
      </c>
      <c r="T180" s="6">
        <v>24.5</v>
      </c>
      <c r="U180" s="7">
        <v>53.5</v>
      </c>
      <c r="V180" s="7">
        <v>38</v>
      </c>
      <c r="W180" s="6">
        <v>60.3</v>
      </c>
      <c r="X180" s="6">
        <v>105</v>
      </c>
      <c r="Y180" s="6">
        <v>166.2</v>
      </c>
      <c r="Z180" s="7">
        <v>95.5</v>
      </c>
      <c r="AA180" s="76">
        <v>111</v>
      </c>
      <c r="AB180" s="7">
        <v>80</v>
      </c>
      <c r="AC180" s="6">
        <v>86.6</v>
      </c>
      <c r="AD180" s="6">
        <v>61.6</v>
      </c>
      <c r="AE180" s="6">
        <v>102.2</v>
      </c>
      <c r="AF180" s="6">
        <v>66</v>
      </c>
      <c r="AG180" s="6">
        <v>52</v>
      </c>
      <c r="AH180" s="6">
        <v>76</v>
      </c>
      <c r="AI180" s="7">
        <v>64</v>
      </c>
      <c r="AJ180" s="6">
        <v>26.5</v>
      </c>
      <c r="AK180" s="7">
        <v>94</v>
      </c>
      <c r="AL180" s="7">
        <v>67</v>
      </c>
    </row>
    <row r="181" spans="2:38" s="9" customFormat="1">
      <c r="B181" s="76">
        <v>1994</v>
      </c>
      <c r="C181" s="178" t="s">
        <v>143</v>
      </c>
      <c r="D181" s="6">
        <v>27</v>
      </c>
      <c r="E181" s="7">
        <v>104</v>
      </c>
      <c r="F181" s="6">
        <v>143.30000000000001</v>
      </c>
      <c r="G181" s="7">
        <v>72</v>
      </c>
      <c r="H181" s="6">
        <v>163</v>
      </c>
      <c r="I181" s="6">
        <v>29</v>
      </c>
      <c r="J181" s="7">
        <v>127</v>
      </c>
      <c r="K181" s="7">
        <v>146</v>
      </c>
      <c r="L181" s="6">
        <v>99</v>
      </c>
      <c r="M181" s="6">
        <v>133</v>
      </c>
      <c r="N181" s="7">
        <v>53</v>
      </c>
      <c r="O181" s="6">
        <v>25</v>
      </c>
      <c r="P181" s="7">
        <v>94</v>
      </c>
      <c r="Q181" s="6">
        <v>53</v>
      </c>
      <c r="R181" s="6">
        <v>123.9</v>
      </c>
      <c r="S181" s="6">
        <v>98.9</v>
      </c>
      <c r="T181" s="6">
        <v>73.7</v>
      </c>
      <c r="U181" s="7">
        <v>153</v>
      </c>
      <c r="V181" s="7">
        <v>96</v>
      </c>
      <c r="W181" s="6">
        <v>104.5</v>
      </c>
      <c r="X181" s="6">
        <v>131</v>
      </c>
      <c r="Y181" s="6">
        <v>77.400000000000006</v>
      </c>
      <c r="Z181" s="7">
        <v>89</v>
      </c>
      <c r="AA181" s="76">
        <v>92</v>
      </c>
      <c r="AB181" s="7">
        <v>109</v>
      </c>
      <c r="AC181" s="6">
        <v>48.3</v>
      </c>
      <c r="AD181" s="6">
        <v>49.4</v>
      </c>
      <c r="AE181" s="6">
        <v>118.2</v>
      </c>
      <c r="AF181" s="6">
        <v>129</v>
      </c>
      <c r="AG181" s="6">
        <v>72</v>
      </c>
      <c r="AH181" s="6">
        <v>123</v>
      </c>
      <c r="AI181" s="7">
        <v>140</v>
      </c>
      <c r="AJ181" s="6">
        <v>84.9</v>
      </c>
      <c r="AK181" s="7">
        <v>55</v>
      </c>
      <c r="AL181" s="7">
        <v>62</v>
      </c>
    </row>
    <row r="182" spans="2:38" s="9" customFormat="1">
      <c r="B182" s="76">
        <v>1995</v>
      </c>
      <c r="C182" s="178" t="s">
        <v>131</v>
      </c>
      <c r="D182" s="6">
        <v>93</v>
      </c>
      <c r="E182" s="7">
        <v>49</v>
      </c>
      <c r="F182" s="6">
        <v>50.9</v>
      </c>
      <c r="G182" s="7">
        <v>73</v>
      </c>
      <c r="H182" s="6">
        <v>87</v>
      </c>
      <c r="I182" s="6">
        <v>44</v>
      </c>
      <c r="J182" s="7">
        <v>56.5</v>
      </c>
      <c r="K182" s="7">
        <v>47</v>
      </c>
      <c r="L182" s="6">
        <v>54</v>
      </c>
      <c r="M182" s="6">
        <v>23</v>
      </c>
      <c r="N182" s="7">
        <v>123.5</v>
      </c>
      <c r="O182" s="6">
        <v>48</v>
      </c>
      <c r="P182" s="7">
        <v>24</v>
      </c>
      <c r="Q182" s="6">
        <v>50</v>
      </c>
      <c r="R182" s="6">
        <v>52.8</v>
      </c>
      <c r="S182" s="6">
        <v>94</v>
      </c>
      <c r="T182" s="6">
        <v>96.6</v>
      </c>
      <c r="U182" s="7">
        <v>120</v>
      </c>
      <c r="V182" s="7">
        <v>65</v>
      </c>
      <c r="W182" s="6">
        <v>126.1</v>
      </c>
      <c r="X182" s="6">
        <v>105</v>
      </c>
      <c r="Y182" s="6">
        <v>58.4</v>
      </c>
      <c r="Z182" s="7">
        <v>32</v>
      </c>
      <c r="AA182" s="76">
        <v>68</v>
      </c>
      <c r="AB182" s="7">
        <v>39</v>
      </c>
      <c r="AC182" s="6">
        <v>104.5</v>
      </c>
      <c r="AD182" s="6">
        <v>129.80000000000001</v>
      </c>
      <c r="AE182" s="6">
        <v>62.5</v>
      </c>
      <c r="AF182" s="6">
        <v>95</v>
      </c>
      <c r="AG182" s="6">
        <v>46</v>
      </c>
      <c r="AH182" s="6">
        <v>114</v>
      </c>
      <c r="AI182" s="7">
        <v>46</v>
      </c>
      <c r="AJ182" s="6">
        <v>59.8</v>
      </c>
      <c r="AK182" s="7">
        <v>53</v>
      </c>
      <c r="AL182" s="7">
        <v>64</v>
      </c>
    </row>
    <row r="183" spans="2:38" s="9" customFormat="1">
      <c r="B183" s="76">
        <v>1995</v>
      </c>
      <c r="C183" s="178" t="s">
        <v>132</v>
      </c>
      <c r="D183" s="6">
        <v>89</v>
      </c>
      <c r="E183" s="7">
        <v>166</v>
      </c>
      <c r="F183" s="6">
        <v>188.6</v>
      </c>
      <c r="G183" s="7">
        <v>230</v>
      </c>
      <c r="H183" s="6">
        <v>166</v>
      </c>
      <c r="I183" s="6">
        <v>17</v>
      </c>
      <c r="J183" s="7">
        <v>112.5</v>
      </c>
      <c r="K183" s="7">
        <v>130</v>
      </c>
      <c r="L183" s="6">
        <v>22</v>
      </c>
      <c r="M183" s="6">
        <v>96</v>
      </c>
      <c r="N183" s="7">
        <v>123</v>
      </c>
      <c r="O183" s="6">
        <v>187</v>
      </c>
      <c r="P183" s="7">
        <v>111</v>
      </c>
      <c r="Q183" s="6">
        <v>128</v>
      </c>
      <c r="R183" s="6">
        <v>45.6</v>
      </c>
      <c r="S183" s="6">
        <v>165.8</v>
      </c>
      <c r="T183" s="6">
        <v>63.3</v>
      </c>
      <c r="U183" s="7">
        <v>93.5</v>
      </c>
      <c r="V183" s="7">
        <v>122</v>
      </c>
      <c r="W183" s="6">
        <v>38.6</v>
      </c>
      <c r="X183" s="6">
        <v>114</v>
      </c>
      <c r="Y183" s="6">
        <v>93</v>
      </c>
      <c r="Z183" s="7">
        <v>52</v>
      </c>
      <c r="AA183" s="76">
        <v>110</v>
      </c>
      <c r="AB183" s="7">
        <v>111.5</v>
      </c>
      <c r="AC183" s="6">
        <v>264.89999999999998</v>
      </c>
      <c r="AD183" s="6">
        <v>150.4</v>
      </c>
      <c r="AE183" s="6">
        <v>134.30000000000001</v>
      </c>
      <c r="AF183" s="6">
        <v>347</v>
      </c>
      <c r="AG183" s="6">
        <v>296</v>
      </c>
      <c r="AH183" s="6">
        <v>210</v>
      </c>
      <c r="AI183" s="7">
        <v>207.5</v>
      </c>
      <c r="AJ183" s="6">
        <v>115.5</v>
      </c>
      <c r="AK183" s="7">
        <v>231.9</v>
      </c>
      <c r="AL183" s="7">
        <v>94</v>
      </c>
    </row>
    <row r="184" spans="2:38" s="9" customFormat="1">
      <c r="B184" s="76">
        <v>1995</v>
      </c>
      <c r="C184" s="178" t="s">
        <v>133</v>
      </c>
      <c r="D184" s="6">
        <v>222</v>
      </c>
      <c r="E184" s="7">
        <v>121</v>
      </c>
      <c r="F184" s="6">
        <v>133.9</v>
      </c>
      <c r="G184" s="7">
        <v>144</v>
      </c>
      <c r="H184" s="6">
        <v>195</v>
      </c>
      <c r="I184" s="6">
        <v>175</v>
      </c>
      <c r="J184" s="7">
        <v>101</v>
      </c>
      <c r="K184" s="7">
        <v>102</v>
      </c>
      <c r="L184" s="6">
        <v>135</v>
      </c>
      <c r="M184" s="6">
        <v>97</v>
      </c>
      <c r="N184" s="7">
        <v>227.5</v>
      </c>
      <c r="O184" s="6">
        <v>146</v>
      </c>
      <c r="P184" s="7">
        <v>106</v>
      </c>
      <c r="Q184" s="6">
        <v>143</v>
      </c>
      <c r="R184" s="6">
        <v>157</v>
      </c>
      <c r="S184" s="6">
        <v>93.3</v>
      </c>
      <c r="T184" s="6">
        <v>203.2</v>
      </c>
      <c r="U184" s="7">
        <v>177</v>
      </c>
      <c r="V184" s="7">
        <v>130.5</v>
      </c>
      <c r="W184" s="6">
        <v>154</v>
      </c>
      <c r="X184" s="6">
        <v>265</v>
      </c>
      <c r="Y184" s="6">
        <v>146.1</v>
      </c>
      <c r="Z184" s="7">
        <v>133</v>
      </c>
      <c r="AA184" s="76">
        <v>137</v>
      </c>
      <c r="AB184" s="7">
        <v>125.5</v>
      </c>
      <c r="AC184" s="6">
        <v>124.2</v>
      </c>
      <c r="AD184" s="6">
        <v>221.8</v>
      </c>
      <c r="AE184" s="6">
        <v>129.6</v>
      </c>
      <c r="AF184" s="6">
        <v>196</v>
      </c>
      <c r="AG184" s="6">
        <v>124</v>
      </c>
      <c r="AH184" s="6">
        <v>183</v>
      </c>
      <c r="AI184" s="7">
        <v>127.3</v>
      </c>
      <c r="AJ184" s="6">
        <v>109.2</v>
      </c>
      <c r="AK184" s="7">
        <v>208</v>
      </c>
      <c r="AL184" s="7">
        <v>149</v>
      </c>
    </row>
    <row r="185" spans="2:38" s="9" customFormat="1">
      <c r="B185" s="76">
        <v>1995</v>
      </c>
      <c r="C185" s="178" t="s">
        <v>134</v>
      </c>
      <c r="D185" s="6">
        <v>56</v>
      </c>
      <c r="E185" s="7">
        <v>139</v>
      </c>
      <c r="F185" s="6">
        <v>62.6</v>
      </c>
      <c r="G185" s="7">
        <v>126</v>
      </c>
      <c r="H185" s="6">
        <v>82</v>
      </c>
      <c r="I185" s="6">
        <v>131</v>
      </c>
      <c r="J185" s="7">
        <v>83</v>
      </c>
      <c r="K185" s="7">
        <v>174</v>
      </c>
      <c r="L185" s="6">
        <v>66</v>
      </c>
      <c r="M185" s="6">
        <v>141</v>
      </c>
      <c r="N185" s="7">
        <v>100</v>
      </c>
      <c r="O185" s="6">
        <v>83</v>
      </c>
      <c r="P185" s="7">
        <v>105</v>
      </c>
      <c r="Q185" s="6">
        <v>97</v>
      </c>
      <c r="R185" s="6">
        <v>171.8</v>
      </c>
      <c r="S185" s="6">
        <v>65.599999999999994</v>
      </c>
      <c r="T185" s="6">
        <v>84.1</v>
      </c>
      <c r="U185" s="7">
        <v>102</v>
      </c>
      <c r="V185" s="7">
        <v>94</v>
      </c>
      <c r="W185" s="6">
        <v>135.1</v>
      </c>
      <c r="X185" s="6">
        <v>95</v>
      </c>
      <c r="Y185" s="6">
        <v>124.5</v>
      </c>
      <c r="Z185" s="7">
        <v>33</v>
      </c>
      <c r="AA185" s="76">
        <v>157</v>
      </c>
      <c r="AB185" s="7">
        <v>178</v>
      </c>
      <c r="AC185" s="6">
        <v>55</v>
      </c>
      <c r="AD185" s="6">
        <v>57</v>
      </c>
      <c r="AE185" s="6">
        <v>122.2</v>
      </c>
      <c r="AF185" s="6">
        <v>75</v>
      </c>
      <c r="AG185" s="6">
        <v>67</v>
      </c>
      <c r="AH185" s="6">
        <v>86</v>
      </c>
      <c r="AI185" s="7">
        <v>75.5</v>
      </c>
      <c r="AJ185" s="6">
        <v>56.8</v>
      </c>
      <c r="AK185" s="7">
        <v>135</v>
      </c>
      <c r="AL185" s="7">
        <v>100</v>
      </c>
    </row>
    <row r="186" spans="2:38" s="9" customFormat="1">
      <c r="B186" s="76">
        <v>1995</v>
      </c>
      <c r="C186" s="178" t="s">
        <v>135</v>
      </c>
      <c r="D186" s="6">
        <v>10</v>
      </c>
      <c r="E186" s="7">
        <v>50</v>
      </c>
      <c r="F186" s="6">
        <v>58.5</v>
      </c>
      <c r="G186" s="7">
        <v>31</v>
      </c>
      <c r="H186" s="6">
        <v>54</v>
      </c>
      <c r="I186" s="6">
        <v>48</v>
      </c>
      <c r="J186" s="7">
        <v>83</v>
      </c>
      <c r="K186" s="7">
        <v>60</v>
      </c>
      <c r="L186" s="6">
        <v>103</v>
      </c>
      <c r="M186" s="6">
        <v>65</v>
      </c>
      <c r="N186" s="7">
        <v>26</v>
      </c>
      <c r="O186" s="6">
        <v>64</v>
      </c>
      <c r="P186" s="7">
        <v>80</v>
      </c>
      <c r="Q186" s="6">
        <v>55</v>
      </c>
      <c r="R186" s="6">
        <v>34.700000000000003</v>
      </c>
      <c r="S186" s="6">
        <v>67.099999999999994</v>
      </c>
      <c r="T186" s="6">
        <v>38.9</v>
      </c>
      <c r="U186" s="7">
        <v>53</v>
      </c>
      <c r="V186" s="7">
        <v>52</v>
      </c>
      <c r="W186" s="6">
        <v>83</v>
      </c>
      <c r="X186" s="6">
        <v>35</v>
      </c>
      <c r="Y186" s="6">
        <v>69.8</v>
      </c>
      <c r="Z186" s="7">
        <v>85</v>
      </c>
      <c r="AA186" s="76">
        <v>32.5</v>
      </c>
      <c r="AB186" s="7">
        <v>50</v>
      </c>
      <c r="AC186" s="6">
        <v>85.6</v>
      </c>
      <c r="AD186" s="6">
        <v>25.5</v>
      </c>
      <c r="AE186" s="6">
        <v>32.4</v>
      </c>
      <c r="AF186" s="6">
        <v>74</v>
      </c>
      <c r="AG186" s="6">
        <v>49</v>
      </c>
      <c r="AH186" s="6">
        <v>61</v>
      </c>
      <c r="AI186" s="7">
        <v>63.4</v>
      </c>
      <c r="AJ186" s="6">
        <v>59.8</v>
      </c>
      <c r="AK186" s="7">
        <v>26</v>
      </c>
      <c r="AL186" s="7">
        <v>37</v>
      </c>
    </row>
    <row r="187" spans="2:38" s="9" customFormat="1">
      <c r="B187" s="76">
        <v>1995</v>
      </c>
      <c r="C187" s="178" t="s">
        <v>136</v>
      </c>
      <c r="D187" s="6">
        <v>85</v>
      </c>
      <c r="E187" s="7">
        <v>169</v>
      </c>
      <c r="F187" s="6">
        <v>74.599999999999994</v>
      </c>
      <c r="G187" s="7">
        <v>109</v>
      </c>
      <c r="H187" s="6">
        <v>63</v>
      </c>
      <c r="I187" s="6">
        <v>88</v>
      </c>
      <c r="J187" s="7">
        <v>100</v>
      </c>
      <c r="K187" s="7">
        <v>122</v>
      </c>
      <c r="L187" s="6">
        <v>40</v>
      </c>
      <c r="M187" s="6">
        <v>105</v>
      </c>
      <c r="N187" s="7">
        <v>70</v>
      </c>
      <c r="O187" s="6">
        <v>84</v>
      </c>
      <c r="P187" s="7">
        <v>144</v>
      </c>
      <c r="Q187" s="6">
        <v>174</v>
      </c>
      <c r="R187" s="6">
        <v>49.8</v>
      </c>
      <c r="S187" s="6">
        <v>154.9</v>
      </c>
      <c r="T187" s="6">
        <v>71.5</v>
      </c>
      <c r="U187" s="7">
        <v>72.5</v>
      </c>
      <c r="V187" s="7">
        <v>95</v>
      </c>
      <c r="W187" s="6">
        <v>28.5</v>
      </c>
      <c r="X187" s="6">
        <v>85</v>
      </c>
      <c r="Y187" s="6">
        <v>89.4</v>
      </c>
      <c r="Z187" s="7">
        <v>64</v>
      </c>
      <c r="AA187" s="76">
        <v>27</v>
      </c>
      <c r="AB187" s="7">
        <v>128</v>
      </c>
      <c r="AC187" s="6">
        <v>88.8</v>
      </c>
      <c r="AD187" s="6">
        <v>97.1</v>
      </c>
      <c r="AE187" s="6">
        <v>16.5</v>
      </c>
      <c r="AF187" s="6">
        <v>63</v>
      </c>
      <c r="AG187" s="6">
        <v>111</v>
      </c>
      <c r="AH187" s="6">
        <v>23</v>
      </c>
      <c r="AI187" s="7">
        <v>103.5</v>
      </c>
      <c r="AJ187" s="6">
        <v>133.9</v>
      </c>
      <c r="AK187" s="7">
        <v>62</v>
      </c>
      <c r="AL187" s="7">
        <v>102</v>
      </c>
    </row>
    <row r="188" spans="2:38" s="9" customFormat="1">
      <c r="B188" s="76">
        <v>1995</v>
      </c>
      <c r="C188" s="178" t="s">
        <v>137</v>
      </c>
      <c r="D188" s="6">
        <v>152</v>
      </c>
      <c r="E188" s="7">
        <v>222</v>
      </c>
      <c r="F188" s="6">
        <v>111.8</v>
      </c>
      <c r="G188" s="7">
        <v>134</v>
      </c>
      <c r="H188" s="6">
        <v>140</v>
      </c>
      <c r="I188" s="6">
        <v>38</v>
      </c>
      <c r="J188" s="7">
        <v>225</v>
      </c>
      <c r="K188" s="7">
        <v>66</v>
      </c>
      <c r="L188" s="6">
        <v>76</v>
      </c>
      <c r="M188" s="6">
        <v>222</v>
      </c>
      <c r="N188" s="7">
        <v>40</v>
      </c>
      <c r="O188" s="6">
        <v>275</v>
      </c>
      <c r="P188" s="7">
        <v>301</v>
      </c>
      <c r="Q188" s="6">
        <v>303</v>
      </c>
      <c r="R188" s="6">
        <v>40.1</v>
      </c>
      <c r="S188" s="6">
        <v>258.5</v>
      </c>
      <c r="T188" s="6">
        <v>20.7</v>
      </c>
      <c r="U188" s="7">
        <v>134</v>
      </c>
      <c r="V188" s="7">
        <v>289</v>
      </c>
      <c r="W188" s="6">
        <v>51.4</v>
      </c>
      <c r="X188" s="6">
        <v>124</v>
      </c>
      <c r="Y188" s="6">
        <v>52.1</v>
      </c>
      <c r="Z188" s="7">
        <v>71</v>
      </c>
      <c r="AA188" s="76">
        <v>113</v>
      </c>
      <c r="AB188" s="7">
        <v>228</v>
      </c>
      <c r="AC188" s="6">
        <v>246.2</v>
      </c>
      <c r="AD188" s="6">
        <v>152</v>
      </c>
      <c r="AE188" s="6">
        <v>62.5</v>
      </c>
      <c r="AF188" s="6">
        <v>60</v>
      </c>
      <c r="AG188" s="6">
        <v>175</v>
      </c>
      <c r="AH188" s="6">
        <v>122</v>
      </c>
      <c r="AI188" s="7">
        <v>200</v>
      </c>
      <c r="AJ188" s="6">
        <v>317.5</v>
      </c>
      <c r="AK188" s="7">
        <v>101</v>
      </c>
      <c r="AL188" s="7">
        <v>337</v>
      </c>
    </row>
    <row r="189" spans="2:38" s="9" customFormat="1">
      <c r="B189" s="76">
        <v>1995</v>
      </c>
      <c r="C189" s="178" t="s">
        <v>138</v>
      </c>
      <c r="D189" s="6">
        <v>37</v>
      </c>
      <c r="E189" s="7">
        <v>14</v>
      </c>
      <c r="F189" s="6">
        <v>3</v>
      </c>
      <c r="G189" s="7">
        <v>29</v>
      </c>
      <c r="H189" s="6">
        <v>0</v>
      </c>
      <c r="I189" s="6">
        <v>3</v>
      </c>
      <c r="J189" s="7">
        <v>10</v>
      </c>
      <c r="K189" s="7">
        <v>10</v>
      </c>
      <c r="L189" s="6">
        <v>0</v>
      </c>
      <c r="M189" s="6">
        <v>7</v>
      </c>
      <c r="N189" s="7">
        <v>17</v>
      </c>
      <c r="O189" s="6">
        <v>35</v>
      </c>
      <c r="P189" s="7">
        <v>6</v>
      </c>
      <c r="Q189" s="6">
        <v>48</v>
      </c>
      <c r="R189" s="6">
        <v>4</v>
      </c>
      <c r="S189" s="6">
        <v>11.7</v>
      </c>
      <c r="T189" s="6">
        <v>0.3</v>
      </c>
      <c r="U189" s="7">
        <v>20</v>
      </c>
      <c r="V189" s="7">
        <v>8</v>
      </c>
      <c r="W189" s="6">
        <v>2.7</v>
      </c>
      <c r="X189" s="6">
        <v>4</v>
      </c>
      <c r="Y189" s="6">
        <v>23.8</v>
      </c>
      <c r="Z189" s="7">
        <v>12</v>
      </c>
      <c r="AA189" s="76">
        <v>0</v>
      </c>
      <c r="AB189" s="7">
        <v>10</v>
      </c>
      <c r="AC189" s="6">
        <v>5.6</v>
      </c>
      <c r="AD189" s="6">
        <v>37.4</v>
      </c>
      <c r="AE189" s="6">
        <v>0.1</v>
      </c>
      <c r="AF189" s="6">
        <v>3</v>
      </c>
      <c r="AG189" s="6">
        <v>6</v>
      </c>
      <c r="AH189" s="6">
        <v>1</v>
      </c>
      <c r="AI189" s="7">
        <v>7</v>
      </c>
      <c r="AJ189" s="6">
        <v>33.200000000000003</v>
      </c>
      <c r="AK189" s="7">
        <v>0</v>
      </c>
      <c r="AL189" s="7">
        <v>11.5</v>
      </c>
    </row>
    <row r="190" spans="2:38" s="9" customFormat="1">
      <c r="B190" s="76">
        <v>1995</v>
      </c>
      <c r="C190" s="178" t="s">
        <v>139</v>
      </c>
      <c r="D190" s="6">
        <v>59</v>
      </c>
      <c r="E190" s="7">
        <v>66</v>
      </c>
      <c r="F190" s="6">
        <v>96.7</v>
      </c>
      <c r="G190" s="7">
        <v>43</v>
      </c>
      <c r="H190" s="6">
        <v>61</v>
      </c>
      <c r="I190" s="6">
        <v>47</v>
      </c>
      <c r="J190" s="7">
        <v>64</v>
      </c>
      <c r="K190" s="7">
        <v>40</v>
      </c>
      <c r="L190" s="6">
        <v>81</v>
      </c>
      <c r="M190" s="6">
        <v>65</v>
      </c>
      <c r="N190" s="7">
        <v>35</v>
      </c>
      <c r="O190" s="6">
        <v>63</v>
      </c>
      <c r="P190" s="7">
        <v>47</v>
      </c>
      <c r="Q190" s="6">
        <v>72</v>
      </c>
      <c r="R190" s="6">
        <v>25.9</v>
      </c>
      <c r="S190" s="6">
        <v>78</v>
      </c>
      <c r="T190" s="6">
        <v>36.700000000000003</v>
      </c>
      <c r="U190" s="7">
        <v>59.7</v>
      </c>
      <c r="V190" s="7">
        <v>70</v>
      </c>
      <c r="W190" s="6">
        <v>63.6</v>
      </c>
      <c r="X190" s="6">
        <v>36</v>
      </c>
      <c r="Y190" s="6">
        <v>47.1</v>
      </c>
      <c r="Z190" s="7">
        <v>29</v>
      </c>
      <c r="AA190" s="76">
        <v>68</v>
      </c>
      <c r="AB190" s="7">
        <v>101</v>
      </c>
      <c r="AC190" s="6">
        <v>96.6</v>
      </c>
      <c r="AD190" s="6">
        <v>64.099999999999994</v>
      </c>
      <c r="AE190" s="6">
        <v>52</v>
      </c>
      <c r="AF190" s="6">
        <v>40</v>
      </c>
      <c r="AG190" s="6">
        <v>90</v>
      </c>
      <c r="AH190" s="6">
        <v>37</v>
      </c>
      <c r="AI190" s="7">
        <v>55.2</v>
      </c>
      <c r="AJ190" s="6">
        <v>69.400000000000006</v>
      </c>
      <c r="AK190" s="7">
        <v>59</v>
      </c>
      <c r="AL190" s="7">
        <v>90</v>
      </c>
    </row>
    <row r="191" spans="2:38" s="9" customFormat="1">
      <c r="B191" s="76">
        <v>1995</v>
      </c>
      <c r="C191" s="178" t="s">
        <v>140</v>
      </c>
      <c r="D191" s="6">
        <v>81</v>
      </c>
      <c r="E191" s="7">
        <v>101</v>
      </c>
      <c r="F191" s="6">
        <v>179.3</v>
      </c>
      <c r="G191" s="7">
        <v>83</v>
      </c>
      <c r="H191" s="6">
        <v>124</v>
      </c>
      <c r="I191" s="6">
        <v>103</v>
      </c>
      <c r="J191" s="7">
        <v>117</v>
      </c>
      <c r="K191" s="7">
        <v>124</v>
      </c>
      <c r="L191" s="6">
        <v>126</v>
      </c>
      <c r="M191" s="6">
        <v>104</v>
      </c>
      <c r="N191" s="7">
        <v>143</v>
      </c>
      <c r="O191" s="6">
        <v>83</v>
      </c>
      <c r="P191" s="7">
        <v>132</v>
      </c>
      <c r="Q191" s="6">
        <v>142</v>
      </c>
      <c r="R191" s="6">
        <v>99</v>
      </c>
      <c r="S191" s="6">
        <v>96.7</v>
      </c>
      <c r="T191" s="6">
        <v>127.8</v>
      </c>
      <c r="U191" s="7">
        <v>151.5</v>
      </c>
      <c r="V191" s="7">
        <v>127.5</v>
      </c>
      <c r="W191" s="6">
        <v>139.69999999999999</v>
      </c>
      <c r="X191" s="6">
        <v>92</v>
      </c>
      <c r="Y191" s="6">
        <v>63.4</v>
      </c>
      <c r="Z191" s="7">
        <v>115</v>
      </c>
      <c r="AA191" s="76">
        <v>123</v>
      </c>
      <c r="AB191" s="7">
        <v>95</v>
      </c>
      <c r="AC191" s="6">
        <v>121.5</v>
      </c>
      <c r="AD191" s="6">
        <v>71.400000000000006</v>
      </c>
      <c r="AE191" s="6">
        <v>187.8</v>
      </c>
      <c r="AF191" s="6">
        <v>208</v>
      </c>
      <c r="AG191" s="6">
        <v>119</v>
      </c>
      <c r="AH191" s="6">
        <v>206</v>
      </c>
      <c r="AI191" s="7">
        <v>209.5</v>
      </c>
      <c r="AJ191" s="6">
        <v>124.7</v>
      </c>
      <c r="AK191" s="7">
        <v>201.5</v>
      </c>
      <c r="AL191" s="7">
        <v>107</v>
      </c>
    </row>
    <row r="192" spans="2:38" s="9" customFormat="1">
      <c r="B192" s="76">
        <v>1995</v>
      </c>
      <c r="C192" s="178" t="s">
        <v>141</v>
      </c>
      <c r="D192" s="6">
        <v>117</v>
      </c>
      <c r="E192" s="7">
        <v>85</v>
      </c>
      <c r="F192" s="6">
        <v>54.2</v>
      </c>
      <c r="G192" s="7">
        <v>116</v>
      </c>
      <c r="H192" s="6">
        <v>61</v>
      </c>
      <c r="I192" s="6">
        <v>111</v>
      </c>
      <c r="J192" s="7">
        <v>63</v>
      </c>
      <c r="K192" s="7">
        <v>144</v>
      </c>
      <c r="L192" s="6">
        <v>81</v>
      </c>
      <c r="M192" s="6">
        <v>116</v>
      </c>
      <c r="N192" s="7">
        <v>184</v>
      </c>
      <c r="O192" s="6">
        <v>117</v>
      </c>
      <c r="P192" s="7">
        <v>93</v>
      </c>
      <c r="Q192" s="6">
        <v>83</v>
      </c>
      <c r="R192" s="6">
        <v>148.80000000000001</v>
      </c>
      <c r="S192" s="6">
        <v>99.6</v>
      </c>
      <c r="T192" s="6">
        <v>127.5</v>
      </c>
      <c r="U192" s="7">
        <v>131</v>
      </c>
      <c r="V192" s="7">
        <v>114</v>
      </c>
      <c r="W192" s="6">
        <v>109</v>
      </c>
      <c r="X192" s="6">
        <v>108</v>
      </c>
      <c r="Y192" s="6">
        <v>163.4</v>
      </c>
      <c r="Z192" s="7">
        <v>141</v>
      </c>
      <c r="AA192" s="76">
        <v>90.5</v>
      </c>
      <c r="AB192" s="7">
        <v>135</v>
      </c>
      <c r="AC192" s="6">
        <v>87.8</v>
      </c>
      <c r="AD192" s="6">
        <v>118.1</v>
      </c>
      <c r="AE192" s="6">
        <v>87.3</v>
      </c>
      <c r="AF192" s="6">
        <v>185</v>
      </c>
      <c r="AG192" s="6">
        <v>75</v>
      </c>
      <c r="AH192" s="6">
        <v>89</v>
      </c>
      <c r="AI192" s="7">
        <v>82.5</v>
      </c>
      <c r="AJ192" s="6">
        <v>131.1</v>
      </c>
      <c r="AK192" s="7">
        <v>69</v>
      </c>
      <c r="AL192" s="7">
        <v>89</v>
      </c>
    </row>
    <row r="193" spans="2:38" s="9" customFormat="1">
      <c r="B193" s="76">
        <v>1995</v>
      </c>
      <c r="C193" s="178" t="s">
        <v>143</v>
      </c>
      <c r="D193" s="6">
        <v>32</v>
      </c>
      <c r="E193" s="7">
        <v>76</v>
      </c>
      <c r="F193" s="6">
        <v>11</v>
      </c>
      <c r="G193" s="7">
        <v>108</v>
      </c>
      <c r="H193" s="6">
        <v>2</v>
      </c>
      <c r="I193" s="6">
        <v>11</v>
      </c>
      <c r="J193" s="7">
        <v>32</v>
      </c>
      <c r="K193" s="7">
        <v>12</v>
      </c>
      <c r="L193" s="6">
        <v>65</v>
      </c>
      <c r="M193" s="6">
        <v>14</v>
      </c>
      <c r="N193" s="7">
        <v>17</v>
      </c>
      <c r="O193" s="6">
        <v>10</v>
      </c>
      <c r="P193" s="7">
        <v>45</v>
      </c>
      <c r="Q193" s="6">
        <v>8</v>
      </c>
      <c r="R193" s="6">
        <v>32.299999999999997</v>
      </c>
      <c r="S193" s="6">
        <v>45.2</v>
      </c>
      <c r="T193" s="6">
        <v>172.4</v>
      </c>
      <c r="U193" s="7">
        <v>6</v>
      </c>
      <c r="V193" s="7">
        <v>60</v>
      </c>
      <c r="W193" s="6">
        <v>12.2</v>
      </c>
      <c r="X193" s="6">
        <v>0</v>
      </c>
      <c r="Y193" s="6">
        <v>47.6</v>
      </c>
      <c r="Z193" s="7">
        <v>33.200000000000003</v>
      </c>
      <c r="AA193" s="76">
        <v>8</v>
      </c>
      <c r="AB193" s="7">
        <v>30</v>
      </c>
      <c r="AC193" s="6">
        <v>31.1</v>
      </c>
      <c r="AD193" s="6">
        <v>38.1</v>
      </c>
      <c r="AE193" s="6">
        <v>74.400000000000006</v>
      </c>
      <c r="AF193" s="6">
        <v>26</v>
      </c>
      <c r="AG193" s="6">
        <v>124</v>
      </c>
      <c r="AH193" s="6">
        <v>10</v>
      </c>
      <c r="AI193" s="7">
        <v>62</v>
      </c>
      <c r="AJ193" s="6">
        <v>29.2</v>
      </c>
      <c r="AK193" s="7">
        <v>10.4</v>
      </c>
      <c r="AL193" s="7">
        <v>40</v>
      </c>
    </row>
    <row r="194" spans="2:38" s="9" customFormat="1">
      <c r="B194" s="76">
        <v>1996</v>
      </c>
      <c r="C194" s="178" t="s">
        <v>131</v>
      </c>
      <c r="D194" s="6">
        <v>41</v>
      </c>
      <c r="E194" s="7">
        <v>171</v>
      </c>
      <c r="F194" s="6">
        <v>358.7</v>
      </c>
      <c r="G194" s="7">
        <v>32.5</v>
      </c>
      <c r="H194" s="6">
        <v>309</v>
      </c>
      <c r="I194" s="6">
        <v>91</v>
      </c>
      <c r="J194" s="7">
        <v>71</v>
      </c>
      <c r="K194" s="7">
        <v>89</v>
      </c>
      <c r="L194" s="6">
        <v>178</v>
      </c>
      <c r="M194" s="6">
        <v>55</v>
      </c>
      <c r="N194" s="7">
        <v>121</v>
      </c>
      <c r="O194" s="6">
        <v>144</v>
      </c>
      <c r="P194" s="7">
        <v>158</v>
      </c>
      <c r="Q194" s="6">
        <v>68</v>
      </c>
      <c r="R194" s="6">
        <v>49.3</v>
      </c>
      <c r="S194" s="6">
        <v>173.7</v>
      </c>
      <c r="T194" s="6">
        <v>143.4</v>
      </c>
      <c r="U194" s="7">
        <v>157</v>
      </c>
      <c r="V194" s="7">
        <v>109</v>
      </c>
      <c r="W194" s="6">
        <v>99.2</v>
      </c>
      <c r="X194" s="6">
        <v>68</v>
      </c>
      <c r="Y194" s="6">
        <v>72.400000000000006</v>
      </c>
      <c r="Z194" s="7">
        <v>68</v>
      </c>
      <c r="AA194" s="76">
        <v>163</v>
      </c>
      <c r="AB194" s="7">
        <v>160</v>
      </c>
      <c r="AC194" s="6">
        <v>281</v>
      </c>
      <c r="AD194" s="6">
        <v>62.2</v>
      </c>
      <c r="AE194" s="6">
        <v>159.4</v>
      </c>
      <c r="AF194" s="6">
        <v>139</v>
      </c>
      <c r="AG194" s="6">
        <v>104</v>
      </c>
      <c r="AH194" s="6">
        <v>294</v>
      </c>
      <c r="AI194" s="7">
        <v>242</v>
      </c>
      <c r="AJ194" s="6">
        <v>73.5</v>
      </c>
      <c r="AK194" s="7">
        <v>189.5</v>
      </c>
      <c r="AL194" s="7">
        <v>174</v>
      </c>
    </row>
    <row r="195" spans="2:38" s="9" customFormat="1">
      <c r="B195" s="76">
        <v>1996</v>
      </c>
      <c r="C195" s="178" t="s">
        <v>132</v>
      </c>
      <c r="D195" s="6">
        <v>34</v>
      </c>
      <c r="E195" s="7">
        <v>118</v>
      </c>
      <c r="F195" s="6">
        <v>91.1</v>
      </c>
      <c r="G195" s="7">
        <v>74</v>
      </c>
      <c r="H195" s="6">
        <v>126</v>
      </c>
      <c r="I195" s="6">
        <v>34</v>
      </c>
      <c r="J195" s="7">
        <v>48</v>
      </c>
      <c r="K195" s="7">
        <v>109</v>
      </c>
      <c r="L195" s="6">
        <v>39</v>
      </c>
      <c r="M195" s="6">
        <v>78</v>
      </c>
      <c r="N195" s="7">
        <v>100</v>
      </c>
      <c r="O195" s="6">
        <v>70</v>
      </c>
      <c r="P195" s="7">
        <v>84</v>
      </c>
      <c r="Q195" s="6">
        <v>42</v>
      </c>
      <c r="R195" s="6">
        <v>130.6</v>
      </c>
      <c r="S195" s="6">
        <v>115.3</v>
      </c>
      <c r="T195" s="6">
        <v>68.2</v>
      </c>
      <c r="U195" s="7">
        <v>36</v>
      </c>
      <c r="V195" s="7">
        <v>117</v>
      </c>
      <c r="W195" s="6">
        <v>121.8</v>
      </c>
      <c r="X195" s="6">
        <v>124</v>
      </c>
      <c r="Y195" s="6">
        <v>58.3</v>
      </c>
      <c r="Z195" s="7">
        <v>83</v>
      </c>
      <c r="AA195" s="76">
        <v>67</v>
      </c>
      <c r="AB195" s="7">
        <v>46</v>
      </c>
      <c r="AC195" s="6">
        <v>118.7</v>
      </c>
      <c r="AD195" s="6">
        <v>44.4</v>
      </c>
      <c r="AE195" s="6">
        <v>111</v>
      </c>
      <c r="AF195" s="6">
        <v>78</v>
      </c>
      <c r="AG195" s="6">
        <v>61</v>
      </c>
      <c r="AH195" s="6">
        <v>89</v>
      </c>
      <c r="AI195" s="7">
        <v>101</v>
      </c>
      <c r="AJ195" s="6">
        <v>40.799999999999997</v>
      </c>
      <c r="AK195" s="7">
        <v>96</v>
      </c>
      <c r="AL195" s="7">
        <v>67</v>
      </c>
    </row>
    <row r="196" spans="2:38" s="9" customFormat="1">
      <c r="B196" s="76">
        <v>1996</v>
      </c>
      <c r="C196" s="178" t="s">
        <v>133</v>
      </c>
      <c r="D196" s="6">
        <v>99</v>
      </c>
      <c r="E196" s="7">
        <v>67</v>
      </c>
      <c r="F196" s="6">
        <v>98.3</v>
      </c>
      <c r="G196" s="7">
        <v>142</v>
      </c>
      <c r="H196" s="6">
        <v>71</v>
      </c>
      <c r="I196" s="6">
        <v>118</v>
      </c>
      <c r="J196" s="7">
        <v>104.5</v>
      </c>
      <c r="K196" s="7">
        <v>65</v>
      </c>
      <c r="L196" s="6">
        <v>93</v>
      </c>
      <c r="M196" s="6">
        <v>71</v>
      </c>
      <c r="N196" s="7">
        <v>130</v>
      </c>
      <c r="O196" s="6">
        <v>200</v>
      </c>
      <c r="P196" s="7">
        <v>65</v>
      </c>
      <c r="Q196" s="6">
        <v>75</v>
      </c>
      <c r="R196" s="6">
        <v>64.5</v>
      </c>
      <c r="S196" s="6">
        <v>55</v>
      </c>
      <c r="T196" s="6">
        <v>68.8</v>
      </c>
      <c r="U196" s="7">
        <v>72</v>
      </c>
      <c r="V196" s="7">
        <v>50</v>
      </c>
      <c r="W196" s="6">
        <v>89.2</v>
      </c>
      <c r="X196" s="6">
        <v>118</v>
      </c>
      <c r="Y196" s="6">
        <v>69.900000000000006</v>
      </c>
      <c r="Z196" s="7">
        <v>55</v>
      </c>
      <c r="AA196" s="76">
        <v>72</v>
      </c>
      <c r="AB196" s="7">
        <v>100</v>
      </c>
      <c r="AC196" s="6">
        <v>60.2</v>
      </c>
      <c r="AD196" s="6">
        <v>210.4</v>
      </c>
      <c r="AE196" s="6">
        <v>88.3</v>
      </c>
      <c r="AF196" s="6">
        <v>67</v>
      </c>
      <c r="AG196" s="6">
        <v>84</v>
      </c>
      <c r="AH196" s="6">
        <v>117</v>
      </c>
      <c r="AI196" s="7">
        <v>333.5</v>
      </c>
      <c r="AJ196" s="6">
        <v>102.9</v>
      </c>
      <c r="AK196" s="7">
        <v>91</v>
      </c>
      <c r="AL196" s="7">
        <v>90.5</v>
      </c>
    </row>
    <row r="197" spans="2:38" s="9" customFormat="1">
      <c r="B197" s="76">
        <v>1996</v>
      </c>
      <c r="C197" s="178" t="s">
        <v>134</v>
      </c>
      <c r="D197" s="6">
        <v>113</v>
      </c>
      <c r="E197" s="7">
        <v>176</v>
      </c>
      <c r="F197" s="6">
        <v>300.8</v>
      </c>
      <c r="G197" s="7">
        <v>143.5</v>
      </c>
      <c r="H197" s="6">
        <v>318</v>
      </c>
      <c r="I197" s="6">
        <v>112</v>
      </c>
      <c r="J197" s="7">
        <v>272</v>
      </c>
      <c r="K197" s="7">
        <v>172</v>
      </c>
      <c r="L197" s="6">
        <v>237</v>
      </c>
      <c r="M197" s="6">
        <v>245</v>
      </c>
      <c r="N197" s="7">
        <v>201.5</v>
      </c>
      <c r="O197" s="6">
        <v>237</v>
      </c>
      <c r="P197" s="7">
        <v>144</v>
      </c>
      <c r="Q197" s="6">
        <v>294</v>
      </c>
      <c r="R197" s="6">
        <v>116.1</v>
      </c>
      <c r="S197" s="6">
        <v>260.2</v>
      </c>
      <c r="T197" s="6">
        <v>165</v>
      </c>
      <c r="U197" s="7">
        <v>290</v>
      </c>
      <c r="V197" s="7">
        <v>198.5</v>
      </c>
      <c r="W197" s="6">
        <v>273</v>
      </c>
      <c r="X197" s="6">
        <v>160</v>
      </c>
      <c r="Y197" s="6">
        <v>151</v>
      </c>
      <c r="Z197" s="7">
        <v>182</v>
      </c>
      <c r="AA197" s="76">
        <v>188.5</v>
      </c>
      <c r="AB197" s="7">
        <v>261</v>
      </c>
      <c r="AC197" s="6">
        <v>247</v>
      </c>
      <c r="AD197" s="6">
        <v>124.6</v>
      </c>
      <c r="AE197" s="6">
        <v>195.1</v>
      </c>
      <c r="AF197" s="6">
        <v>171</v>
      </c>
      <c r="AG197" s="6">
        <v>272</v>
      </c>
      <c r="AH197" s="6">
        <v>257</v>
      </c>
      <c r="AI197" s="7">
        <v>207.5</v>
      </c>
      <c r="AJ197" s="6">
        <v>219.1</v>
      </c>
      <c r="AK197" s="7">
        <v>275</v>
      </c>
      <c r="AL197" s="7">
        <v>276</v>
      </c>
    </row>
    <row r="198" spans="2:38" s="9" customFormat="1">
      <c r="B198" s="76">
        <v>1996</v>
      </c>
      <c r="C198" s="178" t="s">
        <v>135</v>
      </c>
      <c r="D198" s="6">
        <v>5</v>
      </c>
      <c r="E198" s="7">
        <v>5</v>
      </c>
      <c r="F198" s="6">
        <v>10.7</v>
      </c>
      <c r="G198" s="7">
        <v>2</v>
      </c>
      <c r="H198" s="6">
        <v>12</v>
      </c>
      <c r="I198" s="6">
        <v>5</v>
      </c>
      <c r="J198" s="7">
        <v>8</v>
      </c>
      <c r="K198" s="7">
        <v>26</v>
      </c>
      <c r="L198" s="6">
        <v>11</v>
      </c>
      <c r="M198" s="6">
        <v>2</v>
      </c>
      <c r="N198" s="7">
        <v>34</v>
      </c>
      <c r="O198" s="6">
        <v>29</v>
      </c>
      <c r="P198" s="7">
        <v>2</v>
      </c>
      <c r="Q198" s="6">
        <v>5</v>
      </c>
      <c r="R198" s="6">
        <v>15.4</v>
      </c>
      <c r="S198" s="6">
        <v>11.1</v>
      </c>
      <c r="T198" s="6">
        <v>29.2</v>
      </c>
      <c r="U198" s="7">
        <v>31.5</v>
      </c>
      <c r="V198" s="7">
        <v>0</v>
      </c>
      <c r="W198" s="6">
        <v>21.5</v>
      </c>
      <c r="X198" s="6">
        <v>14</v>
      </c>
      <c r="Y198" s="6">
        <v>24.1</v>
      </c>
      <c r="Z198" s="7">
        <v>5</v>
      </c>
      <c r="AA198" s="76">
        <v>15</v>
      </c>
      <c r="AB198" s="7">
        <v>12</v>
      </c>
      <c r="AC198" s="6">
        <v>7.5</v>
      </c>
      <c r="AD198" s="6">
        <v>30.6</v>
      </c>
      <c r="AE198" s="6">
        <v>17.899999999999999</v>
      </c>
      <c r="AF198" s="6">
        <v>2</v>
      </c>
      <c r="AG198" s="6">
        <v>8</v>
      </c>
      <c r="AH198" s="6">
        <v>21</v>
      </c>
      <c r="AI198" s="7">
        <v>5</v>
      </c>
      <c r="AJ198" s="6">
        <v>6.5</v>
      </c>
      <c r="AK198" s="7">
        <v>20</v>
      </c>
      <c r="AL198" s="7">
        <v>14</v>
      </c>
    </row>
    <row r="199" spans="2:38" s="9" customFormat="1">
      <c r="B199" s="76">
        <v>1996</v>
      </c>
      <c r="C199" s="178" t="s">
        <v>136</v>
      </c>
      <c r="D199" s="6">
        <v>42</v>
      </c>
      <c r="E199" s="7">
        <v>51</v>
      </c>
      <c r="F199" s="6">
        <v>20.2</v>
      </c>
      <c r="G199" s="7">
        <v>29</v>
      </c>
      <c r="H199" s="6">
        <v>23</v>
      </c>
      <c r="I199" s="6">
        <v>37</v>
      </c>
      <c r="J199" s="7">
        <v>27</v>
      </c>
      <c r="K199" s="7">
        <v>44</v>
      </c>
      <c r="L199" s="6">
        <v>24</v>
      </c>
      <c r="M199" s="6">
        <v>34</v>
      </c>
      <c r="N199" s="7">
        <v>36.5</v>
      </c>
      <c r="O199" s="6">
        <v>51</v>
      </c>
      <c r="P199" s="7">
        <v>41</v>
      </c>
      <c r="Q199" s="6">
        <v>35</v>
      </c>
      <c r="R199" s="6">
        <v>47.8</v>
      </c>
      <c r="S199" s="6">
        <v>67.2</v>
      </c>
      <c r="T199" s="6">
        <v>22.8</v>
      </c>
      <c r="U199" s="7">
        <v>42</v>
      </c>
      <c r="V199" s="7">
        <v>32</v>
      </c>
      <c r="W199" s="6">
        <v>28.8</v>
      </c>
      <c r="X199" s="6">
        <v>44</v>
      </c>
      <c r="Y199" s="6">
        <v>65.400000000000006</v>
      </c>
      <c r="Z199" s="7">
        <v>35</v>
      </c>
      <c r="AA199" s="76">
        <v>17</v>
      </c>
      <c r="AB199" s="7">
        <v>38</v>
      </c>
      <c r="AC199" s="6">
        <v>52.6</v>
      </c>
      <c r="AD199" s="6">
        <v>34.1</v>
      </c>
      <c r="AE199" s="6">
        <v>2.2999999999999998</v>
      </c>
      <c r="AF199" s="6">
        <v>14</v>
      </c>
      <c r="AG199" s="6">
        <v>26</v>
      </c>
      <c r="AH199" s="6">
        <v>8</v>
      </c>
      <c r="AI199" s="7">
        <v>55.5</v>
      </c>
      <c r="AJ199" s="6">
        <v>49.2</v>
      </c>
      <c r="AK199" s="7">
        <v>0</v>
      </c>
      <c r="AL199" s="7">
        <v>50</v>
      </c>
    </row>
    <row r="200" spans="2:38" s="9" customFormat="1">
      <c r="B200" s="76">
        <v>1996</v>
      </c>
      <c r="C200" s="178" t="s">
        <v>137</v>
      </c>
      <c r="D200" s="6">
        <v>26</v>
      </c>
      <c r="E200" s="7">
        <v>9</v>
      </c>
      <c r="F200" s="6">
        <v>23.4</v>
      </c>
      <c r="G200" s="7">
        <v>27.5</v>
      </c>
      <c r="H200" s="6">
        <v>0</v>
      </c>
      <c r="I200" s="6">
        <v>9</v>
      </c>
      <c r="J200" s="7">
        <v>38</v>
      </c>
      <c r="K200" s="7">
        <v>19</v>
      </c>
      <c r="L200" s="6">
        <v>9</v>
      </c>
      <c r="M200" s="6">
        <v>40</v>
      </c>
      <c r="N200" s="7">
        <v>10</v>
      </c>
      <c r="O200" s="6">
        <v>29</v>
      </c>
      <c r="P200" s="7">
        <v>18</v>
      </c>
      <c r="Q200" s="6">
        <v>25</v>
      </c>
      <c r="R200" s="6">
        <v>32.299999999999997</v>
      </c>
      <c r="S200" s="6">
        <v>13.6</v>
      </c>
      <c r="T200" s="6">
        <v>15</v>
      </c>
      <c r="U200" s="7">
        <v>26</v>
      </c>
      <c r="V200" s="7">
        <v>0</v>
      </c>
      <c r="W200" s="6">
        <v>16.7</v>
      </c>
      <c r="X200" s="6">
        <v>34</v>
      </c>
      <c r="Y200" s="6">
        <v>50</v>
      </c>
      <c r="Z200" s="7">
        <v>15</v>
      </c>
      <c r="AA200" s="76">
        <v>10</v>
      </c>
      <c r="AB200" s="7">
        <v>47</v>
      </c>
      <c r="AC200" s="6">
        <v>3.3</v>
      </c>
      <c r="AD200" s="6">
        <v>45.7</v>
      </c>
      <c r="AE200" s="6">
        <v>9.1999999999999993</v>
      </c>
      <c r="AF200" s="6">
        <v>0</v>
      </c>
      <c r="AG200" s="6">
        <v>34</v>
      </c>
      <c r="AH200" s="6">
        <v>3</v>
      </c>
      <c r="AI200" s="7">
        <v>6</v>
      </c>
      <c r="AJ200" s="6">
        <v>21.3</v>
      </c>
      <c r="AK200" s="7">
        <v>19</v>
      </c>
      <c r="AL200" s="7">
        <v>15</v>
      </c>
    </row>
    <row r="201" spans="2:38" s="9" customFormat="1">
      <c r="B201" s="76">
        <v>1996</v>
      </c>
      <c r="C201" s="178" t="s">
        <v>138</v>
      </c>
      <c r="D201" s="6">
        <v>47</v>
      </c>
      <c r="E201" s="7">
        <v>57</v>
      </c>
      <c r="F201" s="6">
        <v>35.9</v>
      </c>
      <c r="G201" s="7">
        <v>48</v>
      </c>
      <c r="H201" s="6">
        <v>26</v>
      </c>
      <c r="I201" s="6">
        <v>18</v>
      </c>
      <c r="J201" s="7">
        <v>83</v>
      </c>
      <c r="K201" s="7">
        <v>32</v>
      </c>
      <c r="L201" s="6">
        <v>34</v>
      </c>
      <c r="M201" s="6">
        <v>62</v>
      </c>
      <c r="N201" s="7">
        <v>92.5</v>
      </c>
      <c r="O201" s="6">
        <v>63</v>
      </c>
      <c r="P201" s="7">
        <v>35</v>
      </c>
      <c r="Q201" s="6">
        <v>70</v>
      </c>
      <c r="R201" s="6">
        <v>71.599999999999994</v>
      </c>
      <c r="S201" s="6">
        <v>54.3</v>
      </c>
      <c r="T201" s="6">
        <v>18.899999999999999</v>
      </c>
      <c r="U201" s="7">
        <v>28</v>
      </c>
      <c r="V201" s="7">
        <v>62</v>
      </c>
      <c r="W201" s="6">
        <v>7</v>
      </c>
      <c r="X201" s="6">
        <v>30</v>
      </c>
      <c r="Y201" s="6">
        <v>31.1</v>
      </c>
      <c r="Z201" s="7">
        <v>25</v>
      </c>
      <c r="AA201" s="76">
        <v>19</v>
      </c>
      <c r="AB201" s="7">
        <v>46.5</v>
      </c>
      <c r="AC201" s="6">
        <v>79.900000000000006</v>
      </c>
      <c r="AD201" s="6">
        <v>42.9</v>
      </c>
      <c r="AE201" s="6">
        <v>18</v>
      </c>
      <c r="AF201" s="6">
        <v>49</v>
      </c>
      <c r="AG201" s="6">
        <v>43</v>
      </c>
      <c r="AH201" s="6">
        <v>18</v>
      </c>
      <c r="AI201" s="7">
        <v>69</v>
      </c>
      <c r="AJ201" s="6">
        <v>87.5</v>
      </c>
      <c r="AK201" s="7">
        <v>23</v>
      </c>
      <c r="AL201" s="7">
        <v>50</v>
      </c>
    </row>
    <row r="202" spans="2:38" s="9" customFormat="1">
      <c r="B202" s="76">
        <v>1996</v>
      </c>
      <c r="C202" s="178" t="s">
        <v>139</v>
      </c>
      <c r="D202" s="6">
        <v>139</v>
      </c>
      <c r="E202" s="7">
        <v>193</v>
      </c>
      <c r="F202" s="6">
        <v>79.7</v>
      </c>
      <c r="G202" s="7">
        <v>178</v>
      </c>
      <c r="H202" s="6">
        <v>34</v>
      </c>
      <c r="I202" s="6">
        <v>181</v>
      </c>
      <c r="J202" s="7">
        <v>260</v>
      </c>
      <c r="K202" s="7">
        <v>105</v>
      </c>
      <c r="L202" s="6">
        <v>77.5</v>
      </c>
      <c r="M202" s="6">
        <v>232</v>
      </c>
      <c r="N202" s="7">
        <v>213</v>
      </c>
      <c r="O202" s="6">
        <v>103</v>
      </c>
      <c r="P202" s="7">
        <v>193</v>
      </c>
      <c r="Q202" s="6">
        <v>203</v>
      </c>
      <c r="R202" s="6">
        <v>155</v>
      </c>
      <c r="S202" s="6">
        <v>164.5</v>
      </c>
      <c r="T202" s="6">
        <v>148.6</v>
      </c>
      <c r="U202" s="7">
        <v>231</v>
      </c>
      <c r="V202" s="7">
        <v>99</v>
      </c>
      <c r="W202" s="6">
        <v>62.9</v>
      </c>
      <c r="X202" s="6">
        <v>135</v>
      </c>
      <c r="Y202" s="6">
        <v>111</v>
      </c>
      <c r="Z202" s="7">
        <v>177</v>
      </c>
      <c r="AA202" s="76">
        <v>48.5</v>
      </c>
      <c r="AB202" s="7">
        <v>195.5</v>
      </c>
      <c r="AC202" s="6">
        <v>77.900000000000006</v>
      </c>
      <c r="AD202" s="6">
        <v>113.6</v>
      </c>
      <c r="AE202" s="6">
        <v>51.7</v>
      </c>
      <c r="AF202" s="6">
        <v>47</v>
      </c>
      <c r="AG202" s="6">
        <v>90</v>
      </c>
      <c r="AH202" s="6">
        <v>53</v>
      </c>
      <c r="AI202" s="7">
        <v>87</v>
      </c>
      <c r="AJ202" s="6">
        <v>196.1</v>
      </c>
      <c r="AK202" s="7">
        <v>82</v>
      </c>
      <c r="AL202" s="7">
        <v>136.5</v>
      </c>
    </row>
    <row r="203" spans="2:38" s="9" customFormat="1">
      <c r="B203" s="76">
        <v>1996</v>
      </c>
      <c r="C203" s="178" t="s">
        <v>140</v>
      </c>
      <c r="D203" s="6">
        <v>40</v>
      </c>
      <c r="E203" s="7">
        <v>75</v>
      </c>
      <c r="F203" s="6">
        <v>120.9</v>
      </c>
      <c r="G203" s="7">
        <v>130</v>
      </c>
      <c r="H203" s="6">
        <v>86</v>
      </c>
      <c r="I203" s="6">
        <v>73</v>
      </c>
      <c r="J203" s="7">
        <v>45</v>
      </c>
      <c r="K203" s="7">
        <v>65</v>
      </c>
      <c r="L203" s="6">
        <v>35</v>
      </c>
      <c r="M203" s="6">
        <v>37</v>
      </c>
      <c r="N203" s="7">
        <v>85</v>
      </c>
      <c r="O203" s="6">
        <v>65</v>
      </c>
      <c r="P203" s="7">
        <v>84</v>
      </c>
      <c r="Q203" s="6">
        <v>54</v>
      </c>
      <c r="R203" s="6">
        <v>60.8</v>
      </c>
      <c r="S203" s="6">
        <v>78.2</v>
      </c>
      <c r="T203" s="6">
        <v>45.7</v>
      </c>
      <c r="U203" s="7">
        <v>50</v>
      </c>
      <c r="V203" s="7">
        <v>86</v>
      </c>
      <c r="W203" s="6">
        <v>43.9</v>
      </c>
      <c r="X203" s="6">
        <v>55.5</v>
      </c>
      <c r="Y203" s="6">
        <v>80</v>
      </c>
      <c r="Z203" s="7">
        <v>68.5</v>
      </c>
      <c r="AA203" s="76">
        <v>137</v>
      </c>
      <c r="AB203" s="7">
        <v>60</v>
      </c>
      <c r="AC203" s="6">
        <v>119.9</v>
      </c>
      <c r="AD203" s="6">
        <v>80.099999999999994</v>
      </c>
      <c r="AE203" s="6">
        <v>91.8</v>
      </c>
      <c r="AF203" s="6">
        <v>85</v>
      </c>
      <c r="AG203" s="6">
        <v>64</v>
      </c>
      <c r="AH203" s="6">
        <v>126</v>
      </c>
      <c r="AI203" s="7">
        <v>109.7</v>
      </c>
      <c r="AJ203" s="6">
        <v>57.9</v>
      </c>
      <c r="AK203" s="7">
        <v>60</v>
      </c>
      <c r="AL203" s="7">
        <v>104.5</v>
      </c>
    </row>
    <row r="204" spans="2:38" s="9" customFormat="1">
      <c r="B204" s="76">
        <v>1996</v>
      </c>
      <c r="C204" s="178" t="s">
        <v>141</v>
      </c>
      <c r="D204" s="6">
        <v>58</v>
      </c>
      <c r="E204" s="7">
        <v>102</v>
      </c>
      <c r="F204" s="6">
        <v>108.6</v>
      </c>
      <c r="G204" s="7">
        <v>58</v>
      </c>
      <c r="H204" s="6">
        <v>108</v>
      </c>
      <c r="I204" s="6">
        <v>75</v>
      </c>
      <c r="J204" s="7">
        <v>86</v>
      </c>
      <c r="K204" s="7">
        <v>111.5</v>
      </c>
      <c r="L204" s="6">
        <v>107</v>
      </c>
      <c r="M204" s="6">
        <v>90</v>
      </c>
      <c r="N204" s="7">
        <v>115</v>
      </c>
      <c r="O204" s="6">
        <v>58</v>
      </c>
      <c r="P204" s="7">
        <v>113</v>
      </c>
      <c r="Q204" s="6">
        <v>112</v>
      </c>
      <c r="R204" s="6">
        <v>115.6</v>
      </c>
      <c r="S204" s="6">
        <v>93</v>
      </c>
      <c r="T204" s="6">
        <v>93</v>
      </c>
      <c r="U204" s="7">
        <v>108</v>
      </c>
      <c r="V204" s="7">
        <v>121</v>
      </c>
      <c r="W204" s="6">
        <v>125.3</v>
      </c>
      <c r="X204" s="6">
        <v>78</v>
      </c>
      <c r="Y204" s="6">
        <v>99.6</v>
      </c>
      <c r="Z204" s="7">
        <v>102</v>
      </c>
      <c r="AA204" s="76">
        <v>167</v>
      </c>
      <c r="AB204" s="7">
        <v>188</v>
      </c>
      <c r="AC204" s="6">
        <v>104.3</v>
      </c>
      <c r="AD204" s="6">
        <v>57.9</v>
      </c>
      <c r="AE204" s="6">
        <v>230.3</v>
      </c>
      <c r="AF204" s="6">
        <v>202</v>
      </c>
      <c r="AG204" s="6">
        <v>162</v>
      </c>
      <c r="AH204" s="6">
        <v>132</v>
      </c>
      <c r="AI204" s="7">
        <v>149.5</v>
      </c>
      <c r="AJ204" s="6">
        <v>90.1</v>
      </c>
      <c r="AK204" s="7">
        <v>139</v>
      </c>
      <c r="AL204" s="7">
        <v>105.5</v>
      </c>
    </row>
    <row r="205" spans="2:38" s="9" customFormat="1">
      <c r="B205" s="76">
        <v>1996</v>
      </c>
      <c r="C205" s="178" t="s">
        <v>143</v>
      </c>
      <c r="D205" s="6">
        <v>41</v>
      </c>
      <c r="E205" s="7">
        <v>56</v>
      </c>
      <c r="F205" s="6">
        <v>93.1</v>
      </c>
      <c r="G205" s="7">
        <v>62</v>
      </c>
      <c r="H205" s="6">
        <v>109</v>
      </c>
      <c r="I205" s="6">
        <v>50</v>
      </c>
      <c r="J205" s="7">
        <v>86</v>
      </c>
      <c r="K205" s="7">
        <v>140.5</v>
      </c>
      <c r="L205" s="6">
        <v>110.5</v>
      </c>
      <c r="M205" s="6">
        <v>55</v>
      </c>
      <c r="N205" s="7">
        <v>198.5</v>
      </c>
      <c r="O205" s="6">
        <v>148</v>
      </c>
      <c r="P205" s="7">
        <v>45</v>
      </c>
      <c r="Q205" s="6">
        <v>70</v>
      </c>
      <c r="R205" s="6">
        <v>74.400000000000006</v>
      </c>
      <c r="S205" s="6">
        <v>43.1</v>
      </c>
      <c r="T205" s="6">
        <v>185.1</v>
      </c>
      <c r="U205" s="7">
        <v>117</v>
      </c>
      <c r="V205" s="7">
        <v>56</v>
      </c>
      <c r="W205" s="6">
        <v>182.6</v>
      </c>
      <c r="X205" s="6">
        <v>90</v>
      </c>
      <c r="Y205" s="6">
        <v>90.3</v>
      </c>
      <c r="Z205" s="7">
        <v>53</v>
      </c>
      <c r="AA205" s="76">
        <v>187</v>
      </c>
      <c r="AB205" s="7">
        <v>169</v>
      </c>
      <c r="AC205" s="6">
        <v>92.8</v>
      </c>
      <c r="AD205" s="6">
        <v>76.400000000000006</v>
      </c>
      <c r="AE205" s="6">
        <v>57.7</v>
      </c>
      <c r="AF205" s="6">
        <v>90</v>
      </c>
      <c r="AG205" s="6">
        <v>194</v>
      </c>
      <c r="AH205" s="6">
        <v>52</v>
      </c>
      <c r="AI205" s="7">
        <v>94</v>
      </c>
      <c r="AJ205" s="6">
        <v>67.900000000000006</v>
      </c>
      <c r="AK205" s="7">
        <v>59</v>
      </c>
      <c r="AL205" s="7">
        <v>69</v>
      </c>
    </row>
    <row r="206" spans="2:38" s="9" customFormat="1">
      <c r="B206" s="76">
        <v>1997</v>
      </c>
      <c r="C206" s="178" t="s">
        <v>131</v>
      </c>
      <c r="D206" s="6">
        <v>43</v>
      </c>
      <c r="E206" s="7">
        <v>77</v>
      </c>
      <c r="F206" s="6">
        <v>78.3</v>
      </c>
      <c r="G206" s="7">
        <v>23</v>
      </c>
      <c r="H206" s="6">
        <v>74</v>
      </c>
      <c r="I206" s="6">
        <v>26</v>
      </c>
      <c r="J206" s="7">
        <v>28.5</v>
      </c>
      <c r="K206" s="7">
        <v>188</v>
      </c>
      <c r="L206" s="6">
        <v>158</v>
      </c>
      <c r="M206" s="6">
        <v>61</v>
      </c>
      <c r="N206" s="7">
        <v>143</v>
      </c>
      <c r="O206" s="6">
        <v>65</v>
      </c>
      <c r="P206" s="7">
        <v>42</v>
      </c>
      <c r="Q206" s="6">
        <v>8</v>
      </c>
      <c r="R206" s="6">
        <v>136.1</v>
      </c>
      <c r="S206" s="6">
        <v>81.7</v>
      </c>
      <c r="T206" s="6">
        <v>125.5</v>
      </c>
      <c r="U206" s="7">
        <v>34</v>
      </c>
      <c r="V206" s="7">
        <v>61.5</v>
      </c>
      <c r="W206" s="6">
        <v>112.2</v>
      </c>
      <c r="X206" s="6">
        <v>68</v>
      </c>
      <c r="Y206" s="6">
        <v>52.6</v>
      </c>
      <c r="Z206" s="7">
        <v>89.5</v>
      </c>
      <c r="AA206" s="76">
        <v>90</v>
      </c>
      <c r="AB206" s="7">
        <v>154</v>
      </c>
      <c r="AC206" s="6">
        <v>61.2</v>
      </c>
      <c r="AD206" s="6">
        <v>97.8</v>
      </c>
      <c r="AE206" s="6">
        <v>132.5</v>
      </c>
      <c r="AF206" s="6">
        <v>248</v>
      </c>
      <c r="AG206" s="6">
        <v>82</v>
      </c>
      <c r="AH206" s="6">
        <v>65</v>
      </c>
      <c r="AI206" s="7">
        <v>93</v>
      </c>
      <c r="AJ206" s="6">
        <v>59.5</v>
      </c>
      <c r="AK206" s="7">
        <v>121</v>
      </c>
      <c r="AL206" s="7">
        <v>88</v>
      </c>
    </row>
    <row r="207" spans="2:38" s="9" customFormat="1">
      <c r="B207" s="76">
        <v>1997</v>
      </c>
      <c r="C207" s="178" t="s">
        <v>132</v>
      </c>
      <c r="D207" s="6">
        <v>271</v>
      </c>
      <c r="E207" s="7">
        <v>102</v>
      </c>
      <c r="F207" s="6">
        <v>245.2</v>
      </c>
      <c r="G207" s="7">
        <v>98</v>
      </c>
      <c r="H207" s="6">
        <v>277</v>
      </c>
      <c r="I207" s="6">
        <v>70</v>
      </c>
      <c r="J207" s="7">
        <v>137</v>
      </c>
      <c r="K207" s="7">
        <v>64</v>
      </c>
      <c r="L207" s="6">
        <v>98</v>
      </c>
      <c r="M207" s="6">
        <v>108</v>
      </c>
      <c r="N207" s="7">
        <v>77.5</v>
      </c>
      <c r="O207" s="6">
        <v>82</v>
      </c>
      <c r="P207" s="7">
        <v>197</v>
      </c>
      <c r="Q207" s="6">
        <v>178</v>
      </c>
      <c r="R207" s="6">
        <v>76.7</v>
      </c>
      <c r="S207" s="6">
        <v>228.9</v>
      </c>
      <c r="T207" s="6">
        <v>77.400000000000006</v>
      </c>
      <c r="U207" s="7">
        <v>141</v>
      </c>
      <c r="V207" s="7">
        <v>330</v>
      </c>
      <c r="W207" s="6">
        <v>124.5</v>
      </c>
      <c r="X207" s="6">
        <v>42.2</v>
      </c>
      <c r="Y207" s="6">
        <v>64.900000000000006</v>
      </c>
      <c r="Z207" s="7">
        <v>74</v>
      </c>
      <c r="AA207" s="76">
        <v>84</v>
      </c>
      <c r="AB207" s="7">
        <v>96</v>
      </c>
      <c r="AC207" s="6">
        <v>294.3</v>
      </c>
      <c r="AD207" s="6">
        <v>98.4</v>
      </c>
      <c r="AE207" s="6">
        <v>115</v>
      </c>
      <c r="AF207" s="6">
        <v>135</v>
      </c>
      <c r="AG207" s="6">
        <v>149</v>
      </c>
      <c r="AH207" s="6">
        <v>244</v>
      </c>
      <c r="AI207" s="7">
        <v>246.5</v>
      </c>
      <c r="AJ207" s="6">
        <v>137.9</v>
      </c>
      <c r="AK207" s="7">
        <v>176.5</v>
      </c>
      <c r="AL207" s="7">
        <v>292.5</v>
      </c>
    </row>
    <row r="208" spans="2:38" s="9" customFormat="1">
      <c r="B208" s="76">
        <v>1997</v>
      </c>
      <c r="C208" s="178" t="s">
        <v>133</v>
      </c>
      <c r="D208" s="6">
        <v>79</v>
      </c>
      <c r="E208" s="7">
        <v>47</v>
      </c>
      <c r="F208" s="6">
        <v>43.1</v>
      </c>
      <c r="G208" s="7">
        <v>92</v>
      </c>
      <c r="H208" s="6">
        <v>27</v>
      </c>
      <c r="I208" s="6">
        <v>206</v>
      </c>
      <c r="J208" s="7">
        <v>30</v>
      </c>
      <c r="K208" s="7">
        <v>48</v>
      </c>
      <c r="L208" s="6">
        <v>68</v>
      </c>
      <c r="M208" s="6">
        <v>68</v>
      </c>
      <c r="N208" s="7">
        <v>90</v>
      </c>
      <c r="O208" s="6">
        <v>85</v>
      </c>
      <c r="P208" s="7">
        <v>61</v>
      </c>
      <c r="Q208" s="6">
        <v>61</v>
      </c>
      <c r="R208" s="6">
        <v>95.5</v>
      </c>
      <c r="S208" s="6">
        <v>37.5</v>
      </c>
      <c r="T208" s="6">
        <v>21.9</v>
      </c>
      <c r="U208" s="7">
        <v>20</v>
      </c>
      <c r="V208" s="7">
        <v>19</v>
      </c>
      <c r="W208" s="6">
        <v>40.700000000000003</v>
      </c>
      <c r="X208" s="6">
        <v>19.8</v>
      </c>
      <c r="Y208" s="6">
        <v>51.3</v>
      </c>
      <c r="Z208" s="7">
        <v>61</v>
      </c>
      <c r="AA208" s="76">
        <v>13</v>
      </c>
      <c r="AB208" s="7">
        <v>60</v>
      </c>
      <c r="AC208" s="6">
        <v>17.8</v>
      </c>
      <c r="AD208" s="6">
        <v>50.2</v>
      </c>
      <c r="AE208" s="6">
        <v>12.2</v>
      </c>
      <c r="AF208" s="6">
        <v>51</v>
      </c>
      <c r="AG208" s="6">
        <v>87</v>
      </c>
      <c r="AH208" s="6">
        <v>87</v>
      </c>
      <c r="AI208" s="7">
        <v>22</v>
      </c>
      <c r="AJ208" s="6">
        <v>70.2</v>
      </c>
      <c r="AK208" s="7">
        <v>31</v>
      </c>
      <c r="AL208" s="7">
        <v>38</v>
      </c>
    </row>
    <row r="209" spans="2:38" s="9" customFormat="1">
      <c r="B209" s="76">
        <v>1997</v>
      </c>
      <c r="C209" s="178" t="s">
        <v>134</v>
      </c>
      <c r="D209" s="6">
        <v>61</v>
      </c>
      <c r="E209" s="7">
        <v>51</v>
      </c>
      <c r="F209" s="6">
        <v>96.8</v>
      </c>
      <c r="G209" s="7">
        <v>55</v>
      </c>
      <c r="H209" s="6">
        <v>87</v>
      </c>
      <c r="I209" s="6">
        <v>49</v>
      </c>
      <c r="J209" s="7">
        <v>68</v>
      </c>
      <c r="K209" s="7">
        <v>77</v>
      </c>
      <c r="L209" s="6">
        <v>64</v>
      </c>
      <c r="M209" s="6">
        <v>81</v>
      </c>
      <c r="N209" s="7">
        <v>79</v>
      </c>
      <c r="O209" s="6">
        <v>89</v>
      </c>
      <c r="P209" s="7">
        <v>91</v>
      </c>
      <c r="Q209" s="6">
        <v>63</v>
      </c>
      <c r="R209" s="6">
        <v>73.599999999999994</v>
      </c>
      <c r="S209" s="6">
        <v>65.5</v>
      </c>
      <c r="T209" s="6">
        <v>53.5</v>
      </c>
      <c r="U209" s="7">
        <v>88</v>
      </c>
      <c r="V209" s="7">
        <v>110.5</v>
      </c>
      <c r="W209" s="6">
        <v>57.9</v>
      </c>
      <c r="X209" s="6">
        <v>56</v>
      </c>
      <c r="Y209" s="6">
        <v>41</v>
      </c>
      <c r="Z209" s="7">
        <v>70</v>
      </c>
      <c r="AA209" s="76">
        <v>55</v>
      </c>
      <c r="AB209" s="7">
        <v>116</v>
      </c>
      <c r="AC209" s="6">
        <v>145.30000000000001</v>
      </c>
      <c r="AD209" s="6">
        <v>36.9</v>
      </c>
      <c r="AE209" s="6">
        <v>77.5</v>
      </c>
      <c r="AF209" s="6">
        <v>55</v>
      </c>
      <c r="AG209" s="6">
        <v>66</v>
      </c>
      <c r="AH209" s="6">
        <v>104</v>
      </c>
      <c r="AI209" s="7">
        <v>77.2</v>
      </c>
      <c r="AJ209" s="6">
        <v>103.1</v>
      </c>
      <c r="AK209" s="7">
        <v>69</v>
      </c>
      <c r="AL209" s="7">
        <v>107</v>
      </c>
    </row>
    <row r="210" spans="2:38" s="9" customFormat="1">
      <c r="B210" s="76">
        <v>1997</v>
      </c>
      <c r="C210" s="178" t="s">
        <v>135</v>
      </c>
      <c r="D210" s="6">
        <v>82</v>
      </c>
      <c r="E210" s="7">
        <v>69</v>
      </c>
      <c r="F210" s="6">
        <v>122.7</v>
      </c>
      <c r="G210" s="7">
        <v>43</v>
      </c>
      <c r="H210" s="6">
        <v>99</v>
      </c>
      <c r="I210" s="6">
        <v>86</v>
      </c>
      <c r="J210" s="7">
        <v>65</v>
      </c>
      <c r="K210" s="7">
        <v>92</v>
      </c>
      <c r="L210" s="6">
        <v>153</v>
      </c>
      <c r="M210" s="6">
        <v>136</v>
      </c>
      <c r="N210" s="7">
        <v>145</v>
      </c>
      <c r="O210" s="6">
        <v>27</v>
      </c>
      <c r="P210" s="7">
        <v>119</v>
      </c>
      <c r="Q210" s="6">
        <v>48</v>
      </c>
      <c r="R210" s="6">
        <v>60.8</v>
      </c>
      <c r="S210" s="6">
        <v>117.4</v>
      </c>
      <c r="T210" s="6">
        <v>54.3</v>
      </c>
      <c r="U210" s="7">
        <v>179</v>
      </c>
      <c r="V210" s="7">
        <v>148</v>
      </c>
      <c r="W210" s="6">
        <v>112.1</v>
      </c>
      <c r="X210" s="6">
        <v>72</v>
      </c>
      <c r="Y210" s="6">
        <v>85.5</v>
      </c>
      <c r="Z210" s="7">
        <v>103</v>
      </c>
      <c r="AA210" s="76">
        <v>118</v>
      </c>
      <c r="AB210" s="7">
        <v>134</v>
      </c>
      <c r="AC210" s="6">
        <v>178</v>
      </c>
      <c r="AD210" s="6">
        <v>71.099999999999994</v>
      </c>
      <c r="AE210" s="6">
        <v>96.3</v>
      </c>
      <c r="AF210" s="6">
        <v>63</v>
      </c>
      <c r="AG210" s="6">
        <v>162</v>
      </c>
      <c r="AH210" s="6">
        <v>128</v>
      </c>
      <c r="AI210" s="7">
        <v>162.69999999999999</v>
      </c>
      <c r="AJ210" s="6">
        <v>83.7</v>
      </c>
      <c r="AK210" s="7">
        <v>135</v>
      </c>
      <c r="AL210" s="7">
        <v>233</v>
      </c>
    </row>
    <row r="211" spans="2:38" s="9" customFormat="1">
      <c r="B211" s="76">
        <v>1997</v>
      </c>
      <c r="C211" s="178" t="s">
        <v>136</v>
      </c>
      <c r="D211" s="6">
        <v>140</v>
      </c>
      <c r="E211" s="7">
        <v>104</v>
      </c>
      <c r="F211" s="6">
        <v>65</v>
      </c>
      <c r="G211" s="7">
        <v>165</v>
      </c>
      <c r="H211" s="6">
        <v>60</v>
      </c>
      <c r="I211" s="6">
        <v>99</v>
      </c>
      <c r="J211" s="7">
        <v>85</v>
      </c>
      <c r="K211" s="7">
        <v>65</v>
      </c>
      <c r="L211" s="6">
        <v>85</v>
      </c>
      <c r="M211" s="6">
        <v>100</v>
      </c>
      <c r="N211" s="7">
        <v>83</v>
      </c>
      <c r="O211" s="6">
        <v>190</v>
      </c>
      <c r="P211" s="7">
        <v>126</v>
      </c>
      <c r="Q211" s="6">
        <v>171</v>
      </c>
      <c r="R211" s="6">
        <v>68.599999999999994</v>
      </c>
      <c r="S211" s="6">
        <v>108.6</v>
      </c>
      <c r="T211" s="6">
        <v>57.1</v>
      </c>
      <c r="U211" s="7">
        <v>146.5</v>
      </c>
      <c r="V211" s="7">
        <v>103</v>
      </c>
      <c r="W211" s="6">
        <v>84.7</v>
      </c>
      <c r="X211" s="6">
        <v>71</v>
      </c>
      <c r="Y211" s="6">
        <v>72.400000000000006</v>
      </c>
      <c r="Z211" s="7">
        <v>168</v>
      </c>
      <c r="AA211" s="76">
        <v>49</v>
      </c>
      <c r="AB211" s="7">
        <v>121</v>
      </c>
      <c r="AC211" s="6">
        <v>131.1</v>
      </c>
      <c r="AD211" s="6">
        <v>150.5</v>
      </c>
      <c r="AE211" s="6">
        <v>47.1</v>
      </c>
      <c r="AF211" s="6">
        <v>111</v>
      </c>
      <c r="AG211" s="6">
        <v>80</v>
      </c>
      <c r="AH211" s="6">
        <v>52</v>
      </c>
      <c r="AI211" s="7">
        <v>147.5</v>
      </c>
      <c r="AJ211" s="6">
        <v>142.80000000000001</v>
      </c>
      <c r="AK211" s="7">
        <v>88</v>
      </c>
      <c r="AL211" s="7">
        <v>167</v>
      </c>
    </row>
    <row r="212" spans="2:38" s="9" customFormat="1">
      <c r="B212" s="76">
        <v>1997</v>
      </c>
      <c r="C212" s="178" t="s">
        <v>137</v>
      </c>
      <c r="D212" s="6">
        <v>57</v>
      </c>
      <c r="E212" s="7">
        <v>34</v>
      </c>
      <c r="F212" s="6">
        <v>123.7</v>
      </c>
      <c r="G212" s="7">
        <v>65</v>
      </c>
      <c r="H212" s="6">
        <v>15</v>
      </c>
      <c r="I212" s="6">
        <v>27</v>
      </c>
      <c r="J212" s="7">
        <v>44</v>
      </c>
      <c r="K212" s="7">
        <v>69</v>
      </c>
      <c r="L212" s="6">
        <v>24</v>
      </c>
      <c r="M212" s="6">
        <v>33</v>
      </c>
      <c r="N212" s="7">
        <v>17.5</v>
      </c>
      <c r="O212" s="6">
        <v>47</v>
      </c>
      <c r="P212" s="7">
        <v>52</v>
      </c>
      <c r="Q212" s="6">
        <v>65</v>
      </c>
      <c r="R212" s="6">
        <v>34.700000000000003</v>
      </c>
      <c r="S212" s="6">
        <v>46.8</v>
      </c>
      <c r="T212" s="6">
        <v>15</v>
      </c>
      <c r="U212" s="7">
        <v>27</v>
      </c>
      <c r="V212" s="7">
        <v>44</v>
      </c>
      <c r="W212" s="6">
        <v>7.2</v>
      </c>
      <c r="X212" s="6">
        <v>8</v>
      </c>
      <c r="Y212" s="6">
        <v>40.299999999999997</v>
      </c>
      <c r="Z212" s="7">
        <v>14</v>
      </c>
      <c r="AA212" s="76">
        <v>20</v>
      </c>
      <c r="AB212" s="7">
        <v>32</v>
      </c>
      <c r="AC212" s="6">
        <v>138.80000000000001</v>
      </c>
      <c r="AD212" s="6">
        <v>49.3</v>
      </c>
      <c r="AE212" s="6">
        <v>23.9</v>
      </c>
      <c r="AF212" s="6">
        <v>64</v>
      </c>
      <c r="AG212" s="6">
        <v>38</v>
      </c>
      <c r="AH212" s="6">
        <v>113</v>
      </c>
      <c r="AI212" s="7">
        <v>55</v>
      </c>
      <c r="AJ212" s="6">
        <v>44.3</v>
      </c>
      <c r="AK212" s="7">
        <v>54</v>
      </c>
      <c r="AL212" s="7">
        <v>70</v>
      </c>
    </row>
    <row r="213" spans="2:38" s="9" customFormat="1">
      <c r="B213" s="76">
        <v>1997</v>
      </c>
      <c r="C213" s="178" t="s">
        <v>138</v>
      </c>
      <c r="D213" s="6">
        <v>142</v>
      </c>
      <c r="E213" s="7">
        <v>151</v>
      </c>
      <c r="F213" s="6">
        <v>46.4</v>
      </c>
      <c r="G213" s="7">
        <v>90.5</v>
      </c>
      <c r="H213" s="6">
        <v>47</v>
      </c>
      <c r="I213" s="6">
        <v>160</v>
      </c>
      <c r="J213" s="7">
        <v>131.5</v>
      </c>
      <c r="K213" s="7">
        <v>171</v>
      </c>
      <c r="L213" s="6">
        <v>62</v>
      </c>
      <c r="M213" s="6">
        <v>172</v>
      </c>
      <c r="N213" s="7">
        <v>75.5</v>
      </c>
      <c r="O213" s="6">
        <v>189</v>
      </c>
      <c r="P213" s="7">
        <v>111</v>
      </c>
      <c r="Q213" s="6">
        <v>211</v>
      </c>
      <c r="R213" s="6">
        <v>136.9</v>
      </c>
      <c r="S213" s="6">
        <v>142</v>
      </c>
      <c r="T213" s="6">
        <v>94.9</v>
      </c>
      <c r="U213" s="7">
        <v>67</v>
      </c>
      <c r="V213" s="7">
        <v>99.5</v>
      </c>
      <c r="W213" s="6">
        <v>92.6</v>
      </c>
      <c r="X213" s="6">
        <v>73</v>
      </c>
      <c r="Y213" s="6">
        <v>165</v>
      </c>
      <c r="Z213" s="7">
        <v>123</v>
      </c>
      <c r="AA213" s="76">
        <v>87</v>
      </c>
      <c r="AB213" s="7">
        <v>103</v>
      </c>
      <c r="AC213" s="6">
        <v>111.7</v>
      </c>
      <c r="AD213" s="6">
        <v>146.1</v>
      </c>
      <c r="AE213" s="6">
        <v>49.3</v>
      </c>
      <c r="AF213" s="6">
        <v>108</v>
      </c>
      <c r="AG213" s="6">
        <v>73</v>
      </c>
      <c r="AH213" s="6">
        <v>73</v>
      </c>
      <c r="AI213" s="7">
        <v>98.5</v>
      </c>
      <c r="AJ213" s="6">
        <v>167.7</v>
      </c>
      <c r="AK213" s="7">
        <v>78</v>
      </c>
      <c r="AL213" s="7">
        <v>94</v>
      </c>
    </row>
    <row r="214" spans="2:38" s="9" customFormat="1">
      <c r="B214" s="76">
        <v>1997</v>
      </c>
      <c r="C214" s="178" t="s">
        <v>139</v>
      </c>
      <c r="D214" s="6">
        <v>6</v>
      </c>
      <c r="E214" s="7">
        <v>108</v>
      </c>
      <c r="F214" s="6">
        <v>46.6</v>
      </c>
      <c r="G214" s="7">
        <v>17</v>
      </c>
      <c r="H214" s="6">
        <v>50</v>
      </c>
      <c r="I214" s="6">
        <v>34</v>
      </c>
      <c r="J214" s="7">
        <v>36.5</v>
      </c>
      <c r="K214" s="7">
        <v>32</v>
      </c>
      <c r="L214" s="6">
        <v>88</v>
      </c>
      <c r="M214" s="6">
        <v>103</v>
      </c>
      <c r="N214" s="7">
        <v>31</v>
      </c>
      <c r="O214" s="6">
        <v>42</v>
      </c>
      <c r="P214" s="7">
        <v>93</v>
      </c>
      <c r="Q214" s="6">
        <v>78</v>
      </c>
      <c r="R214" s="6">
        <v>10.8</v>
      </c>
      <c r="S214" s="6">
        <v>141</v>
      </c>
      <c r="T214" s="6">
        <v>12.1</v>
      </c>
      <c r="U214" s="7">
        <v>46</v>
      </c>
      <c r="V214" s="7">
        <v>16</v>
      </c>
      <c r="W214" s="6">
        <v>56.8</v>
      </c>
      <c r="X214" s="6">
        <v>25</v>
      </c>
      <c r="Y214" s="6">
        <v>33.1</v>
      </c>
      <c r="Z214" s="7">
        <v>45</v>
      </c>
      <c r="AA214" s="76">
        <v>19</v>
      </c>
      <c r="AB214" s="7">
        <v>6</v>
      </c>
      <c r="AC214" s="6">
        <v>19.3</v>
      </c>
      <c r="AD214" s="6">
        <v>28.9</v>
      </c>
      <c r="AE214" s="6">
        <v>18</v>
      </c>
      <c r="AF214" s="6">
        <v>43</v>
      </c>
      <c r="AG214" s="6">
        <v>43</v>
      </c>
      <c r="AH214" s="6">
        <v>42</v>
      </c>
      <c r="AI214" s="7">
        <v>29</v>
      </c>
      <c r="AJ214" s="6">
        <v>44.4</v>
      </c>
      <c r="AK214" s="7">
        <v>22.5</v>
      </c>
      <c r="AL214" s="7">
        <v>20.5</v>
      </c>
    </row>
    <row r="215" spans="2:38" s="9" customFormat="1">
      <c r="B215" s="76">
        <v>1997</v>
      </c>
      <c r="C215" s="178" t="s">
        <v>140</v>
      </c>
      <c r="D215" s="6">
        <v>41</v>
      </c>
      <c r="E215" s="7">
        <v>174</v>
      </c>
      <c r="F215" s="6">
        <v>216.2</v>
      </c>
      <c r="G215" s="7">
        <v>129</v>
      </c>
      <c r="H215" s="6">
        <v>247</v>
      </c>
      <c r="I215" s="6">
        <v>127</v>
      </c>
      <c r="J215" s="7">
        <v>128</v>
      </c>
      <c r="K215" s="7">
        <v>123</v>
      </c>
      <c r="L215" s="6">
        <v>142</v>
      </c>
      <c r="M215" s="6">
        <v>147</v>
      </c>
      <c r="N215" s="7">
        <v>122.5</v>
      </c>
      <c r="O215" s="6">
        <v>112</v>
      </c>
      <c r="P215" s="7">
        <v>193</v>
      </c>
      <c r="Q215" s="6">
        <v>184</v>
      </c>
      <c r="R215" s="6">
        <v>82.6</v>
      </c>
      <c r="S215" s="6">
        <v>169.2</v>
      </c>
      <c r="T215" s="6">
        <v>161.6</v>
      </c>
      <c r="U215" s="7">
        <v>160</v>
      </c>
      <c r="V215" s="7">
        <v>179.5</v>
      </c>
      <c r="W215" s="6">
        <v>118.1</v>
      </c>
      <c r="X215" s="6">
        <v>124</v>
      </c>
      <c r="Y215" s="6">
        <v>53.7</v>
      </c>
      <c r="Z215" s="7">
        <v>63</v>
      </c>
      <c r="AA215" s="76">
        <v>82</v>
      </c>
      <c r="AB215" s="7">
        <v>96</v>
      </c>
      <c r="AC215" s="6">
        <v>203.8</v>
      </c>
      <c r="AD215" s="6">
        <v>63.7</v>
      </c>
      <c r="AE215" s="6">
        <v>94.1</v>
      </c>
      <c r="AF215" s="6">
        <v>174</v>
      </c>
      <c r="AG215" s="6">
        <v>124</v>
      </c>
      <c r="AH215" s="6">
        <v>196</v>
      </c>
      <c r="AI215" s="7">
        <v>176.7</v>
      </c>
      <c r="AJ215" s="6">
        <v>163.4</v>
      </c>
      <c r="AK215" s="7">
        <v>120</v>
      </c>
      <c r="AL215" s="7">
        <v>240.5</v>
      </c>
    </row>
    <row r="216" spans="2:38" s="9" customFormat="1">
      <c r="B216" s="76">
        <v>1997</v>
      </c>
      <c r="C216" s="178" t="s">
        <v>141</v>
      </c>
      <c r="D216" s="6">
        <v>88</v>
      </c>
      <c r="E216" s="7">
        <v>120</v>
      </c>
      <c r="F216" s="6">
        <v>185.7</v>
      </c>
      <c r="G216" s="7">
        <v>66</v>
      </c>
      <c r="H216" s="6">
        <v>199</v>
      </c>
      <c r="I216" s="6">
        <v>109</v>
      </c>
      <c r="J216" s="7">
        <v>154.5</v>
      </c>
      <c r="K216" s="7">
        <v>120</v>
      </c>
      <c r="L216" s="6">
        <v>147.5</v>
      </c>
      <c r="M216" s="6">
        <v>137</v>
      </c>
      <c r="N216" s="7">
        <v>199.5</v>
      </c>
      <c r="O216" s="6">
        <v>125</v>
      </c>
      <c r="P216" s="7">
        <v>140</v>
      </c>
      <c r="Q216" s="6">
        <v>144</v>
      </c>
      <c r="R216" s="6">
        <v>118.5</v>
      </c>
      <c r="S216" s="6">
        <v>172.1</v>
      </c>
      <c r="T216" s="6">
        <v>155</v>
      </c>
      <c r="U216" s="7">
        <v>164</v>
      </c>
      <c r="V216" s="7">
        <v>149.5</v>
      </c>
      <c r="W216" s="6">
        <v>101.4</v>
      </c>
      <c r="X216" s="6">
        <v>112</v>
      </c>
      <c r="Y216" s="6">
        <v>84.7</v>
      </c>
      <c r="Z216" s="7">
        <v>77</v>
      </c>
      <c r="AA216" s="76">
        <v>107</v>
      </c>
      <c r="AB216" s="7">
        <v>182</v>
      </c>
      <c r="AC216" s="6">
        <v>145.6</v>
      </c>
      <c r="AD216" s="6">
        <v>94.5</v>
      </c>
      <c r="AE216" s="6">
        <v>160.9</v>
      </c>
      <c r="AF216" s="6">
        <v>113</v>
      </c>
      <c r="AG216" s="6">
        <v>156</v>
      </c>
      <c r="AH216" s="6">
        <v>217</v>
      </c>
      <c r="AI216" s="7">
        <v>148.69999999999999</v>
      </c>
      <c r="AJ216" s="6">
        <v>190</v>
      </c>
      <c r="AK216" s="7">
        <v>155</v>
      </c>
      <c r="AL216" s="7">
        <v>137</v>
      </c>
    </row>
    <row r="217" spans="2:38" s="9" customFormat="1">
      <c r="B217" s="76">
        <v>1997</v>
      </c>
      <c r="C217" s="178" t="s">
        <v>143</v>
      </c>
      <c r="D217" s="6">
        <v>227</v>
      </c>
      <c r="E217" s="7">
        <v>343</v>
      </c>
      <c r="F217" s="6">
        <v>436.9</v>
      </c>
      <c r="G217" s="7">
        <v>117</v>
      </c>
      <c r="H217" s="6">
        <v>236</v>
      </c>
      <c r="I217" s="6">
        <v>390</v>
      </c>
      <c r="J217" s="7">
        <v>363.5</v>
      </c>
      <c r="K217" s="7">
        <v>321</v>
      </c>
      <c r="L217" s="6">
        <v>241</v>
      </c>
      <c r="M217" s="6">
        <v>223</v>
      </c>
      <c r="N217" s="7">
        <v>446</v>
      </c>
      <c r="O217" s="6">
        <v>225</v>
      </c>
      <c r="P217" s="7">
        <v>346</v>
      </c>
      <c r="Q217" s="6">
        <v>306</v>
      </c>
      <c r="R217" s="6">
        <v>392.7</v>
      </c>
      <c r="S217" s="6">
        <v>342</v>
      </c>
      <c r="T217" s="6">
        <v>312.7</v>
      </c>
      <c r="U217" s="7">
        <v>222</v>
      </c>
      <c r="V217" s="7">
        <v>380</v>
      </c>
      <c r="W217" s="6">
        <v>335.1</v>
      </c>
      <c r="X217" s="6">
        <v>337.5</v>
      </c>
      <c r="Y217" s="6">
        <v>256.7</v>
      </c>
      <c r="Z217" s="7">
        <v>289</v>
      </c>
      <c r="AA217" s="76">
        <v>240</v>
      </c>
      <c r="AB217" s="7">
        <v>265</v>
      </c>
      <c r="AC217" s="6">
        <v>517.20000000000005</v>
      </c>
      <c r="AD217" s="6">
        <v>168.8</v>
      </c>
      <c r="AE217" s="6">
        <v>503.4</v>
      </c>
      <c r="AF217" s="6">
        <v>605</v>
      </c>
      <c r="AG217" s="6">
        <v>347</v>
      </c>
      <c r="AH217" s="6">
        <v>280</v>
      </c>
      <c r="AI217" s="7">
        <v>669.5</v>
      </c>
      <c r="AJ217" s="6">
        <v>379.6</v>
      </c>
      <c r="AK217" s="7">
        <v>506</v>
      </c>
      <c r="AL217" s="7">
        <v>326</v>
      </c>
    </row>
    <row r="218" spans="2:38" s="9" customFormat="1">
      <c r="B218" s="76">
        <v>1998</v>
      </c>
      <c r="C218" s="178" t="s">
        <v>131</v>
      </c>
      <c r="D218" s="6">
        <v>121</v>
      </c>
      <c r="E218" s="7">
        <v>158</v>
      </c>
      <c r="F218" s="6">
        <v>449.7</v>
      </c>
      <c r="G218" s="7">
        <v>130</v>
      </c>
      <c r="H218" s="6">
        <v>542</v>
      </c>
      <c r="I218" s="6">
        <v>100</v>
      </c>
      <c r="J218" s="7">
        <v>182</v>
      </c>
      <c r="K218" s="7">
        <v>94</v>
      </c>
      <c r="L218" s="6">
        <v>254</v>
      </c>
      <c r="M218" s="6">
        <v>224</v>
      </c>
      <c r="N218" s="7">
        <v>189.5</v>
      </c>
      <c r="O218" s="6">
        <v>96</v>
      </c>
      <c r="P218" s="7">
        <v>198</v>
      </c>
      <c r="Q218" s="6">
        <v>134</v>
      </c>
      <c r="R218" s="6">
        <v>74.599999999999994</v>
      </c>
      <c r="S218" s="6">
        <v>193.9</v>
      </c>
      <c r="T218" s="6">
        <v>143.4</v>
      </c>
      <c r="U218" s="7">
        <v>166</v>
      </c>
      <c r="V218" s="7">
        <v>234</v>
      </c>
      <c r="W218" s="6">
        <v>244.7</v>
      </c>
      <c r="X218" s="6">
        <v>106</v>
      </c>
      <c r="Y218" s="6">
        <v>169.4</v>
      </c>
      <c r="Z218" s="7">
        <v>135</v>
      </c>
      <c r="AA218" s="76">
        <v>298</v>
      </c>
      <c r="AB218" s="7">
        <v>325</v>
      </c>
      <c r="AC218" s="6">
        <v>365.6</v>
      </c>
      <c r="AD218" s="6">
        <v>106.8</v>
      </c>
      <c r="AE218" s="6">
        <v>609.1</v>
      </c>
      <c r="AF218" s="6">
        <v>483</v>
      </c>
      <c r="AG218" s="6">
        <v>425</v>
      </c>
      <c r="AH218" s="6">
        <v>752</v>
      </c>
      <c r="AI218" s="7">
        <v>392.5</v>
      </c>
      <c r="AJ218" s="6">
        <v>136</v>
      </c>
      <c r="AK218" s="7">
        <v>433</v>
      </c>
      <c r="AL218" s="7">
        <v>248</v>
      </c>
    </row>
    <row r="219" spans="2:38" s="9" customFormat="1">
      <c r="B219" s="76">
        <v>1998</v>
      </c>
      <c r="C219" s="178" t="s">
        <v>132</v>
      </c>
      <c r="D219" s="6">
        <v>34</v>
      </c>
      <c r="E219" s="7">
        <v>84</v>
      </c>
      <c r="F219" s="6">
        <v>205.7</v>
      </c>
      <c r="G219" s="7">
        <v>24</v>
      </c>
      <c r="H219" s="6">
        <v>180</v>
      </c>
      <c r="I219" s="6">
        <v>31</v>
      </c>
      <c r="J219" s="7">
        <v>109.5</v>
      </c>
      <c r="K219" s="7">
        <v>90</v>
      </c>
      <c r="L219" s="6">
        <v>97</v>
      </c>
      <c r="M219" s="6">
        <v>104</v>
      </c>
      <c r="N219" s="7">
        <v>107</v>
      </c>
      <c r="O219" s="6">
        <v>77</v>
      </c>
      <c r="P219" s="7">
        <v>197</v>
      </c>
      <c r="Q219" s="6">
        <v>64</v>
      </c>
      <c r="R219" s="6">
        <v>59.6</v>
      </c>
      <c r="S219" s="6">
        <v>205</v>
      </c>
      <c r="T219" s="6">
        <v>83.2</v>
      </c>
      <c r="U219" s="7">
        <v>83</v>
      </c>
      <c r="V219" s="7">
        <v>154</v>
      </c>
      <c r="W219" s="6">
        <v>101.1</v>
      </c>
      <c r="X219" s="6">
        <v>97.5</v>
      </c>
      <c r="Y219" s="6">
        <v>34.200000000000003</v>
      </c>
      <c r="Z219" s="7">
        <v>142</v>
      </c>
      <c r="AA219" s="76">
        <v>48</v>
      </c>
      <c r="AB219" s="7">
        <v>83</v>
      </c>
      <c r="AC219" s="6">
        <v>137</v>
      </c>
      <c r="AD219" s="6">
        <v>48.7</v>
      </c>
      <c r="AE219" s="6">
        <v>65.2</v>
      </c>
      <c r="AF219" s="6">
        <v>169</v>
      </c>
      <c r="AG219" s="6">
        <v>154</v>
      </c>
      <c r="AH219" s="6">
        <v>137</v>
      </c>
      <c r="AI219" s="7">
        <v>138.5</v>
      </c>
      <c r="AJ219" s="6">
        <v>59.5</v>
      </c>
      <c r="AK219" s="7">
        <v>108</v>
      </c>
      <c r="AL219" s="7">
        <v>227</v>
      </c>
    </row>
    <row r="220" spans="2:38" s="9" customFormat="1">
      <c r="B220" s="76">
        <v>1998</v>
      </c>
      <c r="C220" s="178" t="s">
        <v>133</v>
      </c>
      <c r="D220" s="6">
        <v>90</v>
      </c>
      <c r="E220" s="7">
        <v>55</v>
      </c>
      <c r="F220" s="6">
        <v>299.2</v>
      </c>
      <c r="G220" s="7">
        <v>82</v>
      </c>
      <c r="H220" s="6">
        <v>199</v>
      </c>
      <c r="I220" s="6">
        <v>39</v>
      </c>
      <c r="J220" s="7">
        <v>138</v>
      </c>
      <c r="K220" s="7">
        <v>140</v>
      </c>
      <c r="L220" s="6">
        <v>117.5</v>
      </c>
      <c r="M220" s="6">
        <v>145</v>
      </c>
      <c r="N220" s="7">
        <v>70.5</v>
      </c>
      <c r="O220" s="6">
        <v>91</v>
      </c>
      <c r="P220" s="7">
        <v>67</v>
      </c>
      <c r="Q220" s="6">
        <v>191</v>
      </c>
      <c r="R220" s="6">
        <v>94.9</v>
      </c>
      <c r="S220" s="6">
        <v>132.9</v>
      </c>
      <c r="T220" s="6">
        <v>87.7</v>
      </c>
      <c r="U220" s="7">
        <v>155</v>
      </c>
      <c r="V220" s="7">
        <v>109.5</v>
      </c>
      <c r="W220" s="6">
        <v>155.9</v>
      </c>
      <c r="X220" s="6">
        <v>67</v>
      </c>
      <c r="Y220" s="6">
        <v>133.6</v>
      </c>
      <c r="Z220" s="7">
        <v>25</v>
      </c>
      <c r="AA220" s="76">
        <v>233.5</v>
      </c>
      <c r="AB220" s="7">
        <v>288</v>
      </c>
      <c r="AC220" s="6">
        <v>211.3</v>
      </c>
      <c r="AD220" s="6">
        <v>87</v>
      </c>
      <c r="AE220" s="6">
        <v>258.60000000000002</v>
      </c>
      <c r="AF220" s="6">
        <v>519</v>
      </c>
      <c r="AG220" s="6">
        <v>215</v>
      </c>
      <c r="AH220" s="6">
        <v>241</v>
      </c>
      <c r="AI220" s="7">
        <v>227</v>
      </c>
      <c r="AJ220" s="6">
        <v>160.19999999999999</v>
      </c>
      <c r="AK220" s="7">
        <v>305</v>
      </c>
      <c r="AL220" s="7">
        <v>135</v>
      </c>
    </row>
    <row r="221" spans="2:38" s="9" customFormat="1">
      <c r="B221" s="76">
        <v>1998</v>
      </c>
      <c r="C221" s="178" t="s">
        <v>134</v>
      </c>
      <c r="D221" s="6">
        <v>332</v>
      </c>
      <c r="E221" s="7">
        <v>209</v>
      </c>
      <c r="F221" s="6">
        <v>301.2</v>
      </c>
      <c r="G221" s="7">
        <v>282</v>
      </c>
      <c r="H221" s="6">
        <v>316</v>
      </c>
      <c r="I221" s="6">
        <v>130</v>
      </c>
      <c r="J221" s="7">
        <v>243.5</v>
      </c>
      <c r="K221" s="7">
        <v>72</v>
      </c>
      <c r="L221" s="6">
        <v>148</v>
      </c>
      <c r="M221" s="6">
        <v>350</v>
      </c>
      <c r="N221" s="7">
        <v>61</v>
      </c>
      <c r="O221" s="6">
        <v>174</v>
      </c>
      <c r="P221" s="7">
        <v>432</v>
      </c>
      <c r="Q221" s="6">
        <v>315</v>
      </c>
      <c r="R221" s="6">
        <v>59.6</v>
      </c>
      <c r="S221" s="6">
        <v>384.9</v>
      </c>
      <c r="T221" s="6">
        <v>146.1</v>
      </c>
      <c r="U221" s="7">
        <v>233</v>
      </c>
      <c r="V221" s="7">
        <v>302.7</v>
      </c>
      <c r="W221" s="6">
        <v>124.9</v>
      </c>
      <c r="X221" s="6">
        <v>133.5</v>
      </c>
      <c r="Y221" s="6">
        <v>115.7</v>
      </c>
      <c r="Z221" s="7">
        <v>76</v>
      </c>
      <c r="AA221" s="76">
        <v>113</v>
      </c>
      <c r="AB221" s="7">
        <v>63</v>
      </c>
      <c r="AC221" s="6">
        <v>241.6</v>
      </c>
      <c r="AD221" s="6">
        <v>227</v>
      </c>
      <c r="AE221" s="6">
        <v>202.1</v>
      </c>
      <c r="AF221" s="6">
        <v>268</v>
      </c>
      <c r="AG221" s="6">
        <v>251</v>
      </c>
      <c r="AH221" s="6">
        <v>225</v>
      </c>
      <c r="AI221" s="7">
        <v>231.5</v>
      </c>
      <c r="AJ221" s="6">
        <v>378.5</v>
      </c>
      <c r="AK221" s="7">
        <v>296</v>
      </c>
      <c r="AL221" s="7">
        <v>432</v>
      </c>
    </row>
    <row r="222" spans="2:38" s="9" customFormat="1">
      <c r="B222" s="76">
        <v>1998</v>
      </c>
      <c r="C222" s="178" t="s">
        <v>135</v>
      </c>
      <c r="D222" s="6">
        <v>68</v>
      </c>
      <c r="E222" s="7">
        <v>165</v>
      </c>
      <c r="F222" s="6">
        <v>129.30000000000001</v>
      </c>
      <c r="G222" s="7">
        <v>60</v>
      </c>
      <c r="H222" s="6">
        <v>120</v>
      </c>
      <c r="I222" s="6">
        <v>44</v>
      </c>
      <c r="J222" s="7">
        <v>114</v>
      </c>
      <c r="K222" s="7">
        <v>60</v>
      </c>
      <c r="L222" s="6">
        <v>106</v>
      </c>
      <c r="M222" s="6">
        <v>140</v>
      </c>
      <c r="N222" s="7">
        <v>114</v>
      </c>
      <c r="O222" s="6">
        <v>132</v>
      </c>
      <c r="P222" s="7">
        <v>216</v>
      </c>
      <c r="Q222" s="6">
        <v>105</v>
      </c>
      <c r="R222" s="6">
        <v>61.6</v>
      </c>
      <c r="S222" s="6">
        <v>175</v>
      </c>
      <c r="T222" s="6">
        <v>69.400000000000006</v>
      </c>
      <c r="U222" s="7">
        <v>118</v>
      </c>
      <c r="V222" s="7">
        <v>324.5</v>
      </c>
      <c r="W222" s="6">
        <v>116.2</v>
      </c>
      <c r="X222" s="6">
        <v>55</v>
      </c>
      <c r="Y222" s="6">
        <v>64.8</v>
      </c>
      <c r="Z222" s="7">
        <v>45</v>
      </c>
      <c r="AA222" s="76">
        <v>111</v>
      </c>
      <c r="AB222" s="7">
        <v>173</v>
      </c>
      <c r="AC222" s="6">
        <v>137.1</v>
      </c>
      <c r="AD222" s="6">
        <v>78.400000000000006</v>
      </c>
      <c r="AE222" s="6">
        <v>97.5</v>
      </c>
      <c r="AF222" s="6">
        <v>170</v>
      </c>
      <c r="AG222" s="6">
        <v>187</v>
      </c>
      <c r="AH222" s="6">
        <v>123</v>
      </c>
      <c r="AI222" s="7">
        <v>235</v>
      </c>
      <c r="AJ222" s="6">
        <v>137</v>
      </c>
      <c r="AK222" s="7">
        <v>127</v>
      </c>
      <c r="AL222" s="7">
        <v>305</v>
      </c>
    </row>
    <row r="223" spans="2:38" s="9" customFormat="1">
      <c r="B223" s="76">
        <v>1998</v>
      </c>
      <c r="C223" s="178" t="s">
        <v>136</v>
      </c>
      <c r="D223" s="6">
        <v>87</v>
      </c>
      <c r="E223" s="7">
        <v>91.8</v>
      </c>
      <c r="F223" s="6">
        <v>219.1</v>
      </c>
      <c r="G223" s="7">
        <v>89.5</v>
      </c>
      <c r="H223" s="6">
        <v>211</v>
      </c>
      <c r="I223" s="6">
        <v>82</v>
      </c>
      <c r="J223" s="7">
        <v>211</v>
      </c>
      <c r="K223" s="7">
        <v>26</v>
      </c>
      <c r="L223" s="6">
        <v>164</v>
      </c>
      <c r="M223" s="6">
        <v>155</v>
      </c>
      <c r="N223" s="7">
        <v>17</v>
      </c>
      <c r="O223" s="6">
        <v>118</v>
      </c>
      <c r="P223" s="7">
        <v>194</v>
      </c>
      <c r="Q223" s="6">
        <v>229</v>
      </c>
      <c r="R223" s="6">
        <v>26.1</v>
      </c>
      <c r="S223" s="6">
        <v>203.2</v>
      </c>
      <c r="T223" s="6">
        <v>20.8</v>
      </c>
      <c r="U223" s="7">
        <v>155</v>
      </c>
      <c r="V223" s="7">
        <v>191</v>
      </c>
      <c r="W223" s="6">
        <v>82.7</v>
      </c>
      <c r="X223" s="6">
        <v>43</v>
      </c>
      <c r="Y223" s="6">
        <v>23.7</v>
      </c>
      <c r="Z223" s="7">
        <v>105</v>
      </c>
      <c r="AA223" s="76">
        <v>117</v>
      </c>
      <c r="AB223" s="7">
        <v>169</v>
      </c>
      <c r="AC223" s="6">
        <v>224.9</v>
      </c>
      <c r="AD223" s="6">
        <v>94.3</v>
      </c>
      <c r="AE223" s="6">
        <v>148.19999999999999</v>
      </c>
      <c r="AF223" s="6">
        <v>253</v>
      </c>
      <c r="AG223" s="6">
        <v>203</v>
      </c>
      <c r="AH223" s="6">
        <v>352</v>
      </c>
      <c r="AI223" s="7">
        <v>197</v>
      </c>
      <c r="AJ223" s="6">
        <v>182.2</v>
      </c>
      <c r="AK223" s="7">
        <v>247</v>
      </c>
      <c r="AL223" s="7">
        <v>160.5</v>
      </c>
    </row>
    <row r="224" spans="2:38" s="9" customFormat="1">
      <c r="B224" s="76">
        <v>1998</v>
      </c>
      <c r="C224" s="178" t="s">
        <v>137</v>
      </c>
      <c r="D224" s="6">
        <v>159</v>
      </c>
      <c r="E224" s="7">
        <v>165</v>
      </c>
      <c r="F224" s="6">
        <v>129.1</v>
      </c>
      <c r="G224" s="7">
        <v>91</v>
      </c>
      <c r="H224" s="6">
        <v>99</v>
      </c>
      <c r="I224" s="6">
        <v>186</v>
      </c>
      <c r="J224" s="7">
        <v>197</v>
      </c>
      <c r="K224" s="7">
        <v>112</v>
      </c>
      <c r="L224" s="6">
        <v>167</v>
      </c>
      <c r="M224" s="6">
        <v>97</v>
      </c>
      <c r="N224" s="7">
        <v>88</v>
      </c>
      <c r="O224" s="6">
        <v>171</v>
      </c>
      <c r="P224" s="7">
        <v>124</v>
      </c>
      <c r="Q224" s="6">
        <v>164</v>
      </c>
      <c r="R224" s="6">
        <v>59.7</v>
      </c>
      <c r="S224" s="6">
        <v>115.5</v>
      </c>
      <c r="T224" s="6">
        <v>132.19999999999999</v>
      </c>
      <c r="U224" s="7">
        <v>227</v>
      </c>
      <c r="V224" s="7">
        <v>64.5</v>
      </c>
      <c r="W224" s="6">
        <v>111.6</v>
      </c>
      <c r="X224" s="6">
        <v>157</v>
      </c>
      <c r="Y224" s="6">
        <v>78.7</v>
      </c>
      <c r="Z224" s="7">
        <v>150</v>
      </c>
      <c r="AA224" s="76">
        <v>108</v>
      </c>
      <c r="AB224" s="7">
        <v>48</v>
      </c>
      <c r="AC224" s="6">
        <v>80.099999999999994</v>
      </c>
      <c r="AD224" s="6">
        <v>108.5</v>
      </c>
      <c r="AE224" s="6">
        <v>47.5</v>
      </c>
      <c r="AF224" s="6">
        <v>78</v>
      </c>
      <c r="AG224" s="6">
        <v>79</v>
      </c>
      <c r="AH224" s="6">
        <v>128</v>
      </c>
      <c r="AI224" s="7">
        <v>119.5</v>
      </c>
      <c r="AJ224" s="6">
        <v>194.2</v>
      </c>
      <c r="AK224" s="7">
        <v>80</v>
      </c>
      <c r="AL224" s="7">
        <v>125</v>
      </c>
    </row>
    <row r="225" spans="2:38" s="9" customFormat="1">
      <c r="B225" s="76">
        <v>1998</v>
      </c>
      <c r="C225" s="178" t="s">
        <v>138</v>
      </c>
      <c r="D225" s="6">
        <v>22</v>
      </c>
      <c r="E225" s="7">
        <v>174</v>
      </c>
      <c r="F225" s="6">
        <v>46.4</v>
      </c>
      <c r="G225" s="7">
        <v>76</v>
      </c>
      <c r="H225" s="6">
        <v>55</v>
      </c>
      <c r="I225" s="6">
        <v>50</v>
      </c>
      <c r="J225" s="7">
        <v>76</v>
      </c>
      <c r="K225" s="7">
        <v>9</v>
      </c>
      <c r="L225" s="6">
        <v>61</v>
      </c>
      <c r="M225" s="6">
        <v>116</v>
      </c>
      <c r="N225" s="7">
        <v>15</v>
      </c>
      <c r="O225" s="6">
        <v>96</v>
      </c>
      <c r="P225" s="7">
        <v>164</v>
      </c>
      <c r="Q225" s="6">
        <v>106</v>
      </c>
      <c r="R225" s="6">
        <v>8.5</v>
      </c>
      <c r="S225" s="6">
        <v>144.30000000000001</v>
      </c>
      <c r="T225" s="6">
        <v>17.100000000000001</v>
      </c>
      <c r="U225" s="7">
        <v>81</v>
      </c>
      <c r="V225" s="7">
        <v>94</v>
      </c>
      <c r="W225" s="6">
        <v>20.5</v>
      </c>
      <c r="X225" s="6">
        <v>17</v>
      </c>
      <c r="Y225" s="6">
        <v>13.4</v>
      </c>
      <c r="Z225" s="7">
        <v>45</v>
      </c>
      <c r="AA225" s="76">
        <v>58</v>
      </c>
      <c r="AB225" s="7">
        <v>78</v>
      </c>
      <c r="AC225" s="6">
        <v>120.2</v>
      </c>
      <c r="AD225" s="6">
        <v>31.3</v>
      </c>
      <c r="AE225" s="6">
        <v>36.799999999999997</v>
      </c>
      <c r="AF225" s="6">
        <v>65</v>
      </c>
      <c r="AG225" s="6">
        <v>103</v>
      </c>
      <c r="AH225" s="6">
        <v>90</v>
      </c>
      <c r="AI225" s="7">
        <v>132</v>
      </c>
      <c r="AJ225" s="6">
        <v>121.4</v>
      </c>
      <c r="AK225" s="7">
        <v>38.700000000000003</v>
      </c>
      <c r="AL225" s="7">
        <v>167</v>
      </c>
    </row>
    <row r="226" spans="2:38" s="9" customFormat="1">
      <c r="B226" s="76">
        <v>1998</v>
      </c>
      <c r="C226" s="178" t="s">
        <v>139</v>
      </c>
      <c r="D226" s="6">
        <v>150</v>
      </c>
      <c r="E226" s="7">
        <v>60</v>
      </c>
      <c r="F226" s="6">
        <v>195.2</v>
      </c>
      <c r="G226" s="7">
        <v>63</v>
      </c>
      <c r="H226" s="6">
        <v>189</v>
      </c>
      <c r="I226" s="6">
        <v>50</v>
      </c>
      <c r="J226" s="7">
        <v>53</v>
      </c>
      <c r="K226" s="7">
        <v>40</v>
      </c>
      <c r="L226" s="6">
        <v>121</v>
      </c>
      <c r="M226" s="6">
        <v>93</v>
      </c>
      <c r="N226" s="7">
        <v>60</v>
      </c>
      <c r="O226" s="6">
        <v>58</v>
      </c>
      <c r="P226" s="7">
        <v>90</v>
      </c>
      <c r="Q226" s="6">
        <v>61</v>
      </c>
      <c r="R226" s="6">
        <v>42.7</v>
      </c>
      <c r="S226" s="6">
        <v>71.5</v>
      </c>
      <c r="T226" s="6">
        <v>44.4</v>
      </c>
      <c r="U226" s="7">
        <v>107</v>
      </c>
      <c r="V226" s="7">
        <v>125</v>
      </c>
      <c r="W226" s="6">
        <v>62.4</v>
      </c>
      <c r="X226" s="6">
        <v>50</v>
      </c>
      <c r="Y226" s="6">
        <v>91.4</v>
      </c>
      <c r="Z226" s="7">
        <v>115</v>
      </c>
      <c r="AA226" s="76">
        <v>93</v>
      </c>
      <c r="AB226" s="7">
        <v>116</v>
      </c>
      <c r="AC226" s="6">
        <v>148.9</v>
      </c>
      <c r="AD226" s="6">
        <v>54.6</v>
      </c>
      <c r="AE226" s="6">
        <v>98</v>
      </c>
      <c r="AF226" s="6">
        <v>143</v>
      </c>
      <c r="AG226" s="6">
        <v>138</v>
      </c>
      <c r="AH226" s="6">
        <v>223</v>
      </c>
      <c r="AI226" s="7">
        <v>162.5</v>
      </c>
      <c r="AJ226" s="6">
        <v>58</v>
      </c>
      <c r="AK226" s="7">
        <v>139</v>
      </c>
      <c r="AL226" s="7">
        <v>141</v>
      </c>
    </row>
    <row r="227" spans="2:38" s="9" customFormat="1">
      <c r="B227" s="76">
        <v>1998</v>
      </c>
      <c r="C227" s="178" t="s">
        <v>140</v>
      </c>
      <c r="D227" s="6">
        <v>53</v>
      </c>
      <c r="E227" s="7">
        <v>33</v>
      </c>
      <c r="F227" s="6">
        <v>33.5</v>
      </c>
      <c r="G227" s="7">
        <v>80</v>
      </c>
      <c r="H227" s="6">
        <v>46</v>
      </c>
      <c r="I227" s="6">
        <v>51</v>
      </c>
      <c r="J227" s="7">
        <v>47</v>
      </c>
      <c r="K227" s="7">
        <v>49</v>
      </c>
      <c r="L227" s="6">
        <v>13</v>
      </c>
      <c r="M227" s="6">
        <v>9</v>
      </c>
      <c r="N227" s="7">
        <v>44</v>
      </c>
      <c r="O227" s="6">
        <v>29</v>
      </c>
      <c r="P227" s="7">
        <v>6</v>
      </c>
      <c r="Q227" s="6">
        <v>129</v>
      </c>
      <c r="R227" s="6">
        <v>30.6</v>
      </c>
      <c r="S227" s="6">
        <v>18.5</v>
      </c>
      <c r="T227" s="6">
        <v>50.5</v>
      </c>
      <c r="U227" s="7">
        <v>53.5</v>
      </c>
      <c r="V227" s="7">
        <v>40.299999999999997</v>
      </c>
      <c r="W227" s="6">
        <v>60.7</v>
      </c>
      <c r="X227" s="6">
        <v>52</v>
      </c>
      <c r="Y227" s="6">
        <v>31.7</v>
      </c>
      <c r="Z227" s="7">
        <v>55</v>
      </c>
      <c r="AA227" s="76">
        <v>47</v>
      </c>
      <c r="AB227" s="7">
        <v>21</v>
      </c>
      <c r="AC227" s="6">
        <v>72.599999999999994</v>
      </c>
      <c r="AD227" s="6">
        <v>41.3</v>
      </c>
      <c r="AE227" s="6">
        <v>55.4</v>
      </c>
      <c r="AF227" s="6">
        <v>70</v>
      </c>
      <c r="AG227" s="6">
        <v>59</v>
      </c>
      <c r="AH227" s="6">
        <v>29</v>
      </c>
      <c r="AI227" s="7">
        <v>41.5</v>
      </c>
      <c r="AJ227" s="6">
        <v>60.4</v>
      </c>
      <c r="AK227" s="7">
        <v>25</v>
      </c>
      <c r="AL227" s="7">
        <v>21</v>
      </c>
    </row>
    <row r="228" spans="2:38" s="9" customFormat="1">
      <c r="B228" s="76">
        <v>1998</v>
      </c>
      <c r="C228" s="178" t="s">
        <v>141</v>
      </c>
      <c r="D228" s="6">
        <v>147</v>
      </c>
      <c r="E228" s="7">
        <v>36</v>
      </c>
      <c r="F228" s="6">
        <v>114.4</v>
      </c>
      <c r="G228" s="7">
        <v>147</v>
      </c>
      <c r="H228" s="6">
        <v>100</v>
      </c>
      <c r="I228" s="6">
        <v>170</v>
      </c>
      <c r="J228" s="7">
        <v>81</v>
      </c>
      <c r="K228" s="7">
        <v>114</v>
      </c>
      <c r="L228" s="6">
        <v>92.5</v>
      </c>
      <c r="M228" s="6">
        <v>78</v>
      </c>
      <c r="N228" s="7">
        <v>101</v>
      </c>
      <c r="O228" s="6">
        <v>118</v>
      </c>
      <c r="P228" s="7">
        <v>44</v>
      </c>
      <c r="Q228" s="6">
        <v>144</v>
      </c>
      <c r="R228" s="6">
        <v>109.2</v>
      </c>
      <c r="S228" s="6">
        <v>35.4</v>
      </c>
      <c r="T228" s="6">
        <v>133.9</v>
      </c>
      <c r="U228" s="7">
        <v>152.5</v>
      </c>
      <c r="V228" s="7">
        <v>46</v>
      </c>
      <c r="W228" s="6">
        <v>79.599999999999994</v>
      </c>
      <c r="X228" s="6">
        <v>141</v>
      </c>
      <c r="Y228" s="6">
        <v>98.7</v>
      </c>
      <c r="Z228" s="7">
        <v>138</v>
      </c>
      <c r="AA228" s="76">
        <v>64</v>
      </c>
      <c r="AB228" s="7">
        <v>75</v>
      </c>
      <c r="AC228" s="6">
        <v>73.5</v>
      </c>
      <c r="AD228" s="6">
        <v>153.9</v>
      </c>
      <c r="AE228" s="6">
        <v>67.3</v>
      </c>
      <c r="AF228" s="6">
        <v>77</v>
      </c>
      <c r="AG228" s="6">
        <v>78</v>
      </c>
      <c r="AH228" s="6">
        <v>97</v>
      </c>
      <c r="AI228" s="7">
        <v>67</v>
      </c>
      <c r="AJ228" s="6">
        <v>85.9</v>
      </c>
      <c r="AK228" s="7">
        <v>62</v>
      </c>
      <c r="AL228" s="7">
        <v>81</v>
      </c>
    </row>
    <row r="229" spans="2:38" s="9" customFormat="1">
      <c r="B229" s="76">
        <v>1998</v>
      </c>
      <c r="C229" s="178" t="s">
        <v>143</v>
      </c>
      <c r="D229" s="6">
        <v>125</v>
      </c>
      <c r="E229" s="7">
        <v>104</v>
      </c>
      <c r="F229" s="6">
        <v>91.2</v>
      </c>
      <c r="G229" s="7">
        <v>142</v>
      </c>
      <c r="H229" s="6">
        <v>84</v>
      </c>
      <c r="I229" s="6">
        <v>138</v>
      </c>
      <c r="J229" s="7">
        <v>172</v>
      </c>
      <c r="K229" s="7">
        <v>98</v>
      </c>
      <c r="L229" s="6">
        <v>150.5</v>
      </c>
      <c r="M229" s="6">
        <v>138</v>
      </c>
      <c r="N229" s="7">
        <v>138</v>
      </c>
      <c r="O229" s="6">
        <v>194</v>
      </c>
      <c r="P229" s="7">
        <v>112</v>
      </c>
      <c r="Q229" s="6">
        <v>240</v>
      </c>
      <c r="R229" s="6">
        <v>165.6</v>
      </c>
      <c r="S229" s="6">
        <v>92.6</v>
      </c>
      <c r="T229" s="6">
        <v>202.8</v>
      </c>
      <c r="U229" s="7">
        <v>211</v>
      </c>
      <c r="V229" s="7">
        <v>72</v>
      </c>
      <c r="W229" s="6">
        <v>145.30000000000001</v>
      </c>
      <c r="X229" s="6">
        <v>123</v>
      </c>
      <c r="Y229" s="6">
        <v>205.3</v>
      </c>
      <c r="Z229" s="7">
        <v>132</v>
      </c>
      <c r="AA229" s="76">
        <v>224</v>
      </c>
      <c r="AB229" s="7">
        <v>105.5</v>
      </c>
      <c r="AC229" s="6">
        <v>143.4</v>
      </c>
      <c r="AD229" s="6">
        <v>158.30000000000001</v>
      </c>
      <c r="AE229" s="6">
        <v>130.6</v>
      </c>
      <c r="AF229" s="6">
        <v>119</v>
      </c>
      <c r="AG229" s="6">
        <v>101</v>
      </c>
      <c r="AH229" s="6">
        <v>107</v>
      </c>
      <c r="AI229" s="7">
        <v>71</v>
      </c>
      <c r="AJ229" s="6">
        <v>171.7</v>
      </c>
      <c r="AK229" s="7">
        <v>91</v>
      </c>
      <c r="AL229" s="7">
        <v>102</v>
      </c>
    </row>
    <row r="230" spans="2:38" s="9" customFormat="1">
      <c r="B230" s="76">
        <v>1999</v>
      </c>
      <c r="C230" s="178" t="s">
        <v>131</v>
      </c>
      <c r="D230" s="6">
        <v>117</v>
      </c>
      <c r="E230" s="7">
        <v>103</v>
      </c>
      <c r="F230" s="6">
        <v>16.7</v>
      </c>
      <c r="G230" s="7">
        <v>86.5</v>
      </c>
      <c r="H230" s="6">
        <v>97</v>
      </c>
      <c r="I230" s="6">
        <v>145</v>
      </c>
      <c r="J230" s="7">
        <v>171</v>
      </c>
      <c r="K230" s="7">
        <v>91</v>
      </c>
      <c r="L230" s="6">
        <v>109</v>
      </c>
      <c r="M230" s="6">
        <v>85</v>
      </c>
      <c r="N230" s="7">
        <v>171.5</v>
      </c>
      <c r="O230" s="6">
        <v>42</v>
      </c>
      <c r="P230" s="7">
        <v>86</v>
      </c>
      <c r="Q230" s="6">
        <v>92</v>
      </c>
      <c r="R230" s="6">
        <v>131.30000000000001</v>
      </c>
      <c r="S230" s="6">
        <v>61.6</v>
      </c>
      <c r="T230" s="6">
        <v>108</v>
      </c>
      <c r="U230" s="7">
        <v>61</v>
      </c>
      <c r="V230" s="7">
        <v>63.5</v>
      </c>
      <c r="W230" s="6">
        <v>155.4</v>
      </c>
      <c r="X230" s="6">
        <v>155.5</v>
      </c>
      <c r="Y230" s="6">
        <v>194.1</v>
      </c>
      <c r="Z230" s="7">
        <v>100</v>
      </c>
      <c r="AA230" s="76">
        <v>58</v>
      </c>
      <c r="AB230" s="7">
        <v>70</v>
      </c>
      <c r="AC230" s="6">
        <v>65.5</v>
      </c>
      <c r="AD230" s="6">
        <v>189.9</v>
      </c>
      <c r="AE230" s="6">
        <v>31.9</v>
      </c>
      <c r="AF230" s="6">
        <v>45</v>
      </c>
      <c r="AG230" s="6">
        <v>33</v>
      </c>
      <c r="AH230" s="6">
        <v>44</v>
      </c>
      <c r="AI230" s="7">
        <v>90.5</v>
      </c>
      <c r="AJ230" s="6">
        <v>62.5</v>
      </c>
      <c r="AK230" s="7">
        <v>38</v>
      </c>
      <c r="AL230" s="7">
        <v>96</v>
      </c>
    </row>
    <row r="231" spans="2:38" s="9" customFormat="1">
      <c r="B231" s="76">
        <v>1999</v>
      </c>
      <c r="C231" s="178" t="s">
        <v>132</v>
      </c>
      <c r="D231" s="6">
        <v>153</v>
      </c>
      <c r="E231" s="7">
        <v>84</v>
      </c>
      <c r="F231" s="6">
        <v>168.2</v>
      </c>
      <c r="G231" s="7">
        <v>173</v>
      </c>
      <c r="H231" s="6">
        <v>127</v>
      </c>
      <c r="I231" s="6">
        <v>223</v>
      </c>
      <c r="J231" s="7">
        <v>154</v>
      </c>
      <c r="K231" s="7">
        <v>155</v>
      </c>
      <c r="L231" s="6">
        <v>169</v>
      </c>
      <c r="M231" s="6">
        <v>98</v>
      </c>
      <c r="N231" s="7">
        <v>112</v>
      </c>
      <c r="O231" s="6">
        <v>88</v>
      </c>
      <c r="P231" s="7">
        <v>78</v>
      </c>
      <c r="Q231" s="6">
        <v>180</v>
      </c>
      <c r="R231" s="6">
        <v>180.1</v>
      </c>
      <c r="S231" s="6">
        <v>120.1</v>
      </c>
      <c r="T231" s="6">
        <v>188</v>
      </c>
      <c r="U231" s="7">
        <v>195</v>
      </c>
      <c r="V231" s="7">
        <v>45</v>
      </c>
      <c r="W231" s="6">
        <v>109.1</v>
      </c>
      <c r="X231" s="6">
        <v>148</v>
      </c>
      <c r="Y231" s="6">
        <v>97.9</v>
      </c>
      <c r="Z231" s="7">
        <v>177</v>
      </c>
      <c r="AA231" s="76">
        <v>75.3</v>
      </c>
      <c r="AB231" s="7">
        <v>132</v>
      </c>
      <c r="AC231" s="6">
        <v>84</v>
      </c>
      <c r="AD231" s="6">
        <v>164.2</v>
      </c>
      <c r="AE231" s="6">
        <v>146.30000000000001</v>
      </c>
      <c r="AF231" s="6">
        <v>144</v>
      </c>
      <c r="AG231" s="6">
        <v>85</v>
      </c>
      <c r="AH231" s="6">
        <v>119</v>
      </c>
      <c r="AI231" s="7">
        <v>115</v>
      </c>
      <c r="AJ231" s="6">
        <v>165.3</v>
      </c>
      <c r="AK231" s="7">
        <v>126</v>
      </c>
      <c r="AL231" s="7">
        <v>122</v>
      </c>
    </row>
    <row r="232" spans="2:38" s="9" customFormat="1">
      <c r="B232" s="76">
        <v>1999</v>
      </c>
      <c r="C232" s="178" t="s">
        <v>133</v>
      </c>
      <c r="D232" s="6">
        <v>120</v>
      </c>
      <c r="E232" s="7">
        <v>153</v>
      </c>
      <c r="F232" s="6">
        <v>55.6</v>
      </c>
      <c r="G232" s="7">
        <v>168</v>
      </c>
      <c r="H232" s="6">
        <v>109</v>
      </c>
      <c r="I232" s="6">
        <v>211</v>
      </c>
      <c r="J232" s="7">
        <v>92</v>
      </c>
      <c r="K232" s="7">
        <v>215</v>
      </c>
      <c r="L232" s="6">
        <v>95</v>
      </c>
      <c r="M232" s="6">
        <v>59</v>
      </c>
      <c r="N232" s="7">
        <v>175</v>
      </c>
      <c r="O232" s="6">
        <v>89</v>
      </c>
      <c r="P232" s="7">
        <v>135</v>
      </c>
      <c r="Q232" s="6">
        <v>172</v>
      </c>
      <c r="R232" s="6">
        <v>358.2</v>
      </c>
      <c r="S232" s="6">
        <v>167.4</v>
      </c>
      <c r="T232" s="6">
        <v>143.4</v>
      </c>
      <c r="U232" s="7">
        <v>88</v>
      </c>
      <c r="V232" s="7">
        <v>128</v>
      </c>
      <c r="W232" s="6">
        <v>169.5</v>
      </c>
      <c r="X232" s="6">
        <v>229</v>
      </c>
      <c r="Y232" s="6">
        <v>137.19999999999999</v>
      </c>
      <c r="Z232" s="7">
        <v>160</v>
      </c>
      <c r="AA232" s="76">
        <v>91</v>
      </c>
      <c r="AB232" s="7">
        <v>155</v>
      </c>
      <c r="AC232" s="6">
        <v>109.9</v>
      </c>
      <c r="AD232" s="6">
        <v>115.6</v>
      </c>
      <c r="AE232" s="6">
        <v>68.5</v>
      </c>
      <c r="AF232" s="6">
        <v>116</v>
      </c>
      <c r="AG232" s="6">
        <v>96</v>
      </c>
      <c r="AH232" s="6">
        <v>58</v>
      </c>
      <c r="AI232" s="7">
        <v>124.5</v>
      </c>
      <c r="AJ232" s="6">
        <v>128.9</v>
      </c>
      <c r="AK232" s="7">
        <v>150</v>
      </c>
      <c r="AL232" s="7">
        <v>197</v>
      </c>
    </row>
    <row r="233" spans="2:38" s="9" customFormat="1">
      <c r="B233" s="76">
        <v>1999</v>
      </c>
      <c r="C233" s="178" t="s">
        <v>134</v>
      </c>
      <c r="D233" s="6">
        <v>80</v>
      </c>
      <c r="E233" s="7">
        <v>114</v>
      </c>
      <c r="F233" s="6">
        <v>151</v>
      </c>
      <c r="G233" s="7">
        <v>74</v>
      </c>
      <c r="H233" s="6">
        <v>223</v>
      </c>
      <c r="I233" s="6">
        <v>35</v>
      </c>
      <c r="J233" s="7">
        <v>90.5</v>
      </c>
      <c r="K233" s="7">
        <v>39</v>
      </c>
      <c r="L233" s="6">
        <v>49</v>
      </c>
      <c r="M233" s="6">
        <v>92</v>
      </c>
      <c r="N233" s="7">
        <v>54</v>
      </c>
      <c r="O233" s="6">
        <v>122</v>
      </c>
      <c r="P233" s="7">
        <v>109</v>
      </c>
      <c r="Q233" s="6">
        <v>118</v>
      </c>
      <c r="R233" s="6">
        <v>12.9</v>
      </c>
      <c r="S233" s="6">
        <v>172.1</v>
      </c>
      <c r="T233" s="6">
        <v>31.1</v>
      </c>
      <c r="U233" s="7">
        <v>49</v>
      </c>
      <c r="V233" s="7">
        <v>175.5</v>
      </c>
      <c r="W233" s="6">
        <v>52.9</v>
      </c>
      <c r="X233" s="6">
        <v>23.5</v>
      </c>
      <c r="Y233" s="6">
        <v>67.2</v>
      </c>
      <c r="Z233" s="7">
        <v>72</v>
      </c>
      <c r="AA233" s="76">
        <v>113</v>
      </c>
      <c r="AB233" s="7">
        <v>97</v>
      </c>
      <c r="AC233" s="6">
        <v>167.1</v>
      </c>
      <c r="AD233" s="6">
        <v>117.3</v>
      </c>
      <c r="AE233" s="6">
        <v>91.4</v>
      </c>
      <c r="AF233" s="6">
        <v>144</v>
      </c>
      <c r="AG233" s="6">
        <v>206</v>
      </c>
      <c r="AH233" s="6">
        <v>180</v>
      </c>
      <c r="AI233" s="7">
        <v>211</v>
      </c>
      <c r="AJ233" s="6">
        <v>106.9</v>
      </c>
      <c r="AK233" s="7">
        <v>128</v>
      </c>
      <c r="AL233" s="7">
        <v>223</v>
      </c>
    </row>
    <row r="234" spans="2:38" s="9" customFormat="1">
      <c r="B234" s="76">
        <v>1999</v>
      </c>
      <c r="C234" s="178" t="s">
        <v>135</v>
      </c>
      <c r="D234" s="6">
        <v>42</v>
      </c>
      <c r="E234" s="7">
        <v>22</v>
      </c>
      <c r="F234" s="6">
        <v>59.8</v>
      </c>
      <c r="G234" s="7">
        <v>51</v>
      </c>
      <c r="H234" s="6">
        <v>66</v>
      </c>
      <c r="I234" s="6">
        <v>41</v>
      </c>
      <c r="J234" s="7">
        <v>47</v>
      </c>
      <c r="K234" s="7">
        <v>55</v>
      </c>
      <c r="L234" s="6">
        <v>29.5</v>
      </c>
      <c r="M234" s="6">
        <v>31</v>
      </c>
      <c r="N234" s="7">
        <v>30</v>
      </c>
      <c r="O234" s="6">
        <v>28</v>
      </c>
      <c r="P234" s="7">
        <v>30</v>
      </c>
      <c r="Q234" s="6">
        <v>44</v>
      </c>
      <c r="R234" s="6">
        <v>31.8</v>
      </c>
      <c r="S234" s="6">
        <v>32.700000000000003</v>
      </c>
      <c r="T234" s="6">
        <v>24.1</v>
      </c>
      <c r="U234" s="7">
        <v>38</v>
      </c>
      <c r="V234" s="7">
        <v>99</v>
      </c>
      <c r="W234" s="6">
        <v>45.7</v>
      </c>
      <c r="X234" s="6">
        <v>34.5</v>
      </c>
      <c r="Y234" s="6">
        <v>53.2</v>
      </c>
      <c r="Z234" s="7">
        <v>57</v>
      </c>
      <c r="AA234" s="76">
        <v>24</v>
      </c>
      <c r="AB234" s="7">
        <v>10</v>
      </c>
      <c r="AC234" s="6">
        <v>77.400000000000006</v>
      </c>
      <c r="AD234" s="6">
        <v>56.6</v>
      </c>
      <c r="AE234" s="6">
        <v>17</v>
      </c>
      <c r="AF234" s="6">
        <v>33</v>
      </c>
      <c r="AG234" s="6">
        <v>34</v>
      </c>
      <c r="AH234" s="6">
        <v>42</v>
      </c>
      <c r="AI234" s="7">
        <v>81</v>
      </c>
      <c r="AJ234" s="6">
        <v>45</v>
      </c>
      <c r="AK234" s="7">
        <v>11</v>
      </c>
      <c r="AL234" s="7">
        <v>103</v>
      </c>
    </row>
    <row r="235" spans="2:38" s="9" customFormat="1">
      <c r="B235" s="76">
        <v>1999</v>
      </c>
      <c r="C235" s="178" t="s">
        <v>136</v>
      </c>
      <c r="D235" s="6">
        <v>140</v>
      </c>
      <c r="E235" s="7">
        <v>71</v>
      </c>
      <c r="F235" s="6">
        <v>71.400000000000006</v>
      </c>
      <c r="G235" s="7">
        <v>164</v>
      </c>
      <c r="H235" s="6">
        <v>40</v>
      </c>
      <c r="I235" s="6">
        <v>204</v>
      </c>
      <c r="J235" s="7">
        <v>216</v>
      </c>
      <c r="K235" s="7">
        <v>46</v>
      </c>
      <c r="L235" s="6">
        <v>204</v>
      </c>
      <c r="M235" s="6">
        <v>216</v>
      </c>
      <c r="N235" s="7">
        <v>82</v>
      </c>
      <c r="O235" s="6">
        <v>209</v>
      </c>
      <c r="P235" s="7">
        <v>106</v>
      </c>
      <c r="Q235" s="6">
        <v>254</v>
      </c>
      <c r="R235" s="6">
        <v>24.7</v>
      </c>
      <c r="S235" s="6">
        <v>161.69999999999999</v>
      </c>
      <c r="T235" s="6">
        <v>110.4</v>
      </c>
      <c r="U235" s="7">
        <v>213.5</v>
      </c>
      <c r="V235" s="7">
        <v>182</v>
      </c>
      <c r="W235" s="6">
        <v>152.19999999999999</v>
      </c>
      <c r="X235" s="6">
        <v>134</v>
      </c>
      <c r="Y235" s="6">
        <v>88.1</v>
      </c>
      <c r="Z235" s="7">
        <v>147</v>
      </c>
      <c r="AA235" s="76">
        <v>174</v>
      </c>
      <c r="AB235" s="7">
        <v>255</v>
      </c>
      <c r="AC235" s="6">
        <v>117.6</v>
      </c>
      <c r="AD235" s="6">
        <v>164.5</v>
      </c>
      <c r="AE235" s="6">
        <v>225.7</v>
      </c>
      <c r="AF235" s="6">
        <v>96</v>
      </c>
      <c r="AG235" s="6">
        <v>266</v>
      </c>
      <c r="AH235" s="6">
        <v>86</v>
      </c>
      <c r="AI235" s="7">
        <v>174</v>
      </c>
      <c r="AJ235" s="6">
        <v>307.3</v>
      </c>
      <c r="AK235" s="7">
        <v>237</v>
      </c>
      <c r="AL235" s="7">
        <v>263</v>
      </c>
    </row>
    <row r="236" spans="2:38" s="9" customFormat="1">
      <c r="B236" s="76">
        <v>1999</v>
      </c>
      <c r="C236" s="178" t="s">
        <v>137</v>
      </c>
      <c r="D236" s="6">
        <v>116</v>
      </c>
      <c r="E236" s="7">
        <v>26</v>
      </c>
      <c r="F236" s="6">
        <v>98.3</v>
      </c>
      <c r="G236" s="7">
        <v>110</v>
      </c>
      <c r="H236" s="6">
        <v>58</v>
      </c>
      <c r="I236" s="6">
        <v>155</v>
      </c>
      <c r="J236" s="7">
        <v>73</v>
      </c>
      <c r="K236" s="7">
        <v>88</v>
      </c>
      <c r="L236" s="6">
        <v>157</v>
      </c>
      <c r="M236" s="6">
        <v>43</v>
      </c>
      <c r="N236" s="7">
        <v>98</v>
      </c>
      <c r="O236" s="6">
        <v>94</v>
      </c>
      <c r="P236" s="7">
        <v>36</v>
      </c>
      <c r="Q236" s="6">
        <v>103</v>
      </c>
      <c r="R236" s="6">
        <v>103.7</v>
      </c>
      <c r="S236" s="6">
        <v>39.799999999999997</v>
      </c>
      <c r="T236" s="6">
        <v>99.4</v>
      </c>
      <c r="U236" s="7">
        <v>154</v>
      </c>
      <c r="V236" s="7">
        <v>77.5</v>
      </c>
      <c r="W236" s="6">
        <v>133.5</v>
      </c>
      <c r="X236" s="6">
        <v>145</v>
      </c>
      <c r="Y236" s="6">
        <v>101.3</v>
      </c>
      <c r="Z236" s="7">
        <v>182</v>
      </c>
      <c r="AA236" s="76">
        <v>248</v>
      </c>
      <c r="AB236" s="7">
        <v>146</v>
      </c>
      <c r="AC236" s="6">
        <v>85.5</v>
      </c>
      <c r="AD236" s="6">
        <v>115.6</v>
      </c>
      <c r="AE236" s="6">
        <v>108.6</v>
      </c>
      <c r="AF236" s="6">
        <v>78</v>
      </c>
      <c r="AG236" s="6">
        <v>74</v>
      </c>
      <c r="AH236" s="6">
        <v>78</v>
      </c>
      <c r="AI236" s="7">
        <v>84</v>
      </c>
      <c r="AJ236" s="6">
        <v>67.3</v>
      </c>
      <c r="AK236" s="7">
        <v>58</v>
      </c>
      <c r="AL236" s="7">
        <v>80</v>
      </c>
    </row>
    <row r="237" spans="2:38" s="9" customFormat="1">
      <c r="B237" s="76">
        <v>1999</v>
      </c>
      <c r="C237" s="178" t="s">
        <v>138</v>
      </c>
      <c r="D237" s="6">
        <v>109</v>
      </c>
      <c r="E237" s="7">
        <v>0</v>
      </c>
      <c r="F237" s="6">
        <v>17.899999999999999</v>
      </c>
      <c r="G237" s="7">
        <v>132</v>
      </c>
      <c r="H237" s="6">
        <v>16</v>
      </c>
      <c r="I237" s="6">
        <v>130</v>
      </c>
      <c r="J237" s="7">
        <v>74</v>
      </c>
      <c r="K237" s="7">
        <v>109</v>
      </c>
      <c r="L237" s="6">
        <v>33</v>
      </c>
      <c r="M237" s="6">
        <v>62</v>
      </c>
      <c r="N237" s="7">
        <v>51</v>
      </c>
      <c r="O237" s="6">
        <v>62</v>
      </c>
      <c r="P237" s="7">
        <v>41</v>
      </c>
      <c r="Q237" s="6">
        <v>123</v>
      </c>
      <c r="R237" s="6">
        <v>83.4</v>
      </c>
      <c r="S237" s="6">
        <v>69.099999999999994</v>
      </c>
      <c r="T237" s="6">
        <v>35</v>
      </c>
      <c r="U237" s="7">
        <v>43</v>
      </c>
      <c r="V237" s="7">
        <v>44</v>
      </c>
      <c r="W237" s="6">
        <v>17.2</v>
      </c>
      <c r="X237" s="6">
        <v>0</v>
      </c>
      <c r="Y237" s="6">
        <v>109.7</v>
      </c>
      <c r="Z237" s="7">
        <v>41</v>
      </c>
      <c r="AA237" s="76">
        <v>27</v>
      </c>
      <c r="AB237" s="7">
        <v>24</v>
      </c>
      <c r="AC237" s="6">
        <v>30.6</v>
      </c>
      <c r="AD237" s="6">
        <v>79.099999999999994</v>
      </c>
      <c r="AE237" s="6">
        <v>14.3</v>
      </c>
      <c r="AF237" s="6">
        <v>25</v>
      </c>
      <c r="AG237" s="6">
        <v>114</v>
      </c>
      <c r="AH237" s="6">
        <v>18</v>
      </c>
      <c r="AI237" s="7">
        <v>31.5</v>
      </c>
      <c r="AJ237" s="6">
        <v>65.5</v>
      </c>
      <c r="AK237" s="7">
        <v>19</v>
      </c>
      <c r="AL237" s="7">
        <v>69</v>
      </c>
    </row>
    <row r="238" spans="2:38" s="9" customFormat="1">
      <c r="B238" s="76">
        <v>1999</v>
      </c>
      <c r="C238" s="178" t="s">
        <v>139</v>
      </c>
      <c r="D238" s="6">
        <v>77</v>
      </c>
      <c r="E238" s="7">
        <v>64</v>
      </c>
      <c r="F238" s="6">
        <v>40.700000000000003</v>
      </c>
      <c r="G238" s="7">
        <v>49</v>
      </c>
      <c r="H238" s="6">
        <v>54</v>
      </c>
      <c r="I238" s="6">
        <v>56</v>
      </c>
      <c r="J238" s="7">
        <v>58</v>
      </c>
      <c r="K238" s="7">
        <v>58</v>
      </c>
      <c r="L238" s="6">
        <v>13</v>
      </c>
      <c r="M238" s="6">
        <v>34</v>
      </c>
      <c r="N238" s="7">
        <v>30</v>
      </c>
      <c r="O238" s="6">
        <v>37</v>
      </c>
      <c r="P238" s="7">
        <v>114</v>
      </c>
      <c r="Q238" s="6">
        <v>63</v>
      </c>
      <c r="R238" s="6">
        <v>51.5</v>
      </c>
      <c r="S238" s="6">
        <v>115.3</v>
      </c>
      <c r="T238" s="6">
        <v>19.7</v>
      </c>
      <c r="U238" s="7">
        <v>28</v>
      </c>
      <c r="V238" s="7">
        <v>137</v>
      </c>
      <c r="W238" s="6">
        <v>21.1</v>
      </c>
      <c r="X238" s="6">
        <v>0</v>
      </c>
      <c r="Y238" s="6">
        <v>91</v>
      </c>
      <c r="Z238" s="7">
        <v>59</v>
      </c>
      <c r="AA238" s="76">
        <v>6</v>
      </c>
      <c r="AB238" s="7">
        <v>37</v>
      </c>
      <c r="AC238" s="6">
        <v>94.7</v>
      </c>
      <c r="AD238" s="6">
        <v>110.8</v>
      </c>
      <c r="AE238" s="6">
        <v>31.1</v>
      </c>
      <c r="AF238" s="6">
        <v>46</v>
      </c>
      <c r="AG238" s="6">
        <v>59</v>
      </c>
      <c r="AH238" s="6">
        <v>106</v>
      </c>
      <c r="AI238" s="7">
        <v>98</v>
      </c>
      <c r="AJ238" s="6">
        <v>77.8</v>
      </c>
      <c r="AK238" s="7">
        <v>46</v>
      </c>
      <c r="AL238" s="7">
        <v>152</v>
      </c>
    </row>
    <row r="239" spans="2:38" s="9" customFormat="1">
      <c r="B239" s="76">
        <v>1999</v>
      </c>
      <c r="C239" s="178" t="s">
        <v>140</v>
      </c>
      <c r="D239" s="6">
        <v>26</v>
      </c>
      <c r="E239" s="7">
        <v>71</v>
      </c>
      <c r="F239" s="6">
        <v>82.9</v>
      </c>
      <c r="G239" s="7">
        <v>36</v>
      </c>
      <c r="H239" s="6">
        <v>95</v>
      </c>
      <c r="I239" s="6">
        <v>28</v>
      </c>
      <c r="J239" s="7">
        <v>49</v>
      </c>
      <c r="K239" s="7">
        <v>8</v>
      </c>
      <c r="L239" s="6">
        <v>45</v>
      </c>
      <c r="M239" s="6">
        <v>64</v>
      </c>
      <c r="N239" s="7">
        <v>0</v>
      </c>
      <c r="O239" s="6">
        <v>26</v>
      </c>
      <c r="P239" s="7">
        <v>68</v>
      </c>
      <c r="Q239" s="6">
        <v>44</v>
      </c>
      <c r="R239" s="6">
        <v>8.9</v>
      </c>
      <c r="S239" s="6">
        <v>64.7</v>
      </c>
      <c r="T239" s="6">
        <v>17.7</v>
      </c>
      <c r="U239" s="7">
        <v>14.5</v>
      </c>
      <c r="V239" s="7">
        <v>115.1</v>
      </c>
      <c r="W239" s="6">
        <v>57.3</v>
      </c>
      <c r="X239" s="6">
        <v>17</v>
      </c>
      <c r="Y239" s="6">
        <v>71.8</v>
      </c>
      <c r="Z239" s="7">
        <v>25</v>
      </c>
      <c r="AA239" s="76">
        <v>65</v>
      </c>
      <c r="AB239" s="7">
        <v>36.5</v>
      </c>
      <c r="AC239" s="6">
        <v>150.6</v>
      </c>
      <c r="AD239" s="6">
        <v>75.3</v>
      </c>
      <c r="AE239" s="6">
        <v>30.5</v>
      </c>
      <c r="AF239" s="6">
        <v>98</v>
      </c>
      <c r="AG239" s="6">
        <v>95</v>
      </c>
      <c r="AH239" s="6">
        <v>102</v>
      </c>
      <c r="AI239" s="7">
        <v>123</v>
      </c>
      <c r="AJ239" s="6">
        <v>21.5</v>
      </c>
      <c r="AK239" s="7">
        <v>72</v>
      </c>
      <c r="AL239" s="7">
        <v>148</v>
      </c>
    </row>
    <row r="240" spans="2:38" s="9" customFormat="1">
      <c r="B240" s="76">
        <v>1999</v>
      </c>
      <c r="C240" s="178" t="s">
        <v>141</v>
      </c>
      <c r="D240" s="6">
        <v>65</v>
      </c>
      <c r="E240" s="7">
        <v>18</v>
      </c>
      <c r="F240" s="6">
        <v>3.5</v>
      </c>
      <c r="G240" s="7">
        <v>47</v>
      </c>
      <c r="H240" s="6">
        <v>9</v>
      </c>
      <c r="I240" s="6">
        <v>55</v>
      </c>
      <c r="J240" s="7">
        <v>2</v>
      </c>
      <c r="K240" s="7">
        <v>13</v>
      </c>
      <c r="L240" s="6">
        <v>56.5</v>
      </c>
      <c r="M240" s="6">
        <v>14</v>
      </c>
      <c r="N240" s="7">
        <v>14.5</v>
      </c>
      <c r="O240" s="6">
        <v>13</v>
      </c>
      <c r="P240" s="7">
        <v>1</v>
      </c>
      <c r="Q240" s="6">
        <v>80</v>
      </c>
      <c r="R240" s="6">
        <v>24.3</v>
      </c>
      <c r="S240" s="6">
        <v>15.8</v>
      </c>
      <c r="T240" s="6">
        <v>15.4</v>
      </c>
      <c r="U240" s="7">
        <v>19</v>
      </c>
      <c r="V240" s="7">
        <v>8</v>
      </c>
      <c r="W240" s="6">
        <v>16.2</v>
      </c>
      <c r="X240" s="6">
        <v>49</v>
      </c>
      <c r="Y240" s="6">
        <v>35.299999999999997</v>
      </c>
      <c r="Z240" s="7">
        <v>63</v>
      </c>
      <c r="AA240" s="76">
        <v>0</v>
      </c>
      <c r="AB240" s="7">
        <v>12</v>
      </c>
      <c r="AC240" s="6">
        <v>23.3</v>
      </c>
      <c r="AD240" s="6">
        <v>41.7</v>
      </c>
      <c r="AE240" s="6">
        <v>2.8</v>
      </c>
      <c r="AF240" s="6">
        <v>0</v>
      </c>
      <c r="AG240" s="6">
        <v>46</v>
      </c>
      <c r="AH240" s="6">
        <v>0</v>
      </c>
      <c r="AI240" s="7">
        <v>1</v>
      </c>
      <c r="AJ240" s="6">
        <v>34.6</v>
      </c>
      <c r="AK240" s="7">
        <v>0</v>
      </c>
      <c r="AL240" s="7">
        <v>24</v>
      </c>
    </row>
    <row r="241" spans="2:38" s="9" customFormat="1">
      <c r="B241" s="76">
        <v>1999</v>
      </c>
      <c r="C241" s="178" t="s">
        <v>143</v>
      </c>
      <c r="D241" s="6">
        <v>27</v>
      </c>
      <c r="E241" s="7">
        <v>41</v>
      </c>
      <c r="F241" s="6">
        <v>37.799999999999997</v>
      </c>
      <c r="G241" s="7">
        <v>107</v>
      </c>
      <c r="H241" s="6">
        <v>66</v>
      </c>
      <c r="I241" s="6">
        <v>89</v>
      </c>
      <c r="J241" s="7">
        <v>77.5</v>
      </c>
      <c r="K241" s="7">
        <v>29</v>
      </c>
      <c r="L241" s="6">
        <v>43.5</v>
      </c>
      <c r="M241" s="6">
        <v>27</v>
      </c>
      <c r="N241" s="7">
        <v>30</v>
      </c>
      <c r="O241" s="6">
        <v>38</v>
      </c>
      <c r="P241" s="7">
        <v>67</v>
      </c>
      <c r="Q241" s="6">
        <v>36</v>
      </c>
      <c r="R241" s="6">
        <v>111.8</v>
      </c>
      <c r="S241" s="6">
        <v>34.1</v>
      </c>
      <c r="T241" s="6">
        <v>56.1</v>
      </c>
      <c r="U241" s="7">
        <v>62</v>
      </c>
      <c r="V241" s="7">
        <v>78</v>
      </c>
      <c r="W241" s="6">
        <v>29.4</v>
      </c>
      <c r="X241" s="6">
        <v>74</v>
      </c>
      <c r="Y241" s="6">
        <v>87.4</v>
      </c>
      <c r="Z241" s="7">
        <v>88</v>
      </c>
      <c r="AA241" s="76">
        <v>38</v>
      </c>
      <c r="AB241" s="7">
        <v>20</v>
      </c>
      <c r="AC241" s="6">
        <v>45.8</v>
      </c>
      <c r="AD241" s="6">
        <v>86.9</v>
      </c>
      <c r="AE241" s="6">
        <v>59.5</v>
      </c>
      <c r="AF241" s="6">
        <v>24</v>
      </c>
      <c r="AG241" s="6">
        <v>35</v>
      </c>
      <c r="AH241" s="6">
        <v>40</v>
      </c>
      <c r="AI241" s="7">
        <v>50</v>
      </c>
      <c r="AJ241" s="6">
        <v>31</v>
      </c>
      <c r="AK241" s="7">
        <v>22</v>
      </c>
      <c r="AL241" s="7">
        <v>62</v>
      </c>
    </row>
    <row r="242" spans="2:38" s="8" customFormat="1">
      <c r="B242" s="178">
        <v>2000</v>
      </c>
      <c r="C242" s="178" t="s">
        <v>131</v>
      </c>
      <c r="D242" s="10">
        <v>71.5</v>
      </c>
      <c r="E242" s="10">
        <v>27</v>
      </c>
      <c r="F242" s="6">
        <v>130.4</v>
      </c>
      <c r="G242" s="10">
        <v>60</v>
      </c>
      <c r="H242" s="10">
        <v>154</v>
      </c>
      <c r="I242" s="10">
        <v>33</v>
      </c>
      <c r="J242" s="10">
        <v>20</v>
      </c>
      <c r="K242" s="10">
        <v>28</v>
      </c>
      <c r="L242" s="10">
        <v>66</v>
      </c>
      <c r="M242" s="10">
        <v>46</v>
      </c>
      <c r="N242" s="10">
        <v>37</v>
      </c>
      <c r="O242" s="10">
        <v>50</v>
      </c>
      <c r="P242" s="10">
        <v>37</v>
      </c>
      <c r="Q242" s="10">
        <v>148</v>
      </c>
      <c r="R242" s="10">
        <v>44.7</v>
      </c>
      <c r="S242" s="10">
        <v>36</v>
      </c>
      <c r="T242" s="10">
        <v>34.6</v>
      </c>
      <c r="U242" s="10">
        <v>18.5</v>
      </c>
      <c r="V242" s="10">
        <v>97.5</v>
      </c>
      <c r="W242" s="10">
        <v>27.7</v>
      </c>
      <c r="X242" s="10">
        <v>17</v>
      </c>
      <c r="Y242" s="10">
        <v>32.5</v>
      </c>
      <c r="Z242" s="10">
        <v>10</v>
      </c>
      <c r="AA242" s="77">
        <v>57</v>
      </c>
      <c r="AB242" s="10">
        <v>73.5</v>
      </c>
      <c r="AC242" s="10">
        <v>252.7</v>
      </c>
      <c r="AD242" s="10">
        <v>33.299999999999997</v>
      </c>
      <c r="AE242" s="10">
        <v>96.3</v>
      </c>
      <c r="AF242" s="10">
        <v>105</v>
      </c>
      <c r="AG242" s="10">
        <v>111.2</v>
      </c>
      <c r="AH242" s="10">
        <v>412</v>
      </c>
      <c r="AI242" s="10">
        <v>178</v>
      </c>
      <c r="AJ242" s="10">
        <v>153.1</v>
      </c>
      <c r="AK242" s="10">
        <v>149</v>
      </c>
      <c r="AL242" s="10">
        <v>147</v>
      </c>
    </row>
    <row r="243" spans="2:38" s="8" customFormat="1">
      <c r="B243" s="178">
        <v>2000</v>
      </c>
      <c r="C243" s="178" t="s">
        <v>132</v>
      </c>
      <c r="D243" s="10">
        <v>49</v>
      </c>
      <c r="E243" s="10">
        <v>56</v>
      </c>
      <c r="F243" s="11">
        <v>99.6</v>
      </c>
      <c r="G243" s="10">
        <v>51</v>
      </c>
      <c r="H243" s="10">
        <v>74</v>
      </c>
      <c r="I243" s="10">
        <v>105</v>
      </c>
      <c r="J243" s="10">
        <v>111</v>
      </c>
      <c r="K243" s="10">
        <v>49</v>
      </c>
      <c r="L243" s="10">
        <v>109.5</v>
      </c>
      <c r="M243" s="10">
        <v>140</v>
      </c>
      <c r="N243" s="10">
        <v>78</v>
      </c>
      <c r="O243" s="10">
        <v>87</v>
      </c>
      <c r="P243" s="10">
        <v>28</v>
      </c>
      <c r="Q243" s="10">
        <v>156</v>
      </c>
      <c r="R243" s="10">
        <v>42.8</v>
      </c>
      <c r="S243" s="10">
        <v>38.4</v>
      </c>
      <c r="T243" s="10">
        <v>132.30000000000001</v>
      </c>
      <c r="U243" s="10">
        <v>79.7</v>
      </c>
      <c r="V243" s="10">
        <v>75</v>
      </c>
      <c r="W243" s="10">
        <v>203.2</v>
      </c>
      <c r="X243" s="10">
        <v>33.5</v>
      </c>
      <c r="Y243" s="10">
        <v>23</v>
      </c>
      <c r="Z243" s="10">
        <v>61</v>
      </c>
      <c r="AA243" s="77">
        <v>211</v>
      </c>
      <c r="AB243" s="10">
        <v>114</v>
      </c>
      <c r="AC243" s="10">
        <v>92.9</v>
      </c>
      <c r="AD243" s="10">
        <v>61.2</v>
      </c>
      <c r="AE243" s="10">
        <v>53.7</v>
      </c>
      <c r="AF243" s="10">
        <v>109</v>
      </c>
      <c r="AG243" s="10">
        <v>227.3</v>
      </c>
      <c r="AH243" s="10">
        <v>71</v>
      </c>
      <c r="AI243" s="10">
        <v>122</v>
      </c>
      <c r="AJ243" s="10">
        <v>67.8</v>
      </c>
      <c r="AK243" s="10">
        <v>84</v>
      </c>
      <c r="AL243" s="10">
        <v>70</v>
      </c>
    </row>
    <row r="244" spans="2:38" s="8" customFormat="1">
      <c r="B244" s="178">
        <v>2000</v>
      </c>
      <c r="C244" s="178" t="s">
        <v>133</v>
      </c>
      <c r="D244" s="10">
        <v>46</v>
      </c>
      <c r="E244" s="10">
        <v>63</v>
      </c>
      <c r="F244" s="11">
        <v>172.6</v>
      </c>
      <c r="G244" s="10">
        <v>34</v>
      </c>
      <c r="H244" s="10">
        <v>297</v>
      </c>
      <c r="I244" s="10">
        <v>83</v>
      </c>
      <c r="J244" s="10">
        <v>42.5</v>
      </c>
      <c r="K244" s="10">
        <v>42</v>
      </c>
      <c r="L244" s="10">
        <v>62</v>
      </c>
      <c r="M244" s="10">
        <v>45</v>
      </c>
      <c r="N244" s="10">
        <v>56</v>
      </c>
      <c r="O244" s="10">
        <v>61</v>
      </c>
      <c r="P244" s="10">
        <v>53</v>
      </c>
      <c r="Q244" s="10">
        <v>66</v>
      </c>
      <c r="R244" s="10">
        <v>82.2</v>
      </c>
      <c r="S244" s="10">
        <v>69.400000000000006</v>
      </c>
      <c r="T244" s="10">
        <v>74.099999999999994</v>
      </c>
      <c r="U244" s="10">
        <v>62.5</v>
      </c>
      <c r="V244" s="10">
        <v>86</v>
      </c>
      <c r="W244" s="10">
        <v>66</v>
      </c>
      <c r="X244" s="10">
        <v>68.5</v>
      </c>
      <c r="Y244" s="10">
        <v>95</v>
      </c>
      <c r="Z244" s="10">
        <v>77</v>
      </c>
      <c r="AA244" s="77">
        <v>106</v>
      </c>
      <c r="AB244" s="10">
        <v>125</v>
      </c>
      <c r="AC244" s="10">
        <v>161.19999999999999</v>
      </c>
      <c r="AD244" s="10">
        <v>114.4</v>
      </c>
      <c r="AE244" s="10">
        <v>138.5</v>
      </c>
      <c r="AF244" s="10">
        <v>143.5</v>
      </c>
      <c r="AG244" s="10">
        <v>92.3</v>
      </c>
      <c r="AH244" s="10">
        <v>67</v>
      </c>
      <c r="AI244" s="10">
        <v>196</v>
      </c>
      <c r="AJ244" s="10">
        <v>71</v>
      </c>
      <c r="AK244" s="10">
        <v>98</v>
      </c>
      <c r="AL244" s="10">
        <v>105</v>
      </c>
    </row>
    <row r="245" spans="2:38" s="8" customFormat="1">
      <c r="B245" s="178">
        <v>2000</v>
      </c>
      <c r="C245" s="178" t="s">
        <v>134</v>
      </c>
      <c r="D245" s="10">
        <v>167</v>
      </c>
      <c r="E245" s="10">
        <v>264.5</v>
      </c>
      <c r="F245" s="11">
        <v>114.7</v>
      </c>
      <c r="G245" s="10">
        <v>206</v>
      </c>
      <c r="H245" s="10">
        <v>171</v>
      </c>
      <c r="I245" s="10">
        <v>169.1</v>
      </c>
      <c r="J245" s="10">
        <v>231.5</v>
      </c>
      <c r="K245" s="10">
        <v>75</v>
      </c>
      <c r="L245" s="10">
        <v>317</v>
      </c>
      <c r="M245" s="10">
        <v>311</v>
      </c>
      <c r="N245" s="10">
        <v>172</v>
      </c>
      <c r="O245" s="10">
        <v>218</v>
      </c>
      <c r="P245" s="10">
        <v>208</v>
      </c>
      <c r="Q245" s="10">
        <v>201</v>
      </c>
      <c r="R245" s="10">
        <v>190.3</v>
      </c>
      <c r="S245" s="10">
        <v>195.4</v>
      </c>
      <c r="T245" s="10">
        <v>176.7</v>
      </c>
      <c r="U245" s="10">
        <v>392</v>
      </c>
      <c r="V245" s="10">
        <v>68</v>
      </c>
      <c r="W245" s="10">
        <v>321.89999999999998</v>
      </c>
      <c r="X245" s="10">
        <v>150</v>
      </c>
      <c r="Y245" s="10">
        <v>225.1</v>
      </c>
      <c r="Z245" s="10">
        <v>184</v>
      </c>
      <c r="AA245" s="77">
        <v>341</v>
      </c>
      <c r="AB245" s="10">
        <v>261</v>
      </c>
      <c r="AC245" s="10">
        <v>88</v>
      </c>
      <c r="AD245" s="10">
        <v>272.3</v>
      </c>
      <c r="AE245" s="10">
        <v>118.4</v>
      </c>
      <c r="AF245" s="10">
        <v>119</v>
      </c>
      <c r="AG245" s="10">
        <v>172.2</v>
      </c>
      <c r="AH245" s="10">
        <v>296</v>
      </c>
      <c r="AI245" s="10">
        <v>158</v>
      </c>
      <c r="AJ245" s="10">
        <v>307.60000000000002</v>
      </c>
      <c r="AK245" s="10">
        <v>164</v>
      </c>
      <c r="AL245" s="10">
        <v>176</v>
      </c>
    </row>
    <row r="246" spans="2:38" s="8" customFormat="1">
      <c r="B246" s="178">
        <v>2000</v>
      </c>
      <c r="C246" s="178" t="s">
        <v>135</v>
      </c>
      <c r="D246" s="10">
        <v>182</v>
      </c>
      <c r="E246" s="10">
        <v>321</v>
      </c>
      <c r="F246" s="11">
        <v>252.9</v>
      </c>
      <c r="G246" s="10">
        <v>294</v>
      </c>
      <c r="H246" s="10">
        <v>194</v>
      </c>
      <c r="I246" s="10">
        <v>308.2</v>
      </c>
      <c r="J246" s="10">
        <v>272</v>
      </c>
      <c r="K246" s="10">
        <v>251</v>
      </c>
      <c r="L246" s="10">
        <v>295</v>
      </c>
      <c r="M246" s="10">
        <v>273</v>
      </c>
      <c r="N246" s="10">
        <v>286</v>
      </c>
      <c r="O246" s="10">
        <v>232</v>
      </c>
      <c r="P246" s="10">
        <v>352</v>
      </c>
      <c r="Q246" s="10">
        <v>387</v>
      </c>
      <c r="R246" s="10">
        <v>322.89999999999998</v>
      </c>
      <c r="S246" s="10">
        <v>327.9</v>
      </c>
      <c r="T246" s="10">
        <v>228.3</v>
      </c>
      <c r="U246" s="10">
        <v>202.5</v>
      </c>
      <c r="V246" s="10">
        <v>258.5</v>
      </c>
      <c r="W246" s="10">
        <v>226</v>
      </c>
      <c r="X246" s="10">
        <v>297</v>
      </c>
      <c r="Y246" s="10">
        <v>235.6</v>
      </c>
      <c r="Z246" s="10">
        <v>223</v>
      </c>
      <c r="AA246" s="77">
        <v>298</v>
      </c>
      <c r="AB246" s="10">
        <v>237</v>
      </c>
      <c r="AC246" s="10">
        <v>275.89999999999998</v>
      </c>
      <c r="AD246" s="10">
        <v>357.3</v>
      </c>
      <c r="AE246" s="10">
        <v>234</v>
      </c>
      <c r="AF246" s="10">
        <v>174.5</v>
      </c>
      <c r="AG246" s="10">
        <v>280.10000000000002</v>
      </c>
      <c r="AH246" s="10">
        <v>221.5</v>
      </c>
      <c r="AI246" s="10">
        <v>250.5</v>
      </c>
      <c r="AJ246" s="10">
        <v>267.7</v>
      </c>
      <c r="AK246" s="10">
        <v>218</v>
      </c>
      <c r="AL246" s="10">
        <v>263</v>
      </c>
    </row>
    <row r="247" spans="2:38" s="8" customFormat="1">
      <c r="B247" s="178">
        <v>2000</v>
      </c>
      <c r="C247" s="178" t="s">
        <v>136</v>
      </c>
      <c r="D247" s="10">
        <v>81</v>
      </c>
      <c r="E247" s="10">
        <v>191</v>
      </c>
      <c r="F247" s="11">
        <v>110.7</v>
      </c>
      <c r="G247" s="10">
        <v>120</v>
      </c>
      <c r="H247" s="10">
        <v>90</v>
      </c>
      <c r="I247" s="10">
        <v>79</v>
      </c>
      <c r="J247" s="10">
        <v>154.5</v>
      </c>
      <c r="K247" s="10">
        <v>56</v>
      </c>
      <c r="L247" s="10">
        <v>147</v>
      </c>
      <c r="M247" s="10">
        <v>146</v>
      </c>
      <c r="N247" s="10">
        <v>66</v>
      </c>
      <c r="O247" s="10">
        <v>159</v>
      </c>
      <c r="P247" s="10">
        <v>173</v>
      </c>
      <c r="Q247" s="10">
        <v>183</v>
      </c>
      <c r="R247" s="10">
        <v>125.7</v>
      </c>
      <c r="S247" s="10">
        <v>170</v>
      </c>
      <c r="T247" s="10">
        <v>70.099999999999994</v>
      </c>
      <c r="U247" s="10">
        <v>241.5</v>
      </c>
      <c r="V247" s="10">
        <v>210</v>
      </c>
      <c r="W247" s="10">
        <v>58.2</v>
      </c>
      <c r="X247" s="10">
        <v>92</v>
      </c>
      <c r="Y247" s="10">
        <v>127.1</v>
      </c>
      <c r="Z247" s="10">
        <v>112</v>
      </c>
      <c r="AA247" s="77">
        <v>144</v>
      </c>
      <c r="AB247" s="10">
        <v>183</v>
      </c>
      <c r="AC247" s="10">
        <v>167.8</v>
      </c>
      <c r="AD247" s="10">
        <v>121.5</v>
      </c>
      <c r="AE247" s="10">
        <v>104.9</v>
      </c>
      <c r="AF247" s="10">
        <v>184</v>
      </c>
      <c r="AG247" s="10">
        <v>150.6</v>
      </c>
      <c r="AH247" s="10">
        <v>51</v>
      </c>
      <c r="AI247" s="10">
        <v>185.5</v>
      </c>
      <c r="AJ247" s="10">
        <v>137.9</v>
      </c>
      <c r="AK247" s="10">
        <v>173</v>
      </c>
      <c r="AL247" s="10">
        <v>255</v>
      </c>
    </row>
    <row r="248" spans="2:38" s="8" customFormat="1">
      <c r="B248" s="178">
        <v>2000</v>
      </c>
      <c r="C248" s="178" t="s">
        <v>137</v>
      </c>
      <c r="D248" s="10">
        <v>123</v>
      </c>
      <c r="E248" s="10">
        <v>187</v>
      </c>
      <c r="F248" s="11">
        <v>82.8</v>
      </c>
      <c r="G248" s="10">
        <v>128.5</v>
      </c>
      <c r="H248" s="10">
        <v>50</v>
      </c>
      <c r="I248" s="10">
        <v>130</v>
      </c>
      <c r="J248" s="10">
        <v>106</v>
      </c>
      <c r="K248" s="10">
        <v>77</v>
      </c>
      <c r="L248" s="10">
        <v>98</v>
      </c>
      <c r="M248" s="10">
        <v>127</v>
      </c>
      <c r="N248" s="10">
        <v>115</v>
      </c>
      <c r="O248" s="10">
        <v>50</v>
      </c>
      <c r="P248" s="10">
        <v>148</v>
      </c>
      <c r="Q248" s="10">
        <v>128</v>
      </c>
      <c r="R248" s="10">
        <v>72.900000000000006</v>
      </c>
      <c r="S248" s="10">
        <v>147.4</v>
      </c>
      <c r="T248" s="10">
        <v>100.8</v>
      </c>
      <c r="U248" s="10">
        <v>175</v>
      </c>
      <c r="V248" s="10">
        <v>115</v>
      </c>
      <c r="W248" s="10">
        <v>85.9</v>
      </c>
      <c r="X248" s="10">
        <v>104.5</v>
      </c>
      <c r="Y248" s="10">
        <v>142.9</v>
      </c>
      <c r="Z248" s="10">
        <v>107</v>
      </c>
      <c r="AA248" s="77">
        <v>125</v>
      </c>
      <c r="AB248" s="10">
        <v>80</v>
      </c>
      <c r="AC248" s="10">
        <v>75.900000000000006</v>
      </c>
      <c r="AD248" s="10">
        <v>200.5</v>
      </c>
      <c r="AE248" s="10">
        <v>71.900000000000006</v>
      </c>
      <c r="AF248" s="10">
        <v>86</v>
      </c>
      <c r="AG248" s="10">
        <v>80.599999999999994</v>
      </c>
      <c r="AH248" s="10">
        <v>7</v>
      </c>
      <c r="AI248" s="10">
        <v>124</v>
      </c>
      <c r="AJ248" s="10">
        <v>134.4</v>
      </c>
      <c r="AK248" s="10">
        <v>51</v>
      </c>
      <c r="AL248" s="10">
        <v>157</v>
      </c>
    </row>
    <row r="249" spans="2:38" s="8" customFormat="1">
      <c r="B249" s="178">
        <v>2000</v>
      </c>
      <c r="C249" s="178" t="s">
        <v>138</v>
      </c>
      <c r="D249" s="10">
        <v>130</v>
      </c>
      <c r="E249" s="10">
        <v>104</v>
      </c>
      <c r="F249" s="11">
        <v>98.6</v>
      </c>
      <c r="G249" s="10">
        <v>88</v>
      </c>
      <c r="H249" s="10">
        <v>49</v>
      </c>
      <c r="I249" s="10">
        <v>80</v>
      </c>
      <c r="J249" s="10">
        <v>60</v>
      </c>
      <c r="K249" s="10">
        <v>27</v>
      </c>
      <c r="L249" s="10">
        <v>77</v>
      </c>
      <c r="M249" s="10">
        <v>108</v>
      </c>
      <c r="N249" s="10">
        <v>44</v>
      </c>
      <c r="O249" s="10">
        <v>86</v>
      </c>
      <c r="P249" s="10">
        <v>62</v>
      </c>
      <c r="Q249" s="10">
        <v>100</v>
      </c>
      <c r="R249" s="10">
        <v>51.7</v>
      </c>
      <c r="S249" s="10">
        <v>93.4</v>
      </c>
      <c r="T249" s="10">
        <v>80.099999999999994</v>
      </c>
      <c r="U249" s="10">
        <v>65</v>
      </c>
      <c r="V249" s="10">
        <v>56</v>
      </c>
      <c r="W249" s="10">
        <v>60.8</v>
      </c>
      <c r="X249" s="10">
        <v>56</v>
      </c>
      <c r="Y249" s="10">
        <v>129.19999999999999</v>
      </c>
      <c r="Z249" s="10">
        <v>72</v>
      </c>
      <c r="AA249" s="77">
        <v>95</v>
      </c>
      <c r="AB249" s="10">
        <v>12</v>
      </c>
      <c r="AC249" s="10">
        <v>70.3</v>
      </c>
      <c r="AD249" s="10">
        <v>133</v>
      </c>
      <c r="AE249" s="10">
        <v>29.7</v>
      </c>
      <c r="AF249" s="10">
        <v>43</v>
      </c>
      <c r="AG249" s="10">
        <v>65.8</v>
      </c>
      <c r="AH249" s="10">
        <v>237</v>
      </c>
      <c r="AI249" s="10">
        <v>49.5</v>
      </c>
      <c r="AJ249" s="10">
        <v>76.3</v>
      </c>
      <c r="AK249" s="10">
        <v>32</v>
      </c>
      <c r="AL249" s="10">
        <v>57</v>
      </c>
    </row>
    <row r="250" spans="2:38" s="8" customFormat="1">
      <c r="B250" s="178">
        <v>2000</v>
      </c>
      <c r="C250" s="178" t="s">
        <v>139</v>
      </c>
      <c r="D250" s="10">
        <v>179</v>
      </c>
      <c r="E250" s="10">
        <v>156</v>
      </c>
      <c r="F250" s="11">
        <v>180.9</v>
      </c>
      <c r="G250" s="10">
        <v>245</v>
      </c>
      <c r="H250" s="10">
        <v>175</v>
      </c>
      <c r="I250" s="10">
        <v>221</v>
      </c>
      <c r="J250" s="10">
        <v>230</v>
      </c>
      <c r="K250" s="10">
        <v>110</v>
      </c>
      <c r="L250" s="10">
        <v>122</v>
      </c>
      <c r="M250" s="10">
        <v>190.5</v>
      </c>
      <c r="N250" s="10">
        <v>131</v>
      </c>
      <c r="O250" s="10">
        <v>160</v>
      </c>
      <c r="P250" s="10">
        <v>143</v>
      </c>
      <c r="Q250" s="10">
        <v>232</v>
      </c>
      <c r="R250" s="10">
        <v>123.2</v>
      </c>
      <c r="S250" s="10">
        <v>192.5</v>
      </c>
      <c r="T250" s="10">
        <v>104.3</v>
      </c>
      <c r="U250" s="10">
        <v>213.5</v>
      </c>
      <c r="V250" s="10">
        <v>124.5</v>
      </c>
      <c r="W250" s="10">
        <v>124.7</v>
      </c>
      <c r="X250" s="10">
        <v>154</v>
      </c>
      <c r="Y250" s="10">
        <v>120.4</v>
      </c>
      <c r="Z250" s="10">
        <v>194</v>
      </c>
      <c r="AA250" s="77">
        <v>171</v>
      </c>
      <c r="AB250" s="10">
        <v>164.6</v>
      </c>
      <c r="AC250" s="10">
        <v>125.1</v>
      </c>
      <c r="AD250" s="10">
        <v>153.80000000000001</v>
      </c>
      <c r="AE250" s="10">
        <v>137.30000000000001</v>
      </c>
      <c r="AF250" s="10">
        <v>85.5</v>
      </c>
      <c r="AG250" s="10">
        <v>177.6</v>
      </c>
      <c r="AH250" s="10">
        <v>184</v>
      </c>
      <c r="AI250" s="10">
        <v>113.5</v>
      </c>
      <c r="AJ250" s="10">
        <v>246.1</v>
      </c>
      <c r="AK250" s="10">
        <v>124</v>
      </c>
      <c r="AL250" s="10">
        <v>95</v>
      </c>
    </row>
    <row r="251" spans="2:38" s="8" customFormat="1">
      <c r="B251" s="178">
        <v>2000</v>
      </c>
      <c r="C251" s="178" t="s">
        <v>140</v>
      </c>
      <c r="D251" s="10">
        <v>43</v>
      </c>
      <c r="E251" s="10">
        <v>121</v>
      </c>
      <c r="F251" s="11">
        <v>162</v>
      </c>
      <c r="G251" s="10">
        <v>56.5</v>
      </c>
      <c r="H251" s="10">
        <v>130</v>
      </c>
      <c r="I251" s="10">
        <v>77</v>
      </c>
      <c r="J251" s="10">
        <v>59</v>
      </c>
      <c r="K251" s="10">
        <v>107</v>
      </c>
      <c r="L251" s="10">
        <v>134</v>
      </c>
      <c r="M251" s="10">
        <v>142</v>
      </c>
      <c r="N251" s="10">
        <v>130</v>
      </c>
      <c r="O251" s="10">
        <v>25</v>
      </c>
      <c r="P251" s="10">
        <v>105</v>
      </c>
      <c r="Q251" s="10">
        <v>74</v>
      </c>
      <c r="R251" s="10">
        <v>121.3</v>
      </c>
      <c r="S251" s="10">
        <v>117.1</v>
      </c>
      <c r="T251" s="10">
        <v>128.6</v>
      </c>
      <c r="U251" s="10">
        <v>99</v>
      </c>
      <c r="V251" s="10">
        <v>175</v>
      </c>
      <c r="W251" s="10">
        <v>90</v>
      </c>
      <c r="X251" s="10">
        <v>127.5</v>
      </c>
      <c r="Y251" s="10">
        <v>123.9</v>
      </c>
      <c r="Z251" s="10">
        <v>110</v>
      </c>
      <c r="AA251" s="77">
        <v>175</v>
      </c>
      <c r="AB251" s="10">
        <v>145</v>
      </c>
      <c r="AC251" s="10">
        <v>153.69999999999999</v>
      </c>
      <c r="AD251" s="10">
        <v>61.3</v>
      </c>
      <c r="AE251" s="10">
        <v>108.6</v>
      </c>
      <c r="AF251" s="10">
        <v>206</v>
      </c>
      <c r="AG251" s="10">
        <v>176.9</v>
      </c>
      <c r="AH251" s="10">
        <v>202</v>
      </c>
      <c r="AI251" s="10">
        <v>167</v>
      </c>
      <c r="AJ251" s="10">
        <v>81.099999999999994</v>
      </c>
      <c r="AK251" s="10">
        <v>138</v>
      </c>
      <c r="AL251" s="10">
        <v>164</v>
      </c>
    </row>
    <row r="252" spans="2:38" s="8" customFormat="1">
      <c r="B252" s="178">
        <v>2000</v>
      </c>
      <c r="C252" s="178" t="s">
        <v>141</v>
      </c>
      <c r="D252" s="372" t="s">
        <v>142</v>
      </c>
      <c r="E252" s="10">
        <v>36</v>
      </c>
      <c r="F252" s="11">
        <v>143.4</v>
      </c>
      <c r="G252" s="10">
        <v>24</v>
      </c>
      <c r="H252" s="10">
        <v>224</v>
      </c>
      <c r="I252" s="10">
        <v>76</v>
      </c>
      <c r="J252" s="10">
        <v>31</v>
      </c>
      <c r="K252" s="10">
        <v>116</v>
      </c>
      <c r="L252" s="10">
        <v>49</v>
      </c>
      <c r="M252" s="10">
        <v>20</v>
      </c>
      <c r="N252" s="10">
        <v>88</v>
      </c>
      <c r="O252" s="10">
        <v>5</v>
      </c>
      <c r="P252" s="10">
        <v>25</v>
      </c>
      <c r="Q252" s="10">
        <v>52</v>
      </c>
      <c r="R252" s="10">
        <v>104.6</v>
      </c>
      <c r="S252" s="10">
        <v>34.4</v>
      </c>
      <c r="T252" s="10">
        <v>80.2</v>
      </c>
      <c r="U252" s="10">
        <v>61</v>
      </c>
      <c r="V252" s="10">
        <v>68</v>
      </c>
      <c r="W252" s="10">
        <v>71.5</v>
      </c>
      <c r="X252" s="10">
        <v>113</v>
      </c>
      <c r="Y252" s="10">
        <v>87.5</v>
      </c>
      <c r="Z252" s="10">
        <v>53</v>
      </c>
      <c r="AA252" s="77">
        <v>68.5</v>
      </c>
      <c r="AB252" s="10">
        <v>44</v>
      </c>
      <c r="AC252" s="10">
        <v>114.3</v>
      </c>
      <c r="AD252" s="10">
        <v>63.7</v>
      </c>
      <c r="AE252" s="10">
        <v>94.5</v>
      </c>
      <c r="AF252" s="10">
        <v>182</v>
      </c>
      <c r="AG252" s="10">
        <v>75.5</v>
      </c>
      <c r="AH252" s="10">
        <v>181</v>
      </c>
      <c r="AI252" s="10">
        <v>84</v>
      </c>
      <c r="AJ252" s="10">
        <v>72.2</v>
      </c>
      <c r="AK252" s="10">
        <v>83</v>
      </c>
      <c r="AL252" s="10">
        <v>52.5</v>
      </c>
    </row>
    <row r="253" spans="2:38" s="8" customFormat="1">
      <c r="B253" s="178">
        <v>2000</v>
      </c>
      <c r="C253" s="178" t="s">
        <v>143</v>
      </c>
      <c r="D253" s="10">
        <v>64</v>
      </c>
      <c r="E253" s="10">
        <v>138</v>
      </c>
      <c r="F253" s="11">
        <v>93</v>
      </c>
      <c r="G253" s="10">
        <v>127</v>
      </c>
      <c r="H253" s="10">
        <v>117</v>
      </c>
      <c r="I253" s="10">
        <v>123</v>
      </c>
      <c r="J253" s="10">
        <v>133</v>
      </c>
      <c r="K253" s="10">
        <v>43</v>
      </c>
      <c r="L253" s="10">
        <v>133</v>
      </c>
      <c r="M253" s="10">
        <v>110</v>
      </c>
      <c r="N253" s="10">
        <v>73</v>
      </c>
      <c r="O253" s="10">
        <v>44</v>
      </c>
      <c r="P253" s="10">
        <v>133</v>
      </c>
      <c r="Q253" s="10">
        <v>115</v>
      </c>
      <c r="R253" s="10">
        <v>116.6</v>
      </c>
      <c r="S253" s="10">
        <v>169.1</v>
      </c>
      <c r="T253" s="10">
        <v>57.8</v>
      </c>
      <c r="U253" s="10">
        <v>95</v>
      </c>
      <c r="V253" s="10">
        <v>101</v>
      </c>
      <c r="W253" s="10">
        <v>127.6</v>
      </c>
      <c r="X253" s="10">
        <v>65</v>
      </c>
      <c r="Y253" s="10">
        <v>139.4</v>
      </c>
      <c r="Z253" s="10">
        <v>110</v>
      </c>
      <c r="AA253" s="77">
        <v>81</v>
      </c>
      <c r="AB253" s="10">
        <v>66</v>
      </c>
      <c r="AC253" s="10">
        <v>50.4</v>
      </c>
      <c r="AD253" s="10">
        <v>86.2</v>
      </c>
      <c r="AE253" s="10">
        <v>90.3</v>
      </c>
      <c r="AF253" s="10">
        <v>127</v>
      </c>
      <c r="AG253" s="10">
        <v>125.4</v>
      </c>
      <c r="AH253" s="10">
        <v>88</v>
      </c>
      <c r="AI253" s="10">
        <v>100</v>
      </c>
      <c r="AJ253" s="10">
        <v>123.6</v>
      </c>
      <c r="AK253" s="10">
        <v>70</v>
      </c>
      <c r="AL253" s="10">
        <v>143</v>
      </c>
    </row>
    <row r="254" spans="2:38" s="12" customFormat="1">
      <c r="B254" s="78">
        <v>2001</v>
      </c>
      <c r="C254" s="78" t="s">
        <v>131</v>
      </c>
      <c r="D254" s="13">
        <v>48</v>
      </c>
      <c r="E254" s="13">
        <v>101</v>
      </c>
      <c r="F254" s="13">
        <v>143.19999999999999</v>
      </c>
      <c r="G254" s="13">
        <v>146</v>
      </c>
      <c r="H254" s="13">
        <v>410</v>
      </c>
      <c r="I254" s="13">
        <v>161</v>
      </c>
      <c r="J254" s="13">
        <v>102</v>
      </c>
      <c r="K254" s="13">
        <v>93</v>
      </c>
      <c r="L254" s="13">
        <v>31</v>
      </c>
      <c r="M254" s="13">
        <v>154</v>
      </c>
      <c r="N254" s="13">
        <v>268</v>
      </c>
      <c r="O254" s="13">
        <v>57</v>
      </c>
      <c r="P254" s="13">
        <v>48</v>
      </c>
      <c r="Q254" s="13">
        <v>138</v>
      </c>
      <c r="R254" s="13">
        <v>159.69999999999999</v>
      </c>
      <c r="S254" s="13">
        <v>89</v>
      </c>
      <c r="T254" s="13">
        <v>252.7</v>
      </c>
      <c r="U254" s="13">
        <v>195.9</v>
      </c>
      <c r="V254" s="13">
        <v>149.80000000000001</v>
      </c>
      <c r="W254" s="13">
        <v>72.3</v>
      </c>
      <c r="X254" s="13">
        <v>205</v>
      </c>
      <c r="Y254" s="13">
        <v>132.1</v>
      </c>
      <c r="Z254" s="13">
        <v>330</v>
      </c>
      <c r="AA254" s="78">
        <v>201</v>
      </c>
      <c r="AB254" s="13">
        <v>30</v>
      </c>
      <c r="AC254" s="13">
        <v>184.1</v>
      </c>
      <c r="AD254" s="13">
        <v>137.80000000000001</v>
      </c>
      <c r="AE254" s="13">
        <v>178.1</v>
      </c>
      <c r="AF254" s="13">
        <v>247</v>
      </c>
      <c r="AG254" s="13">
        <v>120.7</v>
      </c>
      <c r="AH254" s="13">
        <v>412</v>
      </c>
      <c r="AI254" s="13">
        <v>102.6</v>
      </c>
      <c r="AJ254" s="13">
        <v>244.1</v>
      </c>
      <c r="AK254" s="13">
        <v>146</v>
      </c>
      <c r="AL254" s="13">
        <v>127</v>
      </c>
    </row>
    <row r="255" spans="2:38">
      <c r="B255" s="14">
        <v>2001</v>
      </c>
      <c r="C255" s="14" t="s">
        <v>132</v>
      </c>
      <c r="D255" s="371" t="s">
        <v>142</v>
      </c>
      <c r="E255" s="6">
        <v>32</v>
      </c>
      <c r="F255" s="6">
        <v>89.1</v>
      </c>
      <c r="G255" s="6">
        <v>233</v>
      </c>
      <c r="H255" s="6">
        <v>8</v>
      </c>
      <c r="I255" s="6">
        <v>214</v>
      </c>
      <c r="J255" s="6">
        <v>111</v>
      </c>
      <c r="K255" s="6">
        <v>52</v>
      </c>
      <c r="L255" s="6">
        <v>83</v>
      </c>
      <c r="M255" s="6">
        <v>79</v>
      </c>
      <c r="N255" s="6">
        <v>166</v>
      </c>
      <c r="O255" s="6">
        <v>174</v>
      </c>
      <c r="P255" s="6">
        <v>104</v>
      </c>
      <c r="Q255" s="6">
        <v>176</v>
      </c>
      <c r="R255" s="6">
        <v>81.099999999999994</v>
      </c>
      <c r="S255" s="6">
        <v>59.3</v>
      </c>
      <c r="T255" s="6">
        <v>115.7</v>
      </c>
      <c r="U255" s="6">
        <v>191</v>
      </c>
      <c r="V255" s="6">
        <v>72</v>
      </c>
      <c r="W255" s="6">
        <v>66.900000000000006</v>
      </c>
      <c r="X255" s="6">
        <v>163</v>
      </c>
      <c r="Y255" s="6">
        <v>152.69999999999999</v>
      </c>
      <c r="Z255" s="6">
        <v>90</v>
      </c>
      <c r="AA255" s="14">
        <v>175</v>
      </c>
      <c r="AB255" s="6">
        <v>173</v>
      </c>
      <c r="AC255" s="6">
        <v>83.5</v>
      </c>
      <c r="AD255" s="6">
        <v>133.4</v>
      </c>
      <c r="AE255" s="6">
        <v>115.3</v>
      </c>
      <c r="AF255" s="6">
        <v>76</v>
      </c>
      <c r="AG255" s="6">
        <v>92</v>
      </c>
      <c r="AH255" s="6">
        <v>71</v>
      </c>
      <c r="AI255" s="6">
        <v>101.5</v>
      </c>
      <c r="AJ255" s="6">
        <v>98.6</v>
      </c>
      <c r="AK255" s="6">
        <v>36</v>
      </c>
      <c r="AL255" s="6">
        <v>69</v>
      </c>
    </row>
    <row r="256" spans="2:38">
      <c r="B256" s="14">
        <v>2001</v>
      </c>
      <c r="C256" s="14" t="s">
        <v>133</v>
      </c>
      <c r="D256" s="371" t="s">
        <v>142</v>
      </c>
      <c r="E256" s="6">
        <v>388</v>
      </c>
      <c r="F256" s="6">
        <v>99.9</v>
      </c>
      <c r="G256" s="6">
        <v>140</v>
      </c>
      <c r="H256" s="6">
        <v>150</v>
      </c>
      <c r="I256" s="6">
        <v>187</v>
      </c>
      <c r="J256" s="6">
        <v>184</v>
      </c>
      <c r="K256" s="6">
        <v>99</v>
      </c>
      <c r="L256" s="6">
        <v>300</v>
      </c>
      <c r="M256" s="6">
        <v>216</v>
      </c>
      <c r="N256" s="6">
        <v>174.5</v>
      </c>
      <c r="O256" s="6">
        <v>175</v>
      </c>
      <c r="P256" s="6">
        <v>291</v>
      </c>
      <c r="Q256" s="6">
        <v>170</v>
      </c>
      <c r="R256" s="6">
        <v>310.5</v>
      </c>
      <c r="S256" s="6">
        <v>319.7</v>
      </c>
      <c r="T256" s="6">
        <v>177.7</v>
      </c>
      <c r="U256" s="6">
        <v>215</v>
      </c>
      <c r="V256" s="6">
        <v>274.5</v>
      </c>
      <c r="W256" s="6">
        <v>198.2</v>
      </c>
      <c r="X256" s="6">
        <v>128</v>
      </c>
      <c r="Y256" s="6">
        <v>242.9</v>
      </c>
      <c r="Z256" s="6">
        <v>119</v>
      </c>
      <c r="AA256" s="14">
        <v>145.5</v>
      </c>
      <c r="AB256" s="6">
        <v>80</v>
      </c>
      <c r="AC256" s="6">
        <v>154.1</v>
      </c>
      <c r="AD256" s="6">
        <v>210.4</v>
      </c>
      <c r="AE256" s="6">
        <v>221.7</v>
      </c>
      <c r="AF256" s="6">
        <v>120</v>
      </c>
      <c r="AG256" s="6">
        <v>355.3</v>
      </c>
      <c r="AH256" s="6">
        <v>67</v>
      </c>
      <c r="AI256" s="6">
        <v>377</v>
      </c>
      <c r="AJ256" s="6">
        <v>164.8</v>
      </c>
      <c r="AK256" s="6">
        <v>219</v>
      </c>
      <c r="AL256" s="6">
        <v>256</v>
      </c>
    </row>
    <row r="257" spans="2:38">
      <c r="B257" s="14">
        <v>2001</v>
      </c>
      <c r="C257" s="14" t="s">
        <v>134</v>
      </c>
      <c r="D257" s="371" t="s">
        <v>142</v>
      </c>
      <c r="E257" s="6">
        <v>145</v>
      </c>
      <c r="F257" s="6">
        <v>417.4</v>
      </c>
      <c r="G257" s="6">
        <v>43</v>
      </c>
      <c r="H257" s="6">
        <v>331</v>
      </c>
      <c r="I257" s="6">
        <v>28</v>
      </c>
      <c r="J257" s="6">
        <v>68</v>
      </c>
      <c r="K257" s="6">
        <v>15</v>
      </c>
      <c r="L257" s="6">
        <v>124</v>
      </c>
      <c r="M257" s="6">
        <v>99</v>
      </c>
      <c r="N257" s="6">
        <v>71.5</v>
      </c>
      <c r="O257" s="6">
        <v>79</v>
      </c>
      <c r="P257" s="6">
        <v>139</v>
      </c>
      <c r="Q257" s="6">
        <v>82</v>
      </c>
      <c r="R257" s="6">
        <v>43.5</v>
      </c>
      <c r="S257" s="6">
        <v>190.2</v>
      </c>
      <c r="T257" s="6">
        <v>67.099999999999994</v>
      </c>
      <c r="U257" s="6">
        <v>128</v>
      </c>
      <c r="V257" s="6">
        <v>195.5</v>
      </c>
      <c r="W257" s="6">
        <v>140.80000000000001</v>
      </c>
      <c r="X257" s="6">
        <v>41</v>
      </c>
      <c r="Y257" s="6">
        <v>65.3</v>
      </c>
      <c r="Z257" s="6">
        <v>42</v>
      </c>
      <c r="AA257" s="14">
        <v>183.5</v>
      </c>
      <c r="AB257" s="6">
        <v>152</v>
      </c>
      <c r="AC257" s="6">
        <v>438.5</v>
      </c>
      <c r="AD257" s="6">
        <v>45.3</v>
      </c>
      <c r="AE257" s="6">
        <v>188.8</v>
      </c>
      <c r="AF257" s="6">
        <v>214.5</v>
      </c>
      <c r="AG257" s="6">
        <v>261.8</v>
      </c>
      <c r="AH257" s="6">
        <v>296</v>
      </c>
      <c r="AI257" s="6">
        <v>403.5</v>
      </c>
      <c r="AJ257" s="6">
        <v>80.900000000000006</v>
      </c>
      <c r="AK257" s="6">
        <v>176.5</v>
      </c>
      <c r="AL257" s="6">
        <v>286</v>
      </c>
    </row>
    <row r="258" spans="2:38">
      <c r="B258" s="14">
        <v>2001</v>
      </c>
      <c r="C258" s="14" t="s">
        <v>135</v>
      </c>
      <c r="D258" s="371" t="s">
        <v>142</v>
      </c>
      <c r="E258" s="6">
        <v>106.5</v>
      </c>
      <c r="F258" s="6">
        <v>219.9</v>
      </c>
      <c r="G258" s="6">
        <v>96</v>
      </c>
      <c r="H258" s="6">
        <v>160</v>
      </c>
      <c r="I258" s="6">
        <v>108</v>
      </c>
      <c r="J258" s="6">
        <v>137</v>
      </c>
      <c r="K258" s="6">
        <v>68</v>
      </c>
      <c r="L258" s="6">
        <v>110.5</v>
      </c>
      <c r="M258" s="6">
        <v>167</v>
      </c>
      <c r="N258" s="6">
        <v>67</v>
      </c>
      <c r="O258" s="6">
        <v>86</v>
      </c>
      <c r="P258" s="6">
        <v>151</v>
      </c>
      <c r="Q258" s="6">
        <v>122</v>
      </c>
      <c r="R258" s="6">
        <v>59.1</v>
      </c>
      <c r="S258" s="6">
        <v>177.5</v>
      </c>
      <c r="T258" s="6">
        <v>80.5</v>
      </c>
      <c r="U258" s="6">
        <v>219</v>
      </c>
      <c r="V258" s="6">
        <v>202.5</v>
      </c>
      <c r="W258" s="6">
        <v>125.9</v>
      </c>
      <c r="X258" s="6">
        <v>111</v>
      </c>
      <c r="Y258" s="6">
        <v>65</v>
      </c>
      <c r="Z258" s="6">
        <v>93</v>
      </c>
      <c r="AA258" s="14">
        <v>57</v>
      </c>
      <c r="AB258" s="6">
        <v>60</v>
      </c>
      <c r="AC258" s="6">
        <v>254.5</v>
      </c>
      <c r="AD258" s="6">
        <v>93.9</v>
      </c>
      <c r="AE258" s="6">
        <v>59.9</v>
      </c>
      <c r="AF258" s="6">
        <v>228</v>
      </c>
      <c r="AG258" s="6">
        <v>135.1</v>
      </c>
      <c r="AH258" s="6">
        <v>221.5</v>
      </c>
      <c r="AI258" s="6">
        <v>274</v>
      </c>
      <c r="AJ258" s="6">
        <v>166.8</v>
      </c>
      <c r="AK258" s="6">
        <v>64</v>
      </c>
      <c r="AL258" s="6">
        <v>139</v>
      </c>
    </row>
    <row r="259" spans="2:38">
      <c r="B259" s="14">
        <v>2001</v>
      </c>
      <c r="C259" s="14" t="s">
        <v>136</v>
      </c>
      <c r="D259" s="371" t="s">
        <v>142</v>
      </c>
      <c r="E259" s="6">
        <v>118</v>
      </c>
      <c r="F259" s="6">
        <v>93.3</v>
      </c>
      <c r="G259" s="6">
        <v>140</v>
      </c>
      <c r="H259" s="6">
        <v>62</v>
      </c>
      <c r="I259" s="6">
        <v>170</v>
      </c>
      <c r="J259" s="6">
        <v>143</v>
      </c>
      <c r="K259" s="6">
        <v>84</v>
      </c>
      <c r="L259" s="6">
        <v>155</v>
      </c>
      <c r="M259" s="6">
        <v>140</v>
      </c>
      <c r="N259" s="6">
        <v>114</v>
      </c>
      <c r="O259" s="6">
        <v>57</v>
      </c>
      <c r="P259" s="6">
        <v>125</v>
      </c>
      <c r="Q259" s="6">
        <v>180</v>
      </c>
      <c r="R259" s="6">
        <v>89.4</v>
      </c>
      <c r="S259" s="6">
        <v>71.5</v>
      </c>
      <c r="T259" s="6">
        <v>110.7</v>
      </c>
      <c r="U259" s="6">
        <v>254.5</v>
      </c>
      <c r="V259" s="6">
        <v>73</v>
      </c>
      <c r="W259" s="6">
        <v>105.7</v>
      </c>
      <c r="X259" s="6">
        <v>162</v>
      </c>
      <c r="Y259" s="6">
        <v>161.6</v>
      </c>
      <c r="Z259" s="6">
        <v>89</v>
      </c>
      <c r="AA259" s="14">
        <v>67</v>
      </c>
      <c r="AB259" s="6">
        <v>82</v>
      </c>
      <c r="AC259" s="6">
        <v>74.900000000000006</v>
      </c>
      <c r="AD259" s="6">
        <v>168.4</v>
      </c>
      <c r="AE259" s="6">
        <v>124.9</v>
      </c>
      <c r="AF259" s="6">
        <v>63</v>
      </c>
      <c r="AG259" s="6">
        <v>59.6</v>
      </c>
      <c r="AH259" s="6">
        <v>51</v>
      </c>
      <c r="AI259" s="6">
        <v>75</v>
      </c>
      <c r="AJ259" s="6">
        <v>150.9</v>
      </c>
      <c r="AK259" s="6">
        <v>78</v>
      </c>
      <c r="AL259" s="6">
        <v>71.5</v>
      </c>
    </row>
    <row r="260" spans="2:38">
      <c r="B260" s="14">
        <v>2001</v>
      </c>
      <c r="C260" s="14" t="s">
        <v>137</v>
      </c>
      <c r="D260" s="6">
        <v>45</v>
      </c>
      <c r="E260" s="6">
        <v>184</v>
      </c>
      <c r="F260" s="6">
        <v>34</v>
      </c>
      <c r="G260" s="6">
        <v>107</v>
      </c>
      <c r="H260" s="6">
        <v>13</v>
      </c>
      <c r="I260" s="6">
        <v>52</v>
      </c>
      <c r="J260" s="6">
        <v>86</v>
      </c>
      <c r="K260" s="6">
        <v>10</v>
      </c>
      <c r="L260" s="6">
        <v>41</v>
      </c>
      <c r="M260" s="6">
        <v>99</v>
      </c>
      <c r="N260" s="6">
        <v>46</v>
      </c>
      <c r="O260" s="6">
        <v>119</v>
      </c>
      <c r="P260" s="6">
        <v>133</v>
      </c>
      <c r="Q260" s="6">
        <v>138</v>
      </c>
      <c r="R260" s="6">
        <v>67.7</v>
      </c>
      <c r="S260" s="6">
        <v>232.9</v>
      </c>
      <c r="T260" s="6">
        <v>27.5</v>
      </c>
      <c r="U260" s="6">
        <v>107</v>
      </c>
      <c r="V260" s="6">
        <v>57.5</v>
      </c>
      <c r="W260" s="6">
        <v>34.6</v>
      </c>
      <c r="X260" s="6">
        <v>27</v>
      </c>
      <c r="Y260" s="6">
        <v>104.3</v>
      </c>
      <c r="Z260" s="6">
        <v>33</v>
      </c>
      <c r="AA260" s="14">
        <v>32</v>
      </c>
      <c r="AB260" s="6">
        <v>117</v>
      </c>
      <c r="AC260" s="6">
        <v>107.7</v>
      </c>
      <c r="AD260" s="6">
        <v>140.5</v>
      </c>
      <c r="AE260" s="6">
        <v>39.799999999999997</v>
      </c>
      <c r="AF260" s="6">
        <v>22</v>
      </c>
      <c r="AG260" s="6">
        <v>64.099999999999994</v>
      </c>
      <c r="AH260" s="6">
        <v>7</v>
      </c>
      <c r="AI260" s="6">
        <v>118</v>
      </c>
      <c r="AJ260" s="6">
        <v>93.1</v>
      </c>
      <c r="AK260" s="6">
        <v>35</v>
      </c>
      <c r="AL260" s="6">
        <v>125</v>
      </c>
    </row>
    <row r="261" spans="2:38">
      <c r="B261" s="14">
        <v>2001</v>
      </c>
      <c r="C261" s="14" t="s">
        <v>138</v>
      </c>
      <c r="D261" s="6">
        <v>99</v>
      </c>
      <c r="E261" s="6">
        <v>46</v>
      </c>
      <c r="F261" s="6">
        <v>184.9</v>
      </c>
      <c r="G261" s="6">
        <v>146</v>
      </c>
      <c r="H261" s="6">
        <v>172</v>
      </c>
      <c r="I261" s="6">
        <v>120</v>
      </c>
      <c r="J261" s="6">
        <v>78</v>
      </c>
      <c r="K261" s="6">
        <v>129</v>
      </c>
      <c r="L261" s="6">
        <v>93</v>
      </c>
      <c r="M261" s="6">
        <v>85</v>
      </c>
      <c r="N261" s="6">
        <v>161</v>
      </c>
      <c r="O261" s="6">
        <v>29</v>
      </c>
      <c r="P261" s="6">
        <v>74</v>
      </c>
      <c r="Q261" s="6">
        <v>85</v>
      </c>
      <c r="R261" s="6">
        <v>131.19999999999999</v>
      </c>
      <c r="S261" s="6">
        <v>68.3</v>
      </c>
      <c r="T261" s="6">
        <v>156.30000000000001</v>
      </c>
      <c r="U261" s="6">
        <v>163</v>
      </c>
      <c r="V261" s="6">
        <v>97</v>
      </c>
      <c r="W261" s="6">
        <v>101.6</v>
      </c>
      <c r="X261" s="6">
        <v>132</v>
      </c>
      <c r="Y261" s="6">
        <v>134.1</v>
      </c>
      <c r="Z261" s="6">
        <v>114</v>
      </c>
      <c r="AA261" s="14">
        <v>118</v>
      </c>
      <c r="AB261" s="6">
        <v>74</v>
      </c>
      <c r="AC261" s="6">
        <v>128.5</v>
      </c>
      <c r="AD261" s="6">
        <v>91.8</v>
      </c>
      <c r="AE261" s="6">
        <v>110.7</v>
      </c>
      <c r="AF261" s="6">
        <v>168</v>
      </c>
      <c r="AG261" s="6">
        <v>116.9</v>
      </c>
      <c r="AH261" s="6">
        <v>237</v>
      </c>
      <c r="AI261" s="6">
        <v>133</v>
      </c>
      <c r="AJ261" s="6">
        <v>60.1</v>
      </c>
      <c r="AK261" s="6">
        <v>171</v>
      </c>
      <c r="AL261" s="6">
        <v>103</v>
      </c>
    </row>
    <row r="262" spans="2:38">
      <c r="B262" s="14">
        <v>2001</v>
      </c>
      <c r="C262" s="14" t="s">
        <v>139</v>
      </c>
      <c r="D262" s="6">
        <v>74</v>
      </c>
      <c r="E262" s="6">
        <v>78</v>
      </c>
      <c r="F262" s="6">
        <v>229.8</v>
      </c>
      <c r="G262" s="6">
        <v>115</v>
      </c>
      <c r="H262" s="6">
        <v>168</v>
      </c>
      <c r="I262" s="6">
        <v>94</v>
      </c>
      <c r="J262" s="6">
        <v>126.5</v>
      </c>
      <c r="K262" s="6">
        <v>33</v>
      </c>
      <c r="L262" s="6">
        <v>191.5</v>
      </c>
      <c r="M262" s="6">
        <v>215</v>
      </c>
      <c r="N262" s="6">
        <v>73.5</v>
      </c>
      <c r="O262" s="6">
        <v>151</v>
      </c>
      <c r="P262" s="6">
        <v>345</v>
      </c>
      <c r="Q262" s="6">
        <v>159</v>
      </c>
      <c r="R262" s="6">
        <v>42.3</v>
      </c>
      <c r="S262" s="6">
        <v>339.1</v>
      </c>
      <c r="T262" s="6">
        <v>103.7</v>
      </c>
      <c r="U262" s="6">
        <v>148.5</v>
      </c>
      <c r="V262" s="6">
        <v>366</v>
      </c>
      <c r="W262" s="6">
        <v>110</v>
      </c>
      <c r="X262" s="6">
        <v>47</v>
      </c>
      <c r="Y262" s="6">
        <v>54</v>
      </c>
      <c r="Z262" s="6">
        <v>110</v>
      </c>
      <c r="AA262" s="14">
        <v>197</v>
      </c>
      <c r="AB262" s="6">
        <v>165</v>
      </c>
      <c r="AC262" s="6">
        <v>353.6</v>
      </c>
      <c r="AD262" s="6">
        <v>56.3</v>
      </c>
      <c r="AE262" s="6">
        <v>172.9</v>
      </c>
      <c r="AF262" s="6">
        <v>303</v>
      </c>
      <c r="AG262" s="6">
        <v>253.1</v>
      </c>
      <c r="AH262" s="6">
        <v>184</v>
      </c>
      <c r="AI262" s="6">
        <v>283</v>
      </c>
      <c r="AJ262" s="6">
        <v>161.69999999999999</v>
      </c>
      <c r="AK262" s="6">
        <v>278</v>
      </c>
      <c r="AL262" s="6">
        <v>336</v>
      </c>
    </row>
    <row r="263" spans="2:38">
      <c r="B263" s="14">
        <v>2001</v>
      </c>
      <c r="C263" s="14" t="s">
        <v>140</v>
      </c>
      <c r="D263" s="371" t="s">
        <v>142</v>
      </c>
      <c r="E263" s="6">
        <v>185</v>
      </c>
      <c r="F263" s="6">
        <v>126.5</v>
      </c>
      <c r="G263" s="6">
        <v>229</v>
      </c>
      <c r="H263" s="6">
        <v>205</v>
      </c>
      <c r="I263" s="6">
        <v>219</v>
      </c>
      <c r="J263" s="6">
        <v>241</v>
      </c>
      <c r="K263" s="6">
        <v>252</v>
      </c>
      <c r="L263" s="6">
        <v>307</v>
      </c>
      <c r="M263" s="6">
        <v>191</v>
      </c>
      <c r="N263" s="6">
        <v>384</v>
      </c>
      <c r="O263" s="6">
        <v>152</v>
      </c>
      <c r="P263" s="6">
        <v>244</v>
      </c>
      <c r="Q263" s="6">
        <v>356</v>
      </c>
      <c r="R263" s="6">
        <v>198.4</v>
      </c>
      <c r="S263" s="6">
        <v>212.9</v>
      </c>
      <c r="T263" s="6">
        <v>225.9</v>
      </c>
      <c r="U263" s="6">
        <v>429</v>
      </c>
      <c r="V263" s="6">
        <v>187</v>
      </c>
      <c r="W263" s="6">
        <v>229.6</v>
      </c>
      <c r="X263" s="6">
        <v>231</v>
      </c>
      <c r="Y263" s="6">
        <v>179.2</v>
      </c>
      <c r="Z263" s="6">
        <v>220</v>
      </c>
      <c r="AA263" s="14">
        <v>137</v>
      </c>
      <c r="AB263" s="6">
        <v>56</v>
      </c>
      <c r="AC263" s="6">
        <v>116.8</v>
      </c>
      <c r="AD263" s="6">
        <v>235.1</v>
      </c>
      <c r="AE263" s="6">
        <v>203.7</v>
      </c>
      <c r="AF263" s="6">
        <v>201</v>
      </c>
      <c r="AG263" s="6">
        <v>206.3</v>
      </c>
      <c r="AH263" s="6">
        <v>202</v>
      </c>
      <c r="AI263" s="6">
        <v>112</v>
      </c>
      <c r="AJ263" s="6">
        <v>227.1</v>
      </c>
      <c r="AK263" s="6">
        <v>267</v>
      </c>
      <c r="AL263" s="6">
        <v>177</v>
      </c>
    </row>
    <row r="264" spans="2:38">
      <c r="B264" s="14">
        <v>2001</v>
      </c>
      <c r="C264" s="14" t="s">
        <v>141</v>
      </c>
      <c r="D264" s="371" t="s">
        <v>142</v>
      </c>
      <c r="E264" s="6">
        <v>146</v>
      </c>
      <c r="F264" s="6">
        <v>171.4</v>
      </c>
      <c r="G264" s="6">
        <v>255</v>
      </c>
      <c r="H264" s="6">
        <v>206</v>
      </c>
      <c r="I264" s="6">
        <v>194</v>
      </c>
      <c r="J264" s="6">
        <v>225</v>
      </c>
      <c r="K264" s="6">
        <v>117</v>
      </c>
      <c r="L264" s="6">
        <v>156</v>
      </c>
      <c r="M264" s="6">
        <v>172</v>
      </c>
      <c r="N264" s="6">
        <v>58</v>
      </c>
      <c r="O264" s="6">
        <v>76</v>
      </c>
      <c r="P264" s="6">
        <v>60</v>
      </c>
      <c r="Q264" s="6">
        <v>162</v>
      </c>
      <c r="R264" s="6">
        <v>153.6</v>
      </c>
      <c r="S264" s="6">
        <v>239.8</v>
      </c>
      <c r="T264" s="6">
        <v>128.80000000000001</v>
      </c>
      <c r="U264" s="6">
        <v>196.5</v>
      </c>
      <c r="V264" s="6">
        <v>161.5</v>
      </c>
      <c r="W264" s="6">
        <v>161.69999999999999</v>
      </c>
      <c r="X264" s="6">
        <v>133</v>
      </c>
      <c r="Y264" s="6">
        <v>179.3</v>
      </c>
      <c r="Z264" s="6">
        <v>97</v>
      </c>
      <c r="AA264" s="14">
        <v>213</v>
      </c>
      <c r="AB264" s="6">
        <v>117</v>
      </c>
      <c r="AC264" s="6">
        <v>179.3</v>
      </c>
      <c r="AD264" s="6">
        <v>144.30000000000001</v>
      </c>
      <c r="AE264" s="6">
        <v>198.2</v>
      </c>
      <c r="AF264" s="6">
        <v>208</v>
      </c>
      <c r="AG264" s="6">
        <v>153.4</v>
      </c>
      <c r="AH264" s="6">
        <v>181</v>
      </c>
      <c r="AI264" s="6">
        <v>253</v>
      </c>
      <c r="AJ264" s="6">
        <v>103.3</v>
      </c>
      <c r="AK264" s="6">
        <v>163</v>
      </c>
      <c r="AL264" s="6">
        <v>164</v>
      </c>
    </row>
    <row r="265" spans="2:38">
      <c r="B265" s="14">
        <v>2001</v>
      </c>
      <c r="C265" s="14" t="s">
        <v>143</v>
      </c>
      <c r="D265" s="371" t="s">
        <v>142</v>
      </c>
      <c r="E265" s="6">
        <v>36</v>
      </c>
      <c r="F265" s="6">
        <v>70.900000000000006</v>
      </c>
      <c r="G265" s="6">
        <v>47</v>
      </c>
      <c r="H265" s="6">
        <v>86</v>
      </c>
      <c r="I265" s="6">
        <v>72</v>
      </c>
      <c r="J265" s="6">
        <v>47</v>
      </c>
      <c r="K265" s="6">
        <v>114</v>
      </c>
      <c r="L265" s="6">
        <v>75</v>
      </c>
      <c r="M265" s="6">
        <v>18</v>
      </c>
      <c r="N265" s="6">
        <v>68.5</v>
      </c>
      <c r="O265" s="6">
        <v>7</v>
      </c>
      <c r="P265" s="6">
        <v>39</v>
      </c>
      <c r="Q265" s="6">
        <v>46</v>
      </c>
      <c r="R265" s="6">
        <v>23.7</v>
      </c>
      <c r="S265" s="6">
        <v>59.8</v>
      </c>
      <c r="T265" s="6">
        <v>77.099999999999994</v>
      </c>
      <c r="U265" s="6">
        <v>207</v>
      </c>
      <c r="V265" s="6">
        <v>61.5</v>
      </c>
      <c r="W265" s="6">
        <v>65.099999999999994</v>
      </c>
      <c r="X265" s="6">
        <v>77</v>
      </c>
      <c r="Y265" s="6">
        <v>37</v>
      </c>
      <c r="Z265" s="6">
        <v>109</v>
      </c>
      <c r="AA265" s="14">
        <v>22</v>
      </c>
      <c r="AB265" s="6">
        <v>39</v>
      </c>
      <c r="AC265" s="6">
        <v>87.1</v>
      </c>
      <c r="AD265" s="6">
        <v>39</v>
      </c>
      <c r="AE265" s="6">
        <v>56.5</v>
      </c>
      <c r="AF265" s="6">
        <v>81.400000000000006</v>
      </c>
      <c r="AG265" s="6">
        <v>53.4</v>
      </c>
      <c r="AH265" s="6">
        <v>88</v>
      </c>
      <c r="AI265" s="6">
        <v>78</v>
      </c>
      <c r="AJ265" s="6">
        <v>70.7</v>
      </c>
      <c r="AK265" s="6">
        <v>70</v>
      </c>
      <c r="AL265" s="6">
        <v>80</v>
      </c>
    </row>
    <row r="266" spans="2:38">
      <c r="B266" s="14">
        <v>2002</v>
      </c>
      <c r="C266" s="14" t="s">
        <v>131</v>
      </c>
      <c r="D266" s="371" t="s">
        <v>142</v>
      </c>
      <c r="E266" s="6">
        <v>92</v>
      </c>
      <c r="F266" s="6">
        <v>115.3</v>
      </c>
      <c r="G266" s="6">
        <v>67</v>
      </c>
      <c r="H266" s="6">
        <v>148</v>
      </c>
      <c r="I266" s="6">
        <v>44</v>
      </c>
      <c r="J266" s="6">
        <v>95.5</v>
      </c>
      <c r="K266" s="6">
        <v>72</v>
      </c>
      <c r="L266" s="6">
        <v>197</v>
      </c>
      <c r="M266" s="6">
        <v>227</v>
      </c>
      <c r="N266" s="6">
        <v>141.5</v>
      </c>
      <c r="O266" s="6">
        <v>91</v>
      </c>
      <c r="P266" s="6">
        <v>129</v>
      </c>
      <c r="Q266" s="6">
        <v>190</v>
      </c>
      <c r="R266" s="6">
        <v>99.5</v>
      </c>
      <c r="S266" s="6">
        <v>83.4</v>
      </c>
      <c r="T266" s="6">
        <v>145</v>
      </c>
      <c r="U266" s="6">
        <v>284</v>
      </c>
      <c r="V266" s="6">
        <v>93</v>
      </c>
      <c r="W266" s="6">
        <v>196.4</v>
      </c>
      <c r="X266" s="6">
        <v>142</v>
      </c>
      <c r="Y266" s="6">
        <v>109.3</v>
      </c>
      <c r="Z266" s="6">
        <v>81</v>
      </c>
      <c r="AA266" s="14">
        <v>136</v>
      </c>
      <c r="AB266" s="6">
        <v>207</v>
      </c>
      <c r="AC266" s="6">
        <v>82.7</v>
      </c>
      <c r="AD266" s="6">
        <v>148.5</v>
      </c>
      <c r="AE266" s="6">
        <v>115.2</v>
      </c>
      <c r="AF266" s="6">
        <v>127</v>
      </c>
      <c r="AG266" s="6">
        <v>230.9</v>
      </c>
      <c r="AH266" s="6">
        <v>185</v>
      </c>
      <c r="AI266" s="6">
        <v>259</v>
      </c>
      <c r="AJ266" s="6">
        <v>241.9</v>
      </c>
      <c r="AK266" s="6">
        <v>128</v>
      </c>
      <c r="AL266" s="6">
        <v>174</v>
      </c>
    </row>
    <row r="267" spans="2:38">
      <c r="B267" s="14">
        <v>2002</v>
      </c>
      <c r="C267" s="14" t="s">
        <v>132</v>
      </c>
      <c r="D267" s="371" t="s">
        <v>142</v>
      </c>
      <c r="E267" s="6">
        <v>178</v>
      </c>
      <c r="F267" s="6">
        <v>115.2</v>
      </c>
      <c r="G267" s="6">
        <v>155</v>
      </c>
      <c r="H267" s="6">
        <v>164</v>
      </c>
      <c r="I267" s="6">
        <v>202</v>
      </c>
      <c r="J267" s="6">
        <v>138</v>
      </c>
      <c r="K267" s="6">
        <v>31</v>
      </c>
      <c r="L267" s="6">
        <v>57</v>
      </c>
      <c r="M267" s="6">
        <v>69</v>
      </c>
      <c r="N267" s="6">
        <v>132</v>
      </c>
      <c r="O267" s="6">
        <v>225</v>
      </c>
      <c r="P267" s="6">
        <v>36</v>
      </c>
      <c r="Q267" s="6">
        <v>255</v>
      </c>
      <c r="R267" s="6">
        <v>66.3</v>
      </c>
      <c r="S267" s="6">
        <v>92.8</v>
      </c>
      <c r="T267" s="6">
        <v>89.3</v>
      </c>
      <c r="U267" s="6">
        <v>251.5</v>
      </c>
      <c r="V267" s="6">
        <v>112.5</v>
      </c>
      <c r="W267" s="6">
        <v>56.5</v>
      </c>
      <c r="X267" s="6">
        <v>90</v>
      </c>
      <c r="Y267" s="6">
        <v>118.9</v>
      </c>
      <c r="Z267" s="6">
        <v>77</v>
      </c>
      <c r="AA267" s="14">
        <v>66</v>
      </c>
      <c r="AB267" s="6">
        <v>66.5</v>
      </c>
      <c r="AC267" s="6">
        <v>125.6</v>
      </c>
      <c r="AD267" s="6">
        <v>187.7</v>
      </c>
      <c r="AE267" s="6">
        <v>104</v>
      </c>
      <c r="AF267" s="6">
        <v>117</v>
      </c>
      <c r="AG267" s="6">
        <v>86.7</v>
      </c>
      <c r="AH267" s="6">
        <v>107</v>
      </c>
      <c r="AI267" s="6">
        <v>78</v>
      </c>
      <c r="AJ267" s="6">
        <v>281.39999999999998</v>
      </c>
      <c r="AK267" s="6">
        <v>56</v>
      </c>
      <c r="AL267" s="6">
        <v>137</v>
      </c>
    </row>
    <row r="268" spans="2:38">
      <c r="B268" s="14">
        <v>2002</v>
      </c>
      <c r="C268" s="14" t="s">
        <v>133</v>
      </c>
      <c r="D268" s="371" t="s">
        <v>142</v>
      </c>
      <c r="E268" s="6">
        <v>172</v>
      </c>
      <c r="F268" s="6">
        <v>363.7</v>
      </c>
      <c r="G268" s="6">
        <v>722</v>
      </c>
      <c r="H268" s="6">
        <v>298</v>
      </c>
      <c r="I268" s="6">
        <v>465</v>
      </c>
      <c r="J268" s="6">
        <v>274</v>
      </c>
      <c r="K268" s="6">
        <v>143</v>
      </c>
      <c r="L268" s="6">
        <v>281</v>
      </c>
      <c r="M268" s="6">
        <v>361</v>
      </c>
      <c r="N268" s="6">
        <v>289</v>
      </c>
      <c r="O268" s="6">
        <v>405</v>
      </c>
      <c r="P268" s="6">
        <v>329</v>
      </c>
      <c r="Q268" s="6">
        <v>441</v>
      </c>
      <c r="R268" s="6">
        <v>235.4</v>
      </c>
      <c r="S268" s="6">
        <v>294.60000000000002</v>
      </c>
      <c r="T268" s="6">
        <v>369.9</v>
      </c>
      <c r="U268" s="6">
        <v>563</v>
      </c>
      <c r="V268" s="6">
        <v>272</v>
      </c>
      <c r="W268" s="6">
        <v>319.5</v>
      </c>
      <c r="X268" s="6">
        <v>535.5</v>
      </c>
      <c r="Y268" s="6">
        <v>450.3</v>
      </c>
      <c r="Z268" s="6">
        <v>461</v>
      </c>
      <c r="AA268" s="14">
        <v>414.5</v>
      </c>
      <c r="AB268" s="6">
        <v>265</v>
      </c>
      <c r="AC268" s="6">
        <v>292.2</v>
      </c>
      <c r="AD268" s="6">
        <v>467</v>
      </c>
      <c r="AE268" s="6">
        <v>354.9</v>
      </c>
      <c r="AF268" s="6">
        <v>253</v>
      </c>
      <c r="AG268" s="6">
        <v>395</v>
      </c>
      <c r="AH268" s="6">
        <v>291</v>
      </c>
      <c r="AI268" s="6">
        <v>258</v>
      </c>
      <c r="AJ268" s="6">
        <v>324.60000000000002</v>
      </c>
      <c r="AK268" s="6">
        <v>185</v>
      </c>
      <c r="AL268" s="6">
        <v>217</v>
      </c>
    </row>
    <row r="269" spans="2:38">
      <c r="B269" s="14">
        <v>2002</v>
      </c>
      <c r="C269" s="14" t="s">
        <v>134</v>
      </c>
      <c r="D269" s="371" t="s">
        <v>142</v>
      </c>
      <c r="E269" s="6">
        <v>315</v>
      </c>
      <c r="F269" s="6">
        <v>382.9</v>
      </c>
      <c r="G269" s="6">
        <v>240</v>
      </c>
      <c r="H269" s="6">
        <v>377</v>
      </c>
      <c r="I269" s="6">
        <v>263</v>
      </c>
      <c r="J269" s="6">
        <v>326</v>
      </c>
      <c r="K269" s="6">
        <v>51</v>
      </c>
      <c r="L269" s="6">
        <v>373</v>
      </c>
      <c r="M269" s="6">
        <v>413</v>
      </c>
      <c r="N269" s="6">
        <v>216.5</v>
      </c>
      <c r="O269" s="6">
        <v>178</v>
      </c>
      <c r="P269" s="6">
        <v>372</v>
      </c>
      <c r="Q269" s="6">
        <v>283</v>
      </c>
      <c r="R269" s="6">
        <v>88.7</v>
      </c>
      <c r="S269" s="6">
        <v>317.5</v>
      </c>
      <c r="T269" s="6">
        <v>211.4</v>
      </c>
      <c r="U269" s="6">
        <v>345</v>
      </c>
      <c r="V269" s="6">
        <v>391</v>
      </c>
      <c r="W269" s="6">
        <v>325.8</v>
      </c>
      <c r="X269" s="6">
        <v>233</v>
      </c>
      <c r="Y269" s="6">
        <v>71.900000000000006</v>
      </c>
      <c r="Z269" s="6">
        <v>238</v>
      </c>
      <c r="AA269" s="14">
        <v>211</v>
      </c>
      <c r="AB269" s="6">
        <v>342</v>
      </c>
      <c r="AC269" s="6">
        <v>395.1</v>
      </c>
      <c r="AD269" s="6">
        <v>108.4</v>
      </c>
      <c r="AE269" s="6">
        <v>307.8</v>
      </c>
      <c r="AF269" s="6">
        <v>497</v>
      </c>
      <c r="AG269" s="6">
        <v>430.6</v>
      </c>
      <c r="AH269" s="6">
        <v>476</v>
      </c>
      <c r="AI269" s="6">
        <v>393</v>
      </c>
      <c r="AJ269" s="6">
        <v>285.60000000000002</v>
      </c>
      <c r="AK269" s="6">
        <v>397</v>
      </c>
      <c r="AL269" s="6">
        <v>441</v>
      </c>
    </row>
    <row r="270" spans="2:38">
      <c r="B270" s="14">
        <v>2002</v>
      </c>
      <c r="C270" s="14" t="s">
        <v>135</v>
      </c>
      <c r="D270" s="371" t="s">
        <v>142</v>
      </c>
      <c r="E270" s="6">
        <v>105</v>
      </c>
      <c r="F270" s="6">
        <v>128.6</v>
      </c>
      <c r="G270" s="6">
        <v>128</v>
      </c>
      <c r="H270" s="6">
        <v>129</v>
      </c>
      <c r="I270" s="6">
        <v>136</v>
      </c>
      <c r="J270" s="6">
        <v>117</v>
      </c>
      <c r="K270" s="6">
        <v>131</v>
      </c>
      <c r="L270" s="6">
        <v>111</v>
      </c>
      <c r="M270" s="6">
        <v>158</v>
      </c>
      <c r="N270" s="6">
        <v>114</v>
      </c>
      <c r="O270" s="6">
        <v>87</v>
      </c>
      <c r="P270" s="6">
        <v>188</v>
      </c>
      <c r="Q270" s="6">
        <v>153</v>
      </c>
      <c r="R270" s="6">
        <v>176</v>
      </c>
      <c r="S270" s="6">
        <v>143.19999999999999</v>
      </c>
      <c r="T270" s="6">
        <v>100.3</v>
      </c>
      <c r="U270" s="6">
        <v>231</v>
      </c>
      <c r="V270" s="6">
        <v>89.5</v>
      </c>
      <c r="W270" s="6">
        <v>87.1</v>
      </c>
      <c r="X270" s="6">
        <v>115</v>
      </c>
      <c r="Y270" s="6">
        <v>139.19999999999999</v>
      </c>
      <c r="Z270" s="6">
        <v>171</v>
      </c>
      <c r="AA270" s="14">
        <v>76</v>
      </c>
      <c r="AB270" s="6">
        <v>92</v>
      </c>
      <c r="AC270" s="6">
        <v>174.5</v>
      </c>
      <c r="AD270" s="6">
        <v>104.8</v>
      </c>
      <c r="AE270" s="6">
        <v>83.7</v>
      </c>
      <c r="AF270" s="6">
        <v>70</v>
      </c>
      <c r="AG270" s="6">
        <v>123.9</v>
      </c>
      <c r="AH270" s="6">
        <v>109</v>
      </c>
      <c r="AI270" s="6">
        <v>98</v>
      </c>
      <c r="AJ270" s="6">
        <v>142.19999999999999</v>
      </c>
      <c r="AK270" s="6">
        <v>62</v>
      </c>
      <c r="AL270" s="6">
        <v>92</v>
      </c>
    </row>
    <row r="271" spans="2:38">
      <c r="B271" s="14">
        <v>2002</v>
      </c>
      <c r="C271" s="14" t="s">
        <v>136</v>
      </c>
      <c r="D271" s="371" t="s">
        <v>142</v>
      </c>
      <c r="E271" s="6">
        <v>140</v>
      </c>
      <c r="F271" s="6">
        <v>71.7</v>
      </c>
      <c r="G271" s="6">
        <v>131</v>
      </c>
      <c r="H271" s="6">
        <v>39</v>
      </c>
      <c r="I271" s="6">
        <v>80</v>
      </c>
      <c r="J271" s="6">
        <v>46</v>
      </c>
      <c r="K271" s="6">
        <v>26</v>
      </c>
      <c r="L271" s="6">
        <v>57</v>
      </c>
      <c r="M271" s="6">
        <v>101</v>
      </c>
      <c r="N271" s="6">
        <v>10.5</v>
      </c>
      <c r="O271" s="6">
        <v>126</v>
      </c>
      <c r="P271" s="6">
        <v>200</v>
      </c>
      <c r="Q271" s="6">
        <v>99</v>
      </c>
      <c r="R271" s="6">
        <v>23</v>
      </c>
      <c r="S271" s="6">
        <v>149.69999999999999</v>
      </c>
      <c r="T271" s="6">
        <v>21.5</v>
      </c>
      <c r="U271" s="6">
        <v>37.5</v>
      </c>
      <c r="V271" s="6">
        <v>115</v>
      </c>
      <c r="W271" s="6">
        <v>15.5</v>
      </c>
      <c r="X271" s="6">
        <v>43</v>
      </c>
      <c r="Y271" s="6">
        <v>32.9</v>
      </c>
      <c r="Z271" s="6">
        <v>49</v>
      </c>
      <c r="AA271" s="14">
        <v>45</v>
      </c>
      <c r="AB271" s="6">
        <v>48</v>
      </c>
      <c r="AC271" s="6">
        <v>133.6</v>
      </c>
      <c r="AD271" s="6">
        <v>89.5</v>
      </c>
      <c r="AE271" s="6">
        <v>19.7</v>
      </c>
      <c r="AF271" s="6">
        <v>16</v>
      </c>
      <c r="AG271" s="6">
        <v>53.9</v>
      </c>
      <c r="AH271" s="6">
        <v>25</v>
      </c>
      <c r="AI271" s="6">
        <v>78</v>
      </c>
      <c r="AJ271" s="6">
        <v>67.3</v>
      </c>
      <c r="AK271" s="6">
        <v>16.5</v>
      </c>
      <c r="AL271" s="6">
        <v>163</v>
      </c>
    </row>
    <row r="272" spans="2:38">
      <c r="B272" s="14">
        <v>2002</v>
      </c>
      <c r="C272" s="14" t="s">
        <v>137</v>
      </c>
      <c r="D272" s="371" t="s">
        <v>142</v>
      </c>
      <c r="E272" s="6">
        <v>207</v>
      </c>
      <c r="F272" s="6">
        <v>193.5</v>
      </c>
      <c r="G272" s="6">
        <v>134</v>
      </c>
      <c r="H272" s="6">
        <v>164</v>
      </c>
      <c r="I272" s="6">
        <v>114</v>
      </c>
      <c r="J272" s="6">
        <v>116</v>
      </c>
      <c r="K272" s="6">
        <v>92</v>
      </c>
      <c r="L272" s="6">
        <v>120</v>
      </c>
      <c r="M272" s="6">
        <v>168</v>
      </c>
      <c r="N272" s="6">
        <v>124</v>
      </c>
      <c r="O272" s="6">
        <v>32</v>
      </c>
      <c r="P272" s="6">
        <v>196</v>
      </c>
      <c r="Q272" s="6">
        <v>133</v>
      </c>
      <c r="R272" s="6">
        <v>110.8</v>
      </c>
      <c r="S272" s="6">
        <v>209</v>
      </c>
      <c r="T272" s="6">
        <v>91.1</v>
      </c>
      <c r="U272" s="6">
        <v>98</v>
      </c>
      <c r="V272" s="6">
        <v>193.5</v>
      </c>
      <c r="W272" s="6">
        <v>82.6</v>
      </c>
      <c r="X272" s="6">
        <v>74</v>
      </c>
      <c r="Y272" s="6">
        <v>87.6</v>
      </c>
      <c r="Z272" s="6">
        <v>97</v>
      </c>
      <c r="AA272" s="14">
        <v>81</v>
      </c>
      <c r="AB272" s="6">
        <v>97</v>
      </c>
      <c r="AC272" s="6">
        <v>205</v>
      </c>
      <c r="AD272" s="6">
        <v>89.2</v>
      </c>
      <c r="AE272" s="6">
        <v>121.9</v>
      </c>
      <c r="AF272" s="6">
        <v>123</v>
      </c>
      <c r="AG272" s="6">
        <v>143.19999999999999</v>
      </c>
      <c r="AH272" s="6">
        <v>145</v>
      </c>
      <c r="AI272" s="6">
        <v>227</v>
      </c>
      <c r="AJ272" s="6">
        <v>148.80000000000001</v>
      </c>
      <c r="AK272" s="6">
        <v>90</v>
      </c>
      <c r="AL272" s="6">
        <v>220</v>
      </c>
    </row>
    <row r="273" spans="2:38">
      <c r="B273" s="14">
        <v>2002</v>
      </c>
      <c r="C273" s="14" t="s">
        <v>138</v>
      </c>
      <c r="D273" s="371" t="s">
        <v>142</v>
      </c>
      <c r="E273" s="6">
        <v>92</v>
      </c>
      <c r="F273" s="6">
        <v>74.8</v>
      </c>
      <c r="G273" s="6">
        <v>187</v>
      </c>
      <c r="H273" s="6">
        <v>60</v>
      </c>
      <c r="I273" s="6">
        <v>141</v>
      </c>
      <c r="J273" s="6">
        <v>159</v>
      </c>
      <c r="K273" s="6">
        <v>17</v>
      </c>
      <c r="L273" s="6">
        <v>82</v>
      </c>
      <c r="M273" s="6">
        <v>164</v>
      </c>
      <c r="N273" s="6">
        <v>36.5</v>
      </c>
      <c r="O273" s="6">
        <v>168</v>
      </c>
      <c r="P273" s="6">
        <v>136</v>
      </c>
      <c r="Q273" s="6">
        <v>205</v>
      </c>
      <c r="R273" s="6">
        <v>40.1</v>
      </c>
      <c r="S273" s="6">
        <v>187.1</v>
      </c>
      <c r="T273" s="6">
        <v>38.299999999999997</v>
      </c>
      <c r="U273" s="6">
        <v>146</v>
      </c>
      <c r="V273" s="6">
        <v>188</v>
      </c>
      <c r="W273" s="6">
        <v>52.4</v>
      </c>
      <c r="X273" s="6">
        <v>70</v>
      </c>
      <c r="Y273" s="6">
        <v>75.7</v>
      </c>
      <c r="Z273" s="6">
        <v>95</v>
      </c>
      <c r="AA273" s="14">
        <v>49</v>
      </c>
      <c r="AB273" s="6">
        <v>104</v>
      </c>
      <c r="AC273" s="6">
        <v>147.1</v>
      </c>
      <c r="AD273" s="6">
        <v>129.6</v>
      </c>
      <c r="AE273" s="6">
        <v>56.8</v>
      </c>
      <c r="AF273" s="6">
        <v>31</v>
      </c>
      <c r="AG273" s="6">
        <v>140.80000000000001</v>
      </c>
      <c r="AH273" s="6">
        <v>14</v>
      </c>
      <c r="AI273" s="6">
        <v>169</v>
      </c>
      <c r="AJ273" s="6">
        <v>201.4</v>
      </c>
      <c r="AK273" s="6">
        <v>33.5</v>
      </c>
      <c r="AL273" s="6">
        <v>228</v>
      </c>
    </row>
    <row r="274" spans="2:38">
      <c r="B274" s="14">
        <v>2002</v>
      </c>
      <c r="C274" s="14" t="s">
        <v>139</v>
      </c>
      <c r="D274" s="371" t="s">
        <v>142</v>
      </c>
      <c r="E274" s="6">
        <v>96</v>
      </c>
      <c r="F274" s="6">
        <v>283.39999999999998</v>
      </c>
      <c r="G274" s="6">
        <v>92</v>
      </c>
      <c r="H274" s="6">
        <v>287</v>
      </c>
      <c r="I274" s="6">
        <v>89</v>
      </c>
      <c r="J274" s="6">
        <v>99</v>
      </c>
      <c r="K274" s="6">
        <v>57</v>
      </c>
      <c r="L274" s="6">
        <v>176</v>
      </c>
      <c r="M274" s="6">
        <v>114</v>
      </c>
      <c r="N274" s="6">
        <v>74.5</v>
      </c>
      <c r="O274" s="6">
        <v>48</v>
      </c>
      <c r="P274" s="6">
        <v>113</v>
      </c>
      <c r="Q274" s="6">
        <v>118</v>
      </c>
      <c r="R274" s="6">
        <v>86.3</v>
      </c>
      <c r="S274" s="6">
        <v>112.6</v>
      </c>
      <c r="T274" s="6">
        <v>104.8</v>
      </c>
      <c r="U274" s="6">
        <v>142</v>
      </c>
      <c r="V274" s="6">
        <v>224</v>
      </c>
      <c r="W274" s="6">
        <v>151.9</v>
      </c>
      <c r="X274" s="6">
        <v>83</v>
      </c>
      <c r="Y274" s="6">
        <v>71.7</v>
      </c>
      <c r="Z274" s="6">
        <v>41</v>
      </c>
      <c r="AA274" s="14">
        <v>262</v>
      </c>
      <c r="AB274" s="6">
        <v>197</v>
      </c>
      <c r="AC274" s="6">
        <v>247.7</v>
      </c>
      <c r="AD274" s="6">
        <v>38.700000000000003</v>
      </c>
      <c r="AE274" s="6">
        <v>183.8</v>
      </c>
      <c r="AF274" s="6">
        <v>182</v>
      </c>
      <c r="AG274" s="6">
        <v>185.2</v>
      </c>
      <c r="AH274" s="6">
        <v>253</v>
      </c>
      <c r="AI274" s="6">
        <v>331.5</v>
      </c>
      <c r="AJ274" s="6">
        <v>64.900000000000006</v>
      </c>
      <c r="AK274" s="6">
        <v>134</v>
      </c>
      <c r="AL274" s="6">
        <v>215</v>
      </c>
    </row>
    <row r="275" spans="2:38">
      <c r="B275" s="14">
        <v>2002</v>
      </c>
      <c r="C275" s="14" t="s">
        <v>140</v>
      </c>
      <c r="D275" s="371" t="s">
        <v>142</v>
      </c>
      <c r="E275" s="6">
        <v>56</v>
      </c>
      <c r="F275" s="6">
        <v>211.9</v>
      </c>
      <c r="G275" s="6">
        <v>140</v>
      </c>
      <c r="H275" s="6">
        <v>200</v>
      </c>
      <c r="I275" s="6">
        <v>97</v>
      </c>
      <c r="J275" s="6">
        <v>149</v>
      </c>
      <c r="K275" s="6">
        <v>81</v>
      </c>
      <c r="L275" s="6">
        <v>139</v>
      </c>
      <c r="M275" s="6">
        <v>188</v>
      </c>
      <c r="N275" s="6">
        <v>115</v>
      </c>
      <c r="O275" s="6">
        <v>59</v>
      </c>
      <c r="P275" s="6">
        <v>168</v>
      </c>
      <c r="Q275" s="6">
        <v>100</v>
      </c>
      <c r="R275" s="6">
        <v>59.1</v>
      </c>
      <c r="S275" s="6">
        <v>171.8</v>
      </c>
      <c r="T275" s="6">
        <v>218.2</v>
      </c>
      <c r="U275" s="6">
        <v>152</v>
      </c>
      <c r="V275" s="6">
        <v>251</v>
      </c>
      <c r="W275" s="6">
        <v>118</v>
      </c>
      <c r="X275" s="6">
        <v>78</v>
      </c>
      <c r="Y275" s="6">
        <v>103.2</v>
      </c>
      <c r="Z275" s="6">
        <v>106</v>
      </c>
      <c r="AA275" s="14">
        <v>256</v>
      </c>
      <c r="AB275" s="6">
        <v>285</v>
      </c>
      <c r="AC275" s="6">
        <v>331.7</v>
      </c>
      <c r="AD275" s="6">
        <v>85.3</v>
      </c>
      <c r="AE275" s="6">
        <v>306</v>
      </c>
      <c r="AF275" s="6">
        <v>300</v>
      </c>
      <c r="AG275" s="6">
        <v>379.8</v>
      </c>
      <c r="AH275" s="6">
        <v>197</v>
      </c>
      <c r="AI275" s="6">
        <v>489</v>
      </c>
      <c r="AJ275" s="6">
        <v>130.1</v>
      </c>
      <c r="AK275" s="6">
        <v>367</v>
      </c>
      <c r="AL275" s="6">
        <v>292</v>
      </c>
    </row>
    <row r="276" spans="2:38">
      <c r="B276" s="14">
        <v>2002</v>
      </c>
      <c r="C276" s="14" t="s">
        <v>141</v>
      </c>
      <c r="D276" s="371" t="s">
        <v>142</v>
      </c>
      <c r="E276" s="6">
        <v>163</v>
      </c>
      <c r="F276" s="6">
        <v>434.5</v>
      </c>
      <c r="G276" s="6">
        <v>220</v>
      </c>
      <c r="H276" s="6">
        <v>331</v>
      </c>
      <c r="I276" s="6">
        <v>134</v>
      </c>
      <c r="J276" s="6">
        <v>108</v>
      </c>
      <c r="K276" s="6">
        <v>149</v>
      </c>
      <c r="L276" s="6">
        <v>226</v>
      </c>
      <c r="M276" s="6">
        <v>154</v>
      </c>
      <c r="N276" s="6">
        <v>103</v>
      </c>
      <c r="O276" s="6">
        <v>56.5</v>
      </c>
      <c r="P276" s="6">
        <v>215</v>
      </c>
      <c r="Q276" s="6">
        <v>102</v>
      </c>
      <c r="R276" s="6">
        <v>177.7</v>
      </c>
      <c r="S276" s="6">
        <v>221</v>
      </c>
      <c r="T276" s="6">
        <v>120.7</v>
      </c>
      <c r="U276" s="6">
        <v>159</v>
      </c>
      <c r="V276" s="6">
        <v>208</v>
      </c>
      <c r="W276" s="6">
        <v>252.4</v>
      </c>
      <c r="X276" s="6">
        <v>121</v>
      </c>
      <c r="Y276" s="6">
        <v>124.1</v>
      </c>
      <c r="Z276" s="6">
        <v>72</v>
      </c>
      <c r="AA276" s="14">
        <v>454</v>
      </c>
      <c r="AB276" s="6">
        <v>261</v>
      </c>
      <c r="AC276" s="6">
        <v>271.89999999999998</v>
      </c>
      <c r="AD276" s="6">
        <v>98.2</v>
      </c>
      <c r="AE276" s="6">
        <v>319.2</v>
      </c>
      <c r="AF276" s="6">
        <v>257</v>
      </c>
      <c r="AG276" s="6">
        <v>399.8</v>
      </c>
      <c r="AH276" s="6">
        <v>272</v>
      </c>
      <c r="AI276" s="6">
        <v>254</v>
      </c>
      <c r="AJ276" s="6">
        <v>107.2</v>
      </c>
      <c r="AK276" s="6">
        <v>232</v>
      </c>
      <c r="AL276" s="6">
        <v>245</v>
      </c>
    </row>
    <row r="277" spans="2:38">
      <c r="B277" s="14">
        <v>2002</v>
      </c>
      <c r="C277" s="14" t="s">
        <v>143</v>
      </c>
      <c r="D277" s="371" t="s">
        <v>142</v>
      </c>
      <c r="E277" s="6">
        <v>150</v>
      </c>
      <c r="F277" s="6">
        <v>288.3</v>
      </c>
      <c r="G277" s="6">
        <v>156</v>
      </c>
      <c r="H277" s="6">
        <v>299</v>
      </c>
      <c r="I277" s="6">
        <v>241</v>
      </c>
      <c r="J277" s="6">
        <v>210</v>
      </c>
      <c r="K277" s="6">
        <v>182</v>
      </c>
      <c r="L277" s="6">
        <v>238</v>
      </c>
      <c r="M277" s="6">
        <v>234</v>
      </c>
      <c r="N277" s="6">
        <v>139</v>
      </c>
      <c r="O277" s="6">
        <v>74</v>
      </c>
      <c r="P277" s="6">
        <v>240</v>
      </c>
      <c r="Q277" s="6">
        <v>208</v>
      </c>
      <c r="R277" s="6">
        <v>215.7</v>
      </c>
      <c r="S277" s="6">
        <v>260.7</v>
      </c>
      <c r="T277" s="6">
        <v>170.5</v>
      </c>
      <c r="U277" s="6">
        <v>165</v>
      </c>
      <c r="V277" s="6">
        <v>239</v>
      </c>
      <c r="W277" s="6">
        <v>171.4</v>
      </c>
      <c r="X277" s="6">
        <v>252</v>
      </c>
      <c r="Y277" s="6">
        <v>87.5</v>
      </c>
      <c r="Z277" s="6">
        <v>150</v>
      </c>
      <c r="AA277" s="14">
        <v>166</v>
      </c>
      <c r="AB277" s="6">
        <v>251</v>
      </c>
      <c r="AC277" s="6">
        <v>275.60000000000002</v>
      </c>
      <c r="AD277" s="6">
        <v>162.6</v>
      </c>
      <c r="AE277" s="6">
        <v>300.24</v>
      </c>
      <c r="AF277" s="6">
        <v>281</v>
      </c>
      <c r="AG277" s="6">
        <v>232.7</v>
      </c>
      <c r="AH277" s="6">
        <v>293</v>
      </c>
      <c r="AI277" s="6">
        <v>331</v>
      </c>
      <c r="AJ277" s="6">
        <v>289.10000000000002</v>
      </c>
      <c r="AK277" s="6">
        <v>369</v>
      </c>
      <c r="AL277" s="6">
        <v>264</v>
      </c>
    </row>
    <row r="278" spans="2:38">
      <c r="B278" s="14">
        <v>2003</v>
      </c>
      <c r="C278" s="14" t="s">
        <v>131</v>
      </c>
      <c r="D278" s="371" t="s">
        <v>142</v>
      </c>
      <c r="E278" s="6">
        <v>86</v>
      </c>
      <c r="F278" s="6">
        <v>118.3</v>
      </c>
      <c r="G278" s="6">
        <v>15</v>
      </c>
      <c r="H278" s="6">
        <v>148</v>
      </c>
      <c r="I278" s="6">
        <v>56</v>
      </c>
      <c r="J278" s="6">
        <v>11</v>
      </c>
      <c r="K278" s="6">
        <v>35</v>
      </c>
      <c r="L278" s="6">
        <v>41</v>
      </c>
      <c r="M278" s="6">
        <v>44</v>
      </c>
      <c r="N278" s="6">
        <v>22</v>
      </c>
      <c r="O278" s="6">
        <v>19</v>
      </c>
      <c r="P278" s="6">
        <v>47</v>
      </c>
      <c r="Q278" s="6">
        <v>80</v>
      </c>
      <c r="R278" s="6">
        <v>60.2</v>
      </c>
      <c r="S278" s="6">
        <v>53.3</v>
      </c>
      <c r="T278" s="6">
        <v>23.7</v>
      </c>
      <c r="U278" s="6">
        <v>11</v>
      </c>
      <c r="V278" s="6">
        <v>93</v>
      </c>
      <c r="W278" s="6">
        <v>52.3</v>
      </c>
      <c r="X278" s="6">
        <v>66</v>
      </c>
      <c r="Y278" s="6">
        <v>80</v>
      </c>
      <c r="Z278" s="6">
        <v>58</v>
      </c>
      <c r="AA278" s="14">
        <v>68</v>
      </c>
      <c r="AB278" s="6">
        <v>25</v>
      </c>
      <c r="AC278" s="6">
        <v>57.1</v>
      </c>
      <c r="AD278" s="6">
        <v>55.4</v>
      </c>
      <c r="AE278" s="6">
        <v>57.2</v>
      </c>
      <c r="AF278" s="6">
        <v>110</v>
      </c>
      <c r="AG278" s="6">
        <v>93</v>
      </c>
      <c r="AH278" s="6">
        <v>71</v>
      </c>
      <c r="AI278" s="6">
        <v>94</v>
      </c>
      <c r="AJ278" s="6">
        <v>79.099999999999994</v>
      </c>
      <c r="AK278" s="6">
        <v>76</v>
      </c>
      <c r="AL278" s="6">
        <v>88</v>
      </c>
    </row>
    <row r="279" spans="2:38">
      <c r="B279" s="14">
        <v>2003</v>
      </c>
      <c r="C279" s="14" t="s">
        <v>132</v>
      </c>
      <c r="D279" s="371" t="s">
        <v>142</v>
      </c>
      <c r="E279" s="6">
        <v>283</v>
      </c>
      <c r="F279" s="6">
        <v>217.7</v>
      </c>
      <c r="G279" s="6">
        <v>190</v>
      </c>
      <c r="H279" s="6">
        <v>306</v>
      </c>
      <c r="I279" s="6">
        <v>211</v>
      </c>
      <c r="J279" s="6">
        <v>278</v>
      </c>
      <c r="K279" s="6">
        <v>163</v>
      </c>
      <c r="L279" s="6">
        <v>200</v>
      </c>
      <c r="M279" s="6">
        <v>362</v>
      </c>
      <c r="N279" s="6">
        <v>305.5</v>
      </c>
      <c r="O279" s="6">
        <v>182</v>
      </c>
      <c r="P279" s="6">
        <v>331</v>
      </c>
      <c r="Q279" s="6">
        <v>353</v>
      </c>
      <c r="R279" s="6">
        <v>296.10000000000002</v>
      </c>
      <c r="S279" s="6">
        <v>219.6</v>
      </c>
      <c r="T279" s="6">
        <v>257.10000000000002</v>
      </c>
      <c r="U279" s="6">
        <v>255</v>
      </c>
      <c r="V279" s="6">
        <v>259</v>
      </c>
      <c r="W279" s="6">
        <v>108.7</v>
      </c>
      <c r="X279" s="6">
        <v>225</v>
      </c>
      <c r="Y279" s="6">
        <v>118.2</v>
      </c>
      <c r="Z279" s="6">
        <v>250</v>
      </c>
      <c r="AA279" s="14">
        <v>93</v>
      </c>
      <c r="AB279" s="6">
        <v>194</v>
      </c>
      <c r="AC279" s="6">
        <v>267.2</v>
      </c>
      <c r="AD279" s="6">
        <v>167.2</v>
      </c>
      <c r="AE279" s="6">
        <v>322</v>
      </c>
      <c r="AF279" s="6">
        <v>256</v>
      </c>
      <c r="AG279" s="6">
        <v>350.1</v>
      </c>
      <c r="AH279" s="6">
        <v>203</v>
      </c>
      <c r="AI279" s="6">
        <v>132</v>
      </c>
      <c r="AJ279" s="6">
        <v>274</v>
      </c>
      <c r="AK279" s="6">
        <v>263.7</v>
      </c>
      <c r="AL279" s="6">
        <v>292</v>
      </c>
    </row>
    <row r="280" spans="2:38">
      <c r="B280" s="14">
        <v>2003</v>
      </c>
      <c r="C280" s="14" t="s">
        <v>133</v>
      </c>
      <c r="D280" s="371" t="s">
        <v>142</v>
      </c>
      <c r="E280" s="6">
        <v>36</v>
      </c>
      <c r="F280" s="6">
        <v>195.4</v>
      </c>
      <c r="G280" s="6">
        <v>58</v>
      </c>
      <c r="H280" s="6">
        <v>313</v>
      </c>
      <c r="I280" s="6">
        <v>56</v>
      </c>
      <c r="J280" s="6">
        <v>60</v>
      </c>
      <c r="K280" s="6">
        <v>102</v>
      </c>
      <c r="L280" s="6">
        <v>121</v>
      </c>
      <c r="M280" s="6">
        <v>93</v>
      </c>
      <c r="N280" s="6">
        <v>234</v>
      </c>
      <c r="O280" s="6">
        <v>50</v>
      </c>
      <c r="P280" s="6">
        <v>73</v>
      </c>
      <c r="Q280" s="6">
        <v>132</v>
      </c>
      <c r="R280" s="6">
        <v>98.3</v>
      </c>
      <c r="S280" s="6">
        <v>91.1</v>
      </c>
      <c r="T280" s="6">
        <v>113.5</v>
      </c>
      <c r="U280" s="6">
        <v>54</v>
      </c>
      <c r="V280" s="6">
        <v>109</v>
      </c>
      <c r="W280" s="6">
        <v>147.6</v>
      </c>
      <c r="X280" s="6">
        <v>147</v>
      </c>
      <c r="Y280" s="6">
        <v>20.8</v>
      </c>
      <c r="Z280" s="6">
        <v>90</v>
      </c>
      <c r="AA280" s="14">
        <v>139</v>
      </c>
      <c r="AB280" s="6">
        <v>77</v>
      </c>
      <c r="AC280" s="6">
        <v>137.9</v>
      </c>
      <c r="AD280" s="6">
        <v>57.4</v>
      </c>
      <c r="AE280" s="6">
        <v>166.2</v>
      </c>
      <c r="AF280" s="6">
        <v>184</v>
      </c>
      <c r="AG280" s="6">
        <v>187.9</v>
      </c>
      <c r="AH280" s="6">
        <v>303</v>
      </c>
      <c r="AI280" s="6">
        <v>14.5</v>
      </c>
      <c r="AJ280" s="6">
        <v>70.599999999999994</v>
      </c>
      <c r="AK280" s="6">
        <v>120</v>
      </c>
      <c r="AL280" s="6">
        <v>134</v>
      </c>
    </row>
    <row r="281" spans="2:38">
      <c r="B281" s="14">
        <v>2003</v>
      </c>
      <c r="C281" s="14" t="s">
        <v>134</v>
      </c>
      <c r="D281" s="371" t="s">
        <v>142</v>
      </c>
      <c r="E281" s="6">
        <v>101</v>
      </c>
      <c r="F281" s="6">
        <v>170.5</v>
      </c>
      <c r="G281" s="6">
        <v>56</v>
      </c>
      <c r="H281" s="6">
        <v>215</v>
      </c>
      <c r="I281" s="6">
        <v>38</v>
      </c>
      <c r="J281" s="6">
        <v>98</v>
      </c>
      <c r="K281" s="6">
        <v>63</v>
      </c>
      <c r="L281" s="6">
        <v>228</v>
      </c>
      <c r="M281" s="6">
        <v>166</v>
      </c>
      <c r="N281" s="6">
        <v>62</v>
      </c>
      <c r="O281" s="6">
        <v>37</v>
      </c>
      <c r="P281" s="6">
        <v>138</v>
      </c>
      <c r="Q281" s="6">
        <v>122</v>
      </c>
      <c r="R281" s="6">
        <v>44.7</v>
      </c>
      <c r="S281" s="6">
        <v>188</v>
      </c>
      <c r="T281" s="6">
        <v>140.4</v>
      </c>
      <c r="U281" s="6">
        <v>125</v>
      </c>
      <c r="V281" s="6">
        <v>238</v>
      </c>
      <c r="W281" s="6">
        <v>234.3</v>
      </c>
      <c r="X281" s="6">
        <v>46</v>
      </c>
      <c r="Y281" s="6">
        <v>69.2</v>
      </c>
      <c r="Z281" s="6">
        <v>58</v>
      </c>
      <c r="AA281" s="14">
        <v>245</v>
      </c>
      <c r="AB281" s="6">
        <v>176</v>
      </c>
      <c r="AC281" s="6">
        <v>290.7</v>
      </c>
      <c r="AD281" s="6">
        <v>46.8</v>
      </c>
      <c r="AE281" s="6">
        <v>308</v>
      </c>
      <c r="AF281" s="6">
        <v>323</v>
      </c>
      <c r="AG281" s="6">
        <v>268.89999999999998</v>
      </c>
      <c r="AH281" s="6">
        <v>231</v>
      </c>
      <c r="AI281" s="6">
        <v>196</v>
      </c>
      <c r="AJ281" s="6">
        <v>73.2</v>
      </c>
      <c r="AK281" s="6">
        <v>300</v>
      </c>
      <c r="AL281" s="6">
        <v>184</v>
      </c>
    </row>
    <row r="282" spans="2:38">
      <c r="B282" s="14">
        <v>2003</v>
      </c>
      <c r="C282" s="14" t="s">
        <v>135</v>
      </c>
      <c r="D282" s="371" t="s">
        <v>142</v>
      </c>
      <c r="E282" s="6">
        <v>157</v>
      </c>
      <c r="F282" s="6">
        <v>180.9</v>
      </c>
      <c r="G282" s="6">
        <v>194</v>
      </c>
      <c r="H282" s="6">
        <v>202</v>
      </c>
      <c r="I282" s="6">
        <v>156</v>
      </c>
      <c r="J282" s="6">
        <v>271</v>
      </c>
      <c r="K282" s="6">
        <v>84</v>
      </c>
      <c r="L282" s="6">
        <v>328</v>
      </c>
      <c r="M282" s="6">
        <v>287</v>
      </c>
      <c r="N282" s="6">
        <v>128.5</v>
      </c>
      <c r="O282" s="6">
        <v>245</v>
      </c>
      <c r="P282" s="6">
        <v>231</v>
      </c>
      <c r="Q282" s="6">
        <v>379</v>
      </c>
      <c r="R282" s="6">
        <v>58.8</v>
      </c>
      <c r="S282" s="6">
        <v>151.80000000000001</v>
      </c>
      <c r="T282" s="6">
        <v>124.4</v>
      </c>
      <c r="U282" s="6">
        <v>260</v>
      </c>
      <c r="V282" s="6">
        <v>130.5</v>
      </c>
      <c r="W282" s="6">
        <v>230.4</v>
      </c>
      <c r="X282" s="6">
        <v>134</v>
      </c>
      <c r="Y282" s="6">
        <v>91.4</v>
      </c>
      <c r="Z282" s="6">
        <v>232</v>
      </c>
      <c r="AA282" s="14">
        <v>182</v>
      </c>
      <c r="AB282" s="6">
        <v>233</v>
      </c>
      <c r="AC282" s="6">
        <v>200.1</v>
      </c>
      <c r="AD282" s="6">
        <v>164</v>
      </c>
      <c r="AE282" s="6">
        <v>174.9</v>
      </c>
      <c r="AF282" s="6">
        <v>181</v>
      </c>
      <c r="AG282" s="6">
        <v>166.8</v>
      </c>
      <c r="AH282" s="6">
        <v>127</v>
      </c>
      <c r="AI282" s="6">
        <v>170</v>
      </c>
      <c r="AJ282" s="6">
        <v>371.8</v>
      </c>
      <c r="AK282" s="6">
        <v>224</v>
      </c>
      <c r="AL282" s="6">
        <v>118</v>
      </c>
    </row>
    <row r="283" spans="2:38">
      <c r="B283" s="14">
        <v>2003</v>
      </c>
      <c r="C283" s="14" t="s">
        <v>136</v>
      </c>
      <c r="D283" s="371" t="s">
        <v>142</v>
      </c>
      <c r="E283" s="6">
        <v>84</v>
      </c>
      <c r="F283" s="6">
        <v>93.7</v>
      </c>
      <c r="G283" s="6">
        <v>173</v>
      </c>
      <c r="H283" s="6">
        <v>122</v>
      </c>
      <c r="I283" s="6">
        <v>226</v>
      </c>
      <c r="J283" s="6">
        <v>141</v>
      </c>
      <c r="K283" s="6">
        <v>29</v>
      </c>
      <c r="L283" s="6">
        <v>65</v>
      </c>
      <c r="M283" s="6">
        <v>87</v>
      </c>
      <c r="N283" s="6">
        <v>124</v>
      </c>
      <c r="O283" s="6">
        <v>150</v>
      </c>
      <c r="P283" s="6">
        <v>127</v>
      </c>
      <c r="Q283" s="6">
        <v>221</v>
      </c>
      <c r="R283" s="6">
        <v>63.7</v>
      </c>
      <c r="S283" s="6">
        <v>91.8</v>
      </c>
      <c r="T283" s="6">
        <v>53.3</v>
      </c>
      <c r="U283" s="6">
        <v>109</v>
      </c>
      <c r="V283" s="6">
        <v>41</v>
      </c>
      <c r="W283" s="6">
        <v>34.9</v>
      </c>
      <c r="X283" s="6">
        <v>169</v>
      </c>
      <c r="Y283" s="6">
        <v>123.9</v>
      </c>
      <c r="Z283" s="6">
        <v>75</v>
      </c>
      <c r="AA283" s="14">
        <v>20</v>
      </c>
      <c r="AB283" s="6">
        <v>26</v>
      </c>
      <c r="AC283" s="6">
        <v>117.7</v>
      </c>
      <c r="AD283" s="6">
        <v>158.9</v>
      </c>
      <c r="AE283" s="6">
        <v>84.5</v>
      </c>
      <c r="AF283" s="6">
        <v>82</v>
      </c>
      <c r="AG283" s="6">
        <v>42.3</v>
      </c>
      <c r="AH283" s="6">
        <v>77</v>
      </c>
      <c r="AI283" s="6">
        <v>83</v>
      </c>
      <c r="AJ283" s="6">
        <v>148.19999999999999</v>
      </c>
      <c r="AK283" s="6">
        <v>63</v>
      </c>
      <c r="AL283" s="6">
        <v>110</v>
      </c>
    </row>
    <row r="284" spans="2:38">
      <c r="B284" s="14">
        <v>2003</v>
      </c>
      <c r="C284" s="14" t="s">
        <v>137</v>
      </c>
      <c r="D284" s="371" t="s">
        <v>142</v>
      </c>
      <c r="E284" s="6">
        <v>28</v>
      </c>
      <c r="F284" s="6">
        <v>38</v>
      </c>
      <c r="G284" s="6">
        <v>44</v>
      </c>
      <c r="H284" s="6">
        <v>52</v>
      </c>
      <c r="I284" s="6">
        <v>47</v>
      </c>
      <c r="J284" s="6">
        <v>31</v>
      </c>
      <c r="K284" s="6">
        <v>43</v>
      </c>
      <c r="L284" s="6">
        <v>32</v>
      </c>
      <c r="M284" s="6">
        <v>28</v>
      </c>
      <c r="N284" s="6">
        <v>33.5</v>
      </c>
      <c r="O284" s="6">
        <v>37</v>
      </c>
      <c r="P284" s="6">
        <v>16</v>
      </c>
      <c r="Q284" s="6">
        <v>67</v>
      </c>
      <c r="R284" s="6">
        <v>58.5</v>
      </c>
      <c r="S284" s="6">
        <v>21.8</v>
      </c>
      <c r="T284" s="6">
        <v>49.6</v>
      </c>
      <c r="U284" s="6">
        <v>39</v>
      </c>
      <c r="V284" s="6">
        <v>9</v>
      </c>
      <c r="W284" s="6">
        <v>27.8</v>
      </c>
      <c r="X284" s="6">
        <v>66</v>
      </c>
      <c r="Y284" s="6">
        <v>71.900000000000006</v>
      </c>
      <c r="Z284" s="6">
        <v>42</v>
      </c>
      <c r="AA284" s="14">
        <v>15</v>
      </c>
      <c r="AB284" s="6">
        <v>25</v>
      </c>
      <c r="AC284" s="6">
        <v>43.3</v>
      </c>
      <c r="AD284" s="6">
        <v>54.9</v>
      </c>
      <c r="AE284" s="6">
        <v>12.7</v>
      </c>
      <c r="AF284" s="6">
        <v>24</v>
      </c>
      <c r="AG284" s="6">
        <v>15.2</v>
      </c>
      <c r="AH284" s="6">
        <v>21</v>
      </c>
      <c r="AI284" s="6">
        <v>25</v>
      </c>
      <c r="AJ284" s="6">
        <v>37</v>
      </c>
      <c r="AK284" s="6">
        <v>48</v>
      </c>
      <c r="AL284" s="6">
        <v>29</v>
      </c>
    </row>
    <row r="285" spans="2:38">
      <c r="B285" s="14">
        <v>2003</v>
      </c>
      <c r="C285" s="14" t="s">
        <v>138</v>
      </c>
      <c r="D285" s="371" t="s">
        <v>142</v>
      </c>
      <c r="E285" s="6">
        <v>130</v>
      </c>
      <c r="F285" s="6">
        <v>140.4</v>
      </c>
      <c r="G285" s="6">
        <v>107</v>
      </c>
      <c r="H285" s="6">
        <v>114</v>
      </c>
      <c r="I285" s="6">
        <v>82</v>
      </c>
      <c r="J285" s="6">
        <v>112</v>
      </c>
      <c r="K285" s="6">
        <v>108</v>
      </c>
      <c r="L285" s="6">
        <v>143</v>
      </c>
      <c r="M285" s="6">
        <v>147</v>
      </c>
      <c r="N285" s="6">
        <v>139</v>
      </c>
      <c r="O285" s="6">
        <v>110</v>
      </c>
      <c r="P285" s="6">
        <v>144</v>
      </c>
      <c r="Q285" s="6">
        <v>150.4</v>
      </c>
      <c r="R285" s="6">
        <v>36.799999999999997</v>
      </c>
      <c r="S285" s="6">
        <v>129.69999999999999</v>
      </c>
      <c r="T285" s="6">
        <v>165.5</v>
      </c>
      <c r="U285" s="6">
        <v>148.5</v>
      </c>
      <c r="V285" s="6">
        <v>107</v>
      </c>
      <c r="W285" s="6">
        <v>184.6</v>
      </c>
      <c r="X285" s="6">
        <v>157</v>
      </c>
      <c r="Y285" s="6">
        <v>60.8</v>
      </c>
      <c r="Z285" s="6">
        <v>109</v>
      </c>
      <c r="AA285" s="14">
        <v>90</v>
      </c>
      <c r="AB285" s="6">
        <v>10</v>
      </c>
      <c r="AC285" s="6">
        <v>130.6</v>
      </c>
      <c r="AD285" s="6">
        <v>82.3</v>
      </c>
      <c r="AE285" s="6">
        <v>86.5</v>
      </c>
      <c r="AF285" s="6">
        <v>119</v>
      </c>
      <c r="AG285" s="6">
        <v>107.3</v>
      </c>
      <c r="AH285" s="6">
        <v>112</v>
      </c>
      <c r="AI285" s="6">
        <v>135.5</v>
      </c>
      <c r="AJ285" s="6">
        <v>109.4</v>
      </c>
      <c r="AK285" s="6">
        <v>79</v>
      </c>
      <c r="AL285" s="6">
        <v>128</v>
      </c>
    </row>
    <row r="286" spans="2:38">
      <c r="B286" s="14">
        <v>2003</v>
      </c>
      <c r="C286" s="14" t="s">
        <v>139</v>
      </c>
      <c r="D286" s="371" t="s">
        <v>142</v>
      </c>
      <c r="E286" s="6">
        <v>165</v>
      </c>
      <c r="F286" s="6">
        <v>71.5</v>
      </c>
      <c r="G286" s="6">
        <v>242</v>
      </c>
      <c r="H286" s="6">
        <v>95</v>
      </c>
      <c r="I286" s="6">
        <v>221</v>
      </c>
      <c r="J286" s="6">
        <v>222</v>
      </c>
      <c r="K286" s="6">
        <v>164</v>
      </c>
      <c r="L286" s="6">
        <v>103</v>
      </c>
      <c r="M286" s="6">
        <v>160</v>
      </c>
      <c r="N286" s="6">
        <v>148.5</v>
      </c>
      <c r="O286" s="6">
        <v>113</v>
      </c>
      <c r="P286" s="6">
        <v>110</v>
      </c>
      <c r="Q286" s="6">
        <v>323</v>
      </c>
      <c r="R286" s="6">
        <v>172.2</v>
      </c>
      <c r="S286" s="6">
        <v>126.9</v>
      </c>
      <c r="T286" s="6">
        <v>147.6</v>
      </c>
      <c r="U286" s="6">
        <v>160</v>
      </c>
      <c r="V286" s="6">
        <v>91</v>
      </c>
      <c r="W286" s="6">
        <v>67.5</v>
      </c>
      <c r="X286" s="6">
        <v>147</v>
      </c>
      <c r="Y286" s="6">
        <v>180.8</v>
      </c>
      <c r="Z286" s="6">
        <v>216</v>
      </c>
      <c r="AA286" s="14">
        <v>62</v>
      </c>
      <c r="AB286" s="6">
        <v>34</v>
      </c>
      <c r="AC286" s="6">
        <v>90.4</v>
      </c>
      <c r="AD286" s="6">
        <v>156.6</v>
      </c>
      <c r="AE286" s="6">
        <v>71.900000000000006</v>
      </c>
      <c r="AF286" s="6">
        <v>71</v>
      </c>
      <c r="AG286" s="6">
        <v>90.5</v>
      </c>
      <c r="AH286" s="6">
        <v>88</v>
      </c>
      <c r="AI286" s="6">
        <v>88</v>
      </c>
      <c r="AJ286" s="6">
        <v>225.2</v>
      </c>
      <c r="AK286" s="6">
        <v>39.799999999999997</v>
      </c>
      <c r="AL286" s="6">
        <v>83</v>
      </c>
    </row>
    <row r="287" spans="2:38">
      <c r="B287" s="14">
        <v>2003</v>
      </c>
      <c r="C287" s="14" t="s">
        <v>140</v>
      </c>
      <c r="D287" s="371" t="s">
        <v>142</v>
      </c>
      <c r="E287" s="6">
        <v>57</v>
      </c>
      <c r="F287" s="6">
        <v>146.1</v>
      </c>
      <c r="G287" s="6">
        <v>78</v>
      </c>
      <c r="H287" s="6">
        <v>162</v>
      </c>
      <c r="I287" s="6">
        <v>84</v>
      </c>
      <c r="J287" s="6">
        <v>102</v>
      </c>
      <c r="K287" s="6">
        <v>40</v>
      </c>
      <c r="L287" s="6">
        <v>39</v>
      </c>
      <c r="M287" s="6">
        <v>72</v>
      </c>
      <c r="N287" s="6">
        <v>77.5</v>
      </c>
      <c r="O287" s="6">
        <v>35</v>
      </c>
      <c r="P287" s="6">
        <v>47</v>
      </c>
      <c r="Q287" s="6">
        <v>74</v>
      </c>
      <c r="R287" s="6">
        <v>51.2</v>
      </c>
      <c r="S287" s="6">
        <v>60.8</v>
      </c>
      <c r="T287" s="6">
        <v>72</v>
      </c>
      <c r="U287" s="6">
        <v>88</v>
      </c>
      <c r="V287" s="6">
        <v>91</v>
      </c>
      <c r="W287" s="6">
        <v>48.1</v>
      </c>
      <c r="X287" s="6">
        <v>52</v>
      </c>
      <c r="Y287" s="6">
        <v>65.400000000000006</v>
      </c>
      <c r="Z287" s="6">
        <v>95</v>
      </c>
      <c r="AA287" s="14">
        <v>36</v>
      </c>
      <c r="AB287" s="6">
        <v>12</v>
      </c>
      <c r="AC287" s="6">
        <v>94.2</v>
      </c>
      <c r="AD287" s="6">
        <v>61.5</v>
      </c>
      <c r="AE287" s="6">
        <v>87.2</v>
      </c>
      <c r="AF287" s="6">
        <v>172</v>
      </c>
      <c r="AG287" s="6">
        <v>92</v>
      </c>
      <c r="AH287" s="6">
        <v>208</v>
      </c>
      <c r="AI287" s="6">
        <v>170</v>
      </c>
      <c r="AJ287" s="6">
        <v>73.400000000000006</v>
      </c>
      <c r="AK287" s="6">
        <v>82</v>
      </c>
      <c r="AL287" s="6">
        <v>98</v>
      </c>
    </row>
    <row r="288" spans="2:38">
      <c r="B288" s="14">
        <v>2003</v>
      </c>
      <c r="C288" s="14" t="s">
        <v>141</v>
      </c>
      <c r="D288" s="371" t="s">
        <v>142</v>
      </c>
      <c r="E288" s="6">
        <v>40</v>
      </c>
      <c r="F288" s="6">
        <v>156.6</v>
      </c>
      <c r="G288" s="6">
        <v>196</v>
      </c>
      <c r="H288" s="6">
        <v>156</v>
      </c>
      <c r="I288" s="6">
        <v>201</v>
      </c>
      <c r="J288" s="6">
        <v>188</v>
      </c>
      <c r="K288" s="6">
        <v>167</v>
      </c>
      <c r="L288" s="6">
        <v>237.5</v>
      </c>
      <c r="M288" s="6">
        <v>197</v>
      </c>
      <c r="N288" s="6">
        <v>201</v>
      </c>
      <c r="O288" s="6">
        <v>168</v>
      </c>
      <c r="P288" s="6">
        <v>194</v>
      </c>
      <c r="Q288" s="6">
        <v>213</v>
      </c>
      <c r="R288" s="6">
        <v>172.5</v>
      </c>
      <c r="S288" s="6">
        <v>130.69999999999999</v>
      </c>
      <c r="T288" s="6">
        <v>146.1</v>
      </c>
      <c r="U288" s="6">
        <v>166</v>
      </c>
      <c r="V288" s="6">
        <v>150</v>
      </c>
      <c r="W288" s="6">
        <v>145.6</v>
      </c>
      <c r="X288" s="371" t="s">
        <v>142</v>
      </c>
      <c r="Y288" s="6">
        <v>169.5</v>
      </c>
      <c r="Z288" s="6">
        <v>172</v>
      </c>
      <c r="AA288" s="14">
        <v>139</v>
      </c>
      <c r="AB288" s="6">
        <v>114</v>
      </c>
      <c r="AC288" s="6">
        <v>165</v>
      </c>
      <c r="AD288" s="6">
        <v>157.1</v>
      </c>
      <c r="AE288" s="6">
        <v>264.5</v>
      </c>
      <c r="AF288" s="6">
        <v>171</v>
      </c>
      <c r="AG288" s="6">
        <v>154.9</v>
      </c>
      <c r="AH288" s="6">
        <v>149</v>
      </c>
      <c r="AI288" s="6">
        <v>235.5</v>
      </c>
      <c r="AJ288" s="6">
        <v>132.6</v>
      </c>
      <c r="AK288" s="6">
        <v>104</v>
      </c>
      <c r="AL288" s="6">
        <v>149</v>
      </c>
    </row>
    <row r="289" spans="2:38">
      <c r="B289" s="14">
        <v>2003</v>
      </c>
      <c r="C289" s="14" t="s">
        <v>143</v>
      </c>
      <c r="D289" s="371" t="s">
        <v>142</v>
      </c>
      <c r="E289" s="6">
        <v>75</v>
      </c>
      <c r="F289" s="6">
        <v>173.9</v>
      </c>
      <c r="G289" s="6">
        <v>120</v>
      </c>
      <c r="H289" s="6">
        <v>230</v>
      </c>
      <c r="I289" s="6">
        <v>82</v>
      </c>
      <c r="J289" s="6">
        <v>84</v>
      </c>
      <c r="K289" s="6">
        <v>62</v>
      </c>
      <c r="L289" s="6">
        <v>70</v>
      </c>
      <c r="M289" s="6">
        <v>56</v>
      </c>
      <c r="N289" s="6">
        <v>46</v>
      </c>
      <c r="O289" s="6">
        <v>70</v>
      </c>
      <c r="P289" s="6">
        <v>91</v>
      </c>
      <c r="Q289" s="6">
        <v>113</v>
      </c>
      <c r="R289" s="6">
        <v>97.9</v>
      </c>
      <c r="S289" s="6">
        <v>118.9</v>
      </c>
      <c r="T289" s="6">
        <v>77.400000000000006</v>
      </c>
      <c r="U289" s="6">
        <v>95.5</v>
      </c>
      <c r="V289" s="6">
        <v>139</v>
      </c>
      <c r="W289" s="6">
        <v>95.5</v>
      </c>
      <c r="X289" s="6">
        <v>60</v>
      </c>
      <c r="Y289" s="6">
        <v>135</v>
      </c>
      <c r="Z289" s="6">
        <v>61</v>
      </c>
      <c r="AA289" s="14">
        <v>124</v>
      </c>
      <c r="AB289" s="6">
        <v>73</v>
      </c>
      <c r="AC289" s="6">
        <v>226.7</v>
      </c>
      <c r="AD289" s="6">
        <v>124.4</v>
      </c>
      <c r="AE289" s="6">
        <v>95.8</v>
      </c>
      <c r="AF289" s="6">
        <v>146</v>
      </c>
      <c r="AG289" s="6">
        <v>101.6</v>
      </c>
      <c r="AH289" s="6">
        <v>164</v>
      </c>
      <c r="AI289" s="6">
        <v>120</v>
      </c>
      <c r="AJ289" s="6">
        <v>30.3</v>
      </c>
      <c r="AK289" s="6">
        <v>112.5</v>
      </c>
      <c r="AL289" s="6">
        <v>159</v>
      </c>
    </row>
    <row r="290" spans="2:38">
      <c r="B290" s="14">
        <v>2004</v>
      </c>
      <c r="C290" s="14" t="s">
        <v>131</v>
      </c>
      <c r="D290" s="371" t="s">
        <v>142</v>
      </c>
      <c r="E290" s="6">
        <v>138</v>
      </c>
      <c r="F290" s="6">
        <v>48.2</v>
      </c>
      <c r="G290" s="6">
        <v>56</v>
      </c>
      <c r="H290" s="6">
        <v>54</v>
      </c>
      <c r="I290" s="6">
        <v>76</v>
      </c>
      <c r="J290" s="6">
        <v>49</v>
      </c>
      <c r="K290" s="6">
        <v>171</v>
      </c>
      <c r="L290" s="6">
        <v>107.5</v>
      </c>
      <c r="M290" s="6">
        <v>136</v>
      </c>
      <c r="N290" s="6">
        <v>91</v>
      </c>
      <c r="O290" s="6">
        <v>109</v>
      </c>
      <c r="P290" s="6">
        <v>45</v>
      </c>
      <c r="Q290" s="6">
        <v>235</v>
      </c>
      <c r="R290" s="6">
        <v>226.1</v>
      </c>
      <c r="S290" s="6">
        <v>90.6</v>
      </c>
      <c r="T290" s="6">
        <v>92.4</v>
      </c>
      <c r="U290" s="6">
        <v>66</v>
      </c>
      <c r="V290" s="6">
        <v>50</v>
      </c>
      <c r="W290" s="6">
        <v>52.3</v>
      </c>
      <c r="X290" s="6">
        <v>66</v>
      </c>
      <c r="Y290" s="6">
        <v>67.7</v>
      </c>
      <c r="Z290" s="6">
        <v>18</v>
      </c>
      <c r="AA290" s="14">
        <v>69</v>
      </c>
      <c r="AB290" s="6">
        <v>25</v>
      </c>
      <c r="AC290" s="6">
        <v>18.600000000000001</v>
      </c>
      <c r="AD290" s="6">
        <v>209.5</v>
      </c>
      <c r="AE290" s="6">
        <v>37.299999999999997</v>
      </c>
      <c r="AF290" s="6">
        <v>36</v>
      </c>
      <c r="AG290" s="6">
        <v>95</v>
      </c>
      <c r="AH290" s="6">
        <v>50</v>
      </c>
      <c r="AI290" s="6">
        <v>34</v>
      </c>
      <c r="AJ290" s="6">
        <v>105.3</v>
      </c>
      <c r="AK290" s="6">
        <v>50</v>
      </c>
      <c r="AL290" s="6">
        <v>53</v>
      </c>
    </row>
    <row r="291" spans="2:38">
      <c r="B291" s="14">
        <v>2004</v>
      </c>
      <c r="C291" s="14" t="s">
        <v>132</v>
      </c>
      <c r="D291" s="371" t="s">
        <v>142</v>
      </c>
      <c r="E291" s="6">
        <v>26</v>
      </c>
      <c r="F291" s="6">
        <v>61.3</v>
      </c>
      <c r="G291" s="6">
        <v>44</v>
      </c>
      <c r="H291" s="6">
        <v>77</v>
      </c>
      <c r="I291" s="6">
        <v>40</v>
      </c>
      <c r="J291" s="6">
        <v>15</v>
      </c>
      <c r="K291" s="6">
        <v>57</v>
      </c>
      <c r="L291" s="6">
        <v>22</v>
      </c>
      <c r="M291" s="6">
        <v>8</v>
      </c>
      <c r="N291" s="6">
        <v>24</v>
      </c>
      <c r="O291" s="6">
        <v>79</v>
      </c>
      <c r="P291" s="6">
        <v>87</v>
      </c>
      <c r="Q291" s="6">
        <v>30</v>
      </c>
      <c r="R291" s="6">
        <v>26.8</v>
      </c>
      <c r="S291" s="6">
        <v>60</v>
      </c>
      <c r="T291" s="6">
        <v>13.1</v>
      </c>
      <c r="U291" s="6">
        <v>38</v>
      </c>
      <c r="V291" s="6">
        <v>37</v>
      </c>
      <c r="W291" s="6">
        <v>17.399999999999999</v>
      </c>
      <c r="X291" s="6">
        <v>43</v>
      </c>
      <c r="Y291" s="6">
        <v>86.7</v>
      </c>
      <c r="Z291" s="6">
        <v>82</v>
      </c>
      <c r="AA291" s="14">
        <v>40</v>
      </c>
      <c r="AB291" s="6">
        <v>73</v>
      </c>
      <c r="AC291" s="6">
        <v>84.8</v>
      </c>
      <c r="AD291" s="6">
        <v>72.3</v>
      </c>
      <c r="AE291" s="6">
        <v>90.5</v>
      </c>
      <c r="AF291" s="6">
        <v>64</v>
      </c>
      <c r="AG291" s="6">
        <v>37.200000000000003</v>
      </c>
      <c r="AH291" s="6">
        <v>45</v>
      </c>
      <c r="AI291" s="6">
        <v>90</v>
      </c>
      <c r="AJ291" s="6">
        <v>38.6</v>
      </c>
      <c r="AK291" s="6">
        <v>70</v>
      </c>
      <c r="AL291" s="6">
        <v>49</v>
      </c>
    </row>
    <row r="292" spans="2:38">
      <c r="B292" s="14">
        <v>2004</v>
      </c>
      <c r="C292" s="14" t="s">
        <v>133</v>
      </c>
      <c r="D292" s="371" t="s">
        <v>142</v>
      </c>
      <c r="E292" s="6">
        <v>14</v>
      </c>
      <c r="F292" s="6">
        <v>53.3</v>
      </c>
      <c r="G292" s="6">
        <v>27</v>
      </c>
      <c r="H292" s="6">
        <v>45</v>
      </c>
      <c r="I292" s="6">
        <v>11</v>
      </c>
      <c r="J292" s="6">
        <v>35</v>
      </c>
      <c r="K292" s="6">
        <v>25</v>
      </c>
      <c r="L292" s="6">
        <v>41</v>
      </c>
      <c r="M292" s="6">
        <v>8</v>
      </c>
      <c r="N292" s="6">
        <v>52</v>
      </c>
      <c r="O292" s="6">
        <v>65</v>
      </c>
      <c r="P292" s="6">
        <v>13</v>
      </c>
      <c r="Q292" s="6">
        <v>73</v>
      </c>
      <c r="R292" s="6">
        <v>28.9</v>
      </c>
      <c r="S292" s="6">
        <v>13.1</v>
      </c>
      <c r="T292" s="6">
        <v>33.1</v>
      </c>
      <c r="U292" s="6">
        <v>26.5</v>
      </c>
      <c r="V292" s="6">
        <v>34</v>
      </c>
      <c r="W292" s="6">
        <v>81.599999999999994</v>
      </c>
      <c r="X292" s="6">
        <v>28</v>
      </c>
      <c r="Y292" s="6">
        <v>15.4</v>
      </c>
      <c r="Z292" s="6">
        <v>63</v>
      </c>
      <c r="AA292" s="14">
        <v>71</v>
      </c>
      <c r="AB292" s="6">
        <v>44</v>
      </c>
      <c r="AC292" s="6">
        <v>67.7</v>
      </c>
      <c r="AD292" s="6">
        <v>28.4</v>
      </c>
      <c r="AE292" s="6">
        <v>74.3</v>
      </c>
      <c r="AF292" s="6">
        <v>39</v>
      </c>
      <c r="AG292" s="6">
        <v>33</v>
      </c>
      <c r="AH292" s="6">
        <v>39</v>
      </c>
      <c r="AI292" s="6">
        <v>32</v>
      </c>
      <c r="AJ292" s="6">
        <v>44.6</v>
      </c>
      <c r="AK292" s="6">
        <v>37</v>
      </c>
      <c r="AL292" s="6">
        <v>13</v>
      </c>
    </row>
    <row r="293" spans="2:38">
      <c r="B293" s="14">
        <v>2004</v>
      </c>
      <c r="C293" s="14" t="s">
        <v>134</v>
      </c>
      <c r="D293" s="371" t="s">
        <v>142</v>
      </c>
      <c r="E293" s="6">
        <v>133</v>
      </c>
      <c r="F293" s="6">
        <v>125</v>
      </c>
      <c r="G293" s="6">
        <v>210</v>
      </c>
      <c r="H293" s="6">
        <v>194</v>
      </c>
      <c r="I293" s="6">
        <v>205</v>
      </c>
      <c r="J293" s="6">
        <v>189</v>
      </c>
      <c r="K293" s="6">
        <v>218</v>
      </c>
      <c r="L293" s="6">
        <v>233</v>
      </c>
      <c r="M293" s="6">
        <v>222</v>
      </c>
      <c r="N293" s="6">
        <v>196.9</v>
      </c>
      <c r="O293" s="6">
        <v>111</v>
      </c>
      <c r="P293" s="6">
        <v>190</v>
      </c>
      <c r="Q293" s="6">
        <v>259</v>
      </c>
      <c r="R293" s="6">
        <v>262.39999999999998</v>
      </c>
      <c r="S293" s="6">
        <v>166.3</v>
      </c>
      <c r="T293" s="6">
        <v>243.7</v>
      </c>
      <c r="U293" s="6">
        <v>211</v>
      </c>
      <c r="V293" s="6">
        <v>193</v>
      </c>
      <c r="W293" s="6">
        <v>349.3</v>
      </c>
      <c r="X293" s="6">
        <v>211</v>
      </c>
      <c r="Y293" s="6">
        <v>244.5</v>
      </c>
      <c r="Z293" s="6">
        <v>199</v>
      </c>
      <c r="AA293" s="14">
        <v>307.5</v>
      </c>
      <c r="AB293" s="6">
        <v>168</v>
      </c>
      <c r="AC293" s="6">
        <v>178.2</v>
      </c>
      <c r="AD293" s="6">
        <v>205.7</v>
      </c>
      <c r="AE293" s="6">
        <v>253.9</v>
      </c>
      <c r="AF293" s="6">
        <v>150</v>
      </c>
      <c r="AG293" s="6">
        <v>134.19999999999999</v>
      </c>
      <c r="AH293" s="6">
        <v>187</v>
      </c>
      <c r="AI293" s="6">
        <v>223.5</v>
      </c>
      <c r="AJ293" s="6">
        <v>213.2</v>
      </c>
      <c r="AK293" s="6">
        <v>131</v>
      </c>
      <c r="AL293" s="6">
        <v>143</v>
      </c>
    </row>
    <row r="294" spans="2:38">
      <c r="B294" s="14">
        <v>2004</v>
      </c>
      <c r="C294" s="14" t="s">
        <v>135</v>
      </c>
      <c r="D294" s="371" t="s">
        <v>142</v>
      </c>
      <c r="E294" s="6">
        <v>151</v>
      </c>
      <c r="F294" s="6">
        <v>29.2</v>
      </c>
      <c r="G294" s="6">
        <v>136</v>
      </c>
      <c r="H294" s="6">
        <v>46</v>
      </c>
      <c r="I294" s="6">
        <v>74</v>
      </c>
      <c r="J294" s="6">
        <v>109.5</v>
      </c>
      <c r="K294" s="6">
        <v>57</v>
      </c>
      <c r="L294" s="6">
        <v>64</v>
      </c>
      <c r="M294" s="6">
        <v>89</v>
      </c>
      <c r="N294" s="6">
        <v>37</v>
      </c>
      <c r="O294" s="6">
        <v>178</v>
      </c>
      <c r="P294" s="6">
        <v>104</v>
      </c>
      <c r="Q294" s="6">
        <v>190</v>
      </c>
      <c r="R294" s="6">
        <v>61</v>
      </c>
      <c r="S294" s="6">
        <v>143.6</v>
      </c>
      <c r="T294" s="6">
        <v>32.1</v>
      </c>
      <c r="U294" s="6">
        <v>74.5</v>
      </c>
      <c r="V294" s="6">
        <v>91</v>
      </c>
      <c r="W294" s="6">
        <v>35.6</v>
      </c>
      <c r="X294" s="6">
        <v>45</v>
      </c>
      <c r="Y294" s="6">
        <v>38</v>
      </c>
      <c r="Z294" s="6">
        <v>47</v>
      </c>
      <c r="AA294" s="14">
        <v>31</v>
      </c>
      <c r="AB294" s="371" t="s">
        <v>142</v>
      </c>
      <c r="AC294" s="6">
        <v>73</v>
      </c>
      <c r="AD294" s="6">
        <v>142</v>
      </c>
      <c r="AE294" s="6">
        <v>26.4</v>
      </c>
      <c r="AF294" s="6">
        <v>30</v>
      </c>
      <c r="AG294" s="6">
        <v>75.2</v>
      </c>
      <c r="AH294" s="6">
        <v>29</v>
      </c>
      <c r="AI294" s="6">
        <v>39.5</v>
      </c>
      <c r="AJ294" s="6">
        <v>179.9</v>
      </c>
      <c r="AK294" s="6">
        <v>42</v>
      </c>
      <c r="AL294" s="6">
        <v>141</v>
      </c>
    </row>
    <row r="295" spans="2:38">
      <c r="B295" s="14">
        <v>2004</v>
      </c>
      <c r="C295" s="14" t="s">
        <v>136</v>
      </c>
      <c r="D295" s="371" t="s">
        <v>142</v>
      </c>
      <c r="E295" s="6">
        <v>85</v>
      </c>
      <c r="F295" s="6">
        <v>82.1</v>
      </c>
      <c r="G295" s="6">
        <v>90</v>
      </c>
      <c r="H295" s="6">
        <v>112</v>
      </c>
      <c r="I295" s="6">
        <v>115</v>
      </c>
      <c r="J295" s="6">
        <v>128</v>
      </c>
      <c r="K295" s="6">
        <v>97</v>
      </c>
      <c r="L295" s="6">
        <v>88</v>
      </c>
      <c r="M295" s="6">
        <v>106</v>
      </c>
      <c r="N295" s="6">
        <v>38</v>
      </c>
      <c r="O295" s="6">
        <v>116</v>
      </c>
      <c r="P295" s="6">
        <v>121</v>
      </c>
      <c r="Q295" s="6">
        <v>97</v>
      </c>
      <c r="R295" s="6">
        <v>62.2</v>
      </c>
      <c r="S295" s="6">
        <v>101.9</v>
      </c>
      <c r="T295" s="6">
        <v>50</v>
      </c>
      <c r="U295" s="6">
        <v>88.5</v>
      </c>
      <c r="V295" s="6">
        <v>95</v>
      </c>
      <c r="W295" s="6">
        <v>36.299999999999997</v>
      </c>
      <c r="X295" s="6">
        <v>69</v>
      </c>
      <c r="Y295" s="6">
        <v>76.5</v>
      </c>
      <c r="Z295" s="6">
        <v>82</v>
      </c>
      <c r="AA295" s="14">
        <v>56</v>
      </c>
      <c r="AB295" s="6">
        <v>45</v>
      </c>
      <c r="AC295" s="6">
        <v>100.8</v>
      </c>
      <c r="AD295" s="6">
        <v>108.3</v>
      </c>
      <c r="AE295" s="6">
        <v>76</v>
      </c>
      <c r="AF295" s="6">
        <v>52</v>
      </c>
      <c r="AG295" s="6">
        <v>89.6</v>
      </c>
      <c r="AH295" s="6">
        <v>66</v>
      </c>
      <c r="AI295" s="6">
        <v>84</v>
      </c>
      <c r="AJ295" s="6">
        <v>93.8</v>
      </c>
      <c r="AK295" s="6">
        <v>53</v>
      </c>
      <c r="AL295" s="6">
        <v>86.5</v>
      </c>
    </row>
    <row r="296" spans="2:38">
      <c r="B296" s="14">
        <v>2004</v>
      </c>
      <c r="C296" s="14" t="s">
        <v>137</v>
      </c>
      <c r="D296" s="371" t="s">
        <v>142</v>
      </c>
      <c r="E296" s="6">
        <v>65</v>
      </c>
      <c r="F296" s="6">
        <v>30.5</v>
      </c>
      <c r="G296" s="6">
        <v>37</v>
      </c>
      <c r="H296" s="6">
        <v>58</v>
      </c>
      <c r="I296" s="6">
        <v>41</v>
      </c>
      <c r="J296" s="6">
        <v>57</v>
      </c>
      <c r="K296" s="6">
        <v>42</v>
      </c>
      <c r="L296" s="6">
        <v>31</v>
      </c>
      <c r="M296" s="6">
        <v>39</v>
      </c>
      <c r="N296" s="6">
        <v>33.5</v>
      </c>
      <c r="O296" s="6">
        <v>44</v>
      </c>
      <c r="P296" s="6">
        <v>40</v>
      </c>
      <c r="Q296" s="6">
        <v>70</v>
      </c>
      <c r="R296" s="6">
        <v>42.7</v>
      </c>
      <c r="S296" s="6">
        <v>31.7</v>
      </c>
      <c r="T296" s="6">
        <v>28.2</v>
      </c>
      <c r="U296" s="6">
        <v>35</v>
      </c>
      <c r="V296" s="6">
        <v>38.5</v>
      </c>
      <c r="W296" s="6">
        <v>34.799999999999997</v>
      </c>
      <c r="X296" s="6">
        <v>74</v>
      </c>
      <c r="Y296" s="6">
        <v>41.7</v>
      </c>
      <c r="Z296" s="6">
        <v>20</v>
      </c>
      <c r="AA296" s="14">
        <v>25</v>
      </c>
      <c r="AB296" s="6">
        <v>12</v>
      </c>
      <c r="AC296" s="6">
        <v>61.7</v>
      </c>
      <c r="AD296" s="6">
        <v>39.6</v>
      </c>
      <c r="AE296" s="6">
        <v>19.3</v>
      </c>
      <c r="AF296" s="6">
        <v>41</v>
      </c>
      <c r="AG296" s="6">
        <v>58.4</v>
      </c>
      <c r="AH296" s="6">
        <v>63</v>
      </c>
      <c r="AI296" s="6">
        <v>66.5</v>
      </c>
      <c r="AJ296" s="6">
        <v>55.7</v>
      </c>
      <c r="AK296" s="6">
        <v>34</v>
      </c>
      <c r="AL296" s="6">
        <v>44</v>
      </c>
    </row>
    <row r="297" spans="2:38">
      <c r="B297" s="14">
        <v>2004</v>
      </c>
      <c r="C297" s="14" t="s">
        <v>138</v>
      </c>
      <c r="D297" s="371" t="s">
        <v>142</v>
      </c>
      <c r="E297" s="6">
        <v>44</v>
      </c>
      <c r="F297" s="6">
        <v>18.399999999999999</v>
      </c>
      <c r="G297" s="6">
        <v>36</v>
      </c>
      <c r="H297" s="6">
        <v>13</v>
      </c>
      <c r="I297" s="6">
        <v>67</v>
      </c>
      <c r="J297" s="6">
        <v>47</v>
      </c>
      <c r="K297" s="6">
        <v>53</v>
      </c>
      <c r="L297" s="6">
        <v>23</v>
      </c>
      <c r="M297" s="6">
        <v>62</v>
      </c>
      <c r="N297" s="6">
        <v>14</v>
      </c>
      <c r="O297" s="6">
        <v>40</v>
      </c>
      <c r="P297" s="6">
        <v>56</v>
      </c>
      <c r="Q297" s="6">
        <v>93</v>
      </c>
      <c r="R297" s="6">
        <v>62.1</v>
      </c>
      <c r="S297" s="6">
        <v>38.9</v>
      </c>
      <c r="T297" s="6">
        <v>20.6</v>
      </c>
      <c r="U297" s="6">
        <v>23.5</v>
      </c>
      <c r="V297" s="6">
        <v>14</v>
      </c>
      <c r="W297" s="6">
        <v>15.4</v>
      </c>
      <c r="X297" s="6">
        <v>44</v>
      </c>
      <c r="Y297" s="6">
        <v>75</v>
      </c>
      <c r="Z297" s="6">
        <v>46</v>
      </c>
      <c r="AA297" s="14">
        <v>19</v>
      </c>
      <c r="AB297" s="6">
        <v>23</v>
      </c>
      <c r="AC297" s="6">
        <v>16</v>
      </c>
      <c r="AD297" s="6">
        <v>51.3</v>
      </c>
      <c r="AE297" s="6">
        <v>13.6</v>
      </c>
      <c r="AF297" s="6">
        <v>7</v>
      </c>
      <c r="AG297" s="6">
        <v>24.9</v>
      </c>
      <c r="AH297" s="6">
        <v>17</v>
      </c>
      <c r="AI297" s="6">
        <v>8.5</v>
      </c>
      <c r="AJ297" s="6">
        <v>51.7</v>
      </c>
      <c r="AK297" s="6">
        <v>23</v>
      </c>
      <c r="AL297" s="6">
        <v>20</v>
      </c>
    </row>
    <row r="298" spans="2:38">
      <c r="B298" s="14">
        <v>2004</v>
      </c>
      <c r="C298" s="14" t="s">
        <v>139</v>
      </c>
      <c r="D298" s="371" t="s">
        <v>142</v>
      </c>
      <c r="E298" s="6">
        <v>213</v>
      </c>
      <c r="F298" s="6">
        <v>109.2</v>
      </c>
      <c r="G298" s="6">
        <v>63</v>
      </c>
      <c r="H298" s="6">
        <v>110</v>
      </c>
      <c r="I298" s="6">
        <v>118</v>
      </c>
      <c r="J298" s="6">
        <v>131</v>
      </c>
      <c r="K298" s="6">
        <v>20</v>
      </c>
      <c r="L298" s="6">
        <v>43</v>
      </c>
      <c r="M298" s="6">
        <v>86</v>
      </c>
      <c r="N298" s="6">
        <v>64</v>
      </c>
      <c r="O298" s="6">
        <v>23</v>
      </c>
      <c r="P298" s="6">
        <v>120</v>
      </c>
      <c r="Q298" s="6">
        <v>114</v>
      </c>
      <c r="R298" s="6">
        <v>49</v>
      </c>
      <c r="S298" s="6">
        <v>143.31</v>
      </c>
      <c r="T298" s="6">
        <v>61.9</v>
      </c>
      <c r="U298" s="6">
        <v>61</v>
      </c>
      <c r="V298" s="6">
        <v>99</v>
      </c>
      <c r="W298" s="6">
        <v>52</v>
      </c>
      <c r="X298" s="6">
        <v>106</v>
      </c>
      <c r="Y298" s="6">
        <v>53.2</v>
      </c>
      <c r="Z298" s="6">
        <v>78</v>
      </c>
      <c r="AA298" s="14">
        <v>37</v>
      </c>
      <c r="AB298" s="371" t="s">
        <v>142</v>
      </c>
      <c r="AC298" s="6">
        <v>154.1</v>
      </c>
      <c r="AD298" s="6">
        <v>104.8</v>
      </c>
      <c r="AE298" s="6">
        <v>28.6</v>
      </c>
      <c r="AF298" s="6">
        <v>66</v>
      </c>
      <c r="AG298" s="6">
        <v>82.2</v>
      </c>
      <c r="AH298" s="6">
        <v>116</v>
      </c>
      <c r="AI298" s="6">
        <v>168.5</v>
      </c>
      <c r="AJ298" s="6">
        <v>126.2</v>
      </c>
      <c r="AK298" s="6">
        <v>33</v>
      </c>
      <c r="AL298" s="6">
        <v>77</v>
      </c>
    </row>
    <row r="299" spans="2:38">
      <c r="B299" s="14">
        <v>2004</v>
      </c>
      <c r="C299" s="14" t="s">
        <v>140</v>
      </c>
      <c r="D299" s="371" t="s">
        <v>142</v>
      </c>
      <c r="E299" s="6">
        <v>60</v>
      </c>
      <c r="F299" s="6">
        <v>191.5</v>
      </c>
      <c r="G299" s="6">
        <v>130</v>
      </c>
      <c r="H299" s="6">
        <v>113</v>
      </c>
      <c r="I299" s="6">
        <v>201</v>
      </c>
      <c r="J299" s="6">
        <v>124</v>
      </c>
      <c r="K299" s="6">
        <v>143</v>
      </c>
      <c r="L299" s="6">
        <v>68</v>
      </c>
      <c r="M299" s="6">
        <v>119</v>
      </c>
      <c r="N299" s="6">
        <v>211.5</v>
      </c>
      <c r="O299" s="6">
        <v>110</v>
      </c>
      <c r="P299" s="6">
        <v>82</v>
      </c>
      <c r="Q299" s="6">
        <v>106</v>
      </c>
      <c r="R299" s="6">
        <v>82.6</v>
      </c>
      <c r="S299" s="6">
        <v>103.7</v>
      </c>
      <c r="T299" s="6">
        <v>175.9</v>
      </c>
      <c r="U299" s="6">
        <v>162</v>
      </c>
      <c r="V299" s="6">
        <v>73</v>
      </c>
      <c r="W299" s="6">
        <v>113.3</v>
      </c>
      <c r="X299" s="6">
        <v>196</v>
      </c>
      <c r="Y299" s="6">
        <v>114.7</v>
      </c>
      <c r="Z299" s="6">
        <v>162</v>
      </c>
      <c r="AA299" s="14">
        <v>90</v>
      </c>
      <c r="AB299" s="6">
        <v>23</v>
      </c>
      <c r="AC299" s="6">
        <v>116.2</v>
      </c>
      <c r="AD299" s="6">
        <v>125.4</v>
      </c>
      <c r="AE299" s="6">
        <v>109.4</v>
      </c>
      <c r="AF299" s="6">
        <v>98</v>
      </c>
      <c r="AG299" s="6">
        <v>77.3</v>
      </c>
      <c r="AH299" s="6">
        <v>110</v>
      </c>
      <c r="AI299" s="6">
        <v>89</v>
      </c>
      <c r="AJ299" s="6">
        <v>75.400000000000006</v>
      </c>
      <c r="AK299" s="6">
        <v>70</v>
      </c>
      <c r="AL299" s="6">
        <v>130</v>
      </c>
    </row>
    <row r="300" spans="2:38">
      <c r="B300" s="14">
        <v>2004</v>
      </c>
      <c r="C300" s="14" t="s">
        <v>141</v>
      </c>
      <c r="D300" s="371" t="s">
        <v>142</v>
      </c>
      <c r="E300" s="371" t="s">
        <v>142</v>
      </c>
      <c r="F300" s="6">
        <v>192.4</v>
      </c>
      <c r="G300" s="6">
        <v>108</v>
      </c>
      <c r="H300" s="6">
        <v>194</v>
      </c>
      <c r="I300" s="6">
        <v>109</v>
      </c>
      <c r="J300" s="6">
        <v>131.5</v>
      </c>
      <c r="K300" s="6">
        <v>77</v>
      </c>
      <c r="L300" s="6">
        <v>98</v>
      </c>
      <c r="M300" s="6">
        <v>113</v>
      </c>
      <c r="N300" s="6">
        <v>96.5</v>
      </c>
      <c r="O300" s="6">
        <v>45.5</v>
      </c>
      <c r="P300" s="6">
        <v>135</v>
      </c>
      <c r="Q300" s="6">
        <v>133</v>
      </c>
      <c r="R300" s="6">
        <v>75</v>
      </c>
      <c r="S300" s="6">
        <v>108.9</v>
      </c>
      <c r="T300" s="6">
        <v>82.7</v>
      </c>
      <c r="U300" s="6">
        <v>138.5</v>
      </c>
      <c r="V300" s="6">
        <v>126</v>
      </c>
      <c r="W300" s="6">
        <v>122.4</v>
      </c>
      <c r="X300" s="6">
        <v>83.5</v>
      </c>
      <c r="Y300" s="6">
        <v>90.8</v>
      </c>
      <c r="Z300" s="6">
        <v>128</v>
      </c>
      <c r="AA300" s="14">
        <v>111</v>
      </c>
      <c r="AB300" s="6">
        <v>88</v>
      </c>
      <c r="AC300" s="6">
        <v>167.2</v>
      </c>
      <c r="AD300" s="6">
        <v>58.9</v>
      </c>
      <c r="AE300" s="6">
        <v>154</v>
      </c>
      <c r="AF300" s="6">
        <v>157</v>
      </c>
      <c r="AG300" s="6">
        <v>106.2</v>
      </c>
      <c r="AH300" s="6">
        <v>163</v>
      </c>
      <c r="AI300" s="6">
        <v>196</v>
      </c>
      <c r="AJ300" s="6">
        <v>82.4</v>
      </c>
      <c r="AK300" s="6">
        <v>109</v>
      </c>
      <c r="AL300" s="6">
        <v>184</v>
      </c>
    </row>
    <row r="301" spans="2:38">
      <c r="B301" s="14">
        <v>2004</v>
      </c>
      <c r="C301" s="14" t="s">
        <v>143</v>
      </c>
      <c r="D301" s="371" t="s">
        <v>142</v>
      </c>
      <c r="E301" s="371" t="s">
        <v>142</v>
      </c>
      <c r="F301" s="6">
        <v>85.4</v>
      </c>
      <c r="G301" s="6">
        <v>76</v>
      </c>
      <c r="H301" s="6">
        <v>102</v>
      </c>
      <c r="I301" s="6">
        <v>34</v>
      </c>
      <c r="J301" s="6">
        <v>48</v>
      </c>
      <c r="K301" s="6">
        <v>93</v>
      </c>
      <c r="L301" s="6">
        <v>36</v>
      </c>
      <c r="M301" s="6">
        <v>23</v>
      </c>
      <c r="N301" s="6">
        <v>58</v>
      </c>
      <c r="O301" s="6">
        <v>47</v>
      </c>
      <c r="P301" s="6">
        <v>57</v>
      </c>
      <c r="Q301" s="6">
        <v>12</v>
      </c>
      <c r="R301" s="6">
        <v>69.2</v>
      </c>
      <c r="S301" s="6">
        <v>37.700000000000003</v>
      </c>
      <c r="T301" s="6">
        <v>136.5</v>
      </c>
      <c r="U301" s="6">
        <v>10.5</v>
      </c>
      <c r="V301" s="6">
        <v>54.5</v>
      </c>
      <c r="W301" s="6">
        <v>38.5</v>
      </c>
      <c r="X301" s="6">
        <v>8</v>
      </c>
      <c r="Y301" s="6">
        <v>42.7</v>
      </c>
      <c r="Z301" s="6">
        <v>25</v>
      </c>
      <c r="AA301" s="14">
        <v>91</v>
      </c>
      <c r="AB301" s="6">
        <v>34</v>
      </c>
      <c r="AC301" s="6">
        <v>111</v>
      </c>
      <c r="AD301" s="6">
        <v>103.9</v>
      </c>
      <c r="AE301" s="6">
        <v>107.5</v>
      </c>
      <c r="AF301" s="6">
        <v>114</v>
      </c>
      <c r="AG301" s="6">
        <v>66.5</v>
      </c>
      <c r="AH301" s="6">
        <v>163</v>
      </c>
      <c r="AI301" s="6">
        <v>56</v>
      </c>
      <c r="AJ301" s="6">
        <v>52.2</v>
      </c>
      <c r="AK301" s="6">
        <v>126</v>
      </c>
      <c r="AL301" s="6">
        <v>39</v>
      </c>
    </row>
    <row r="302" spans="2:38">
      <c r="B302" s="14">
        <v>2005</v>
      </c>
      <c r="C302" s="14" t="s">
        <v>131</v>
      </c>
      <c r="D302" s="371" t="s">
        <v>142</v>
      </c>
      <c r="E302" s="6">
        <v>6</v>
      </c>
      <c r="F302" s="6">
        <v>81.3</v>
      </c>
      <c r="G302" s="6">
        <v>36</v>
      </c>
      <c r="H302" s="6">
        <v>68</v>
      </c>
      <c r="I302" s="6">
        <v>89</v>
      </c>
      <c r="J302" s="6">
        <v>74</v>
      </c>
      <c r="K302" s="6">
        <v>183</v>
      </c>
      <c r="L302" s="6">
        <v>175</v>
      </c>
      <c r="M302" s="6">
        <v>15</v>
      </c>
      <c r="N302" s="6">
        <v>153</v>
      </c>
      <c r="O302" s="6">
        <v>27</v>
      </c>
      <c r="P302" s="6">
        <v>32</v>
      </c>
      <c r="Q302" s="6">
        <v>13</v>
      </c>
      <c r="R302" s="6">
        <v>173.5</v>
      </c>
      <c r="S302" s="6">
        <v>14.4</v>
      </c>
      <c r="T302" s="6">
        <v>149.80000000000001</v>
      </c>
      <c r="U302" s="6">
        <v>148.5</v>
      </c>
      <c r="V302" s="6">
        <v>20</v>
      </c>
      <c r="W302" s="6">
        <v>227.5</v>
      </c>
      <c r="X302" s="6">
        <v>248</v>
      </c>
      <c r="Y302" s="6">
        <v>244.9</v>
      </c>
      <c r="Z302" s="6">
        <v>152</v>
      </c>
      <c r="AA302" s="14">
        <v>189</v>
      </c>
      <c r="AB302" s="6">
        <v>95</v>
      </c>
      <c r="AC302" s="6">
        <v>89.8</v>
      </c>
      <c r="AD302" s="6">
        <v>69.5</v>
      </c>
      <c r="AE302" s="6">
        <v>146.9</v>
      </c>
      <c r="AF302" s="6">
        <v>77</v>
      </c>
      <c r="AG302" s="6">
        <v>75.2</v>
      </c>
      <c r="AH302" s="6">
        <v>115</v>
      </c>
      <c r="AI302" s="6">
        <v>55</v>
      </c>
      <c r="AJ302" s="6">
        <v>17</v>
      </c>
      <c r="AK302" s="6">
        <v>95.5</v>
      </c>
      <c r="AL302" s="6">
        <v>33</v>
      </c>
    </row>
    <row r="303" spans="2:38">
      <c r="B303" s="14">
        <v>2005</v>
      </c>
      <c r="C303" s="14" t="s">
        <v>132</v>
      </c>
      <c r="D303" s="371" t="s">
        <v>142</v>
      </c>
      <c r="E303" s="6">
        <v>62</v>
      </c>
      <c r="F303" s="6">
        <v>26.7</v>
      </c>
      <c r="G303" s="6">
        <v>143</v>
      </c>
      <c r="H303" s="6">
        <v>67</v>
      </c>
      <c r="I303" s="6">
        <v>70</v>
      </c>
      <c r="J303" s="6">
        <v>40</v>
      </c>
      <c r="K303" s="6">
        <v>10</v>
      </c>
      <c r="L303" s="6">
        <v>118</v>
      </c>
      <c r="M303" s="6">
        <v>60</v>
      </c>
      <c r="N303" s="6">
        <v>33.5</v>
      </c>
      <c r="O303" s="6">
        <v>21.5</v>
      </c>
      <c r="P303" s="6">
        <v>42</v>
      </c>
      <c r="Q303" s="6">
        <v>47</v>
      </c>
      <c r="R303" s="6">
        <v>29.3</v>
      </c>
      <c r="S303" s="6">
        <v>29.2</v>
      </c>
      <c r="T303" s="6">
        <v>52.9</v>
      </c>
      <c r="U303" s="6">
        <v>84</v>
      </c>
      <c r="V303" s="6">
        <v>18</v>
      </c>
      <c r="W303" s="6">
        <v>61.6</v>
      </c>
      <c r="X303" s="6">
        <v>55</v>
      </c>
      <c r="Y303" s="6">
        <v>47</v>
      </c>
      <c r="Z303" s="6">
        <v>56</v>
      </c>
      <c r="AA303" s="14">
        <v>41</v>
      </c>
      <c r="AB303" s="371" t="s">
        <v>142</v>
      </c>
      <c r="AC303" s="6">
        <v>5.7</v>
      </c>
      <c r="AD303" s="6">
        <v>32</v>
      </c>
      <c r="AE303" s="6">
        <v>49</v>
      </c>
      <c r="AF303" s="6">
        <v>26</v>
      </c>
      <c r="AG303" s="6">
        <v>29.8</v>
      </c>
      <c r="AH303" s="6">
        <v>104</v>
      </c>
      <c r="AI303" s="6">
        <v>11</v>
      </c>
      <c r="AJ303" s="6">
        <v>37.6</v>
      </c>
      <c r="AK303" s="6">
        <v>72</v>
      </c>
      <c r="AL303" s="6">
        <v>5</v>
      </c>
    </row>
    <row r="304" spans="2:38">
      <c r="B304" s="14">
        <v>2005</v>
      </c>
      <c r="C304" s="14" t="s">
        <v>133</v>
      </c>
      <c r="D304" s="371" t="s">
        <v>142</v>
      </c>
      <c r="E304" s="6">
        <v>17</v>
      </c>
      <c r="F304" s="6">
        <v>82.3</v>
      </c>
      <c r="G304" s="6">
        <v>33</v>
      </c>
      <c r="H304" s="6">
        <v>90</v>
      </c>
      <c r="I304" s="6">
        <v>24</v>
      </c>
      <c r="J304" s="6">
        <v>94.5</v>
      </c>
      <c r="K304" s="6">
        <v>99</v>
      </c>
      <c r="L304" s="6">
        <v>93</v>
      </c>
      <c r="M304" s="6">
        <v>110</v>
      </c>
      <c r="N304" s="6">
        <v>75.5</v>
      </c>
      <c r="O304" s="6">
        <v>59</v>
      </c>
      <c r="P304" s="6">
        <v>67</v>
      </c>
      <c r="Q304" s="6">
        <v>97</v>
      </c>
      <c r="R304" s="6">
        <v>99.6</v>
      </c>
      <c r="S304" s="6">
        <v>56.6</v>
      </c>
      <c r="T304" s="6">
        <v>129.1</v>
      </c>
      <c r="U304" s="6">
        <v>67</v>
      </c>
      <c r="V304" s="6">
        <v>58.5</v>
      </c>
      <c r="W304" s="6">
        <v>136.4</v>
      </c>
      <c r="X304" s="6">
        <v>86</v>
      </c>
      <c r="Y304" s="6">
        <v>83.8</v>
      </c>
      <c r="Z304" s="6">
        <v>76</v>
      </c>
      <c r="AA304" s="14">
        <v>234</v>
      </c>
      <c r="AB304" s="6">
        <v>52</v>
      </c>
      <c r="AC304" s="6">
        <v>144.6</v>
      </c>
      <c r="AD304" s="6">
        <v>21.3</v>
      </c>
      <c r="AE304" s="6">
        <v>245.4</v>
      </c>
      <c r="AF304" s="6">
        <v>95</v>
      </c>
      <c r="AG304" s="6">
        <v>172.6</v>
      </c>
      <c r="AH304" s="6">
        <v>114</v>
      </c>
      <c r="AI304" s="6">
        <v>163.5</v>
      </c>
      <c r="AJ304" s="6">
        <v>115.7</v>
      </c>
      <c r="AK304" s="6">
        <v>175</v>
      </c>
      <c r="AL304" s="6">
        <v>64</v>
      </c>
    </row>
    <row r="305" spans="2:38">
      <c r="B305" s="14">
        <v>2005</v>
      </c>
      <c r="C305" s="14" t="s">
        <v>134</v>
      </c>
      <c r="D305" s="371" t="s">
        <v>142</v>
      </c>
      <c r="E305" s="6">
        <v>241</v>
      </c>
      <c r="F305" s="6">
        <v>120.2</v>
      </c>
      <c r="G305" s="6">
        <v>249</v>
      </c>
      <c r="H305" s="6">
        <v>138</v>
      </c>
      <c r="I305" s="6">
        <v>292</v>
      </c>
      <c r="J305" s="6">
        <v>346</v>
      </c>
      <c r="K305" s="6">
        <v>149</v>
      </c>
      <c r="L305" s="6">
        <v>254</v>
      </c>
      <c r="M305" s="6">
        <v>454</v>
      </c>
      <c r="N305" s="6">
        <v>185</v>
      </c>
      <c r="O305" s="6">
        <v>247</v>
      </c>
      <c r="P305" s="6">
        <v>249</v>
      </c>
      <c r="Q305" s="6">
        <v>283</v>
      </c>
      <c r="R305" s="6">
        <v>148.69999999999999</v>
      </c>
      <c r="S305" s="6">
        <v>268</v>
      </c>
      <c r="T305" s="6">
        <v>196.9</v>
      </c>
      <c r="U305" s="6">
        <v>388</v>
      </c>
      <c r="V305" s="6">
        <v>198.5</v>
      </c>
      <c r="W305" s="6">
        <v>192.4</v>
      </c>
      <c r="X305" s="6">
        <v>323</v>
      </c>
      <c r="Y305" s="6">
        <v>180</v>
      </c>
      <c r="Z305" s="6">
        <v>263</v>
      </c>
      <c r="AA305" s="14">
        <v>245</v>
      </c>
      <c r="AB305" s="6">
        <v>82</v>
      </c>
      <c r="AC305" s="6">
        <v>102.4</v>
      </c>
      <c r="AD305" s="6">
        <v>345.1</v>
      </c>
      <c r="AE305" s="6">
        <v>173.2</v>
      </c>
      <c r="AF305" s="6">
        <v>85</v>
      </c>
      <c r="AG305" s="6">
        <v>174.4</v>
      </c>
      <c r="AH305" s="6">
        <v>93</v>
      </c>
      <c r="AI305" s="6">
        <v>167.5</v>
      </c>
      <c r="AJ305" s="6">
        <v>287.7</v>
      </c>
      <c r="AK305" s="6">
        <v>93.5</v>
      </c>
      <c r="AL305" s="6">
        <v>156</v>
      </c>
    </row>
    <row r="306" spans="2:38">
      <c r="B306" s="14">
        <v>2005</v>
      </c>
      <c r="C306" s="14" t="s">
        <v>135</v>
      </c>
      <c r="D306" s="371" t="s">
        <v>142</v>
      </c>
      <c r="E306" s="6">
        <v>308</v>
      </c>
      <c r="F306" s="6">
        <v>169.4</v>
      </c>
      <c r="G306" s="6">
        <v>233</v>
      </c>
      <c r="H306" s="6">
        <v>180</v>
      </c>
      <c r="I306" s="6">
        <v>172</v>
      </c>
      <c r="J306" s="6">
        <v>337</v>
      </c>
      <c r="K306" s="6">
        <v>36.5</v>
      </c>
      <c r="L306" s="6">
        <v>425</v>
      </c>
      <c r="M306" s="6">
        <v>362</v>
      </c>
      <c r="N306" s="6">
        <v>169</v>
      </c>
      <c r="O306" s="6">
        <v>265</v>
      </c>
      <c r="P306" s="6">
        <v>299</v>
      </c>
      <c r="Q306" s="6">
        <v>313</v>
      </c>
      <c r="R306" s="6">
        <v>38.6</v>
      </c>
      <c r="S306" s="6">
        <v>285.60000000000002</v>
      </c>
      <c r="T306" s="6">
        <v>71.3</v>
      </c>
      <c r="U306" s="6">
        <v>158.5</v>
      </c>
      <c r="V306" s="6">
        <v>244</v>
      </c>
      <c r="W306" s="6">
        <v>221.4</v>
      </c>
      <c r="X306" s="6">
        <v>148</v>
      </c>
      <c r="Y306" s="6">
        <v>91.2</v>
      </c>
      <c r="Z306" s="6">
        <v>133</v>
      </c>
      <c r="AA306" s="14">
        <v>308</v>
      </c>
      <c r="AB306" s="6">
        <v>78</v>
      </c>
      <c r="AC306" s="6">
        <v>191.6</v>
      </c>
      <c r="AD306" s="6">
        <v>212.2</v>
      </c>
      <c r="AE306" s="6">
        <v>129.6</v>
      </c>
      <c r="AF306" s="6">
        <v>280</v>
      </c>
      <c r="AG306" s="6">
        <v>308.39999999999998</v>
      </c>
      <c r="AH306" s="6">
        <v>272</v>
      </c>
      <c r="AI306" s="6">
        <v>250.5</v>
      </c>
      <c r="AJ306" s="6">
        <v>314.2</v>
      </c>
      <c r="AK306" s="6">
        <v>397</v>
      </c>
      <c r="AL306" s="6">
        <v>229</v>
      </c>
    </row>
    <row r="307" spans="2:38">
      <c r="B307" s="14">
        <v>2005</v>
      </c>
      <c r="C307" s="14" t="s">
        <v>136</v>
      </c>
      <c r="D307" s="371" t="s">
        <v>142</v>
      </c>
      <c r="E307" s="6">
        <v>150</v>
      </c>
      <c r="F307" s="6">
        <v>175.3</v>
      </c>
      <c r="G307" s="6">
        <v>298</v>
      </c>
      <c r="H307" s="6">
        <v>187</v>
      </c>
      <c r="I307" s="6">
        <v>203</v>
      </c>
      <c r="J307" s="6">
        <v>278</v>
      </c>
      <c r="K307" s="6">
        <v>80</v>
      </c>
      <c r="L307" s="6">
        <v>135</v>
      </c>
      <c r="M307" s="6">
        <v>252</v>
      </c>
      <c r="N307" s="6">
        <v>199</v>
      </c>
      <c r="O307" s="6">
        <v>216</v>
      </c>
      <c r="P307" s="6">
        <v>194</v>
      </c>
      <c r="Q307" s="6">
        <v>342</v>
      </c>
      <c r="R307" s="6">
        <v>110.2</v>
      </c>
      <c r="S307" s="6">
        <v>112.6</v>
      </c>
      <c r="T307" s="6">
        <v>150.69999999999999</v>
      </c>
      <c r="U307" s="6">
        <v>250</v>
      </c>
      <c r="V307" s="6">
        <v>69</v>
      </c>
      <c r="W307" s="6">
        <v>138.4</v>
      </c>
      <c r="X307" s="6">
        <v>169</v>
      </c>
      <c r="Y307" s="6">
        <v>133.69999999999999</v>
      </c>
      <c r="Z307" s="6">
        <v>197</v>
      </c>
      <c r="AA307" s="14">
        <v>123</v>
      </c>
      <c r="AB307" s="6">
        <v>117</v>
      </c>
      <c r="AC307" s="6">
        <v>109.1</v>
      </c>
      <c r="AD307" s="6">
        <v>312.7</v>
      </c>
      <c r="AE307" s="6">
        <v>226.4</v>
      </c>
      <c r="AF307" s="6">
        <v>276</v>
      </c>
      <c r="AG307" s="6">
        <v>261</v>
      </c>
      <c r="AH307" s="6">
        <v>319</v>
      </c>
      <c r="AI307" s="6">
        <v>177</v>
      </c>
      <c r="AJ307" s="6">
        <v>309.89999999999998</v>
      </c>
      <c r="AK307" s="6">
        <v>333.5</v>
      </c>
      <c r="AL307" s="6">
        <v>111</v>
      </c>
    </row>
    <row r="308" spans="2:38">
      <c r="B308" s="14">
        <v>2005</v>
      </c>
      <c r="C308" s="14" t="s">
        <v>137</v>
      </c>
      <c r="D308" s="6">
        <v>66</v>
      </c>
      <c r="E308" s="6">
        <v>31</v>
      </c>
      <c r="F308" s="6">
        <v>23.5</v>
      </c>
      <c r="G308" s="6">
        <v>74</v>
      </c>
      <c r="H308" s="6">
        <v>27</v>
      </c>
      <c r="I308" s="6">
        <v>100</v>
      </c>
      <c r="J308" s="6">
        <v>30</v>
      </c>
      <c r="K308" s="6">
        <v>54</v>
      </c>
      <c r="L308" s="6">
        <v>15</v>
      </c>
      <c r="M308" s="6">
        <v>10</v>
      </c>
      <c r="N308" s="6">
        <v>56</v>
      </c>
      <c r="O308" s="6">
        <v>111</v>
      </c>
      <c r="P308" s="6">
        <v>18</v>
      </c>
      <c r="Q308" s="6">
        <v>41</v>
      </c>
      <c r="R308" s="6">
        <v>101.3</v>
      </c>
      <c r="S308" s="6">
        <v>31.9</v>
      </c>
      <c r="T308" s="6">
        <v>52.3</v>
      </c>
      <c r="U308" s="6">
        <v>38</v>
      </c>
      <c r="V308" s="6">
        <v>55</v>
      </c>
      <c r="W308" s="6">
        <v>49.6</v>
      </c>
      <c r="X308" s="6">
        <v>70</v>
      </c>
      <c r="Y308" s="6">
        <v>155</v>
      </c>
      <c r="Z308" s="6">
        <v>52</v>
      </c>
      <c r="AA308" s="14">
        <v>45</v>
      </c>
      <c r="AB308" s="371" t="s">
        <v>142</v>
      </c>
      <c r="AC308" s="6">
        <v>39.9</v>
      </c>
      <c r="AD308" s="6">
        <v>47.3</v>
      </c>
      <c r="AE308" s="6">
        <v>38.4</v>
      </c>
      <c r="AF308" s="6">
        <v>43</v>
      </c>
      <c r="AG308" s="6">
        <v>38.200000000000003</v>
      </c>
      <c r="AH308" s="6">
        <v>9</v>
      </c>
      <c r="AI308" s="6">
        <v>76</v>
      </c>
      <c r="AJ308" s="6">
        <v>43.5</v>
      </c>
      <c r="AK308" s="6">
        <v>26</v>
      </c>
      <c r="AL308" s="6">
        <v>57</v>
      </c>
    </row>
    <row r="309" spans="2:38">
      <c r="B309" s="14">
        <v>2005</v>
      </c>
      <c r="C309" s="14" t="s">
        <v>138</v>
      </c>
      <c r="D309" s="6">
        <v>45</v>
      </c>
      <c r="E309" s="6">
        <v>52</v>
      </c>
      <c r="F309" s="6">
        <v>91.3</v>
      </c>
      <c r="G309" s="6">
        <v>32</v>
      </c>
      <c r="H309" s="6">
        <v>155</v>
      </c>
      <c r="I309" s="6">
        <v>21</v>
      </c>
      <c r="J309" s="6">
        <v>63</v>
      </c>
      <c r="K309" s="6">
        <v>124</v>
      </c>
      <c r="L309" s="6">
        <v>37</v>
      </c>
      <c r="M309" s="6">
        <v>93</v>
      </c>
      <c r="N309" s="6">
        <v>52.5</v>
      </c>
      <c r="O309" s="6">
        <v>30</v>
      </c>
      <c r="P309" s="6">
        <v>29</v>
      </c>
      <c r="Q309" s="6">
        <v>66</v>
      </c>
      <c r="R309" s="6">
        <v>125.5</v>
      </c>
      <c r="S309" s="6">
        <v>50.5</v>
      </c>
      <c r="T309" s="6">
        <v>90.3</v>
      </c>
      <c r="U309" s="6">
        <v>30</v>
      </c>
      <c r="V309" s="6">
        <v>65</v>
      </c>
      <c r="W309" s="6">
        <v>66.7</v>
      </c>
      <c r="X309" s="6">
        <v>35</v>
      </c>
      <c r="Y309" s="6">
        <v>63.9</v>
      </c>
      <c r="Z309" s="6">
        <v>39</v>
      </c>
      <c r="AA309" s="14">
        <v>63</v>
      </c>
      <c r="AB309" s="6">
        <v>7</v>
      </c>
      <c r="AC309" s="6">
        <v>168.4</v>
      </c>
      <c r="AD309" s="6">
        <v>44.8</v>
      </c>
      <c r="AE309" s="6">
        <v>87.5</v>
      </c>
      <c r="AF309" s="6">
        <v>94</v>
      </c>
      <c r="AG309" s="6">
        <v>64.7</v>
      </c>
      <c r="AH309" s="6">
        <v>112</v>
      </c>
      <c r="AI309" s="6">
        <v>85</v>
      </c>
      <c r="AJ309" s="6">
        <v>65.099999999999994</v>
      </c>
      <c r="AK309" s="6">
        <v>89</v>
      </c>
      <c r="AL309" s="6">
        <v>100</v>
      </c>
    </row>
    <row r="310" spans="2:38">
      <c r="B310" s="14">
        <v>2005</v>
      </c>
      <c r="C310" s="14" t="s">
        <v>139</v>
      </c>
      <c r="D310" s="6">
        <v>85</v>
      </c>
      <c r="E310" s="6">
        <v>265</v>
      </c>
      <c r="F310" s="6">
        <v>112.8</v>
      </c>
      <c r="G310" s="6">
        <v>111</v>
      </c>
      <c r="H310" s="6">
        <v>86</v>
      </c>
      <c r="I310" s="6">
        <v>96</v>
      </c>
      <c r="J310" s="6">
        <v>154</v>
      </c>
      <c r="K310" s="6">
        <v>64</v>
      </c>
      <c r="L310" s="6">
        <v>156</v>
      </c>
      <c r="M310" s="6">
        <v>245</v>
      </c>
      <c r="N310" s="6">
        <v>63</v>
      </c>
      <c r="O310" s="6">
        <v>142</v>
      </c>
      <c r="P310" s="6">
        <v>206</v>
      </c>
      <c r="Q310" s="6">
        <v>193</v>
      </c>
      <c r="R310" s="6">
        <v>60.5</v>
      </c>
      <c r="S310" s="6">
        <v>261.39999999999998</v>
      </c>
      <c r="T310" s="6">
        <v>75.8</v>
      </c>
      <c r="U310" s="6">
        <v>105</v>
      </c>
      <c r="V310" s="6">
        <v>169</v>
      </c>
      <c r="W310" s="6">
        <v>117.3</v>
      </c>
      <c r="X310" s="6">
        <v>107.5</v>
      </c>
      <c r="Y310" s="6">
        <v>109.4</v>
      </c>
      <c r="Z310" s="6">
        <v>111</v>
      </c>
      <c r="AA310" s="14">
        <v>80</v>
      </c>
      <c r="AB310" s="6">
        <v>18</v>
      </c>
      <c r="AC310" s="6">
        <v>150.30000000000001</v>
      </c>
      <c r="AD310" s="6">
        <v>105.7</v>
      </c>
      <c r="AE310" s="6">
        <v>119.7</v>
      </c>
      <c r="AF310" s="6">
        <v>115</v>
      </c>
      <c r="AG310" s="6">
        <v>137.4</v>
      </c>
      <c r="AH310" s="6">
        <v>83</v>
      </c>
      <c r="AI310" s="6">
        <v>132</v>
      </c>
      <c r="AJ310" s="6">
        <v>148.6</v>
      </c>
      <c r="AK310" s="6">
        <v>96</v>
      </c>
      <c r="AL310" s="6">
        <v>199</v>
      </c>
    </row>
    <row r="311" spans="2:38">
      <c r="B311" s="14">
        <v>2005</v>
      </c>
      <c r="C311" s="14" t="s">
        <v>140</v>
      </c>
      <c r="D311" s="6">
        <v>30</v>
      </c>
      <c r="E311" s="6">
        <v>105</v>
      </c>
      <c r="F311" s="6">
        <v>108.5</v>
      </c>
      <c r="G311" s="6">
        <v>61</v>
      </c>
      <c r="H311" s="6">
        <v>113</v>
      </c>
      <c r="I311" s="6">
        <v>51</v>
      </c>
      <c r="J311" s="6">
        <v>151</v>
      </c>
      <c r="K311" s="6">
        <v>40</v>
      </c>
      <c r="L311" s="6">
        <v>91</v>
      </c>
      <c r="M311" s="6">
        <v>101</v>
      </c>
      <c r="N311" s="6">
        <v>34.5</v>
      </c>
      <c r="O311" s="6">
        <v>99</v>
      </c>
      <c r="P311" s="6">
        <v>127</v>
      </c>
      <c r="Q311" s="6">
        <v>137</v>
      </c>
      <c r="R311" s="6">
        <v>43.5</v>
      </c>
      <c r="S311" s="6">
        <v>137.5</v>
      </c>
      <c r="T311" s="6">
        <v>52.9</v>
      </c>
      <c r="U311" s="6">
        <v>88</v>
      </c>
      <c r="V311" s="6">
        <v>125</v>
      </c>
      <c r="W311" s="6">
        <v>107.3</v>
      </c>
      <c r="X311" s="6">
        <v>74.5</v>
      </c>
      <c r="Y311" s="6">
        <v>60.9</v>
      </c>
      <c r="Z311" s="6">
        <v>50</v>
      </c>
      <c r="AA311" s="14">
        <v>85</v>
      </c>
      <c r="AB311" s="6">
        <v>87</v>
      </c>
      <c r="AC311" s="6">
        <v>186.4</v>
      </c>
      <c r="AD311" s="6">
        <v>68.400000000000006</v>
      </c>
      <c r="AE311" s="6">
        <v>85.6</v>
      </c>
      <c r="AF311" s="6">
        <v>75</v>
      </c>
      <c r="AG311" s="6">
        <v>151.6</v>
      </c>
      <c r="AH311" s="6">
        <v>101</v>
      </c>
      <c r="AI311" s="6">
        <v>124</v>
      </c>
      <c r="AJ311" s="6">
        <v>156.4</v>
      </c>
      <c r="AK311" s="6">
        <v>105</v>
      </c>
      <c r="AL311" s="6">
        <v>136</v>
      </c>
    </row>
    <row r="312" spans="2:38">
      <c r="B312" s="14">
        <v>2005</v>
      </c>
      <c r="C312" s="14" t="s">
        <v>141</v>
      </c>
      <c r="D312" s="6">
        <v>40</v>
      </c>
      <c r="E312" s="6">
        <v>27</v>
      </c>
      <c r="F312" s="6">
        <v>109.8</v>
      </c>
      <c r="G312" s="6">
        <v>33</v>
      </c>
      <c r="H312" s="6">
        <v>95</v>
      </c>
      <c r="I312" s="6">
        <v>30</v>
      </c>
      <c r="J312" s="6">
        <v>20</v>
      </c>
      <c r="K312" s="6">
        <v>45</v>
      </c>
      <c r="L312" s="6">
        <v>57</v>
      </c>
      <c r="M312" s="6">
        <v>52</v>
      </c>
      <c r="N312" s="6">
        <v>47.5</v>
      </c>
      <c r="O312" s="6">
        <v>14</v>
      </c>
      <c r="P312" s="6">
        <v>19</v>
      </c>
      <c r="Q312" s="6">
        <v>23</v>
      </c>
      <c r="R312" s="6">
        <v>60.2</v>
      </c>
      <c r="S312" s="6">
        <v>16.600000000000001</v>
      </c>
      <c r="T312" s="6">
        <v>67</v>
      </c>
      <c r="U312" s="6">
        <v>53.5</v>
      </c>
      <c r="V312" s="6">
        <v>16</v>
      </c>
      <c r="W312" s="6">
        <v>57.2</v>
      </c>
      <c r="X312" s="6">
        <v>39</v>
      </c>
      <c r="Y312" s="6">
        <v>44.7</v>
      </c>
      <c r="Z312" s="6">
        <v>25</v>
      </c>
      <c r="AA312" s="14">
        <v>45</v>
      </c>
      <c r="AB312" s="371" t="s">
        <v>142</v>
      </c>
      <c r="AC312" s="6">
        <v>73.900000000000006</v>
      </c>
      <c r="AD312" s="6">
        <v>23.2</v>
      </c>
      <c r="AE312" s="6">
        <v>51.4</v>
      </c>
      <c r="AF312" s="6">
        <v>72</v>
      </c>
      <c r="AG312" s="6">
        <v>28.2</v>
      </c>
      <c r="AH312" s="6">
        <v>101</v>
      </c>
      <c r="AI312" s="6">
        <v>28</v>
      </c>
      <c r="AJ312" s="6">
        <v>22.6</v>
      </c>
      <c r="AK312" s="6">
        <v>33</v>
      </c>
      <c r="AL312" s="6">
        <v>30</v>
      </c>
    </row>
    <row r="313" spans="2:38">
      <c r="B313" s="14">
        <v>2005</v>
      </c>
      <c r="C313" s="14" t="s">
        <v>143</v>
      </c>
      <c r="D313" s="6">
        <v>28</v>
      </c>
      <c r="E313" s="6">
        <v>51</v>
      </c>
      <c r="F313" s="6">
        <v>145</v>
      </c>
      <c r="G313" s="6">
        <v>50</v>
      </c>
      <c r="H313" s="6">
        <v>228</v>
      </c>
      <c r="I313" s="6">
        <v>63</v>
      </c>
      <c r="J313" s="6">
        <v>115</v>
      </c>
      <c r="K313" s="6">
        <v>16</v>
      </c>
      <c r="L313" s="6">
        <v>46</v>
      </c>
      <c r="M313" s="6">
        <v>51</v>
      </c>
      <c r="N313" s="6">
        <v>26</v>
      </c>
      <c r="O313" s="6">
        <v>22</v>
      </c>
      <c r="P313" s="6">
        <v>86</v>
      </c>
      <c r="Q313" s="6">
        <v>86</v>
      </c>
      <c r="R313" s="6">
        <v>35.799999999999997</v>
      </c>
      <c r="S313" s="6">
        <v>75.3</v>
      </c>
      <c r="T313" s="6">
        <v>40.799999999999997</v>
      </c>
      <c r="U313" s="6">
        <v>27</v>
      </c>
      <c r="V313" s="6">
        <v>32</v>
      </c>
      <c r="W313" s="6">
        <v>96</v>
      </c>
      <c r="X313" s="6">
        <v>42</v>
      </c>
      <c r="Y313" s="6">
        <v>59.6</v>
      </c>
      <c r="Z313" s="6">
        <v>38</v>
      </c>
      <c r="AA313" s="14">
        <v>31</v>
      </c>
      <c r="AB313" s="6">
        <v>36</v>
      </c>
      <c r="AC313" s="6">
        <v>42.7</v>
      </c>
      <c r="AD313" s="6">
        <v>33.700000000000003</v>
      </c>
      <c r="AE313" s="6">
        <v>43.8</v>
      </c>
      <c r="AF313" s="6">
        <v>128</v>
      </c>
      <c r="AG313" s="6">
        <v>70.900000000000006</v>
      </c>
      <c r="AH313" s="6">
        <v>297</v>
      </c>
      <c r="AI313" s="6">
        <v>77</v>
      </c>
      <c r="AJ313" s="6">
        <v>80.599999999999994</v>
      </c>
      <c r="AK313" s="6">
        <v>85</v>
      </c>
      <c r="AL313" s="6">
        <v>107</v>
      </c>
    </row>
    <row r="314" spans="2:38">
      <c r="B314" s="14">
        <v>2006</v>
      </c>
      <c r="C314" s="14" t="s">
        <v>131</v>
      </c>
      <c r="D314" s="6">
        <v>141</v>
      </c>
      <c r="E314" s="371" t="s">
        <v>142</v>
      </c>
      <c r="F314" s="6">
        <v>54.6</v>
      </c>
      <c r="G314" s="6">
        <v>131</v>
      </c>
      <c r="H314" s="6">
        <v>26</v>
      </c>
      <c r="I314" s="6">
        <v>293</v>
      </c>
      <c r="J314" s="6">
        <v>225.5</v>
      </c>
      <c r="K314" s="6">
        <v>209</v>
      </c>
      <c r="L314" s="6">
        <v>79</v>
      </c>
      <c r="M314" s="6">
        <v>254</v>
      </c>
      <c r="N314" s="6">
        <v>304</v>
      </c>
      <c r="O314" s="6">
        <v>82</v>
      </c>
      <c r="P314" s="6">
        <v>149</v>
      </c>
      <c r="Q314" s="6">
        <v>175</v>
      </c>
      <c r="R314" s="6">
        <v>255</v>
      </c>
      <c r="S314" s="6">
        <v>149.4</v>
      </c>
      <c r="T314" s="6">
        <v>272.5</v>
      </c>
      <c r="U314" s="6">
        <v>179.5</v>
      </c>
      <c r="V314" s="6">
        <v>111</v>
      </c>
      <c r="W314" s="6">
        <v>116</v>
      </c>
      <c r="X314" s="6">
        <v>186.5</v>
      </c>
      <c r="Y314" s="6">
        <v>161.6</v>
      </c>
      <c r="Z314" s="6">
        <v>238</v>
      </c>
      <c r="AA314" s="14">
        <v>109</v>
      </c>
      <c r="AB314" s="6">
        <v>136</v>
      </c>
      <c r="AC314" s="6">
        <v>67.8</v>
      </c>
      <c r="AD314" s="6">
        <v>98.5</v>
      </c>
      <c r="AE314" s="6">
        <v>127.2</v>
      </c>
      <c r="AF314" s="6">
        <v>130</v>
      </c>
      <c r="AG314" s="6">
        <v>165.8</v>
      </c>
      <c r="AH314" s="6">
        <v>24</v>
      </c>
      <c r="AI314" s="6">
        <v>35</v>
      </c>
      <c r="AJ314" s="6">
        <v>108.6</v>
      </c>
      <c r="AK314" s="6">
        <v>74</v>
      </c>
      <c r="AL314" s="6">
        <v>113</v>
      </c>
    </row>
    <row r="315" spans="2:38">
      <c r="B315" s="14">
        <v>2006</v>
      </c>
      <c r="C315" s="14" t="s">
        <v>132</v>
      </c>
      <c r="D315" s="6">
        <v>46</v>
      </c>
      <c r="E315" s="6">
        <v>205</v>
      </c>
      <c r="F315" s="6">
        <v>9.1999999999999993</v>
      </c>
      <c r="G315" s="6">
        <v>52</v>
      </c>
      <c r="H315" s="6">
        <v>15</v>
      </c>
      <c r="I315" s="6">
        <v>18</v>
      </c>
      <c r="J315" s="6">
        <v>111.5</v>
      </c>
      <c r="K315" s="6">
        <v>124</v>
      </c>
      <c r="L315" s="6">
        <v>51</v>
      </c>
      <c r="M315" s="6">
        <v>147</v>
      </c>
      <c r="N315" s="6">
        <v>39</v>
      </c>
      <c r="O315" s="6">
        <v>191</v>
      </c>
      <c r="P315" s="6">
        <v>208</v>
      </c>
      <c r="Q315" s="6">
        <v>48</v>
      </c>
      <c r="R315" s="6">
        <v>89.7</v>
      </c>
      <c r="S315" s="6">
        <v>104.2</v>
      </c>
      <c r="T315" s="6">
        <v>65.3</v>
      </c>
      <c r="U315" s="6">
        <v>56</v>
      </c>
      <c r="V315" s="6">
        <v>19</v>
      </c>
      <c r="W315" s="6">
        <v>69.900000000000006</v>
      </c>
      <c r="X315" s="6">
        <v>29</v>
      </c>
      <c r="Y315" s="6">
        <v>57.2</v>
      </c>
      <c r="Z315" s="6">
        <v>43</v>
      </c>
      <c r="AA315" s="14">
        <v>57</v>
      </c>
      <c r="AB315" s="371" t="s">
        <v>142</v>
      </c>
      <c r="AC315" s="6">
        <v>13.3</v>
      </c>
      <c r="AD315" s="6">
        <v>132.4</v>
      </c>
      <c r="AE315" s="6">
        <v>68.7</v>
      </c>
      <c r="AF315" s="6">
        <v>27</v>
      </c>
      <c r="AG315" s="6">
        <v>13.2</v>
      </c>
      <c r="AH315" s="6">
        <v>39</v>
      </c>
      <c r="AI315" s="6">
        <v>11.5</v>
      </c>
      <c r="AJ315" s="6">
        <v>75.400000000000006</v>
      </c>
      <c r="AK315" s="6">
        <v>63</v>
      </c>
      <c r="AL315" s="6">
        <v>45</v>
      </c>
    </row>
    <row r="316" spans="2:38">
      <c r="B316" s="14">
        <v>2006</v>
      </c>
      <c r="C316" s="14" t="s">
        <v>133</v>
      </c>
      <c r="D316" s="6">
        <v>97</v>
      </c>
      <c r="E316" s="6">
        <v>43</v>
      </c>
      <c r="F316" s="6">
        <v>68.3</v>
      </c>
      <c r="G316" s="6">
        <v>158</v>
      </c>
      <c r="H316" s="6">
        <v>74</v>
      </c>
      <c r="I316" s="6">
        <v>130</v>
      </c>
      <c r="J316" s="6">
        <v>46.5</v>
      </c>
      <c r="K316" s="6">
        <v>154</v>
      </c>
      <c r="L316" s="6">
        <v>72.5</v>
      </c>
      <c r="M316" s="6">
        <v>71</v>
      </c>
      <c r="N316" s="6">
        <v>150</v>
      </c>
      <c r="O316" s="6">
        <v>116</v>
      </c>
      <c r="P316" s="6">
        <v>65</v>
      </c>
      <c r="Q316" s="6">
        <v>87</v>
      </c>
      <c r="R316" s="6">
        <v>176.4</v>
      </c>
      <c r="S316" s="6">
        <v>119.8</v>
      </c>
      <c r="T316" s="6">
        <v>155.69999999999999</v>
      </c>
      <c r="U316" s="6">
        <v>59</v>
      </c>
      <c r="V316" s="6">
        <v>76</v>
      </c>
      <c r="W316" s="6">
        <v>63.4</v>
      </c>
      <c r="X316" s="6">
        <v>165</v>
      </c>
      <c r="Y316" s="6">
        <v>141.69999999999999</v>
      </c>
      <c r="Z316" s="6">
        <v>122</v>
      </c>
      <c r="AA316" s="14">
        <v>35</v>
      </c>
      <c r="AB316" s="6">
        <v>5</v>
      </c>
      <c r="AC316" s="6">
        <v>103.6</v>
      </c>
      <c r="AD316" s="6">
        <v>379</v>
      </c>
      <c r="AE316" s="6">
        <v>47.6</v>
      </c>
      <c r="AF316" s="6">
        <v>13</v>
      </c>
      <c r="AG316" s="6">
        <v>76.3</v>
      </c>
      <c r="AH316" s="6">
        <v>57</v>
      </c>
      <c r="AI316" s="6">
        <v>63</v>
      </c>
      <c r="AJ316" s="6">
        <v>48.6</v>
      </c>
      <c r="AK316" s="6">
        <v>30</v>
      </c>
      <c r="AL316" s="6">
        <v>158</v>
      </c>
    </row>
    <row r="317" spans="2:38">
      <c r="B317" s="14">
        <v>2006</v>
      </c>
      <c r="C317" s="14" t="s">
        <v>134</v>
      </c>
      <c r="D317" s="6">
        <v>49</v>
      </c>
      <c r="E317" s="6">
        <v>57</v>
      </c>
      <c r="F317" s="6">
        <v>125.8</v>
      </c>
      <c r="G317" s="6">
        <v>74</v>
      </c>
      <c r="H317" s="6">
        <v>101</v>
      </c>
      <c r="I317" s="6">
        <v>36</v>
      </c>
      <c r="J317" s="6">
        <v>41</v>
      </c>
      <c r="K317" s="6">
        <v>24</v>
      </c>
      <c r="L317" s="6">
        <v>81</v>
      </c>
      <c r="M317" s="6">
        <v>25</v>
      </c>
      <c r="N317" s="6">
        <v>45</v>
      </c>
      <c r="O317" s="6">
        <v>87</v>
      </c>
      <c r="P317" s="6">
        <v>66</v>
      </c>
      <c r="Q317" s="6">
        <v>62</v>
      </c>
      <c r="R317" s="6">
        <v>36.700000000000003</v>
      </c>
      <c r="S317" s="6">
        <v>65.400000000000006</v>
      </c>
      <c r="T317" s="6">
        <v>49.7</v>
      </c>
      <c r="U317" s="6">
        <v>44</v>
      </c>
      <c r="V317" s="6">
        <v>81</v>
      </c>
      <c r="W317" s="6">
        <v>70.7</v>
      </c>
      <c r="X317" s="6">
        <v>53</v>
      </c>
      <c r="Y317" s="6">
        <v>37.299999999999997</v>
      </c>
      <c r="Z317" s="6">
        <v>50</v>
      </c>
      <c r="AA317" s="14">
        <v>36</v>
      </c>
      <c r="AB317" s="6">
        <v>55</v>
      </c>
      <c r="AC317" s="6">
        <v>97.6</v>
      </c>
      <c r="AD317" s="6">
        <v>60.5</v>
      </c>
      <c r="AE317" s="6">
        <v>70.900000000000006</v>
      </c>
      <c r="AF317" s="6">
        <v>120</v>
      </c>
      <c r="AG317" s="6">
        <v>64.5</v>
      </c>
      <c r="AH317" s="6">
        <v>115</v>
      </c>
      <c r="AI317" s="6">
        <v>64</v>
      </c>
      <c r="AJ317" s="6">
        <v>87.9</v>
      </c>
      <c r="AK317" s="6">
        <v>51</v>
      </c>
      <c r="AL317" s="6">
        <v>47</v>
      </c>
    </row>
    <row r="318" spans="2:38">
      <c r="B318" s="14">
        <v>2006</v>
      </c>
      <c r="C318" s="14" t="s">
        <v>135</v>
      </c>
      <c r="D318" s="6">
        <v>27</v>
      </c>
      <c r="E318" s="6">
        <v>61</v>
      </c>
      <c r="F318" s="6">
        <v>82</v>
      </c>
      <c r="G318" s="6">
        <v>25</v>
      </c>
      <c r="H318" s="6">
        <v>81</v>
      </c>
      <c r="I318" s="6">
        <v>17</v>
      </c>
      <c r="J318" s="6">
        <v>38.5</v>
      </c>
      <c r="K318" s="6">
        <v>12</v>
      </c>
      <c r="L318" s="6">
        <v>18</v>
      </c>
      <c r="M318" s="6">
        <v>26</v>
      </c>
      <c r="N318" s="6">
        <v>13</v>
      </c>
      <c r="O318" s="6">
        <v>24</v>
      </c>
      <c r="P318" s="6">
        <v>34</v>
      </c>
      <c r="Q318" s="6">
        <v>33</v>
      </c>
      <c r="R318" s="6">
        <v>12.4</v>
      </c>
      <c r="S318" s="6">
        <v>45.6</v>
      </c>
      <c r="T318" s="6">
        <v>4.4000000000000004</v>
      </c>
      <c r="U318" s="6">
        <v>15.5</v>
      </c>
      <c r="V318" s="6">
        <v>54</v>
      </c>
      <c r="W318" s="6">
        <v>29</v>
      </c>
      <c r="X318" s="6">
        <v>12</v>
      </c>
      <c r="Y318" s="6">
        <v>13.3</v>
      </c>
      <c r="Z318" s="6">
        <v>7</v>
      </c>
      <c r="AA318" s="14">
        <v>35</v>
      </c>
      <c r="AB318" s="6">
        <v>28</v>
      </c>
      <c r="AC318" s="6">
        <v>97.1</v>
      </c>
      <c r="AD318" s="6">
        <v>21.5</v>
      </c>
      <c r="AE318" s="6">
        <v>30.8</v>
      </c>
      <c r="AF318" s="6">
        <v>73</v>
      </c>
      <c r="AG318" s="6">
        <v>70.7</v>
      </c>
      <c r="AH318" s="6">
        <v>37</v>
      </c>
      <c r="AI318" s="6">
        <v>72</v>
      </c>
      <c r="AJ318" s="6">
        <v>25.9</v>
      </c>
      <c r="AK318" s="6">
        <v>48</v>
      </c>
      <c r="AL318" s="6">
        <v>59</v>
      </c>
    </row>
    <row r="319" spans="2:38">
      <c r="B319" s="14">
        <v>2006</v>
      </c>
      <c r="C319" s="14" t="s">
        <v>136</v>
      </c>
      <c r="D319" s="6">
        <v>198</v>
      </c>
      <c r="E319" s="6">
        <v>96</v>
      </c>
      <c r="F319" s="6">
        <v>139.4</v>
      </c>
      <c r="G319" s="6">
        <v>204</v>
      </c>
      <c r="H319" s="6">
        <v>146</v>
      </c>
      <c r="I319" s="6">
        <v>186</v>
      </c>
      <c r="J319" s="6">
        <v>215</v>
      </c>
      <c r="K319" s="6">
        <v>264</v>
      </c>
      <c r="L319" s="6">
        <v>196</v>
      </c>
      <c r="M319" s="6">
        <v>162</v>
      </c>
      <c r="N319" s="6">
        <v>249</v>
      </c>
      <c r="O319" s="6">
        <v>172</v>
      </c>
      <c r="P319" s="6">
        <v>156</v>
      </c>
      <c r="Q319" s="6">
        <v>243</v>
      </c>
      <c r="R319" s="6">
        <v>225.5</v>
      </c>
      <c r="S319" s="6">
        <v>134.30000000000001</v>
      </c>
      <c r="T319" s="6">
        <v>278.60000000000002</v>
      </c>
      <c r="U319" s="6">
        <v>202.5</v>
      </c>
      <c r="V319" s="6">
        <v>137</v>
      </c>
      <c r="W319" s="6">
        <v>170.8</v>
      </c>
      <c r="X319" s="6">
        <v>272</v>
      </c>
      <c r="Y319" s="6">
        <v>192.5</v>
      </c>
      <c r="Z319" s="6">
        <v>254</v>
      </c>
      <c r="AA319" s="14">
        <v>206</v>
      </c>
      <c r="AB319" s="6">
        <v>65</v>
      </c>
      <c r="AC319" s="6">
        <v>144.5</v>
      </c>
      <c r="AD319" s="6">
        <v>164.8</v>
      </c>
      <c r="AE319" s="6">
        <v>129.19999999999999</v>
      </c>
      <c r="AF319" s="6">
        <v>255</v>
      </c>
      <c r="AG319" s="6">
        <v>179.7</v>
      </c>
      <c r="AH319" s="6">
        <v>222</v>
      </c>
      <c r="AI319" s="6">
        <v>192.5</v>
      </c>
      <c r="AJ319" s="6">
        <v>193</v>
      </c>
      <c r="AK319" s="6">
        <v>203</v>
      </c>
      <c r="AL319" s="6">
        <v>124</v>
      </c>
    </row>
    <row r="320" spans="2:38">
      <c r="B320" s="14">
        <v>2006</v>
      </c>
      <c r="C320" s="14" t="s">
        <v>137</v>
      </c>
      <c r="D320" s="6">
        <v>71</v>
      </c>
      <c r="E320" s="6">
        <v>34</v>
      </c>
      <c r="F320" s="6">
        <v>52.6</v>
      </c>
      <c r="G320" s="6">
        <v>52</v>
      </c>
      <c r="H320" s="6">
        <v>54</v>
      </c>
      <c r="I320" s="6">
        <v>60</v>
      </c>
      <c r="J320" s="6">
        <v>69.5</v>
      </c>
      <c r="K320" s="6">
        <v>28</v>
      </c>
      <c r="L320" s="6">
        <v>33</v>
      </c>
      <c r="M320" s="6">
        <v>27</v>
      </c>
      <c r="N320" s="6">
        <v>56</v>
      </c>
      <c r="O320" s="6">
        <v>124</v>
      </c>
      <c r="P320" s="6">
        <v>29</v>
      </c>
      <c r="Q320" s="6">
        <v>86</v>
      </c>
      <c r="R320" s="6">
        <v>70.3</v>
      </c>
      <c r="S320" s="6">
        <v>29.9</v>
      </c>
      <c r="T320" s="6">
        <v>33.1</v>
      </c>
      <c r="U320" s="6">
        <v>45.5</v>
      </c>
      <c r="V320" s="6">
        <v>33</v>
      </c>
      <c r="W320" s="6">
        <v>29.9</v>
      </c>
      <c r="X320" s="6">
        <v>66</v>
      </c>
      <c r="Y320" s="6">
        <v>73.8</v>
      </c>
      <c r="Z320" s="6">
        <v>48</v>
      </c>
      <c r="AA320" s="371" t="s">
        <v>142</v>
      </c>
      <c r="AB320" s="6">
        <v>5</v>
      </c>
      <c r="AC320" s="6">
        <v>53.2</v>
      </c>
      <c r="AD320" s="6">
        <v>70.900000000000006</v>
      </c>
      <c r="AE320" s="6">
        <v>7.1</v>
      </c>
      <c r="AF320" s="6">
        <v>17</v>
      </c>
      <c r="AG320" s="6">
        <v>20</v>
      </c>
      <c r="AH320" s="6">
        <v>30</v>
      </c>
      <c r="AI320" s="6">
        <v>19.5</v>
      </c>
      <c r="AJ320" s="6">
        <v>63.7</v>
      </c>
      <c r="AK320" s="6">
        <v>25</v>
      </c>
      <c r="AL320" s="6">
        <v>24</v>
      </c>
    </row>
    <row r="321" spans="2:38">
      <c r="B321" s="14">
        <v>2006</v>
      </c>
      <c r="C321" s="14" t="s">
        <v>138</v>
      </c>
      <c r="D321" s="6">
        <v>135</v>
      </c>
      <c r="E321" s="6">
        <v>122</v>
      </c>
      <c r="F321" s="6">
        <v>26.8</v>
      </c>
      <c r="G321" s="6">
        <v>163</v>
      </c>
      <c r="H321" s="6">
        <v>28</v>
      </c>
      <c r="I321" s="6">
        <v>89</v>
      </c>
      <c r="J321" s="6">
        <v>207</v>
      </c>
      <c r="K321" s="6">
        <v>24</v>
      </c>
      <c r="L321" s="6">
        <v>58</v>
      </c>
      <c r="M321" s="6">
        <v>142</v>
      </c>
      <c r="N321" s="6">
        <v>40</v>
      </c>
      <c r="O321" s="6">
        <v>162</v>
      </c>
      <c r="P321" s="6">
        <v>118</v>
      </c>
      <c r="Q321" s="6">
        <v>230</v>
      </c>
      <c r="R321" s="6">
        <v>35.1</v>
      </c>
      <c r="S321" s="6">
        <v>147.19999999999999</v>
      </c>
      <c r="T321" s="6">
        <v>39.6</v>
      </c>
      <c r="U321" s="6">
        <v>113.5</v>
      </c>
      <c r="V321" s="6">
        <v>60.5</v>
      </c>
      <c r="W321" s="6">
        <v>27.9</v>
      </c>
      <c r="X321" s="6">
        <v>69</v>
      </c>
      <c r="Y321" s="6">
        <v>40.1</v>
      </c>
      <c r="Z321" s="6">
        <v>90</v>
      </c>
      <c r="AA321" s="14">
        <v>82</v>
      </c>
      <c r="AB321" s="6">
        <v>58</v>
      </c>
      <c r="AC321" s="6">
        <v>53.6</v>
      </c>
      <c r="AD321" s="6">
        <v>142.1</v>
      </c>
      <c r="AE321" s="6">
        <v>46.7</v>
      </c>
      <c r="AF321" s="6">
        <v>24</v>
      </c>
      <c r="AG321" s="6">
        <v>54.9</v>
      </c>
      <c r="AH321" s="6">
        <v>29</v>
      </c>
      <c r="AI321" s="6">
        <v>25.5</v>
      </c>
      <c r="AJ321" s="6">
        <v>274</v>
      </c>
      <c r="AK321" s="6">
        <v>22</v>
      </c>
      <c r="AL321" s="6">
        <v>85</v>
      </c>
    </row>
    <row r="322" spans="2:38">
      <c r="B322" s="14">
        <v>2006</v>
      </c>
      <c r="C322" s="14" t="s">
        <v>139</v>
      </c>
      <c r="D322" s="6">
        <v>43</v>
      </c>
      <c r="E322" s="6">
        <v>79</v>
      </c>
      <c r="F322" s="6">
        <v>52.3</v>
      </c>
      <c r="G322" s="6">
        <v>44</v>
      </c>
      <c r="H322" s="6">
        <v>76</v>
      </c>
      <c r="I322" s="6">
        <v>48</v>
      </c>
      <c r="J322" s="6">
        <v>15</v>
      </c>
      <c r="K322" s="6">
        <v>31</v>
      </c>
      <c r="L322" s="6">
        <v>48</v>
      </c>
      <c r="M322" s="6">
        <v>25</v>
      </c>
      <c r="N322" s="6">
        <v>38</v>
      </c>
      <c r="O322" s="6">
        <v>23</v>
      </c>
      <c r="P322" s="6">
        <v>54</v>
      </c>
      <c r="Q322" s="6">
        <v>46</v>
      </c>
      <c r="R322" s="6">
        <v>22.9</v>
      </c>
      <c r="S322" s="6">
        <v>71.900000000000006</v>
      </c>
      <c r="T322" s="6">
        <v>26.3</v>
      </c>
      <c r="U322" s="6">
        <v>55</v>
      </c>
      <c r="V322" s="6">
        <v>47</v>
      </c>
      <c r="W322" s="6">
        <v>36.700000000000003</v>
      </c>
      <c r="X322" s="6">
        <v>62</v>
      </c>
      <c r="Y322" s="6">
        <v>35.6</v>
      </c>
      <c r="Z322" s="6">
        <v>57</v>
      </c>
      <c r="AA322" s="14">
        <v>41</v>
      </c>
      <c r="AB322" s="371" t="s">
        <v>142</v>
      </c>
      <c r="AC322" s="6">
        <v>96.9</v>
      </c>
      <c r="AD322" s="6">
        <v>36.299999999999997</v>
      </c>
      <c r="AE322" s="6">
        <v>24.2</v>
      </c>
      <c r="AF322" s="6">
        <v>37</v>
      </c>
      <c r="AG322" s="6">
        <v>49</v>
      </c>
      <c r="AH322" s="6">
        <v>63</v>
      </c>
      <c r="AI322" s="6">
        <v>63</v>
      </c>
      <c r="AJ322" s="6">
        <v>40.700000000000003</v>
      </c>
      <c r="AK322" s="6">
        <v>46</v>
      </c>
      <c r="AL322" s="6">
        <v>78</v>
      </c>
    </row>
    <row r="323" spans="2:38">
      <c r="B323" s="14">
        <v>2006</v>
      </c>
      <c r="C323" s="14" t="s">
        <v>140</v>
      </c>
      <c r="D323" s="6">
        <v>107</v>
      </c>
      <c r="E323" s="6">
        <v>50</v>
      </c>
      <c r="F323" s="6">
        <v>114.3</v>
      </c>
      <c r="G323" s="6">
        <v>165</v>
      </c>
      <c r="H323" s="6">
        <v>196</v>
      </c>
      <c r="I323" s="6">
        <v>166</v>
      </c>
      <c r="J323" s="6">
        <v>83</v>
      </c>
      <c r="K323" s="6">
        <v>153</v>
      </c>
      <c r="L323" s="6">
        <v>153</v>
      </c>
      <c r="M323" s="6">
        <v>57</v>
      </c>
      <c r="N323" s="6">
        <v>265</v>
      </c>
      <c r="O323" s="6">
        <v>60</v>
      </c>
      <c r="P323" s="6">
        <v>55</v>
      </c>
      <c r="Q323" s="6">
        <v>103</v>
      </c>
      <c r="R323" s="14" t="s">
        <v>144</v>
      </c>
      <c r="S323" s="6">
        <v>67.099999999999994</v>
      </c>
      <c r="T323" s="6">
        <v>129.9</v>
      </c>
      <c r="U323" s="6">
        <v>119</v>
      </c>
      <c r="V323" s="6">
        <v>88</v>
      </c>
      <c r="W323" s="6">
        <v>184.5</v>
      </c>
      <c r="X323" s="6">
        <v>120</v>
      </c>
      <c r="Y323" s="6">
        <v>92.7</v>
      </c>
      <c r="Z323" s="6">
        <v>159</v>
      </c>
      <c r="AA323" s="14">
        <v>120</v>
      </c>
      <c r="AB323" s="6">
        <v>57</v>
      </c>
      <c r="AC323" s="6">
        <v>103.3</v>
      </c>
      <c r="AD323" s="6">
        <v>107.8</v>
      </c>
      <c r="AE323" s="6">
        <v>230.6</v>
      </c>
      <c r="AF323" s="6">
        <v>189</v>
      </c>
      <c r="AG323" s="6">
        <v>77.7</v>
      </c>
      <c r="AH323" s="6">
        <v>149</v>
      </c>
      <c r="AI323" s="6">
        <v>76</v>
      </c>
      <c r="AJ323" s="6">
        <v>90.7</v>
      </c>
      <c r="AK323" s="6">
        <v>152</v>
      </c>
      <c r="AL323" s="6">
        <v>87</v>
      </c>
    </row>
    <row r="324" spans="2:38">
      <c r="B324" s="14">
        <v>2006</v>
      </c>
      <c r="C324" s="14" t="s">
        <v>141</v>
      </c>
      <c r="D324" s="6">
        <v>71</v>
      </c>
      <c r="E324" s="6">
        <v>27</v>
      </c>
      <c r="F324" s="6">
        <v>252.3</v>
      </c>
      <c r="G324" s="6">
        <v>88</v>
      </c>
      <c r="H324" s="6">
        <v>163</v>
      </c>
      <c r="I324" s="6">
        <v>87</v>
      </c>
      <c r="J324" s="6">
        <v>102</v>
      </c>
      <c r="K324" s="6">
        <v>40</v>
      </c>
      <c r="L324" s="6">
        <v>80</v>
      </c>
      <c r="M324" s="6">
        <v>46</v>
      </c>
      <c r="N324" s="6">
        <v>170</v>
      </c>
      <c r="O324" s="6">
        <v>35</v>
      </c>
      <c r="P324" s="6">
        <v>69</v>
      </c>
      <c r="Q324" s="6">
        <v>63</v>
      </c>
      <c r="R324" s="14" t="s">
        <v>144</v>
      </c>
      <c r="S324" s="6">
        <v>122.7</v>
      </c>
      <c r="T324" s="6">
        <v>140.9</v>
      </c>
      <c r="U324" s="6">
        <v>117</v>
      </c>
      <c r="V324" s="6">
        <v>85.6</v>
      </c>
      <c r="W324" s="6">
        <v>118</v>
      </c>
      <c r="X324" s="6">
        <v>84</v>
      </c>
      <c r="Y324" s="6">
        <v>90.4</v>
      </c>
      <c r="Z324" s="6">
        <v>101</v>
      </c>
      <c r="AA324" s="14">
        <v>101</v>
      </c>
      <c r="AB324" s="6">
        <v>64</v>
      </c>
      <c r="AC324" s="6">
        <v>171</v>
      </c>
      <c r="AD324" s="6">
        <v>100.4</v>
      </c>
      <c r="AE324" s="6">
        <v>81.8</v>
      </c>
      <c r="AF324" s="6">
        <v>96</v>
      </c>
      <c r="AG324" s="6">
        <v>112</v>
      </c>
      <c r="AH324" s="6">
        <v>185</v>
      </c>
      <c r="AI324" s="6">
        <v>140</v>
      </c>
      <c r="AJ324" s="6">
        <v>57.6</v>
      </c>
      <c r="AK324" s="6">
        <v>77</v>
      </c>
      <c r="AL324" s="6">
        <v>78</v>
      </c>
    </row>
    <row r="325" spans="2:38">
      <c r="B325" s="14">
        <v>2006</v>
      </c>
      <c r="C325" s="14" t="s">
        <v>143</v>
      </c>
      <c r="D325" s="6">
        <v>28</v>
      </c>
      <c r="E325" s="6">
        <v>88</v>
      </c>
      <c r="F325" s="6">
        <v>173.5</v>
      </c>
      <c r="G325" s="6">
        <v>60</v>
      </c>
      <c r="H325" s="6">
        <v>282</v>
      </c>
      <c r="I325" s="6">
        <v>65</v>
      </c>
      <c r="J325" s="6">
        <v>90</v>
      </c>
      <c r="K325" s="6">
        <v>187</v>
      </c>
      <c r="L325" s="6">
        <v>162</v>
      </c>
      <c r="M325" s="6">
        <v>98</v>
      </c>
      <c r="N325" s="6">
        <v>172</v>
      </c>
      <c r="O325" s="6">
        <v>86</v>
      </c>
      <c r="P325" s="6">
        <v>157</v>
      </c>
      <c r="Q325" s="6">
        <v>52</v>
      </c>
      <c r="R325" s="14" t="s">
        <v>144</v>
      </c>
      <c r="S325" s="6">
        <v>111.4</v>
      </c>
      <c r="T325" s="6">
        <v>132.30000000000001</v>
      </c>
      <c r="U325" s="6">
        <v>99.5</v>
      </c>
      <c r="V325" s="6">
        <v>140</v>
      </c>
      <c r="W325" s="6">
        <v>222.3</v>
      </c>
      <c r="X325" s="6">
        <v>121</v>
      </c>
      <c r="Y325" s="6">
        <v>143.80000000000001</v>
      </c>
      <c r="Z325" s="6">
        <v>75</v>
      </c>
      <c r="AA325" s="14">
        <v>336</v>
      </c>
      <c r="AB325" s="6">
        <v>18</v>
      </c>
      <c r="AC325" s="6">
        <v>136.9</v>
      </c>
      <c r="AD325" s="6">
        <v>100.2</v>
      </c>
      <c r="AE325" s="6">
        <v>227.4</v>
      </c>
      <c r="AF325" s="6">
        <v>155</v>
      </c>
      <c r="AG325" s="6">
        <v>174.3</v>
      </c>
      <c r="AH325" s="6">
        <v>273</v>
      </c>
      <c r="AI325" s="6">
        <v>175</v>
      </c>
      <c r="AJ325" s="6">
        <v>98.7</v>
      </c>
      <c r="AK325" s="6">
        <v>226</v>
      </c>
      <c r="AL325" s="6">
        <v>178</v>
      </c>
    </row>
    <row r="326" spans="2:38">
      <c r="B326" s="14">
        <v>2007</v>
      </c>
      <c r="C326" s="14" t="s">
        <v>131</v>
      </c>
      <c r="D326" s="6">
        <v>9</v>
      </c>
      <c r="E326" s="6">
        <v>17</v>
      </c>
      <c r="F326" s="6">
        <v>50.1</v>
      </c>
      <c r="G326" s="6">
        <v>11</v>
      </c>
      <c r="H326" s="6">
        <v>52</v>
      </c>
      <c r="I326" s="6">
        <v>28</v>
      </c>
      <c r="J326" s="6">
        <v>77</v>
      </c>
      <c r="K326" s="6">
        <v>78</v>
      </c>
      <c r="L326" s="6">
        <v>112</v>
      </c>
      <c r="M326" s="6">
        <v>44</v>
      </c>
      <c r="N326" s="6">
        <v>16</v>
      </c>
      <c r="O326" s="371" t="s">
        <v>142</v>
      </c>
      <c r="P326" s="6">
        <v>49</v>
      </c>
      <c r="Q326" s="6">
        <v>25</v>
      </c>
      <c r="R326" s="14">
        <v>55.5</v>
      </c>
      <c r="S326" s="6">
        <v>53.9</v>
      </c>
      <c r="T326" s="6">
        <v>56.4</v>
      </c>
      <c r="U326" s="6">
        <v>35.5</v>
      </c>
      <c r="V326" s="6">
        <v>204</v>
      </c>
      <c r="W326" s="6">
        <v>102</v>
      </c>
      <c r="X326" s="6">
        <v>48</v>
      </c>
      <c r="Y326" s="6">
        <v>42.2</v>
      </c>
      <c r="Z326" s="6">
        <v>82</v>
      </c>
      <c r="AA326" s="14">
        <v>142</v>
      </c>
      <c r="AB326" s="6">
        <v>18</v>
      </c>
      <c r="AC326" s="6">
        <v>133</v>
      </c>
      <c r="AD326" s="6">
        <v>4.3</v>
      </c>
      <c r="AE326" s="6">
        <v>86.6</v>
      </c>
      <c r="AF326" s="6">
        <v>103</v>
      </c>
      <c r="AG326" s="6">
        <v>44.1</v>
      </c>
      <c r="AH326" s="6">
        <v>96</v>
      </c>
      <c r="AI326" s="6">
        <v>82</v>
      </c>
      <c r="AJ326" s="6">
        <v>29.8</v>
      </c>
      <c r="AK326" s="6">
        <v>83</v>
      </c>
      <c r="AL326" s="6">
        <v>68</v>
      </c>
    </row>
    <row r="327" spans="2:38">
      <c r="B327" s="14">
        <v>2007</v>
      </c>
      <c r="C327" s="14" t="s">
        <v>132</v>
      </c>
      <c r="D327" s="6">
        <v>76</v>
      </c>
      <c r="E327" s="6">
        <v>55</v>
      </c>
      <c r="F327" s="6">
        <v>213.5</v>
      </c>
      <c r="G327" s="6">
        <v>98</v>
      </c>
      <c r="H327" s="6">
        <v>232</v>
      </c>
      <c r="I327" s="6">
        <v>83</v>
      </c>
      <c r="J327" s="6">
        <v>85.5</v>
      </c>
      <c r="K327" s="6">
        <v>203</v>
      </c>
      <c r="L327" s="6">
        <v>194</v>
      </c>
      <c r="M327" s="6">
        <v>41.5</v>
      </c>
      <c r="N327" s="6">
        <v>151</v>
      </c>
      <c r="O327" s="6">
        <v>160</v>
      </c>
      <c r="P327" s="6">
        <v>118</v>
      </c>
      <c r="Q327" s="6">
        <v>165</v>
      </c>
      <c r="R327" s="6">
        <v>155.80000000000001</v>
      </c>
      <c r="S327" s="6">
        <v>141.80000000000001</v>
      </c>
      <c r="T327" s="6">
        <v>113.8</v>
      </c>
      <c r="U327" s="6">
        <v>174.5</v>
      </c>
      <c r="V327" s="6">
        <v>165</v>
      </c>
      <c r="W327" s="6">
        <v>190.5</v>
      </c>
      <c r="X327" s="6">
        <v>107</v>
      </c>
      <c r="Y327" s="6">
        <v>142.6</v>
      </c>
      <c r="Z327" s="6">
        <v>162</v>
      </c>
      <c r="AA327" s="14">
        <v>181</v>
      </c>
      <c r="AB327" s="6">
        <v>91</v>
      </c>
      <c r="AC327" s="6">
        <v>220.7</v>
      </c>
      <c r="AD327" s="6">
        <v>144.4</v>
      </c>
      <c r="AE327" s="6">
        <v>220.8</v>
      </c>
      <c r="AF327" s="6">
        <v>182</v>
      </c>
      <c r="AG327" s="6">
        <v>185.1</v>
      </c>
      <c r="AH327" s="6">
        <v>162.5</v>
      </c>
      <c r="AI327" s="6">
        <v>118</v>
      </c>
      <c r="AJ327" s="6">
        <v>151</v>
      </c>
      <c r="AK327" s="6">
        <v>186</v>
      </c>
      <c r="AL327" s="6">
        <v>125</v>
      </c>
    </row>
    <row r="328" spans="2:38">
      <c r="B328" s="14">
        <v>2007</v>
      </c>
      <c r="C328" s="14" t="s">
        <v>133</v>
      </c>
      <c r="D328" s="6">
        <v>139</v>
      </c>
      <c r="E328" s="6">
        <v>174</v>
      </c>
      <c r="F328" s="6">
        <v>277.7</v>
      </c>
      <c r="G328" s="6">
        <v>273</v>
      </c>
      <c r="H328" s="6">
        <v>312</v>
      </c>
      <c r="I328" s="6">
        <v>420</v>
      </c>
      <c r="J328" s="6">
        <v>323</v>
      </c>
      <c r="K328" s="6">
        <v>656</v>
      </c>
      <c r="L328" s="6">
        <v>402</v>
      </c>
      <c r="M328" s="6">
        <v>236</v>
      </c>
      <c r="N328" s="6">
        <v>699</v>
      </c>
      <c r="O328" s="6">
        <v>279</v>
      </c>
      <c r="P328" s="6">
        <v>218</v>
      </c>
      <c r="Q328" s="6">
        <v>330</v>
      </c>
      <c r="R328" s="6">
        <v>419</v>
      </c>
      <c r="S328" s="6">
        <v>225.1</v>
      </c>
      <c r="T328" s="6">
        <v>605.79999999999995</v>
      </c>
      <c r="U328" s="6">
        <v>415.5</v>
      </c>
      <c r="V328" s="6">
        <v>230</v>
      </c>
      <c r="W328" s="6">
        <v>336.5</v>
      </c>
      <c r="X328" s="6">
        <v>602</v>
      </c>
      <c r="Y328" s="6">
        <v>231.1</v>
      </c>
      <c r="Z328" s="6">
        <v>421</v>
      </c>
      <c r="AA328" s="14">
        <v>364</v>
      </c>
      <c r="AB328" s="6">
        <v>138</v>
      </c>
      <c r="AC328" s="6">
        <v>377.9</v>
      </c>
      <c r="AD328" s="6">
        <v>224.5</v>
      </c>
      <c r="AE328" s="6">
        <v>417.9</v>
      </c>
      <c r="AF328" s="6">
        <v>380</v>
      </c>
      <c r="AG328" s="6">
        <v>329.1</v>
      </c>
      <c r="AH328" s="6">
        <v>184</v>
      </c>
      <c r="AI328" s="6">
        <v>315.5</v>
      </c>
      <c r="AJ328" s="6">
        <v>304.2</v>
      </c>
      <c r="AK328" s="6">
        <v>306</v>
      </c>
      <c r="AL328" s="6">
        <v>234</v>
      </c>
    </row>
    <row r="329" spans="2:38">
      <c r="B329" s="14">
        <v>2007</v>
      </c>
      <c r="C329" s="14" t="s">
        <v>134</v>
      </c>
      <c r="D329" s="6">
        <v>165</v>
      </c>
      <c r="E329" s="6">
        <v>106</v>
      </c>
      <c r="F329" s="6">
        <v>116.2</v>
      </c>
      <c r="G329" s="6">
        <v>146</v>
      </c>
      <c r="H329" s="6">
        <v>136</v>
      </c>
      <c r="I329" s="6">
        <v>138</v>
      </c>
      <c r="J329" s="6">
        <v>151</v>
      </c>
      <c r="K329" s="6">
        <v>174</v>
      </c>
      <c r="L329" s="6">
        <v>126</v>
      </c>
      <c r="M329" s="6">
        <v>162</v>
      </c>
      <c r="N329" s="6">
        <v>86</v>
      </c>
      <c r="O329" s="6">
        <v>45</v>
      </c>
      <c r="P329" s="6">
        <v>149</v>
      </c>
      <c r="Q329" s="6">
        <v>381</v>
      </c>
      <c r="R329" s="6">
        <v>237</v>
      </c>
      <c r="S329" s="6">
        <v>146</v>
      </c>
      <c r="T329" s="6">
        <v>81.7</v>
      </c>
      <c r="U329" s="6">
        <v>128</v>
      </c>
      <c r="V329" s="6">
        <v>112</v>
      </c>
      <c r="W329" s="6">
        <v>128.9</v>
      </c>
      <c r="X329" s="6">
        <v>191</v>
      </c>
      <c r="Y329" s="6">
        <v>162</v>
      </c>
      <c r="Z329" s="6">
        <v>100</v>
      </c>
      <c r="AA329" s="14">
        <v>149</v>
      </c>
      <c r="AB329" s="6">
        <v>95</v>
      </c>
      <c r="AC329" s="6">
        <v>140</v>
      </c>
      <c r="AD329" s="6">
        <v>151.6</v>
      </c>
      <c r="AE329" s="6">
        <v>241.7</v>
      </c>
      <c r="AF329" s="6">
        <v>123</v>
      </c>
      <c r="AG329" s="6">
        <v>150.80000000000001</v>
      </c>
      <c r="AH329" s="6">
        <v>178</v>
      </c>
      <c r="AI329" s="6">
        <v>71</v>
      </c>
      <c r="AJ329" s="6">
        <v>151</v>
      </c>
      <c r="AK329" s="6">
        <v>176</v>
      </c>
      <c r="AL329" s="6">
        <v>195</v>
      </c>
    </row>
    <row r="330" spans="2:38">
      <c r="B330" s="14">
        <v>2007</v>
      </c>
      <c r="C330" s="14" t="s">
        <v>135</v>
      </c>
      <c r="D330" s="6">
        <v>29</v>
      </c>
      <c r="E330" s="6">
        <v>244</v>
      </c>
      <c r="F330" s="6">
        <v>24.2</v>
      </c>
      <c r="G330" s="6">
        <v>163</v>
      </c>
      <c r="H330" s="6">
        <v>41</v>
      </c>
      <c r="I330" s="6">
        <v>164</v>
      </c>
      <c r="J330" s="6">
        <v>258</v>
      </c>
      <c r="K330" s="6">
        <v>88</v>
      </c>
      <c r="L330" s="6">
        <v>169</v>
      </c>
      <c r="M330" s="6">
        <v>281</v>
      </c>
      <c r="N330" s="6">
        <v>236</v>
      </c>
      <c r="O330" s="6">
        <v>152</v>
      </c>
      <c r="P330" s="6">
        <v>259</v>
      </c>
      <c r="Q330" s="6">
        <v>319</v>
      </c>
      <c r="R330" s="6">
        <v>78.400000000000006</v>
      </c>
      <c r="S330" s="6">
        <v>226.7</v>
      </c>
      <c r="T330" s="6">
        <v>148.4</v>
      </c>
      <c r="U330" s="6">
        <v>320.5</v>
      </c>
      <c r="V330" s="6">
        <v>71</v>
      </c>
      <c r="W330" s="6">
        <v>136.6</v>
      </c>
      <c r="X330" s="6">
        <v>159</v>
      </c>
      <c r="Y330" s="6">
        <v>85.2</v>
      </c>
      <c r="Z330" s="6">
        <v>184</v>
      </c>
      <c r="AA330" s="14">
        <v>66</v>
      </c>
      <c r="AB330" s="6">
        <v>32</v>
      </c>
      <c r="AC330" s="6">
        <v>78.8</v>
      </c>
      <c r="AD330" s="6">
        <v>119.4</v>
      </c>
      <c r="AE330" s="6">
        <v>34.700000000000003</v>
      </c>
      <c r="AF330" s="6">
        <v>47</v>
      </c>
      <c r="AG330" s="6">
        <v>41.8</v>
      </c>
      <c r="AH330" s="6">
        <v>24</v>
      </c>
      <c r="AI330" s="6">
        <v>69</v>
      </c>
      <c r="AJ330" s="6">
        <v>341.7</v>
      </c>
      <c r="AK330" s="6">
        <v>54</v>
      </c>
      <c r="AL330" s="6">
        <v>85</v>
      </c>
    </row>
    <row r="331" spans="2:38">
      <c r="B331" s="14">
        <v>2007</v>
      </c>
      <c r="C331" s="14" t="s">
        <v>136</v>
      </c>
      <c r="D331" s="6">
        <v>54</v>
      </c>
      <c r="E331" s="6">
        <v>115</v>
      </c>
      <c r="F331" s="6">
        <v>67.599999999999994</v>
      </c>
      <c r="G331" s="6">
        <v>103</v>
      </c>
      <c r="H331" s="6">
        <v>42</v>
      </c>
      <c r="I331" s="6">
        <v>40</v>
      </c>
      <c r="J331" s="6">
        <v>86</v>
      </c>
      <c r="K331" s="6">
        <v>35</v>
      </c>
      <c r="L331" s="6">
        <v>57</v>
      </c>
      <c r="M331" s="6">
        <v>95</v>
      </c>
      <c r="N331" s="6">
        <v>15</v>
      </c>
      <c r="O331" s="6">
        <v>103</v>
      </c>
      <c r="P331" s="6">
        <v>139</v>
      </c>
      <c r="Q331" s="6">
        <v>83</v>
      </c>
      <c r="R331" s="6">
        <v>45.6</v>
      </c>
      <c r="S331" s="6">
        <v>180.7</v>
      </c>
      <c r="T331" s="6">
        <v>13.9</v>
      </c>
      <c r="U331" s="6">
        <v>60</v>
      </c>
      <c r="V331" s="6">
        <v>141</v>
      </c>
      <c r="W331" s="6">
        <v>37.700000000000003</v>
      </c>
      <c r="X331" s="6">
        <v>40</v>
      </c>
      <c r="Y331" s="6">
        <v>46.7</v>
      </c>
      <c r="Z331" s="6">
        <v>38</v>
      </c>
      <c r="AA331" s="14">
        <v>76</v>
      </c>
      <c r="AB331" s="6">
        <v>8</v>
      </c>
      <c r="AC331" s="6">
        <v>101.7</v>
      </c>
      <c r="AD331" s="6">
        <v>86.9</v>
      </c>
      <c r="AE331" s="6">
        <v>31.4</v>
      </c>
      <c r="AF331" s="6">
        <v>87</v>
      </c>
      <c r="AG331" s="6">
        <v>144.80000000000001</v>
      </c>
      <c r="AH331" s="6">
        <v>44.5</v>
      </c>
      <c r="AI331" s="6">
        <v>84</v>
      </c>
      <c r="AJ331" s="6">
        <v>108.8</v>
      </c>
      <c r="AK331" s="6">
        <v>120</v>
      </c>
      <c r="AL331" s="6">
        <v>135</v>
      </c>
    </row>
    <row r="332" spans="2:38">
      <c r="B332" s="14">
        <v>2007</v>
      </c>
      <c r="C332" s="14" t="s">
        <v>137</v>
      </c>
      <c r="D332" s="6">
        <v>8</v>
      </c>
      <c r="E332" s="6">
        <v>34</v>
      </c>
      <c r="F332" s="6">
        <v>40.6</v>
      </c>
      <c r="G332" s="6">
        <v>8</v>
      </c>
      <c r="H332" s="6">
        <v>36</v>
      </c>
      <c r="I332" s="6">
        <v>9</v>
      </c>
      <c r="J332" s="6">
        <v>15</v>
      </c>
      <c r="K332" s="6">
        <v>10</v>
      </c>
      <c r="L332" s="6">
        <v>10</v>
      </c>
      <c r="M332" s="6">
        <v>8</v>
      </c>
      <c r="N332" s="6">
        <v>4</v>
      </c>
      <c r="O332" s="6">
        <v>15</v>
      </c>
      <c r="P332" s="6">
        <v>9</v>
      </c>
      <c r="Q332" s="6">
        <v>36</v>
      </c>
      <c r="R332" s="6">
        <v>10.7</v>
      </c>
      <c r="S332" s="6">
        <v>31.2</v>
      </c>
      <c r="T332" s="6">
        <v>5</v>
      </c>
      <c r="U332" s="6">
        <v>6</v>
      </c>
      <c r="V332" s="6">
        <v>23</v>
      </c>
      <c r="W332" s="6">
        <v>7.8</v>
      </c>
      <c r="X332" s="6">
        <v>11</v>
      </c>
      <c r="Y332" s="6">
        <v>16.399999999999999</v>
      </c>
      <c r="Z332" s="6">
        <v>9</v>
      </c>
      <c r="AA332" s="14">
        <v>4</v>
      </c>
      <c r="AB332" s="371" t="s">
        <v>142</v>
      </c>
      <c r="AC332" s="6">
        <v>47.8</v>
      </c>
      <c r="AD332" s="6">
        <v>16</v>
      </c>
      <c r="AE332" s="6">
        <v>6.8</v>
      </c>
      <c r="AF332" s="6">
        <v>16</v>
      </c>
      <c r="AG332" s="6">
        <v>10.199999999999999</v>
      </c>
      <c r="AH332" s="6">
        <v>7</v>
      </c>
      <c r="AI332" s="6">
        <v>23</v>
      </c>
      <c r="AJ332" s="6">
        <v>23</v>
      </c>
      <c r="AK332" s="6">
        <v>6</v>
      </c>
      <c r="AL332" s="6">
        <v>32</v>
      </c>
    </row>
    <row r="333" spans="2:38">
      <c r="B333" s="14">
        <v>2007</v>
      </c>
      <c r="C333" s="14" t="s">
        <v>138</v>
      </c>
      <c r="D333" s="6">
        <v>53</v>
      </c>
      <c r="E333" s="6">
        <v>161</v>
      </c>
      <c r="F333" s="6">
        <v>109.3</v>
      </c>
      <c r="G333" s="6">
        <v>103</v>
      </c>
      <c r="H333" s="6">
        <v>124</v>
      </c>
      <c r="I333" s="6">
        <v>98</v>
      </c>
      <c r="J333" s="6">
        <v>69.5</v>
      </c>
      <c r="K333" s="6">
        <v>87</v>
      </c>
      <c r="L333" s="6">
        <v>78</v>
      </c>
      <c r="M333" s="6">
        <v>124</v>
      </c>
      <c r="N333" s="6">
        <v>93</v>
      </c>
      <c r="O333" s="6">
        <v>110</v>
      </c>
      <c r="P333" s="6">
        <v>173</v>
      </c>
      <c r="Q333" s="6">
        <v>136</v>
      </c>
      <c r="R333" s="6">
        <v>95.4</v>
      </c>
      <c r="S333" s="6">
        <v>151.30000000000001</v>
      </c>
      <c r="T333" s="6">
        <v>62.6</v>
      </c>
      <c r="U333" s="6">
        <v>69.5</v>
      </c>
      <c r="V333" s="6">
        <v>168.5</v>
      </c>
      <c r="W333" s="6">
        <v>30.7</v>
      </c>
      <c r="X333" s="6">
        <v>98.5</v>
      </c>
      <c r="Y333" s="6">
        <v>83.4</v>
      </c>
      <c r="Z333" s="6">
        <v>78</v>
      </c>
      <c r="AA333" s="14">
        <v>47.5</v>
      </c>
      <c r="AB333" s="6">
        <v>3</v>
      </c>
      <c r="AC333" s="6">
        <v>174.8</v>
      </c>
      <c r="AD333" s="6">
        <v>111.9</v>
      </c>
      <c r="AE333" s="6">
        <v>35.5</v>
      </c>
      <c r="AF333" s="6">
        <v>89</v>
      </c>
      <c r="AG333" s="6">
        <v>164.31</v>
      </c>
      <c r="AH333" s="6">
        <v>106</v>
      </c>
      <c r="AI333" s="6">
        <v>177</v>
      </c>
      <c r="AJ333" s="6">
        <v>152.4</v>
      </c>
      <c r="AK333" s="6">
        <v>81</v>
      </c>
      <c r="AL333" s="6">
        <v>196</v>
      </c>
    </row>
    <row r="334" spans="2:38">
      <c r="B334" s="14">
        <v>2007</v>
      </c>
      <c r="C334" s="14" t="s">
        <v>139</v>
      </c>
      <c r="D334" s="6">
        <v>185.5</v>
      </c>
      <c r="E334" s="6">
        <v>42</v>
      </c>
      <c r="F334" s="6">
        <v>116.6</v>
      </c>
      <c r="G334" s="6">
        <v>152</v>
      </c>
      <c r="H334" s="6">
        <v>113</v>
      </c>
      <c r="I334" s="6">
        <v>125</v>
      </c>
      <c r="J334" s="6">
        <v>54</v>
      </c>
      <c r="K334" s="6">
        <v>119</v>
      </c>
      <c r="L334" s="6">
        <v>110</v>
      </c>
      <c r="M334" s="6">
        <v>66</v>
      </c>
      <c r="N334" s="6">
        <v>133</v>
      </c>
      <c r="O334" s="6">
        <v>38</v>
      </c>
      <c r="P334" s="6">
        <v>46</v>
      </c>
      <c r="Q334" s="6">
        <v>116</v>
      </c>
      <c r="R334" s="6">
        <v>131</v>
      </c>
      <c r="S334" s="6">
        <v>39.799999999999997</v>
      </c>
      <c r="T334" s="6">
        <v>131.69999999999999</v>
      </c>
      <c r="U334" s="6">
        <v>93.5</v>
      </c>
      <c r="V334" s="6">
        <v>88</v>
      </c>
      <c r="W334" s="6">
        <v>93.1</v>
      </c>
      <c r="X334" s="6">
        <v>122.5</v>
      </c>
      <c r="Y334" s="6">
        <v>131.9</v>
      </c>
      <c r="Z334" s="6">
        <v>89</v>
      </c>
      <c r="AA334" s="14">
        <v>94</v>
      </c>
      <c r="AB334" s="6">
        <v>21</v>
      </c>
      <c r="AC334" s="6">
        <v>101.8</v>
      </c>
      <c r="AD334" s="6">
        <v>126.7</v>
      </c>
      <c r="AE334" s="6">
        <v>97.8</v>
      </c>
      <c r="AF334" s="6">
        <v>73</v>
      </c>
      <c r="AG334" s="6">
        <v>56</v>
      </c>
      <c r="AH334" s="6">
        <v>100</v>
      </c>
      <c r="AI334" s="6">
        <v>79.5</v>
      </c>
      <c r="AJ334" s="6">
        <v>93.5</v>
      </c>
      <c r="AK334" s="6">
        <v>62</v>
      </c>
      <c r="AL334" s="6">
        <v>69</v>
      </c>
    </row>
    <row r="335" spans="2:38">
      <c r="B335" s="14">
        <v>2007</v>
      </c>
      <c r="C335" s="14" t="s">
        <v>140</v>
      </c>
      <c r="D335" s="6">
        <v>186</v>
      </c>
      <c r="E335" s="6">
        <v>153</v>
      </c>
      <c r="F335" s="6">
        <v>238.6</v>
      </c>
      <c r="G335" s="6">
        <v>221</v>
      </c>
      <c r="H335" s="6">
        <v>365</v>
      </c>
      <c r="I335" s="6">
        <v>151</v>
      </c>
      <c r="J335" s="6">
        <v>278</v>
      </c>
      <c r="K335" s="6">
        <v>167</v>
      </c>
      <c r="L335" s="6">
        <v>221</v>
      </c>
      <c r="M335" s="6">
        <v>149</v>
      </c>
      <c r="N335" s="6">
        <v>188.5</v>
      </c>
      <c r="O335" s="6">
        <v>182</v>
      </c>
      <c r="P335" s="6">
        <v>269</v>
      </c>
      <c r="Q335" s="6">
        <v>275</v>
      </c>
      <c r="R335" s="6">
        <v>184.5</v>
      </c>
      <c r="S335" s="6">
        <v>189.5</v>
      </c>
      <c r="T335" s="6">
        <v>219.3</v>
      </c>
      <c r="U335" s="6">
        <v>244</v>
      </c>
      <c r="V335" s="6">
        <v>139</v>
      </c>
      <c r="W335" s="6">
        <v>249.9</v>
      </c>
      <c r="X335" s="6">
        <v>220</v>
      </c>
      <c r="Y335" s="6">
        <v>156.6</v>
      </c>
      <c r="Z335" s="6">
        <v>207</v>
      </c>
      <c r="AA335" s="14">
        <v>200</v>
      </c>
      <c r="AB335" s="6">
        <v>117</v>
      </c>
      <c r="AC335" s="6">
        <v>227.84</v>
      </c>
      <c r="AD335" s="6">
        <v>243.4</v>
      </c>
      <c r="AE335" s="6">
        <v>294.8</v>
      </c>
      <c r="AF335" s="6">
        <v>238</v>
      </c>
      <c r="AG335" s="6">
        <v>274.8</v>
      </c>
      <c r="AH335" s="6">
        <v>220</v>
      </c>
      <c r="AI335" s="6">
        <v>180</v>
      </c>
      <c r="AJ335" s="6">
        <v>173.51</v>
      </c>
      <c r="AK335" s="6">
        <v>189</v>
      </c>
      <c r="AL335" s="6">
        <v>183</v>
      </c>
    </row>
    <row r="336" spans="2:38">
      <c r="B336" s="14">
        <v>2007</v>
      </c>
      <c r="C336" s="14" t="s">
        <v>141</v>
      </c>
      <c r="D336" s="6">
        <v>47</v>
      </c>
      <c r="E336" s="6">
        <v>54</v>
      </c>
      <c r="F336" s="6">
        <v>29.7</v>
      </c>
      <c r="G336" s="6">
        <v>50</v>
      </c>
      <c r="H336" s="6">
        <v>61</v>
      </c>
      <c r="I336" s="6">
        <v>22</v>
      </c>
      <c r="J336" s="6">
        <v>42</v>
      </c>
      <c r="K336" s="6">
        <v>17</v>
      </c>
      <c r="L336" s="6">
        <v>37</v>
      </c>
      <c r="M336" s="6">
        <v>27</v>
      </c>
      <c r="N336" s="6">
        <v>19</v>
      </c>
      <c r="O336" s="6">
        <v>22</v>
      </c>
      <c r="P336" s="6">
        <v>67</v>
      </c>
      <c r="Q336" s="6">
        <v>72</v>
      </c>
      <c r="R336" s="6">
        <v>30.5</v>
      </c>
      <c r="S336" s="6">
        <v>67.5</v>
      </c>
      <c r="T336" s="6">
        <v>14.5</v>
      </c>
      <c r="U336" s="6">
        <v>6</v>
      </c>
      <c r="V336" s="6">
        <v>23</v>
      </c>
      <c r="W336" s="6">
        <v>35.200000000000003</v>
      </c>
      <c r="X336" s="6">
        <v>38</v>
      </c>
      <c r="Y336" s="6">
        <v>65.900000000000006</v>
      </c>
      <c r="Z336" s="371" t="s">
        <v>142</v>
      </c>
      <c r="AA336" s="14">
        <v>66</v>
      </c>
      <c r="AB336" s="371" t="s">
        <v>142</v>
      </c>
      <c r="AC336" s="6">
        <v>45.2</v>
      </c>
      <c r="AD336" s="6">
        <v>30.4</v>
      </c>
      <c r="AE336" s="6">
        <v>45.9</v>
      </c>
      <c r="AF336" s="6">
        <v>42</v>
      </c>
      <c r="AG336" s="6">
        <v>37</v>
      </c>
      <c r="AH336" s="6">
        <v>36</v>
      </c>
      <c r="AI336" s="6">
        <v>29</v>
      </c>
      <c r="AJ336" s="6">
        <v>74.099999999999994</v>
      </c>
      <c r="AK336" s="6">
        <v>42</v>
      </c>
      <c r="AL336" s="6">
        <v>61</v>
      </c>
    </row>
    <row r="337" spans="2:38">
      <c r="B337" s="14">
        <v>2007</v>
      </c>
      <c r="C337" s="14" t="s">
        <v>143</v>
      </c>
      <c r="D337" s="6">
        <v>10</v>
      </c>
      <c r="E337" s="6">
        <v>98</v>
      </c>
      <c r="F337" s="6">
        <v>68.8</v>
      </c>
      <c r="G337" s="6">
        <v>76</v>
      </c>
      <c r="H337" s="6">
        <v>83</v>
      </c>
      <c r="I337" s="6">
        <v>33</v>
      </c>
      <c r="J337" s="6">
        <v>51</v>
      </c>
      <c r="K337" s="6">
        <v>64</v>
      </c>
      <c r="L337" s="6">
        <v>49</v>
      </c>
      <c r="M337" s="6">
        <v>98</v>
      </c>
      <c r="N337" s="6">
        <v>37.5</v>
      </c>
      <c r="O337" s="6">
        <v>65</v>
      </c>
      <c r="P337" s="6">
        <v>166</v>
      </c>
      <c r="Q337" s="6">
        <v>149</v>
      </c>
      <c r="R337" s="6">
        <v>24.5</v>
      </c>
      <c r="S337" s="6">
        <v>104.3</v>
      </c>
      <c r="T337" s="6">
        <v>97.2</v>
      </c>
      <c r="U337" s="6">
        <v>23</v>
      </c>
      <c r="V337" s="6">
        <v>86</v>
      </c>
      <c r="W337" s="6">
        <v>64</v>
      </c>
      <c r="X337" s="6">
        <v>67</v>
      </c>
      <c r="Y337" s="6">
        <v>19.7</v>
      </c>
      <c r="Z337" s="6">
        <v>35</v>
      </c>
      <c r="AA337" s="14">
        <v>93</v>
      </c>
      <c r="AB337" s="371" t="s">
        <v>142</v>
      </c>
      <c r="AC337" s="6">
        <v>73.2</v>
      </c>
      <c r="AD337" s="6">
        <v>60.1</v>
      </c>
      <c r="AE337" s="6">
        <v>46.6</v>
      </c>
      <c r="AF337" s="6">
        <v>38</v>
      </c>
      <c r="AG337" s="6">
        <v>66.900000000000006</v>
      </c>
      <c r="AH337" s="6">
        <v>32</v>
      </c>
      <c r="AI337" s="6">
        <v>23</v>
      </c>
      <c r="AJ337" s="6">
        <v>130.69999999999999</v>
      </c>
      <c r="AK337" s="6">
        <v>21</v>
      </c>
      <c r="AL337" s="6">
        <v>66</v>
      </c>
    </row>
    <row r="338" spans="2:38">
      <c r="B338" s="14">
        <v>2008</v>
      </c>
      <c r="C338" s="14" t="s">
        <v>131</v>
      </c>
      <c r="D338" s="6">
        <v>45</v>
      </c>
      <c r="E338" s="6">
        <v>53</v>
      </c>
      <c r="F338" s="6">
        <v>61.8</v>
      </c>
      <c r="G338" s="6">
        <v>80</v>
      </c>
      <c r="H338" s="6">
        <v>152</v>
      </c>
      <c r="I338" s="6">
        <v>91</v>
      </c>
      <c r="J338" s="6">
        <v>76</v>
      </c>
      <c r="K338" s="6">
        <v>96</v>
      </c>
      <c r="L338" s="6">
        <v>83</v>
      </c>
      <c r="M338" s="6">
        <v>60</v>
      </c>
      <c r="N338" s="6">
        <v>106</v>
      </c>
      <c r="O338" s="6">
        <v>22.5</v>
      </c>
      <c r="P338" s="6">
        <v>28</v>
      </c>
      <c r="Q338" s="6">
        <v>87</v>
      </c>
      <c r="R338" s="6">
        <v>92.6</v>
      </c>
      <c r="S338" s="6">
        <v>46</v>
      </c>
      <c r="T338" s="6">
        <v>83.5</v>
      </c>
      <c r="U338" s="6">
        <v>66.5</v>
      </c>
      <c r="V338" s="6">
        <v>89</v>
      </c>
      <c r="W338" s="6">
        <v>60.3</v>
      </c>
      <c r="X338" s="6">
        <v>89.5</v>
      </c>
      <c r="Y338" s="6">
        <v>60.1</v>
      </c>
      <c r="Z338" s="6">
        <v>75</v>
      </c>
      <c r="AA338" s="14">
        <v>68</v>
      </c>
      <c r="AB338" s="6">
        <v>15</v>
      </c>
      <c r="AC338" s="6">
        <v>61.1</v>
      </c>
      <c r="AD338" s="6">
        <v>19.600000000000001</v>
      </c>
      <c r="AE338" s="6">
        <v>104</v>
      </c>
      <c r="AF338" s="6">
        <v>73</v>
      </c>
      <c r="AG338" s="6">
        <v>72.7</v>
      </c>
      <c r="AH338" s="6">
        <v>159</v>
      </c>
      <c r="AI338" s="6">
        <v>70.5</v>
      </c>
      <c r="AJ338" s="6">
        <v>46.3</v>
      </c>
      <c r="AK338" s="6">
        <v>71</v>
      </c>
      <c r="AL338" s="6">
        <v>113</v>
      </c>
    </row>
    <row r="339" spans="2:38">
      <c r="B339" s="14">
        <v>2008</v>
      </c>
      <c r="C339" s="14" t="s">
        <v>132</v>
      </c>
      <c r="D339" s="6">
        <v>158</v>
      </c>
      <c r="E339" s="6">
        <v>112</v>
      </c>
      <c r="F339" s="6">
        <v>82.8</v>
      </c>
      <c r="G339" s="6">
        <v>226</v>
      </c>
      <c r="H339" s="6">
        <v>62</v>
      </c>
      <c r="I339" s="6">
        <v>211</v>
      </c>
      <c r="J339" s="6">
        <v>159</v>
      </c>
      <c r="K339" s="6">
        <v>87</v>
      </c>
      <c r="L339" s="6">
        <v>77</v>
      </c>
      <c r="M339" s="6">
        <v>118</v>
      </c>
      <c r="N339" s="6">
        <v>121</v>
      </c>
      <c r="O339" s="6">
        <v>36</v>
      </c>
      <c r="P339" s="6">
        <v>118</v>
      </c>
      <c r="Q339" s="6">
        <v>262</v>
      </c>
      <c r="R339" s="6">
        <v>113.7</v>
      </c>
      <c r="S339" s="6">
        <v>215.3</v>
      </c>
      <c r="T339" s="6">
        <v>63.3</v>
      </c>
      <c r="U339" s="6">
        <v>98</v>
      </c>
      <c r="V339" s="6">
        <v>107</v>
      </c>
      <c r="W339" s="6">
        <v>221.9</v>
      </c>
      <c r="X339" s="6">
        <v>56</v>
      </c>
      <c r="Y339" s="6">
        <v>120.4</v>
      </c>
      <c r="Z339" s="6">
        <v>117</v>
      </c>
      <c r="AA339" s="14">
        <v>170</v>
      </c>
      <c r="AB339" s="6">
        <v>90</v>
      </c>
      <c r="AC339" s="6">
        <v>121.1</v>
      </c>
      <c r="AD339" s="6">
        <v>133.19999999999999</v>
      </c>
      <c r="AE339" s="6">
        <v>90</v>
      </c>
      <c r="AF339" s="6">
        <v>53</v>
      </c>
      <c r="AG339" s="6">
        <v>56.8</v>
      </c>
      <c r="AH339" s="6">
        <v>84</v>
      </c>
      <c r="AI339" s="6">
        <v>85</v>
      </c>
      <c r="AJ339" s="6">
        <v>206.1</v>
      </c>
      <c r="AK339" s="6">
        <v>98.5</v>
      </c>
      <c r="AL339" s="6">
        <v>99</v>
      </c>
    </row>
    <row r="340" spans="2:38">
      <c r="B340" s="14">
        <v>2008</v>
      </c>
      <c r="C340" s="14" t="s">
        <v>133</v>
      </c>
      <c r="D340" s="371" t="s">
        <v>142</v>
      </c>
      <c r="E340" s="6">
        <v>56</v>
      </c>
      <c r="F340" s="6">
        <v>75.3</v>
      </c>
      <c r="G340" s="6">
        <v>104</v>
      </c>
      <c r="H340" s="6">
        <v>63</v>
      </c>
      <c r="I340" s="6">
        <v>69</v>
      </c>
      <c r="J340" s="6">
        <v>109</v>
      </c>
      <c r="K340" s="6">
        <v>49</v>
      </c>
      <c r="L340" s="6">
        <v>42</v>
      </c>
      <c r="M340" s="6">
        <v>76</v>
      </c>
      <c r="N340" s="6">
        <v>59</v>
      </c>
      <c r="O340" s="6">
        <v>27</v>
      </c>
      <c r="P340" s="6">
        <v>22</v>
      </c>
      <c r="Q340" s="6">
        <v>97</v>
      </c>
      <c r="R340" s="6">
        <v>101.7</v>
      </c>
      <c r="S340" s="6">
        <v>16.399999999999999</v>
      </c>
      <c r="T340" s="6">
        <v>39.9</v>
      </c>
      <c r="U340" s="6">
        <v>70</v>
      </c>
      <c r="V340" s="6">
        <v>25</v>
      </c>
      <c r="W340" s="6">
        <v>66.7</v>
      </c>
      <c r="X340" s="6">
        <v>58</v>
      </c>
      <c r="Y340" s="6">
        <v>80.599999999999994</v>
      </c>
      <c r="Z340" s="6">
        <v>39</v>
      </c>
      <c r="AA340" s="14">
        <v>128</v>
      </c>
      <c r="AB340" s="371" t="s">
        <v>142</v>
      </c>
      <c r="AC340" s="6">
        <v>24.5</v>
      </c>
      <c r="AD340" s="6">
        <v>59.7</v>
      </c>
      <c r="AE340" s="6">
        <v>59.7</v>
      </c>
      <c r="AF340" s="6">
        <v>48</v>
      </c>
      <c r="AG340" s="6">
        <v>31.8</v>
      </c>
      <c r="AH340" s="6">
        <v>43</v>
      </c>
      <c r="AI340" s="6">
        <v>97</v>
      </c>
      <c r="AJ340" s="6">
        <v>79</v>
      </c>
      <c r="AK340" s="6">
        <v>83</v>
      </c>
      <c r="AL340" s="6">
        <v>53</v>
      </c>
    </row>
    <row r="341" spans="2:38">
      <c r="B341" s="14">
        <v>2008</v>
      </c>
      <c r="C341" s="14" t="s">
        <v>134</v>
      </c>
      <c r="D341" s="6">
        <v>12</v>
      </c>
      <c r="E341" s="6">
        <v>9</v>
      </c>
      <c r="F341" s="6">
        <v>128.1</v>
      </c>
      <c r="G341" s="6">
        <v>15</v>
      </c>
      <c r="H341" s="6">
        <v>72</v>
      </c>
      <c r="I341" s="6">
        <v>14</v>
      </c>
      <c r="J341" s="6">
        <v>4</v>
      </c>
      <c r="K341" s="6">
        <v>6</v>
      </c>
      <c r="L341" s="6">
        <v>11</v>
      </c>
      <c r="M341" s="371" t="s">
        <v>142</v>
      </c>
      <c r="N341" s="6">
        <v>16</v>
      </c>
      <c r="O341" s="371" t="s">
        <v>142</v>
      </c>
      <c r="P341" s="6">
        <v>20</v>
      </c>
      <c r="Q341" s="6">
        <v>29</v>
      </c>
      <c r="R341" s="6">
        <v>18.600000000000001</v>
      </c>
      <c r="S341" s="6">
        <v>15.9</v>
      </c>
      <c r="T341" s="6">
        <v>12</v>
      </c>
      <c r="U341" s="6">
        <v>16</v>
      </c>
      <c r="V341" s="6">
        <v>26</v>
      </c>
      <c r="W341" s="6">
        <v>49.5</v>
      </c>
      <c r="X341" s="6">
        <v>22</v>
      </c>
      <c r="Y341" s="6">
        <v>14.2</v>
      </c>
      <c r="Z341" s="6">
        <v>21</v>
      </c>
      <c r="AA341" s="14">
        <v>24</v>
      </c>
      <c r="AB341" s="6">
        <v>22</v>
      </c>
      <c r="AC341" s="6">
        <v>75</v>
      </c>
      <c r="AD341" s="6">
        <v>28.6</v>
      </c>
      <c r="AE341" s="6">
        <v>60.9</v>
      </c>
      <c r="AF341" s="6">
        <v>69</v>
      </c>
      <c r="AG341" s="6">
        <v>26.4</v>
      </c>
      <c r="AH341" s="6">
        <v>85</v>
      </c>
      <c r="AI341" s="6">
        <v>61</v>
      </c>
      <c r="AJ341" s="6">
        <v>16.3</v>
      </c>
      <c r="AK341" s="371" t="s">
        <v>142</v>
      </c>
      <c r="AL341" s="6">
        <v>27</v>
      </c>
    </row>
    <row r="342" spans="2:38">
      <c r="B342" s="14">
        <v>2008</v>
      </c>
      <c r="C342" s="14" t="s">
        <v>135</v>
      </c>
      <c r="D342" s="6">
        <v>47</v>
      </c>
      <c r="E342" s="6">
        <v>148</v>
      </c>
      <c r="F342" s="6">
        <v>52.5</v>
      </c>
      <c r="G342" s="6">
        <v>79</v>
      </c>
      <c r="H342" s="6">
        <v>68</v>
      </c>
      <c r="I342" s="6">
        <v>82</v>
      </c>
      <c r="J342" s="6">
        <v>157</v>
      </c>
      <c r="K342" s="6">
        <v>21</v>
      </c>
      <c r="L342" s="6">
        <v>52</v>
      </c>
      <c r="M342" s="6">
        <v>84</v>
      </c>
      <c r="N342" s="371" t="s">
        <v>142</v>
      </c>
      <c r="O342" s="6">
        <v>66</v>
      </c>
      <c r="P342" s="6">
        <v>132</v>
      </c>
      <c r="Q342" s="6">
        <v>186</v>
      </c>
      <c r="R342" s="6">
        <v>65.3</v>
      </c>
      <c r="S342" s="6">
        <v>184.3</v>
      </c>
      <c r="T342" s="6">
        <v>22.6</v>
      </c>
      <c r="U342" s="6">
        <v>53</v>
      </c>
      <c r="V342" s="6">
        <v>159</v>
      </c>
      <c r="W342" s="6">
        <v>10</v>
      </c>
      <c r="X342" s="371" t="s">
        <v>142</v>
      </c>
      <c r="Y342" s="6">
        <v>26.7</v>
      </c>
      <c r="Z342" s="6">
        <v>34</v>
      </c>
      <c r="AA342" s="14">
        <v>115</v>
      </c>
      <c r="AB342" s="371" t="s">
        <v>142</v>
      </c>
      <c r="AC342" s="6">
        <v>88.3</v>
      </c>
      <c r="AD342" s="6">
        <v>132.5</v>
      </c>
      <c r="AE342" s="6">
        <v>75.8</v>
      </c>
      <c r="AF342" s="6">
        <v>98</v>
      </c>
      <c r="AG342" s="6">
        <v>148.9</v>
      </c>
      <c r="AH342" s="6">
        <v>106</v>
      </c>
      <c r="AI342" s="6">
        <v>153</v>
      </c>
      <c r="AJ342" s="6">
        <v>168.9</v>
      </c>
      <c r="AK342" s="6">
        <v>160</v>
      </c>
      <c r="AL342" s="6">
        <v>147</v>
      </c>
    </row>
    <row r="343" spans="2:38">
      <c r="B343" s="14">
        <v>2008</v>
      </c>
      <c r="C343" s="14" t="s">
        <v>136</v>
      </c>
      <c r="D343" s="6">
        <v>88</v>
      </c>
      <c r="E343" s="6">
        <v>56</v>
      </c>
      <c r="F343" s="6">
        <v>107.1</v>
      </c>
      <c r="G343" s="6">
        <v>105</v>
      </c>
      <c r="H343" s="6">
        <v>80</v>
      </c>
      <c r="I343" s="6">
        <v>64</v>
      </c>
      <c r="J343" s="6">
        <v>50.2</v>
      </c>
      <c r="K343" s="6">
        <v>29</v>
      </c>
      <c r="L343" s="6">
        <v>23</v>
      </c>
      <c r="M343" s="6">
        <v>64</v>
      </c>
      <c r="N343" s="6">
        <v>28</v>
      </c>
      <c r="O343" s="6">
        <v>25</v>
      </c>
      <c r="P343" s="6">
        <v>59</v>
      </c>
      <c r="Q343" s="6">
        <v>70</v>
      </c>
      <c r="R343" s="6">
        <v>45.9</v>
      </c>
      <c r="S343" s="6">
        <v>65.8</v>
      </c>
      <c r="T343" s="6">
        <v>18.100000000000001</v>
      </c>
      <c r="U343" s="6">
        <v>27</v>
      </c>
      <c r="V343" s="6">
        <v>85</v>
      </c>
      <c r="W343" s="6">
        <v>16.5</v>
      </c>
      <c r="X343" s="6">
        <v>71</v>
      </c>
      <c r="Y343" s="6">
        <v>115.5</v>
      </c>
      <c r="Z343" s="6">
        <v>48</v>
      </c>
      <c r="AA343" s="14">
        <v>25</v>
      </c>
      <c r="AB343" s="371" t="s">
        <v>142</v>
      </c>
      <c r="AC343" s="6">
        <v>117.1</v>
      </c>
      <c r="AD343" s="6">
        <v>86.2</v>
      </c>
      <c r="AE343" s="6">
        <v>50.2</v>
      </c>
      <c r="AF343" s="6">
        <v>59</v>
      </c>
      <c r="AG343" s="6">
        <v>91</v>
      </c>
      <c r="AH343" s="6">
        <v>74</v>
      </c>
      <c r="AI343" s="6">
        <v>69.5</v>
      </c>
      <c r="AJ343" s="6">
        <v>68.099999999999994</v>
      </c>
      <c r="AK343" s="6">
        <v>57</v>
      </c>
      <c r="AL343" s="6">
        <v>102</v>
      </c>
    </row>
    <row r="344" spans="2:38">
      <c r="B344" s="14">
        <v>2008</v>
      </c>
      <c r="C344" s="14" t="s">
        <v>137</v>
      </c>
      <c r="D344" s="6">
        <v>70</v>
      </c>
      <c r="E344" s="6">
        <v>108</v>
      </c>
      <c r="F344" s="6">
        <v>127.3</v>
      </c>
      <c r="G344" s="6">
        <v>66</v>
      </c>
      <c r="H344" s="6">
        <v>112</v>
      </c>
      <c r="I344" s="6">
        <v>102</v>
      </c>
      <c r="J344" s="6">
        <v>88</v>
      </c>
      <c r="K344" s="6">
        <v>41</v>
      </c>
      <c r="L344" s="6">
        <v>101</v>
      </c>
      <c r="M344" s="6">
        <v>74</v>
      </c>
      <c r="N344" s="6">
        <v>52</v>
      </c>
      <c r="O344" s="6">
        <v>33</v>
      </c>
      <c r="P344" s="6">
        <v>123</v>
      </c>
      <c r="Q344" s="6">
        <v>108</v>
      </c>
      <c r="R344" s="6">
        <v>35.200000000000003</v>
      </c>
      <c r="S344" s="6">
        <v>97.4</v>
      </c>
      <c r="T344" s="6">
        <v>80.099999999999994</v>
      </c>
      <c r="U344" s="6">
        <v>63</v>
      </c>
      <c r="V344" s="6">
        <v>101.5</v>
      </c>
      <c r="W344" s="6">
        <v>74.3</v>
      </c>
      <c r="X344" s="6">
        <v>56</v>
      </c>
      <c r="Y344" s="6">
        <v>63.3</v>
      </c>
      <c r="Z344" s="6">
        <v>79</v>
      </c>
      <c r="AA344" s="14">
        <v>113</v>
      </c>
      <c r="AB344" s="6">
        <v>35</v>
      </c>
      <c r="AC344" s="6">
        <v>117.6</v>
      </c>
      <c r="AD344" s="6">
        <v>109.2</v>
      </c>
      <c r="AE344" s="6">
        <v>47.7</v>
      </c>
      <c r="AF344" s="6">
        <v>98</v>
      </c>
      <c r="AG344" s="6">
        <v>80.599999999999994</v>
      </c>
      <c r="AH344" s="6">
        <v>113</v>
      </c>
      <c r="AI344" s="6">
        <v>128</v>
      </c>
      <c r="AJ344" s="6">
        <v>66.400000000000006</v>
      </c>
      <c r="AK344" s="6">
        <v>46</v>
      </c>
      <c r="AL344" s="6">
        <v>119</v>
      </c>
    </row>
    <row r="345" spans="2:38">
      <c r="B345" s="14">
        <v>2008</v>
      </c>
      <c r="C345" s="14" t="s">
        <v>138</v>
      </c>
      <c r="D345" s="6">
        <v>86</v>
      </c>
      <c r="E345" s="6">
        <v>86</v>
      </c>
      <c r="F345" s="6">
        <v>83.8</v>
      </c>
      <c r="G345" s="6">
        <v>95</v>
      </c>
      <c r="H345" s="6">
        <v>87</v>
      </c>
      <c r="I345" s="6">
        <v>90</v>
      </c>
      <c r="J345" s="6">
        <v>78</v>
      </c>
      <c r="K345" s="6">
        <v>18</v>
      </c>
      <c r="L345" s="6">
        <v>99</v>
      </c>
      <c r="M345" s="6">
        <v>92</v>
      </c>
      <c r="N345" s="6">
        <v>29.5</v>
      </c>
      <c r="O345" s="6">
        <v>123</v>
      </c>
      <c r="P345" s="6">
        <v>160</v>
      </c>
      <c r="Q345" s="6">
        <v>113</v>
      </c>
      <c r="R345" s="6">
        <v>19.8</v>
      </c>
      <c r="S345" s="6">
        <v>204.1</v>
      </c>
      <c r="T345" s="6">
        <v>22.4</v>
      </c>
      <c r="U345" s="6">
        <v>75.5</v>
      </c>
      <c r="V345" s="6">
        <v>146.5</v>
      </c>
      <c r="W345" s="6">
        <v>86</v>
      </c>
      <c r="X345" s="6">
        <v>72</v>
      </c>
      <c r="Y345" s="6">
        <v>66.599999999999994</v>
      </c>
      <c r="Z345" s="6">
        <v>66</v>
      </c>
      <c r="AA345" s="14">
        <v>121</v>
      </c>
      <c r="AB345" s="371" t="s">
        <v>142</v>
      </c>
      <c r="AC345" s="6">
        <v>137.30000000000001</v>
      </c>
      <c r="AD345" s="6">
        <v>92.3</v>
      </c>
      <c r="AE345" s="6">
        <v>37.200000000000003</v>
      </c>
      <c r="AF345" s="6">
        <v>70</v>
      </c>
      <c r="AG345" s="6">
        <v>92.9</v>
      </c>
      <c r="AH345" s="6">
        <v>62</v>
      </c>
      <c r="AI345" s="6">
        <v>99</v>
      </c>
      <c r="AJ345" s="6">
        <v>109.7</v>
      </c>
      <c r="AK345" s="6">
        <v>48</v>
      </c>
      <c r="AL345" s="6">
        <v>109</v>
      </c>
    </row>
    <row r="346" spans="2:38">
      <c r="B346" s="14">
        <v>2008</v>
      </c>
      <c r="C346" s="14" t="s">
        <v>139</v>
      </c>
      <c r="D346" s="6">
        <v>26</v>
      </c>
      <c r="E346" s="6">
        <v>51</v>
      </c>
      <c r="F346" s="6">
        <v>70.7</v>
      </c>
      <c r="G346" s="6">
        <v>27</v>
      </c>
      <c r="H346" s="6">
        <v>73</v>
      </c>
      <c r="I346" s="6">
        <v>37</v>
      </c>
      <c r="J346" s="6">
        <v>45.9</v>
      </c>
      <c r="K346" s="6">
        <v>19</v>
      </c>
      <c r="L346" s="6">
        <v>32</v>
      </c>
      <c r="M346" s="6">
        <v>49</v>
      </c>
      <c r="N346" s="6">
        <v>27</v>
      </c>
      <c r="O346" s="6">
        <v>25</v>
      </c>
      <c r="P346" s="6">
        <v>50</v>
      </c>
      <c r="Q346" s="6">
        <v>49</v>
      </c>
      <c r="R346" s="6">
        <v>23.8</v>
      </c>
      <c r="S346" s="6">
        <v>69.599999999999994</v>
      </c>
      <c r="T346" s="6">
        <v>18.8</v>
      </c>
      <c r="U346" s="6">
        <v>35.5</v>
      </c>
      <c r="V346" s="6">
        <v>51</v>
      </c>
      <c r="W346" s="6">
        <v>21.4</v>
      </c>
      <c r="X346" s="6">
        <v>40</v>
      </c>
      <c r="Y346" s="6">
        <v>30.2</v>
      </c>
      <c r="Z346" s="6">
        <v>33</v>
      </c>
      <c r="AA346" s="14">
        <v>20</v>
      </c>
      <c r="AB346" s="371" t="s">
        <v>142</v>
      </c>
      <c r="AC346" s="6">
        <v>71.2</v>
      </c>
      <c r="AD346" s="6">
        <v>27.7</v>
      </c>
      <c r="AE346" s="6">
        <v>71.8</v>
      </c>
      <c r="AF346" s="6">
        <v>54</v>
      </c>
      <c r="AG346" s="6">
        <v>44.1</v>
      </c>
      <c r="AH346" s="6">
        <v>61</v>
      </c>
      <c r="AI346" s="6">
        <v>49</v>
      </c>
      <c r="AJ346" s="6">
        <v>58.2</v>
      </c>
      <c r="AK346" s="6">
        <v>41</v>
      </c>
      <c r="AL346" s="6">
        <v>56</v>
      </c>
    </row>
    <row r="347" spans="2:38">
      <c r="B347" s="14">
        <v>2008</v>
      </c>
      <c r="C347" s="14" t="s">
        <v>140</v>
      </c>
      <c r="D347" s="6">
        <v>17</v>
      </c>
      <c r="E347" s="6">
        <v>18</v>
      </c>
      <c r="F347" s="6">
        <v>205.2</v>
      </c>
      <c r="G347" s="6">
        <v>23</v>
      </c>
      <c r="H347" s="6">
        <v>234</v>
      </c>
      <c r="I347" s="6">
        <v>19</v>
      </c>
      <c r="J347" s="6">
        <v>34</v>
      </c>
      <c r="K347" s="6">
        <v>49</v>
      </c>
      <c r="L347" s="6">
        <v>68</v>
      </c>
      <c r="M347" s="6">
        <v>27</v>
      </c>
      <c r="N347" s="6">
        <v>41</v>
      </c>
      <c r="O347" s="6">
        <v>8</v>
      </c>
      <c r="P347" s="6">
        <v>29</v>
      </c>
      <c r="Q347" s="6">
        <v>41</v>
      </c>
      <c r="R347" s="6">
        <v>66.599999999999994</v>
      </c>
      <c r="S347" s="6">
        <v>50</v>
      </c>
      <c r="T347" s="6">
        <v>53.5</v>
      </c>
      <c r="U347" s="6">
        <v>45</v>
      </c>
      <c r="V347" s="6">
        <v>82</v>
      </c>
      <c r="W347" s="6">
        <v>76.900000000000006</v>
      </c>
      <c r="X347" s="6">
        <v>32</v>
      </c>
      <c r="Y347" s="6">
        <v>27.9</v>
      </c>
      <c r="Z347" s="6">
        <v>24</v>
      </c>
      <c r="AA347" s="14">
        <v>66</v>
      </c>
      <c r="AB347" s="6">
        <v>43</v>
      </c>
      <c r="AC347" s="6">
        <v>178.7</v>
      </c>
      <c r="AD347" s="6">
        <v>47.7</v>
      </c>
      <c r="AE347" s="6">
        <v>97.6</v>
      </c>
      <c r="AF347" s="6">
        <v>187</v>
      </c>
      <c r="AG347" s="6">
        <v>108.5</v>
      </c>
      <c r="AH347" s="6">
        <v>275</v>
      </c>
      <c r="AI347" s="6">
        <v>111</v>
      </c>
      <c r="AJ347" s="6">
        <v>35.9</v>
      </c>
      <c r="AK347" s="6">
        <v>133</v>
      </c>
      <c r="AL347" s="6">
        <v>75</v>
      </c>
    </row>
    <row r="348" spans="2:38">
      <c r="B348" s="14">
        <v>2008</v>
      </c>
      <c r="C348" s="14" t="s">
        <v>141</v>
      </c>
      <c r="D348" s="6">
        <v>20</v>
      </c>
      <c r="E348" s="6">
        <v>64</v>
      </c>
      <c r="F348" s="6">
        <v>18</v>
      </c>
      <c r="G348" s="6">
        <v>18</v>
      </c>
      <c r="H348" s="6">
        <v>14</v>
      </c>
      <c r="I348" s="6">
        <v>27</v>
      </c>
      <c r="J348" s="6">
        <v>65</v>
      </c>
      <c r="K348" s="6">
        <v>59</v>
      </c>
      <c r="L348" s="6">
        <v>131</v>
      </c>
      <c r="M348" s="6">
        <v>72</v>
      </c>
      <c r="N348" s="6">
        <v>38</v>
      </c>
      <c r="O348" s="6">
        <v>97</v>
      </c>
      <c r="P348" s="6">
        <v>59</v>
      </c>
      <c r="Q348" s="6">
        <v>53</v>
      </c>
      <c r="R348" s="6">
        <v>39.299999999999997</v>
      </c>
      <c r="S348" s="6">
        <v>16.5</v>
      </c>
      <c r="T348" s="6">
        <v>43.5</v>
      </c>
      <c r="U348" s="6">
        <v>42</v>
      </c>
      <c r="V348" s="6">
        <v>44.5</v>
      </c>
      <c r="W348" s="6">
        <v>34.9</v>
      </c>
      <c r="X348" s="6">
        <v>30</v>
      </c>
      <c r="Y348" s="6">
        <v>7.3</v>
      </c>
      <c r="Z348" s="6">
        <v>41</v>
      </c>
      <c r="AA348" s="14">
        <v>17</v>
      </c>
      <c r="AB348" s="371" t="s">
        <v>142</v>
      </c>
      <c r="AC348" s="6">
        <v>47.6</v>
      </c>
      <c r="AD348" s="6">
        <v>68.7</v>
      </c>
      <c r="AE348" s="6">
        <v>32.700000000000003</v>
      </c>
      <c r="AF348" s="6">
        <v>9</v>
      </c>
      <c r="AG348" s="6">
        <v>21.4</v>
      </c>
      <c r="AH348" s="6">
        <v>8</v>
      </c>
      <c r="AI348" s="6">
        <v>47</v>
      </c>
      <c r="AJ348" s="6">
        <v>61.1</v>
      </c>
      <c r="AK348" s="6">
        <v>28</v>
      </c>
      <c r="AL348" s="6">
        <v>68</v>
      </c>
    </row>
    <row r="349" spans="2:38">
      <c r="B349" s="14">
        <v>2008</v>
      </c>
      <c r="C349" s="14" t="s">
        <v>143</v>
      </c>
      <c r="D349" s="371" t="s">
        <v>142</v>
      </c>
      <c r="E349" s="6">
        <v>36</v>
      </c>
      <c r="F349" s="6">
        <v>65.2</v>
      </c>
      <c r="G349" s="6">
        <v>18</v>
      </c>
      <c r="H349" s="6">
        <v>52</v>
      </c>
      <c r="I349" s="6">
        <v>2</v>
      </c>
      <c r="J349" s="6">
        <v>14</v>
      </c>
      <c r="K349" s="6">
        <v>80</v>
      </c>
      <c r="L349" s="6">
        <v>19</v>
      </c>
      <c r="M349" s="6">
        <v>42</v>
      </c>
      <c r="N349" s="6">
        <v>48</v>
      </c>
      <c r="O349" s="6">
        <v>7</v>
      </c>
      <c r="P349" s="6">
        <v>48</v>
      </c>
      <c r="Q349" s="6">
        <v>66</v>
      </c>
      <c r="R349" s="6">
        <v>45.6</v>
      </c>
      <c r="S349" s="6">
        <v>31.2</v>
      </c>
      <c r="T349" s="6">
        <v>20.2</v>
      </c>
      <c r="U349" s="6">
        <v>23</v>
      </c>
      <c r="V349" s="6">
        <v>22</v>
      </c>
      <c r="W349" s="6">
        <v>24.3</v>
      </c>
      <c r="X349" s="6">
        <v>21</v>
      </c>
      <c r="Y349" s="6">
        <v>19.8</v>
      </c>
      <c r="Z349" s="6">
        <v>18</v>
      </c>
      <c r="AA349" s="14">
        <v>4</v>
      </c>
      <c r="AB349" s="371" t="s">
        <v>142</v>
      </c>
      <c r="AC349" s="6">
        <v>28.2</v>
      </c>
      <c r="AD349" s="6">
        <v>3.7</v>
      </c>
      <c r="AE349" s="6">
        <v>16.5</v>
      </c>
      <c r="AF349" s="6">
        <v>25</v>
      </c>
      <c r="AG349" s="6">
        <v>29.7</v>
      </c>
      <c r="AH349" s="6">
        <v>88.5</v>
      </c>
      <c r="AI349" s="6">
        <v>265</v>
      </c>
      <c r="AJ349" s="6">
        <v>109.4</v>
      </c>
      <c r="AK349" s="6">
        <v>5</v>
      </c>
      <c r="AL349" s="6">
        <v>41</v>
      </c>
    </row>
    <row r="350" spans="2:38">
      <c r="B350" s="14">
        <v>2009</v>
      </c>
      <c r="C350" s="14" t="s">
        <v>131</v>
      </c>
      <c r="D350" s="6">
        <v>48</v>
      </c>
      <c r="E350" s="6">
        <v>79</v>
      </c>
      <c r="F350" s="6">
        <v>54.9</v>
      </c>
      <c r="G350" s="6">
        <v>120</v>
      </c>
      <c r="H350" s="6">
        <v>107</v>
      </c>
      <c r="I350" s="6">
        <v>97.5</v>
      </c>
      <c r="J350" s="6">
        <v>95</v>
      </c>
      <c r="K350" s="6">
        <v>27</v>
      </c>
      <c r="L350" s="6">
        <v>191</v>
      </c>
      <c r="M350" s="6">
        <v>44</v>
      </c>
      <c r="N350" s="6">
        <v>98.5</v>
      </c>
      <c r="O350" s="6">
        <v>135</v>
      </c>
      <c r="P350" s="6">
        <v>52</v>
      </c>
      <c r="Q350" s="6">
        <v>148</v>
      </c>
      <c r="R350" s="6">
        <v>24.2</v>
      </c>
      <c r="S350" s="6">
        <v>71.5</v>
      </c>
      <c r="T350" s="6">
        <v>135.69999999999999</v>
      </c>
      <c r="U350" s="6">
        <v>121.5</v>
      </c>
      <c r="V350" s="6">
        <v>172</v>
      </c>
      <c r="W350" s="6">
        <v>100.2</v>
      </c>
      <c r="X350" s="6">
        <v>57</v>
      </c>
      <c r="Y350" s="6">
        <v>80.2</v>
      </c>
      <c r="Z350" s="6">
        <v>103</v>
      </c>
      <c r="AA350" s="14">
        <v>110</v>
      </c>
      <c r="AB350" s="6">
        <v>83</v>
      </c>
      <c r="AC350" s="6">
        <v>50.6</v>
      </c>
      <c r="AD350" s="6">
        <v>165.4</v>
      </c>
      <c r="AE350" s="6">
        <v>84.4</v>
      </c>
      <c r="AF350" s="6">
        <v>71</v>
      </c>
      <c r="AG350" s="6">
        <v>83</v>
      </c>
      <c r="AH350" s="6">
        <v>118</v>
      </c>
      <c r="AI350" s="6">
        <v>48</v>
      </c>
      <c r="AJ350" s="6">
        <v>148.69999999999999</v>
      </c>
      <c r="AK350" s="6">
        <v>52</v>
      </c>
      <c r="AL350" s="6">
        <v>119</v>
      </c>
    </row>
    <row r="351" spans="2:38">
      <c r="B351" s="14">
        <v>2009</v>
      </c>
      <c r="C351" s="14" t="s">
        <v>132</v>
      </c>
      <c r="D351" s="6">
        <v>51</v>
      </c>
      <c r="E351" s="6">
        <v>91</v>
      </c>
      <c r="F351" s="6">
        <v>262.60000000000002</v>
      </c>
      <c r="G351" s="6">
        <v>107</v>
      </c>
      <c r="H351" s="6">
        <v>91</v>
      </c>
      <c r="I351" s="6">
        <v>118</v>
      </c>
      <c r="J351" s="6">
        <v>43.6</v>
      </c>
      <c r="K351" s="6">
        <v>217</v>
      </c>
      <c r="L351" s="6">
        <v>114</v>
      </c>
      <c r="M351" s="6">
        <v>73</v>
      </c>
      <c r="N351" s="6">
        <v>150</v>
      </c>
      <c r="O351" s="6">
        <v>58</v>
      </c>
      <c r="P351" s="6">
        <v>97</v>
      </c>
      <c r="Q351" s="6">
        <v>63</v>
      </c>
      <c r="R351" s="6">
        <v>213.7</v>
      </c>
      <c r="S351" s="6">
        <v>86</v>
      </c>
      <c r="T351" s="6">
        <v>176.3</v>
      </c>
      <c r="U351" s="6">
        <v>126</v>
      </c>
      <c r="V351" s="6">
        <v>79</v>
      </c>
      <c r="W351" s="6">
        <v>150.6</v>
      </c>
      <c r="X351" s="6">
        <v>144</v>
      </c>
      <c r="Y351" s="6">
        <v>137.30000000000001</v>
      </c>
      <c r="Z351" s="6">
        <v>240</v>
      </c>
      <c r="AA351" s="14">
        <v>104</v>
      </c>
      <c r="AB351" s="371" t="s">
        <v>142</v>
      </c>
      <c r="AC351" s="6">
        <v>273.5</v>
      </c>
      <c r="AD351" s="6">
        <v>110.5</v>
      </c>
      <c r="AE351" s="6">
        <v>161</v>
      </c>
      <c r="AF351" s="6">
        <v>88</v>
      </c>
      <c r="AG351" s="6">
        <v>120.8</v>
      </c>
      <c r="AH351" s="6">
        <v>72</v>
      </c>
      <c r="AI351" s="6">
        <v>143</v>
      </c>
      <c r="AJ351" s="6">
        <v>107.2</v>
      </c>
      <c r="AK351" s="6">
        <v>117</v>
      </c>
      <c r="AL351" s="6">
        <v>130</v>
      </c>
    </row>
    <row r="352" spans="2:38">
      <c r="B352" s="14">
        <v>2009</v>
      </c>
      <c r="C352" s="14" t="s">
        <v>133</v>
      </c>
      <c r="D352" s="6">
        <v>223</v>
      </c>
      <c r="E352" s="6">
        <v>82</v>
      </c>
      <c r="F352" s="6">
        <v>43.7</v>
      </c>
      <c r="G352" s="6">
        <v>218</v>
      </c>
      <c r="H352" s="6">
        <v>40</v>
      </c>
      <c r="I352" s="6">
        <v>121</v>
      </c>
      <c r="J352" s="6">
        <v>142.4</v>
      </c>
      <c r="K352" s="6">
        <v>186</v>
      </c>
      <c r="L352" s="6">
        <v>182</v>
      </c>
      <c r="M352" s="6">
        <v>129</v>
      </c>
      <c r="N352" s="6">
        <v>128</v>
      </c>
      <c r="O352" s="6">
        <v>190</v>
      </c>
      <c r="P352" s="6">
        <v>107</v>
      </c>
      <c r="Q352" s="6">
        <v>447</v>
      </c>
      <c r="R352" s="6">
        <v>125.2</v>
      </c>
      <c r="S352" s="6">
        <v>94.2</v>
      </c>
      <c r="T352" s="6">
        <v>145.9</v>
      </c>
      <c r="U352" s="6">
        <v>90</v>
      </c>
      <c r="V352" s="6">
        <v>61</v>
      </c>
      <c r="W352" s="6">
        <v>195.9</v>
      </c>
      <c r="X352" s="6">
        <v>154.5</v>
      </c>
      <c r="Y352" s="6">
        <v>114</v>
      </c>
      <c r="Z352" s="6">
        <v>113</v>
      </c>
      <c r="AA352" s="14">
        <v>131</v>
      </c>
      <c r="AB352" s="371" t="s">
        <v>142</v>
      </c>
      <c r="AC352" s="6">
        <v>68.5</v>
      </c>
      <c r="AD352" s="6">
        <v>365.3</v>
      </c>
      <c r="AE352" s="6">
        <v>76.2</v>
      </c>
      <c r="AF352" s="6">
        <v>56</v>
      </c>
      <c r="AG352" s="6">
        <v>47.1</v>
      </c>
      <c r="AH352" s="6">
        <v>18</v>
      </c>
      <c r="AI352" s="6">
        <v>92.5</v>
      </c>
      <c r="AJ352" s="6">
        <v>170.9</v>
      </c>
      <c r="AK352" s="6">
        <v>86</v>
      </c>
      <c r="AL352" s="6">
        <v>52</v>
      </c>
    </row>
    <row r="353" spans="2:38">
      <c r="B353" s="14">
        <v>2009</v>
      </c>
      <c r="C353" s="14" t="s">
        <v>134</v>
      </c>
      <c r="D353" s="6">
        <v>20</v>
      </c>
      <c r="E353" s="371" t="s">
        <v>142</v>
      </c>
      <c r="F353" s="6">
        <v>17.5</v>
      </c>
      <c r="G353" s="6">
        <v>30</v>
      </c>
      <c r="H353" s="6">
        <v>30</v>
      </c>
      <c r="I353" s="6">
        <v>16</v>
      </c>
      <c r="J353" s="6">
        <v>9.5</v>
      </c>
      <c r="K353" s="6">
        <v>20</v>
      </c>
      <c r="L353" s="6">
        <v>17</v>
      </c>
      <c r="M353" s="371" t="s">
        <v>142</v>
      </c>
      <c r="N353" s="6">
        <v>21</v>
      </c>
      <c r="O353" s="6">
        <v>5</v>
      </c>
      <c r="P353" s="371" t="s">
        <v>142</v>
      </c>
      <c r="Q353" s="6">
        <v>21</v>
      </c>
      <c r="R353" s="6">
        <v>25.7</v>
      </c>
      <c r="S353" s="6">
        <v>0.8</v>
      </c>
      <c r="T353" s="6">
        <v>35.9</v>
      </c>
      <c r="U353" s="6">
        <v>23.5</v>
      </c>
      <c r="V353" s="371" t="s">
        <v>142</v>
      </c>
      <c r="W353" s="6">
        <v>29.6</v>
      </c>
      <c r="X353" s="6">
        <v>21</v>
      </c>
      <c r="Y353" s="6">
        <v>14</v>
      </c>
      <c r="Z353" s="6">
        <v>26</v>
      </c>
      <c r="AA353" s="14">
        <v>59</v>
      </c>
      <c r="AB353" s="371" t="s">
        <v>142</v>
      </c>
      <c r="AC353" s="6">
        <v>8.8000000000000007</v>
      </c>
      <c r="AD353" s="6">
        <v>10.8</v>
      </c>
      <c r="AE353" s="6">
        <v>62</v>
      </c>
      <c r="AF353" s="6">
        <v>21</v>
      </c>
      <c r="AG353" s="6">
        <v>6.5</v>
      </c>
      <c r="AH353" s="6">
        <v>33</v>
      </c>
      <c r="AI353" s="6">
        <v>13</v>
      </c>
      <c r="AJ353" s="6">
        <v>5.6</v>
      </c>
      <c r="AK353" s="6">
        <v>16</v>
      </c>
      <c r="AL353" s="371" t="s">
        <v>142</v>
      </c>
    </row>
    <row r="354" spans="2:38">
      <c r="B354" s="14">
        <v>2009</v>
      </c>
      <c r="C354" s="14" t="s">
        <v>135</v>
      </c>
      <c r="D354" s="6">
        <v>74</v>
      </c>
      <c r="E354" s="6">
        <v>59</v>
      </c>
      <c r="F354" s="6">
        <v>146</v>
      </c>
      <c r="G354" s="6">
        <v>82</v>
      </c>
      <c r="H354" s="6">
        <v>140</v>
      </c>
      <c r="I354" s="6">
        <v>87</v>
      </c>
      <c r="J354" s="6">
        <v>78</v>
      </c>
      <c r="K354" s="6">
        <v>49</v>
      </c>
      <c r="L354" s="6">
        <v>71</v>
      </c>
      <c r="M354" s="6">
        <v>61</v>
      </c>
      <c r="N354" s="6">
        <v>77</v>
      </c>
      <c r="O354" s="6">
        <v>41</v>
      </c>
      <c r="P354" s="6">
        <v>75</v>
      </c>
      <c r="Q354" s="6">
        <v>93</v>
      </c>
      <c r="R354" s="6">
        <v>41.6</v>
      </c>
      <c r="S354" s="6">
        <v>77.099999999999994</v>
      </c>
      <c r="T354" s="6">
        <v>50.1</v>
      </c>
      <c r="U354" s="6">
        <v>44</v>
      </c>
      <c r="V354" s="6">
        <v>66.5</v>
      </c>
      <c r="W354" s="6">
        <v>77</v>
      </c>
      <c r="X354" s="6">
        <v>96</v>
      </c>
      <c r="Y354" s="6">
        <v>92.2</v>
      </c>
      <c r="Z354" s="6">
        <v>83</v>
      </c>
      <c r="AA354" s="14">
        <v>88</v>
      </c>
      <c r="AB354" s="371" t="s">
        <v>142</v>
      </c>
      <c r="AC354" s="6">
        <v>121.6</v>
      </c>
      <c r="AD354" s="6">
        <v>154.80000000000001</v>
      </c>
      <c r="AE354" s="6">
        <v>41</v>
      </c>
      <c r="AF354" s="6">
        <v>105</v>
      </c>
      <c r="AG354" s="6">
        <v>73.5</v>
      </c>
      <c r="AH354" s="6">
        <v>150</v>
      </c>
      <c r="AI354" s="6">
        <v>43</v>
      </c>
      <c r="AJ354" s="6">
        <v>88.8</v>
      </c>
      <c r="AK354" s="6">
        <v>37</v>
      </c>
      <c r="AL354" s="6">
        <v>72</v>
      </c>
    </row>
    <row r="355" spans="2:38">
      <c r="B355" s="14">
        <v>2009</v>
      </c>
      <c r="C355" s="14" t="s">
        <v>136</v>
      </c>
      <c r="D355" s="6">
        <v>63</v>
      </c>
      <c r="E355" s="6">
        <v>104</v>
      </c>
      <c r="F355" s="6">
        <v>14</v>
      </c>
      <c r="G355" s="6">
        <v>116</v>
      </c>
      <c r="H355" s="6">
        <v>24</v>
      </c>
      <c r="I355" s="6">
        <v>100</v>
      </c>
      <c r="J355" s="6">
        <v>62</v>
      </c>
      <c r="K355" s="6">
        <v>11</v>
      </c>
      <c r="L355" s="6">
        <v>55.5</v>
      </c>
      <c r="M355" s="6">
        <v>75</v>
      </c>
      <c r="N355" s="6">
        <v>64</v>
      </c>
      <c r="O355" s="6">
        <v>43</v>
      </c>
      <c r="P355" s="6">
        <v>73</v>
      </c>
      <c r="Q355" s="6">
        <v>104</v>
      </c>
      <c r="R355" s="6">
        <v>33.700000000000003</v>
      </c>
      <c r="S355" s="6">
        <v>104.9</v>
      </c>
      <c r="T355" s="6">
        <v>25.3</v>
      </c>
      <c r="U355" s="6">
        <v>69</v>
      </c>
      <c r="V355" s="6">
        <v>56.5</v>
      </c>
      <c r="W355" s="6">
        <v>20.5</v>
      </c>
      <c r="X355" s="6">
        <v>62</v>
      </c>
      <c r="Y355" s="6">
        <v>119.3</v>
      </c>
      <c r="Z355" s="6">
        <v>61</v>
      </c>
      <c r="AA355" s="14">
        <v>30</v>
      </c>
      <c r="AB355" s="6">
        <v>15</v>
      </c>
      <c r="AC355" s="6">
        <v>24.2</v>
      </c>
      <c r="AD355" s="6">
        <v>83.5</v>
      </c>
      <c r="AE355" s="6">
        <v>74.2</v>
      </c>
      <c r="AF355" s="6">
        <v>41.5</v>
      </c>
      <c r="AG355" s="6">
        <v>77.400000000000006</v>
      </c>
      <c r="AH355" s="6">
        <v>35</v>
      </c>
      <c r="AI355" s="6">
        <v>36.5</v>
      </c>
      <c r="AJ355" s="6">
        <v>79.400000000000006</v>
      </c>
      <c r="AK355" s="6">
        <v>68</v>
      </c>
      <c r="AL355" s="6">
        <v>106</v>
      </c>
    </row>
    <row r="356" spans="2:38">
      <c r="B356" s="14">
        <v>2009</v>
      </c>
      <c r="C356" s="14" t="s">
        <v>137</v>
      </c>
      <c r="D356" s="6">
        <v>130</v>
      </c>
      <c r="E356" s="371" t="s">
        <v>142</v>
      </c>
      <c r="F356" s="6">
        <v>21.2</v>
      </c>
      <c r="G356" s="6">
        <v>134</v>
      </c>
      <c r="H356" s="6">
        <v>20</v>
      </c>
      <c r="I356" s="6">
        <v>120</v>
      </c>
      <c r="J356" s="6">
        <v>72</v>
      </c>
      <c r="K356" s="6">
        <v>129</v>
      </c>
      <c r="L356" s="6">
        <v>35</v>
      </c>
      <c r="M356" s="6">
        <v>32</v>
      </c>
      <c r="N356" s="6">
        <v>101</v>
      </c>
      <c r="O356" s="6">
        <v>34.5</v>
      </c>
      <c r="P356" s="6">
        <v>59</v>
      </c>
      <c r="Q356" s="6">
        <v>62</v>
      </c>
      <c r="R356" s="6">
        <v>142</v>
      </c>
      <c r="S356" s="6">
        <v>46</v>
      </c>
      <c r="T356" s="6">
        <v>101.4</v>
      </c>
      <c r="U356" s="6">
        <v>80</v>
      </c>
      <c r="V356" s="6">
        <v>62</v>
      </c>
      <c r="W356" s="6">
        <v>46.5</v>
      </c>
      <c r="X356" s="6">
        <v>127</v>
      </c>
      <c r="Y356" s="6">
        <v>101.1</v>
      </c>
      <c r="Z356" s="6">
        <v>109</v>
      </c>
      <c r="AA356" s="14">
        <v>39</v>
      </c>
      <c r="AB356" s="371" t="s">
        <v>142</v>
      </c>
      <c r="AC356" s="6">
        <v>48.1</v>
      </c>
      <c r="AD356" s="6">
        <v>66.5</v>
      </c>
      <c r="AE356" s="6">
        <v>40.1</v>
      </c>
      <c r="AF356" s="6">
        <v>14</v>
      </c>
      <c r="AG356" s="6">
        <v>46.1</v>
      </c>
      <c r="AH356" s="6">
        <v>22</v>
      </c>
      <c r="AI356" s="6">
        <v>35</v>
      </c>
      <c r="AJ356" s="6">
        <v>61.3</v>
      </c>
      <c r="AK356" s="6">
        <v>10</v>
      </c>
      <c r="AL356" s="6">
        <v>44</v>
      </c>
    </row>
    <row r="357" spans="2:38">
      <c r="B357" s="14">
        <v>2009</v>
      </c>
      <c r="C357" s="14" t="s">
        <v>138</v>
      </c>
      <c r="D357" s="6">
        <v>58</v>
      </c>
      <c r="E357" s="6">
        <v>86</v>
      </c>
      <c r="F357" s="6">
        <v>21.8</v>
      </c>
      <c r="G357" s="6">
        <v>73</v>
      </c>
      <c r="H357" s="6">
        <v>20</v>
      </c>
      <c r="I357" s="6">
        <v>77</v>
      </c>
      <c r="J357" s="6">
        <v>102</v>
      </c>
      <c r="K357" s="6">
        <v>43</v>
      </c>
      <c r="L357" s="6">
        <v>112</v>
      </c>
      <c r="M357" s="6">
        <v>101</v>
      </c>
      <c r="N357" s="6">
        <v>63</v>
      </c>
      <c r="O357" s="6">
        <v>100</v>
      </c>
      <c r="P357" s="6">
        <v>98</v>
      </c>
      <c r="Q357" s="6">
        <v>158</v>
      </c>
      <c r="R357" s="6">
        <v>40.799999999999997</v>
      </c>
      <c r="S357" s="6">
        <v>121.9</v>
      </c>
      <c r="T357" s="6">
        <v>46.4</v>
      </c>
      <c r="U357" s="6">
        <v>80.5</v>
      </c>
      <c r="V357" s="6">
        <v>103</v>
      </c>
      <c r="W357" s="6">
        <v>37.200000000000003</v>
      </c>
      <c r="X357" s="6">
        <v>62</v>
      </c>
      <c r="Y357" s="6">
        <v>58.2</v>
      </c>
      <c r="Z357" s="6">
        <v>107</v>
      </c>
      <c r="AA357" s="14">
        <v>109</v>
      </c>
      <c r="AB357" s="6">
        <v>48</v>
      </c>
      <c r="AC357" s="6">
        <v>76.3</v>
      </c>
      <c r="AD357" s="6">
        <v>53.1</v>
      </c>
      <c r="AE357" s="6">
        <v>44.7</v>
      </c>
      <c r="AF357" s="6">
        <v>66.599999999999994</v>
      </c>
      <c r="AG357" s="6">
        <v>96.9</v>
      </c>
      <c r="AH357" s="6">
        <v>18</v>
      </c>
      <c r="AI357" s="6">
        <v>91</v>
      </c>
      <c r="AJ357" s="6">
        <v>131.9</v>
      </c>
      <c r="AK357" s="6">
        <v>35</v>
      </c>
      <c r="AL357" s="6">
        <v>149</v>
      </c>
    </row>
    <row r="358" spans="2:38">
      <c r="B358" s="14">
        <v>2009</v>
      </c>
      <c r="C358" s="14" t="s">
        <v>139</v>
      </c>
      <c r="D358" s="6">
        <v>156</v>
      </c>
      <c r="E358" s="6">
        <v>74</v>
      </c>
      <c r="F358" s="6">
        <v>195.7</v>
      </c>
      <c r="G358" s="6">
        <v>83</v>
      </c>
      <c r="H358" s="6">
        <v>174</v>
      </c>
      <c r="I358" s="6">
        <v>89</v>
      </c>
      <c r="J358" s="6">
        <v>63.5</v>
      </c>
      <c r="K358" s="6">
        <v>57</v>
      </c>
      <c r="L358" s="6">
        <v>44</v>
      </c>
      <c r="M358" s="6">
        <v>64</v>
      </c>
      <c r="N358" s="6">
        <v>91</v>
      </c>
      <c r="O358" s="6">
        <v>76</v>
      </c>
      <c r="P358" s="6">
        <v>55</v>
      </c>
      <c r="Q358" s="6">
        <v>110</v>
      </c>
      <c r="R358" s="6">
        <v>76.8</v>
      </c>
      <c r="S358" s="6">
        <v>123.5</v>
      </c>
      <c r="T358" s="6">
        <v>93.3</v>
      </c>
      <c r="U358" s="6">
        <v>69</v>
      </c>
      <c r="V358" s="6">
        <v>169.5</v>
      </c>
      <c r="W358" s="6">
        <v>93.1</v>
      </c>
      <c r="X358" s="6">
        <v>63</v>
      </c>
      <c r="Y358" s="6">
        <v>103</v>
      </c>
      <c r="Z358" s="6">
        <v>80</v>
      </c>
      <c r="AA358" s="14">
        <v>83</v>
      </c>
      <c r="AB358" s="6">
        <v>31</v>
      </c>
      <c r="AC358" s="6">
        <v>228.4</v>
      </c>
      <c r="AD358" s="6">
        <v>82.4</v>
      </c>
      <c r="AE358" s="6">
        <v>136.19999999999999</v>
      </c>
      <c r="AF358" s="6">
        <v>198</v>
      </c>
      <c r="AG358" s="6">
        <v>125.4</v>
      </c>
      <c r="AH358" s="6">
        <v>197.7</v>
      </c>
      <c r="AI358" s="6">
        <v>193</v>
      </c>
      <c r="AJ358" s="6">
        <v>78.400000000000006</v>
      </c>
      <c r="AK358" s="6">
        <v>102</v>
      </c>
      <c r="AL358" s="6">
        <v>138.5</v>
      </c>
    </row>
    <row r="359" spans="2:38">
      <c r="B359" s="14">
        <v>2009</v>
      </c>
      <c r="C359" s="14" t="s">
        <v>140</v>
      </c>
      <c r="D359" s="6">
        <v>131</v>
      </c>
      <c r="E359" s="6">
        <v>144</v>
      </c>
      <c r="F359" s="6">
        <v>81.099999999999994</v>
      </c>
      <c r="G359" s="6">
        <v>172</v>
      </c>
      <c r="H359" s="6">
        <v>99</v>
      </c>
      <c r="I359" s="6">
        <v>235</v>
      </c>
      <c r="J359" s="6">
        <v>198</v>
      </c>
      <c r="K359" s="6">
        <v>198</v>
      </c>
      <c r="L359" s="6">
        <v>106</v>
      </c>
      <c r="M359" s="6">
        <v>136</v>
      </c>
      <c r="N359" s="6">
        <v>189</v>
      </c>
      <c r="O359" s="6">
        <v>172</v>
      </c>
      <c r="P359" s="6">
        <v>150</v>
      </c>
      <c r="Q359" s="6">
        <v>174</v>
      </c>
      <c r="R359" s="6">
        <v>208.1</v>
      </c>
      <c r="S359" s="6">
        <v>141.19999999999999</v>
      </c>
      <c r="T359" s="6">
        <v>126.4</v>
      </c>
      <c r="U359" s="6">
        <v>239.5</v>
      </c>
      <c r="V359" s="6">
        <v>139</v>
      </c>
      <c r="W359" s="6">
        <v>76.2</v>
      </c>
      <c r="X359" s="6">
        <v>291.5</v>
      </c>
      <c r="Y359" s="6">
        <v>180</v>
      </c>
      <c r="Z359" s="6">
        <v>258</v>
      </c>
      <c r="AA359" s="14">
        <v>175</v>
      </c>
      <c r="AB359" s="6">
        <v>32</v>
      </c>
      <c r="AC359" s="6">
        <v>132.9</v>
      </c>
      <c r="AD359" s="6">
        <v>185.9</v>
      </c>
      <c r="AE359" s="6">
        <v>113.3</v>
      </c>
      <c r="AF359" s="6">
        <v>89</v>
      </c>
      <c r="AG359" s="6">
        <v>137.69999999999999</v>
      </c>
      <c r="AH359" s="6">
        <v>84</v>
      </c>
      <c r="AI359" s="6">
        <v>75</v>
      </c>
      <c r="AJ359" s="6">
        <v>136.30000000000001</v>
      </c>
      <c r="AK359" s="371" t="s">
        <v>142</v>
      </c>
      <c r="AL359" s="6">
        <v>176</v>
      </c>
    </row>
    <row r="360" spans="2:38">
      <c r="B360" s="14">
        <v>2009</v>
      </c>
      <c r="C360" s="14" t="s">
        <v>141</v>
      </c>
      <c r="D360" s="6">
        <v>155.5</v>
      </c>
      <c r="E360" s="6">
        <v>252</v>
      </c>
      <c r="F360" s="6">
        <v>613.29999999999995</v>
      </c>
      <c r="G360" s="6">
        <v>221</v>
      </c>
      <c r="H360" s="6">
        <v>654</v>
      </c>
      <c r="I360" s="6">
        <v>173.5</v>
      </c>
      <c r="J360" s="6">
        <v>288</v>
      </c>
      <c r="K360" s="6">
        <v>164</v>
      </c>
      <c r="L360" s="6">
        <v>223</v>
      </c>
      <c r="M360" s="6">
        <v>315</v>
      </c>
      <c r="N360" s="6">
        <v>374.5</v>
      </c>
      <c r="O360" s="6">
        <v>139</v>
      </c>
      <c r="P360" s="6">
        <v>351</v>
      </c>
      <c r="Q360" s="6">
        <v>353</v>
      </c>
      <c r="R360" s="6">
        <v>157.80000000000001</v>
      </c>
      <c r="S360" s="6">
        <v>385.4</v>
      </c>
      <c r="T360" s="6">
        <v>200</v>
      </c>
      <c r="U360" s="6">
        <v>242</v>
      </c>
      <c r="V360" s="6">
        <v>763</v>
      </c>
      <c r="W360" s="6">
        <v>250</v>
      </c>
      <c r="X360" s="6">
        <v>332</v>
      </c>
      <c r="Y360" s="6">
        <v>164.2</v>
      </c>
      <c r="Z360" s="6">
        <v>232</v>
      </c>
      <c r="AA360" s="14">
        <v>420</v>
      </c>
      <c r="AB360" s="6">
        <v>320</v>
      </c>
      <c r="AC360" s="6">
        <v>540.1</v>
      </c>
      <c r="AD360" s="6">
        <v>105.6</v>
      </c>
      <c r="AE360" s="6">
        <v>379.6</v>
      </c>
      <c r="AF360" s="6">
        <v>539</v>
      </c>
      <c r="AG360" s="6">
        <v>462.1</v>
      </c>
      <c r="AH360" s="6">
        <v>607</v>
      </c>
      <c r="AI360" s="6">
        <v>496</v>
      </c>
      <c r="AJ360" s="6">
        <v>222.1</v>
      </c>
      <c r="AK360" s="6">
        <v>294</v>
      </c>
      <c r="AL360" s="6">
        <v>625</v>
      </c>
    </row>
    <row r="361" spans="2:38">
      <c r="B361" s="14">
        <v>2009</v>
      </c>
      <c r="C361" s="14" t="s">
        <v>143</v>
      </c>
      <c r="D361" s="6">
        <v>72</v>
      </c>
      <c r="E361" s="6">
        <v>57</v>
      </c>
      <c r="F361" s="6">
        <v>272.39999999999998</v>
      </c>
      <c r="G361" s="6">
        <v>92</v>
      </c>
      <c r="H361" s="6">
        <v>248</v>
      </c>
      <c r="I361" s="6">
        <v>124</v>
      </c>
      <c r="J361" s="6">
        <v>135</v>
      </c>
      <c r="K361" s="6">
        <v>150</v>
      </c>
      <c r="L361" s="6">
        <v>354</v>
      </c>
      <c r="M361" s="6">
        <v>134</v>
      </c>
      <c r="N361" s="6">
        <v>260</v>
      </c>
      <c r="O361" s="6">
        <v>214</v>
      </c>
      <c r="P361" s="6">
        <v>113</v>
      </c>
      <c r="Q361" s="6">
        <v>167</v>
      </c>
      <c r="R361" s="6">
        <v>107.7</v>
      </c>
      <c r="S361" s="6">
        <v>118.9</v>
      </c>
      <c r="T361" s="6">
        <v>314.5</v>
      </c>
      <c r="U361" s="6">
        <v>251</v>
      </c>
      <c r="V361" s="6">
        <v>144</v>
      </c>
      <c r="W361" s="6">
        <v>203.2</v>
      </c>
      <c r="X361" s="6">
        <v>194</v>
      </c>
      <c r="Y361" s="6">
        <v>34.799999999999997</v>
      </c>
      <c r="Z361" s="6">
        <v>173</v>
      </c>
      <c r="AA361" s="14">
        <v>355</v>
      </c>
      <c r="AB361" s="6">
        <v>164</v>
      </c>
      <c r="AC361" s="6">
        <v>276.60000000000002</v>
      </c>
      <c r="AD361" s="6">
        <v>75</v>
      </c>
      <c r="AE361" s="6">
        <v>350.7</v>
      </c>
      <c r="AF361" s="6">
        <v>128</v>
      </c>
      <c r="AG361" s="6">
        <v>221.2</v>
      </c>
      <c r="AH361" s="6">
        <v>207</v>
      </c>
      <c r="AI361" s="6">
        <v>177</v>
      </c>
      <c r="AJ361" s="6">
        <v>151.1</v>
      </c>
      <c r="AK361" s="6">
        <v>99</v>
      </c>
      <c r="AL361" s="6">
        <v>219</v>
      </c>
    </row>
    <row r="362" spans="2:38">
      <c r="B362" s="14">
        <v>2010</v>
      </c>
      <c r="C362" s="14" t="s">
        <v>131</v>
      </c>
      <c r="D362" s="6">
        <v>134</v>
      </c>
      <c r="E362" s="6">
        <v>67</v>
      </c>
      <c r="F362" s="6">
        <v>357.5</v>
      </c>
      <c r="G362" s="6">
        <v>134</v>
      </c>
      <c r="H362" s="6">
        <v>418</v>
      </c>
      <c r="I362" s="6">
        <v>109</v>
      </c>
      <c r="J362" s="6">
        <v>103</v>
      </c>
      <c r="K362" s="6">
        <v>133</v>
      </c>
      <c r="L362" s="6">
        <v>103</v>
      </c>
      <c r="M362" s="6">
        <v>57</v>
      </c>
      <c r="N362" s="6">
        <v>100.5</v>
      </c>
      <c r="O362" s="6">
        <v>32</v>
      </c>
      <c r="P362" s="6">
        <v>13</v>
      </c>
      <c r="Q362" s="6">
        <v>79</v>
      </c>
      <c r="R362" s="6">
        <v>103.6</v>
      </c>
      <c r="S362" s="6">
        <v>30.2</v>
      </c>
      <c r="T362" s="6">
        <v>126.6</v>
      </c>
      <c r="U362" s="6">
        <v>76.5</v>
      </c>
      <c r="V362" s="6">
        <v>86.5</v>
      </c>
      <c r="W362" s="6">
        <v>211.7</v>
      </c>
      <c r="X362" s="6">
        <v>276</v>
      </c>
      <c r="Y362" s="6">
        <v>102.1</v>
      </c>
      <c r="Z362" s="6">
        <v>62</v>
      </c>
      <c r="AA362" s="14">
        <v>182</v>
      </c>
      <c r="AB362" s="371" t="s">
        <v>142</v>
      </c>
      <c r="AC362" s="6">
        <v>241.5</v>
      </c>
      <c r="AD362" s="6">
        <v>75.900000000000006</v>
      </c>
      <c r="AE362" s="6">
        <v>122.7</v>
      </c>
      <c r="AF362" s="6">
        <v>152</v>
      </c>
      <c r="AG362" s="6">
        <v>190.8</v>
      </c>
      <c r="AH362" s="6">
        <v>350</v>
      </c>
      <c r="AI362" s="6">
        <v>56</v>
      </c>
      <c r="AJ362" s="6">
        <v>136.9</v>
      </c>
      <c r="AK362" s="6">
        <v>94</v>
      </c>
      <c r="AL362" s="6">
        <v>106</v>
      </c>
    </row>
    <row r="363" spans="2:38">
      <c r="B363" s="14">
        <v>2010</v>
      </c>
      <c r="C363" s="14" t="s">
        <v>132</v>
      </c>
      <c r="D363" s="6">
        <v>314</v>
      </c>
      <c r="E363" s="6">
        <v>378</v>
      </c>
      <c r="F363" s="6">
        <v>166.2</v>
      </c>
      <c r="G363" s="6">
        <v>369</v>
      </c>
      <c r="H363" s="6">
        <v>320</v>
      </c>
      <c r="I363" s="6">
        <v>329</v>
      </c>
      <c r="J363" s="6">
        <v>256</v>
      </c>
      <c r="K363" s="6">
        <v>346</v>
      </c>
      <c r="L363" s="6">
        <v>497</v>
      </c>
      <c r="M363" s="6">
        <v>234.5</v>
      </c>
      <c r="N363" s="6">
        <v>335</v>
      </c>
      <c r="O363" s="6">
        <v>351</v>
      </c>
      <c r="P363" s="6">
        <v>411</v>
      </c>
      <c r="Q363" s="6">
        <v>507</v>
      </c>
      <c r="R363" s="6">
        <v>351.9</v>
      </c>
      <c r="S363" s="6">
        <v>496.3</v>
      </c>
      <c r="T363" s="6">
        <v>453</v>
      </c>
      <c r="U363" s="6">
        <v>531.5</v>
      </c>
      <c r="V363" s="6">
        <v>362.5</v>
      </c>
      <c r="W363" s="6">
        <v>523.70000000000005</v>
      </c>
      <c r="X363" s="6">
        <v>323</v>
      </c>
      <c r="Y363" s="6">
        <v>183.4</v>
      </c>
      <c r="Z363" s="6">
        <v>493</v>
      </c>
      <c r="AA363" s="14">
        <v>532</v>
      </c>
      <c r="AB363" s="371" t="s">
        <v>142</v>
      </c>
      <c r="AC363" s="6">
        <v>298.10000000000002</v>
      </c>
      <c r="AD363" s="6">
        <v>231.4</v>
      </c>
      <c r="AE363" s="6">
        <v>428.3</v>
      </c>
      <c r="AF363" s="6">
        <v>485</v>
      </c>
      <c r="AG363" s="6">
        <v>509.8</v>
      </c>
      <c r="AH363" s="6">
        <v>208</v>
      </c>
      <c r="AI363" s="6">
        <v>333</v>
      </c>
      <c r="AJ363" s="6">
        <v>259.89999999999998</v>
      </c>
      <c r="AK363" s="6">
        <v>325.5</v>
      </c>
      <c r="AL363" s="6">
        <v>313</v>
      </c>
    </row>
    <row r="364" spans="2:38">
      <c r="B364" s="14">
        <v>2010</v>
      </c>
      <c r="C364" s="14" t="s">
        <v>133</v>
      </c>
      <c r="D364" s="6">
        <v>116</v>
      </c>
      <c r="E364" s="6">
        <v>60</v>
      </c>
      <c r="F364" s="6">
        <v>46.7</v>
      </c>
      <c r="G364" s="6">
        <v>83</v>
      </c>
      <c r="H364" s="6">
        <v>84</v>
      </c>
      <c r="I364" s="6">
        <v>89</v>
      </c>
      <c r="J364" s="6">
        <v>119</v>
      </c>
      <c r="K364" s="6">
        <v>95</v>
      </c>
      <c r="L364" s="6">
        <v>56</v>
      </c>
      <c r="M364" s="6">
        <v>37</v>
      </c>
      <c r="N364" s="6">
        <v>64</v>
      </c>
      <c r="O364" s="6">
        <v>35</v>
      </c>
      <c r="P364" s="6">
        <v>50</v>
      </c>
      <c r="Q364" s="6">
        <v>116</v>
      </c>
      <c r="R364" s="6">
        <v>54.5</v>
      </c>
      <c r="S364" s="6">
        <v>31.6</v>
      </c>
      <c r="T364" s="6">
        <v>112.4</v>
      </c>
      <c r="U364" s="6">
        <v>47</v>
      </c>
      <c r="V364" s="6">
        <v>59</v>
      </c>
      <c r="W364" s="6">
        <v>150.4</v>
      </c>
      <c r="X364" s="6">
        <v>25</v>
      </c>
      <c r="Y364" s="6">
        <v>42.3</v>
      </c>
      <c r="Z364" s="6">
        <v>58</v>
      </c>
      <c r="AA364" s="14">
        <v>133</v>
      </c>
      <c r="AB364" s="371" t="s">
        <v>142</v>
      </c>
      <c r="AC364" s="6">
        <v>53.7</v>
      </c>
      <c r="AD364" s="6">
        <v>71.900000000000006</v>
      </c>
      <c r="AE364" s="6">
        <v>109</v>
      </c>
      <c r="AF364" s="6">
        <v>75</v>
      </c>
      <c r="AG364" s="6">
        <v>41</v>
      </c>
      <c r="AH364" s="6">
        <v>148</v>
      </c>
      <c r="AI364" s="6">
        <v>25</v>
      </c>
      <c r="AJ364" s="6">
        <v>89.1</v>
      </c>
      <c r="AK364" s="6">
        <v>110</v>
      </c>
      <c r="AL364" s="6">
        <v>57</v>
      </c>
    </row>
    <row r="365" spans="2:38">
      <c r="B365" s="14">
        <v>2010</v>
      </c>
      <c r="C365" s="14" t="s">
        <v>134</v>
      </c>
      <c r="D365" s="6">
        <v>65</v>
      </c>
      <c r="E365" s="371" t="s">
        <v>142</v>
      </c>
      <c r="F365" s="6">
        <v>62.9</v>
      </c>
      <c r="G365" s="6">
        <v>103</v>
      </c>
      <c r="H365" s="6">
        <v>106</v>
      </c>
      <c r="I365" s="6">
        <v>97</v>
      </c>
      <c r="J365" s="6">
        <v>28</v>
      </c>
      <c r="K365" s="6">
        <v>61</v>
      </c>
      <c r="L365" s="6">
        <v>34</v>
      </c>
      <c r="M365" s="6">
        <v>27</v>
      </c>
      <c r="N365" s="6">
        <v>62.5</v>
      </c>
      <c r="O365" s="371" t="s">
        <v>142</v>
      </c>
      <c r="P365" s="6">
        <v>25</v>
      </c>
      <c r="Q365" s="6">
        <v>120</v>
      </c>
      <c r="R365" s="6">
        <v>77.900000000000006</v>
      </c>
      <c r="S365" s="6">
        <v>39.1</v>
      </c>
      <c r="T365" s="6">
        <v>61.4</v>
      </c>
      <c r="U365" s="6">
        <v>35</v>
      </c>
      <c r="V365" s="6">
        <v>41</v>
      </c>
      <c r="W365" s="6">
        <v>54.3</v>
      </c>
      <c r="X365" s="6">
        <v>79</v>
      </c>
      <c r="Y365" s="6">
        <v>103.8</v>
      </c>
      <c r="Z365" s="6">
        <v>43</v>
      </c>
      <c r="AA365" s="14">
        <v>28</v>
      </c>
      <c r="AB365" s="6">
        <v>12</v>
      </c>
      <c r="AC365" s="6">
        <v>91</v>
      </c>
      <c r="AD365" s="6">
        <v>68.8</v>
      </c>
      <c r="AE365" s="6">
        <v>23.1</v>
      </c>
      <c r="AF365" s="6">
        <v>53</v>
      </c>
      <c r="AG365" s="6">
        <v>40.9</v>
      </c>
      <c r="AH365" s="6">
        <v>25</v>
      </c>
      <c r="AI365" s="6">
        <v>25.9</v>
      </c>
      <c r="AJ365" s="6">
        <v>70.599999999999994</v>
      </c>
      <c r="AK365" s="6">
        <v>20</v>
      </c>
      <c r="AL365" s="6">
        <v>50</v>
      </c>
    </row>
    <row r="366" spans="2:38">
      <c r="B366" s="14">
        <v>2010</v>
      </c>
      <c r="C366" s="14" t="s">
        <v>135</v>
      </c>
      <c r="D366" s="6">
        <v>95</v>
      </c>
      <c r="E366" s="6">
        <v>49</v>
      </c>
      <c r="F366" s="6">
        <v>126.8</v>
      </c>
      <c r="G366" s="6">
        <v>135</v>
      </c>
      <c r="H366" s="6">
        <v>157</v>
      </c>
      <c r="I366" s="6">
        <v>65</v>
      </c>
      <c r="J366" s="6">
        <v>108</v>
      </c>
      <c r="K366" s="6">
        <v>84</v>
      </c>
      <c r="L366" s="6">
        <v>84</v>
      </c>
      <c r="M366" s="6">
        <v>85</v>
      </c>
      <c r="N366" s="6">
        <v>72</v>
      </c>
      <c r="O366" s="6">
        <v>47</v>
      </c>
      <c r="P366" s="6">
        <v>86</v>
      </c>
      <c r="Q366" s="6">
        <v>61</v>
      </c>
      <c r="R366" s="6">
        <v>86.8</v>
      </c>
      <c r="S366" s="6">
        <v>92.9</v>
      </c>
      <c r="T366" s="6">
        <v>147</v>
      </c>
      <c r="U366" s="6">
        <v>80</v>
      </c>
      <c r="V366" s="6">
        <v>75.5</v>
      </c>
      <c r="W366" s="6">
        <v>82.6</v>
      </c>
      <c r="X366" s="6">
        <v>92</v>
      </c>
      <c r="Y366" s="6">
        <v>86.4</v>
      </c>
      <c r="Z366" s="6">
        <v>71</v>
      </c>
      <c r="AA366" s="14">
        <v>155</v>
      </c>
      <c r="AB366" s="6">
        <v>13</v>
      </c>
      <c r="AC366" s="6">
        <v>108.5</v>
      </c>
      <c r="AD366" s="6">
        <v>93.9</v>
      </c>
      <c r="AE366" s="6">
        <v>86.7</v>
      </c>
      <c r="AF366" s="6">
        <v>115</v>
      </c>
      <c r="AG366" s="6">
        <v>163.41</v>
      </c>
      <c r="AH366" s="6">
        <v>143</v>
      </c>
      <c r="AI366" s="6">
        <v>114</v>
      </c>
      <c r="AJ366" s="6">
        <v>55.9</v>
      </c>
      <c r="AK366" s="6">
        <v>142</v>
      </c>
      <c r="AL366" s="6">
        <v>88</v>
      </c>
    </row>
    <row r="367" spans="2:38">
      <c r="B367" s="14">
        <v>2010</v>
      </c>
      <c r="C367" s="14" t="s">
        <v>136</v>
      </c>
      <c r="D367" s="6">
        <v>99</v>
      </c>
      <c r="E367" s="6">
        <v>33</v>
      </c>
      <c r="F367" s="6">
        <v>22.4</v>
      </c>
      <c r="G367" s="6">
        <v>135</v>
      </c>
      <c r="H367" s="6">
        <v>5</v>
      </c>
      <c r="I367" s="6">
        <v>110</v>
      </c>
      <c r="J367" s="6">
        <v>76</v>
      </c>
      <c r="K367" s="6">
        <v>69</v>
      </c>
      <c r="L367" s="6">
        <v>85</v>
      </c>
      <c r="M367" s="6">
        <v>40</v>
      </c>
      <c r="N367" s="6">
        <v>63</v>
      </c>
      <c r="O367" s="6">
        <v>44</v>
      </c>
      <c r="P367" s="6">
        <v>29</v>
      </c>
      <c r="Q367" s="6">
        <v>112</v>
      </c>
      <c r="R367" s="6">
        <v>54.9</v>
      </c>
      <c r="S367" s="6">
        <v>57.3</v>
      </c>
      <c r="T367" s="6">
        <v>84</v>
      </c>
      <c r="U367" s="6">
        <v>103</v>
      </c>
      <c r="V367" s="6">
        <v>100</v>
      </c>
      <c r="W367" s="6">
        <v>45.6</v>
      </c>
      <c r="X367" s="6">
        <v>116</v>
      </c>
      <c r="Y367" s="6">
        <v>69.5</v>
      </c>
      <c r="Z367" s="6">
        <v>60</v>
      </c>
      <c r="AA367" s="14">
        <v>73</v>
      </c>
      <c r="AB367" s="6">
        <v>57</v>
      </c>
      <c r="AC367" s="6">
        <v>30.1</v>
      </c>
      <c r="AD367" s="6">
        <v>72.2</v>
      </c>
      <c r="AE367" s="6">
        <v>46.7</v>
      </c>
      <c r="AF367" s="6">
        <v>48</v>
      </c>
      <c r="AG367" s="6">
        <v>59.2</v>
      </c>
      <c r="AH367" s="6">
        <v>16</v>
      </c>
      <c r="AI367" s="6">
        <v>33</v>
      </c>
      <c r="AJ367" s="6">
        <v>67.099999999999994</v>
      </c>
      <c r="AK367" s="6">
        <v>52</v>
      </c>
      <c r="AL367" s="6">
        <v>62</v>
      </c>
    </row>
    <row r="368" spans="2:38">
      <c r="B368" s="14">
        <v>2010</v>
      </c>
      <c r="C368" s="14" t="s">
        <v>137</v>
      </c>
      <c r="D368" s="6">
        <v>184</v>
      </c>
      <c r="E368" s="6">
        <v>205</v>
      </c>
      <c r="F368" s="6">
        <v>168.5</v>
      </c>
      <c r="G368" s="6">
        <v>154</v>
      </c>
      <c r="H368" s="6">
        <v>149</v>
      </c>
      <c r="I368" s="6">
        <v>173</v>
      </c>
      <c r="J368" s="6">
        <v>163</v>
      </c>
      <c r="K368" s="6">
        <v>102</v>
      </c>
      <c r="L368" s="6">
        <v>127</v>
      </c>
      <c r="M368" s="6">
        <v>186</v>
      </c>
      <c r="N368" s="6">
        <v>117</v>
      </c>
      <c r="O368" s="6">
        <v>161</v>
      </c>
      <c r="P368" s="6">
        <v>168</v>
      </c>
      <c r="Q368" s="6">
        <v>234</v>
      </c>
      <c r="R368" s="6">
        <v>124.6</v>
      </c>
      <c r="S368" s="6">
        <v>288.8</v>
      </c>
      <c r="T368" s="6">
        <v>66.2</v>
      </c>
      <c r="U368" s="6">
        <v>143</v>
      </c>
      <c r="V368" s="6">
        <v>229</v>
      </c>
      <c r="W368" s="6">
        <v>109.1</v>
      </c>
      <c r="X368" s="6">
        <v>145</v>
      </c>
      <c r="Y368" s="6">
        <v>173.2</v>
      </c>
      <c r="Z368" s="6">
        <v>89</v>
      </c>
      <c r="AA368" s="14">
        <v>108</v>
      </c>
      <c r="AB368" s="6">
        <v>20</v>
      </c>
      <c r="AC368" s="6">
        <v>276.8</v>
      </c>
      <c r="AD368" s="6">
        <v>193.4</v>
      </c>
      <c r="AE368" s="6">
        <v>91.6</v>
      </c>
      <c r="AF368" s="6">
        <v>107</v>
      </c>
      <c r="AG368" s="6">
        <v>144.30000000000001</v>
      </c>
      <c r="AH368" s="6">
        <v>95</v>
      </c>
      <c r="AI368" s="6">
        <v>135</v>
      </c>
      <c r="AJ368" s="6">
        <v>174.3</v>
      </c>
      <c r="AK368" s="6">
        <v>90</v>
      </c>
      <c r="AL368" s="6">
        <v>241</v>
      </c>
    </row>
    <row r="369" spans="2:38">
      <c r="B369" s="14">
        <v>2010</v>
      </c>
      <c r="C369" s="14" t="s">
        <v>138</v>
      </c>
      <c r="D369" s="6">
        <v>151</v>
      </c>
      <c r="E369" s="6">
        <v>55</v>
      </c>
      <c r="F369" s="6">
        <v>13.6</v>
      </c>
      <c r="G369" s="6">
        <v>124</v>
      </c>
      <c r="H369" s="6">
        <v>30</v>
      </c>
      <c r="I369" s="6">
        <v>178</v>
      </c>
      <c r="J369" s="6">
        <v>71</v>
      </c>
      <c r="K369" s="6">
        <v>26</v>
      </c>
      <c r="L369" s="6">
        <v>59</v>
      </c>
      <c r="M369" s="6">
        <v>81</v>
      </c>
      <c r="N369" s="6">
        <v>98</v>
      </c>
      <c r="O369" s="6">
        <v>60</v>
      </c>
      <c r="P369" s="6">
        <v>82</v>
      </c>
      <c r="Q369" s="6">
        <v>93</v>
      </c>
      <c r="R369" s="6">
        <v>29.9</v>
      </c>
      <c r="S369" s="6">
        <v>101.8</v>
      </c>
      <c r="T369" s="6">
        <v>61.5</v>
      </c>
      <c r="U369" s="6">
        <v>115</v>
      </c>
      <c r="V369" s="6">
        <v>19</v>
      </c>
      <c r="W369" s="6">
        <v>91.4</v>
      </c>
      <c r="X369" s="6">
        <v>120</v>
      </c>
      <c r="Y369" s="6">
        <v>99.7</v>
      </c>
      <c r="Z369" s="6">
        <v>130</v>
      </c>
      <c r="AA369" s="14">
        <v>96</v>
      </c>
      <c r="AB369" s="371" t="s">
        <v>142</v>
      </c>
      <c r="AC369" s="6">
        <v>80.5</v>
      </c>
      <c r="AD369" s="6">
        <v>120.8</v>
      </c>
      <c r="AE369" s="6">
        <v>76.5</v>
      </c>
      <c r="AF369" s="6">
        <v>46</v>
      </c>
      <c r="AG369" s="6">
        <v>85.8</v>
      </c>
      <c r="AH369" s="6">
        <v>25</v>
      </c>
      <c r="AI369" s="6">
        <v>33</v>
      </c>
      <c r="AJ369" s="6">
        <v>66.2</v>
      </c>
      <c r="AK369" s="6">
        <v>65</v>
      </c>
      <c r="AL369" s="6">
        <v>27</v>
      </c>
    </row>
    <row r="370" spans="2:38">
      <c r="B370" s="14">
        <v>2010</v>
      </c>
      <c r="C370" s="14" t="s">
        <v>139</v>
      </c>
      <c r="D370" s="6">
        <v>99</v>
      </c>
      <c r="E370" s="6">
        <v>126</v>
      </c>
      <c r="F370" s="6">
        <v>143.9</v>
      </c>
      <c r="G370" s="6">
        <v>99</v>
      </c>
      <c r="H370" s="6">
        <v>139</v>
      </c>
      <c r="I370" s="6">
        <v>146</v>
      </c>
      <c r="J370" s="6">
        <v>128</v>
      </c>
      <c r="K370" s="6">
        <v>146</v>
      </c>
      <c r="L370" s="6">
        <v>33</v>
      </c>
      <c r="M370" s="6">
        <v>81</v>
      </c>
      <c r="N370" s="6">
        <v>80</v>
      </c>
      <c r="O370" s="6">
        <v>150</v>
      </c>
      <c r="P370" s="6">
        <v>125</v>
      </c>
      <c r="Q370" s="6">
        <v>135</v>
      </c>
      <c r="R370" s="6">
        <v>98.8</v>
      </c>
      <c r="S370" s="6">
        <v>159.69999999999999</v>
      </c>
      <c r="T370" s="6">
        <v>87.7</v>
      </c>
      <c r="U370" s="6">
        <v>64</v>
      </c>
      <c r="V370" s="6">
        <v>119</v>
      </c>
      <c r="W370" s="6">
        <v>86.5</v>
      </c>
      <c r="X370" s="6">
        <v>137</v>
      </c>
      <c r="Y370" s="6">
        <v>162.1</v>
      </c>
      <c r="Z370" s="6">
        <v>63</v>
      </c>
      <c r="AA370" s="14">
        <v>97</v>
      </c>
      <c r="AB370" s="6">
        <v>43</v>
      </c>
      <c r="AC370" s="6">
        <v>121.1</v>
      </c>
      <c r="AD370" s="6">
        <v>116.8</v>
      </c>
      <c r="AE370" s="6">
        <v>56.4</v>
      </c>
      <c r="AF370" s="6">
        <v>74</v>
      </c>
      <c r="AG370" s="6">
        <v>145.19999999999999</v>
      </c>
      <c r="AH370" s="6">
        <v>51</v>
      </c>
      <c r="AI370" s="6">
        <v>83</v>
      </c>
      <c r="AJ370" s="6">
        <v>120.1</v>
      </c>
      <c r="AK370" s="6">
        <v>37</v>
      </c>
      <c r="AL370" s="6">
        <v>116</v>
      </c>
    </row>
    <row r="371" spans="2:38">
      <c r="B371" s="14">
        <v>2010</v>
      </c>
      <c r="C371" s="14" t="s">
        <v>140</v>
      </c>
      <c r="D371" s="6">
        <v>33</v>
      </c>
      <c r="E371" s="371" t="s">
        <v>142</v>
      </c>
      <c r="F371" s="6">
        <v>24.4</v>
      </c>
      <c r="G371" s="6">
        <v>26</v>
      </c>
      <c r="H371" s="6">
        <v>27</v>
      </c>
      <c r="I371" s="6">
        <v>24</v>
      </c>
      <c r="J371" s="6">
        <v>17</v>
      </c>
      <c r="K371" s="6">
        <v>27</v>
      </c>
      <c r="L371" s="6">
        <v>27</v>
      </c>
      <c r="M371" s="371" t="s">
        <v>142</v>
      </c>
      <c r="N371" s="6">
        <v>41</v>
      </c>
      <c r="O371" s="371" t="s">
        <v>142</v>
      </c>
      <c r="P371" s="371" t="s">
        <v>142</v>
      </c>
      <c r="Q371" s="6">
        <v>40</v>
      </c>
      <c r="R371" s="6">
        <v>44.5</v>
      </c>
      <c r="S371" s="6">
        <v>18.600000000000001</v>
      </c>
      <c r="T371" s="6">
        <v>71.099999999999994</v>
      </c>
      <c r="U371" s="6">
        <v>26</v>
      </c>
      <c r="V371" s="6">
        <v>9</v>
      </c>
      <c r="W371" s="6">
        <v>40.4</v>
      </c>
      <c r="X371" s="6">
        <v>46</v>
      </c>
      <c r="Y371" s="6">
        <v>45.1</v>
      </c>
      <c r="Z371" s="6">
        <v>38</v>
      </c>
      <c r="AA371" s="14">
        <v>33</v>
      </c>
      <c r="AB371" s="6">
        <v>18</v>
      </c>
      <c r="AC371" s="6">
        <v>20.5</v>
      </c>
      <c r="AD371" s="6">
        <v>18.899999999999999</v>
      </c>
      <c r="AE371" s="6">
        <v>42.7</v>
      </c>
      <c r="AF371" s="6">
        <v>35</v>
      </c>
      <c r="AG371" s="6">
        <v>22.3</v>
      </c>
      <c r="AH371" s="6">
        <v>27</v>
      </c>
      <c r="AI371" s="6">
        <v>24</v>
      </c>
      <c r="AJ371" s="6">
        <v>18.100000000000001</v>
      </c>
      <c r="AK371" s="6">
        <v>28</v>
      </c>
      <c r="AL371" s="6">
        <v>16</v>
      </c>
    </row>
    <row r="372" spans="2:38">
      <c r="B372" s="14">
        <v>2010</v>
      </c>
      <c r="C372" s="14" t="s">
        <v>141</v>
      </c>
      <c r="D372" s="6">
        <v>58</v>
      </c>
      <c r="E372" s="6">
        <v>47</v>
      </c>
      <c r="F372" s="6">
        <v>32.700000000000003</v>
      </c>
      <c r="G372" s="6">
        <v>62</v>
      </c>
      <c r="H372" s="6">
        <v>27</v>
      </c>
      <c r="I372" s="6">
        <v>58</v>
      </c>
      <c r="J372" s="6">
        <v>36</v>
      </c>
      <c r="K372" s="6">
        <v>24</v>
      </c>
      <c r="L372" s="6">
        <v>35</v>
      </c>
      <c r="M372" s="6">
        <v>41</v>
      </c>
      <c r="N372" s="6">
        <v>28</v>
      </c>
      <c r="O372" s="6">
        <v>102</v>
      </c>
      <c r="P372" s="6">
        <v>89</v>
      </c>
      <c r="Q372" s="6">
        <v>87</v>
      </c>
      <c r="R372" s="6">
        <v>35.799999999999997</v>
      </c>
      <c r="S372" s="6">
        <v>111.1</v>
      </c>
      <c r="T372" s="6">
        <v>30</v>
      </c>
      <c r="U372" s="6">
        <v>47.5</v>
      </c>
      <c r="V372" s="6">
        <v>45</v>
      </c>
      <c r="W372" s="6">
        <v>30.8</v>
      </c>
      <c r="X372" s="6">
        <v>118</v>
      </c>
      <c r="Y372" s="6">
        <v>22.2</v>
      </c>
      <c r="Z372" s="6">
        <v>52</v>
      </c>
      <c r="AA372" s="14">
        <v>90</v>
      </c>
      <c r="AB372" s="6">
        <v>29</v>
      </c>
      <c r="AC372" s="6">
        <v>21.8</v>
      </c>
      <c r="AD372" s="6">
        <v>65.900000000000006</v>
      </c>
      <c r="AE372" s="6">
        <v>46.1</v>
      </c>
      <c r="AF372" s="6">
        <v>44</v>
      </c>
      <c r="AG372" s="6">
        <v>37</v>
      </c>
      <c r="AH372" s="6">
        <v>46.5</v>
      </c>
      <c r="AI372" s="6">
        <v>45</v>
      </c>
      <c r="AJ372" s="6">
        <v>87</v>
      </c>
      <c r="AK372" s="6">
        <v>40</v>
      </c>
      <c r="AL372" s="6">
        <v>117</v>
      </c>
    </row>
    <row r="373" spans="2:38">
      <c r="B373" s="14">
        <v>2010</v>
      </c>
      <c r="C373" s="14" t="s">
        <v>143</v>
      </c>
      <c r="D373" s="6">
        <v>53</v>
      </c>
      <c r="E373" s="6">
        <v>12</v>
      </c>
      <c r="F373" s="6">
        <v>78.5</v>
      </c>
      <c r="G373" s="6">
        <v>85</v>
      </c>
      <c r="H373" s="6">
        <v>65</v>
      </c>
      <c r="I373" s="6">
        <v>66</v>
      </c>
      <c r="J373" s="6">
        <v>41</v>
      </c>
      <c r="K373" s="6">
        <v>15</v>
      </c>
      <c r="L373" s="6">
        <v>56</v>
      </c>
      <c r="M373" s="6">
        <v>21</v>
      </c>
      <c r="N373" s="6">
        <v>26.5</v>
      </c>
      <c r="O373" s="371" t="s">
        <v>142</v>
      </c>
      <c r="P373" s="6">
        <v>73</v>
      </c>
      <c r="Q373" s="6">
        <v>32</v>
      </c>
      <c r="R373" s="6">
        <v>25.7</v>
      </c>
      <c r="S373" s="6">
        <v>55.3</v>
      </c>
      <c r="T373" s="6">
        <v>53</v>
      </c>
      <c r="U373" s="6">
        <v>53</v>
      </c>
      <c r="V373" s="6">
        <v>64</v>
      </c>
      <c r="W373" s="6">
        <v>84.6</v>
      </c>
      <c r="X373" s="6">
        <v>51</v>
      </c>
      <c r="Y373" s="6">
        <v>22.2</v>
      </c>
      <c r="Z373" s="6">
        <v>39</v>
      </c>
      <c r="AA373" s="14">
        <v>70</v>
      </c>
      <c r="AB373" s="371" t="s">
        <v>142</v>
      </c>
      <c r="AC373" s="6">
        <v>76.7</v>
      </c>
      <c r="AD373" s="6">
        <v>36.9</v>
      </c>
      <c r="AE373" s="6">
        <v>88.4</v>
      </c>
      <c r="AF373" s="6">
        <v>59</v>
      </c>
      <c r="AG373" s="6">
        <v>65.7</v>
      </c>
      <c r="AH373" s="6">
        <v>42</v>
      </c>
      <c r="AI373" s="6">
        <v>73.5</v>
      </c>
      <c r="AJ373" s="6">
        <v>55.5</v>
      </c>
      <c r="AK373" s="6">
        <v>81</v>
      </c>
      <c r="AL373" s="6">
        <v>27</v>
      </c>
    </row>
  </sheetData>
  <sheetProtection sheet="1" objects="1"/>
  <mergeCells count="7">
    <mergeCell ref="E1:L3"/>
    <mergeCell ref="B10:C10"/>
    <mergeCell ref="A2:C3"/>
    <mergeCell ref="B7:B8"/>
    <mergeCell ref="B6:C6"/>
    <mergeCell ref="B5:C5"/>
    <mergeCell ref="B9:C9"/>
  </mergeCells>
  <phoneticPr fontId="15" type="noConversion"/>
  <pageMargins left="0.51" right="0.34" top="0.56000000000000005" bottom="0.44" header="0" footer="0"/>
  <pageSetup paperSize="9" scale="9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37"/>
  </sheetPr>
  <dimension ref="A1:L48"/>
  <sheetViews>
    <sheetView zoomScale="90" workbookViewId="0">
      <selection activeCell="R51" sqref="R51"/>
    </sheetView>
  </sheetViews>
  <sheetFormatPr baseColWidth="10" defaultColWidth="11.5" defaultRowHeight="15"/>
  <cols>
    <col min="1" max="1" width="52.1640625" style="22" customWidth="1"/>
    <col min="2" max="2" width="11.1640625" style="23" customWidth="1"/>
    <col min="3" max="3" width="15" style="23" customWidth="1"/>
    <col min="4" max="4" width="11.1640625" style="23" customWidth="1"/>
    <col min="5" max="5" width="6.33203125" style="25" customWidth="1"/>
    <col min="6" max="6" width="11.5" style="25"/>
    <col min="7" max="7" width="10.6640625" style="29" customWidth="1"/>
    <col min="8" max="8" width="20.5" style="29" customWidth="1"/>
    <col min="9" max="9" width="14.5" style="25" customWidth="1"/>
    <col min="10" max="10" width="8.33203125" style="25" customWidth="1"/>
    <col min="11" max="11" width="9.83203125" style="25" customWidth="1"/>
    <col min="12" max="16384" width="11.5" style="25"/>
  </cols>
  <sheetData>
    <row r="1" spans="1:12" ht="21" customHeight="1">
      <c r="A1" s="410" t="s">
        <v>358</v>
      </c>
      <c r="B1" s="410"/>
      <c r="C1" s="410"/>
      <c r="D1" s="410"/>
      <c r="E1" s="422" t="s">
        <v>484</v>
      </c>
      <c r="F1" s="423"/>
      <c r="G1" s="423"/>
      <c r="H1" s="423"/>
      <c r="I1" s="423"/>
      <c r="J1" s="423"/>
      <c r="K1" s="423"/>
      <c r="L1" s="423"/>
    </row>
    <row r="2" spans="1:12" ht="15" customHeight="1">
      <c r="F2" s="421" t="s">
        <v>64</v>
      </c>
      <c r="G2" s="421"/>
      <c r="H2" s="421"/>
    </row>
    <row r="3" spans="1:12" ht="15" customHeight="1">
      <c r="A3" s="160" t="s">
        <v>407</v>
      </c>
      <c r="B3" s="401" t="s">
        <v>406</v>
      </c>
      <c r="C3" s="402"/>
      <c r="D3" s="403"/>
      <c r="F3" s="421"/>
      <c r="G3" s="421"/>
      <c r="H3" s="421"/>
      <c r="I3" s="216"/>
      <c r="J3" s="216"/>
      <c r="K3" s="216"/>
      <c r="L3" s="270" t="str">
        <f>+B3</f>
        <v>Presa del Ejemplo del Manual</v>
      </c>
    </row>
    <row r="4" spans="1:12" ht="15" customHeight="1" thickBot="1">
      <c r="A4" s="30" t="s">
        <v>359</v>
      </c>
    </row>
    <row r="5" spans="1:12" ht="15" customHeight="1">
      <c r="A5" s="92" t="s">
        <v>356</v>
      </c>
      <c r="B5" s="93" t="s">
        <v>357</v>
      </c>
      <c r="C5" s="93" t="s">
        <v>148</v>
      </c>
      <c r="D5" s="93" t="s">
        <v>149</v>
      </c>
      <c r="F5" s="411" t="s">
        <v>65</v>
      </c>
      <c r="G5" s="413" t="s">
        <v>66</v>
      </c>
      <c r="H5" s="415" t="s">
        <v>419</v>
      </c>
      <c r="I5" s="416"/>
      <c r="J5" s="416"/>
      <c r="K5" s="417"/>
    </row>
    <row r="6" spans="1:12" ht="17" thickBot="1">
      <c r="A6" s="406" t="s">
        <v>373</v>
      </c>
      <c r="B6" s="26" t="s">
        <v>150</v>
      </c>
      <c r="C6" s="167">
        <v>453500</v>
      </c>
      <c r="D6" s="26" t="s">
        <v>49</v>
      </c>
      <c r="F6" s="412"/>
      <c r="G6" s="414"/>
      <c r="H6" s="418"/>
      <c r="I6" s="419"/>
      <c r="J6" s="419"/>
      <c r="K6" s="420"/>
    </row>
    <row r="7" spans="1:12" ht="18.75" customHeight="1">
      <c r="A7" s="407"/>
      <c r="B7" s="26" t="s">
        <v>151</v>
      </c>
      <c r="C7" s="167">
        <v>6592351</v>
      </c>
      <c r="D7" s="26" t="s">
        <v>49</v>
      </c>
      <c r="E7" s="25">
        <v>1</v>
      </c>
      <c r="F7" s="261">
        <v>101.2</v>
      </c>
      <c r="G7" s="262">
        <v>37.700000000000003</v>
      </c>
      <c r="H7" s="263" t="s">
        <v>314</v>
      </c>
      <c r="I7" s="429" t="s">
        <v>442</v>
      </c>
      <c r="J7" s="254" t="s">
        <v>445</v>
      </c>
      <c r="K7" s="264">
        <f ca="1">+EXP(INTERCEPT(OFFSET('Anexo Geom Emb'!G13,0,0,'Anexo Geom Emb'!A10,1),OFFSET('Anexo Geom Emb'!F13,0,0,'Anexo Geom Emb'!A10,1)))</f>
        <v>8.1090259284822022</v>
      </c>
    </row>
    <row r="8" spans="1:12" ht="18" customHeight="1" thickBot="1">
      <c r="A8" s="408" t="s">
        <v>440</v>
      </c>
      <c r="B8" s="409"/>
      <c r="C8" s="425" t="str">
        <f>+HLOOKUP(+MIN('Precip 1981-2010'!D4:AL4),'Precip 1981-2010'!D4:AL5,2,FALSE)</f>
        <v>Artigas</v>
      </c>
      <c r="D8" s="434" t="str">
        <f>+IF(A9&lt;&gt;"","NO se puede calcular el Escurrimiento","")</f>
        <v/>
      </c>
      <c r="E8" s="25">
        <v>2</v>
      </c>
      <c r="F8" s="215">
        <v>102.2</v>
      </c>
      <c r="G8" s="253">
        <v>84.4</v>
      </c>
      <c r="H8" s="258" t="s">
        <v>443</v>
      </c>
      <c r="I8" s="428"/>
      <c r="J8" s="259" t="s">
        <v>446</v>
      </c>
      <c r="K8" s="87">
        <f ca="1">+SLOPE(OFFSET('Anexo Geom Emb'!G13,0,0,'Anexo Geom Emb'!A10,1),OFFSET('Anexo Geom Emb'!F13,0,0,'Anexo Geom Emb'!A10,1))</f>
        <v>1.8124610315735747</v>
      </c>
    </row>
    <row r="9" spans="1:12" ht="20">
      <c r="A9" s="432" t="str">
        <f>+IF(+HLOOKUP(C8,'Precip 1981-2010'!D5:AL12,8,FALSE)&lt;&gt;0,"Esta Estación aún tiene valores 's/dato'. Debe resolver esta situación","")</f>
        <v/>
      </c>
      <c r="B9" s="433"/>
      <c r="C9" s="426"/>
      <c r="D9" s="434"/>
      <c r="E9" s="25">
        <v>3</v>
      </c>
      <c r="F9" s="215">
        <v>103.2</v>
      </c>
      <c r="G9" s="253">
        <v>135.9</v>
      </c>
      <c r="H9" s="255" t="s">
        <v>441</v>
      </c>
      <c r="I9" s="427" t="s">
        <v>317</v>
      </c>
      <c r="J9" s="256" t="s">
        <v>447</v>
      </c>
      <c r="K9" s="260">
        <f ca="1">+a_/(b_+1)*0.01</f>
        <v>2.8832491677032036E-2</v>
      </c>
      <c r="L9" s="216"/>
    </row>
    <row r="10" spans="1:12" ht="20.25" customHeight="1" thickBot="1">
      <c r="A10" s="430" t="s">
        <v>5</v>
      </c>
      <c r="B10" s="431"/>
      <c r="C10" s="322" t="s">
        <v>159</v>
      </c>
      <c r="D10" s="434"/>
      <c r="E10" s="25">
        <v>4</v>
      </c>
      <c r="F10" s="215">
        <v>104.2</v>
      </c>
      <c r="G10" s="253">
        <v>177</v>
      </c>
      <c r="H10" s="258" t="s">
        <v>444</v>
      </c>
      <c r="I10" s="428"/>
      <c r="J10" s="259" t="s">
        <v>448</v>
      </c>
      <c r="K10" s="87">
        <f ca="1">+b_+1</f>
        <v>2.8124610315735747</v>
      </c>
    </row>
    <row r="11" spans="1:12" s="28" customFormat="1">
      <c r="A11" s="424" t="s">
        <v>724</v>
      </c>
      <c r="B11" s="424"/>
      <c r="C11" s="169">
        <v>101.1</v>
      </c>
      <c r="D11" s="41" t="s">
        <v>47</v>
      </c>
      <c r="E11" s="28">
        <v>5</v>
      </c>
      <c r="F11" s="215">
        <v>105.2</v>
      </c>
      <c r="G11" s="215">
        <v>224.6</v>
      </c>
    </row>
    <row r="12" spans="1:12" s="28" customFormat="1" ht="17">
      <c r="A12" s="25"/>
      <c r="B12" s="25"/>
      <c r="C12" s="25"/>
      <c r="D12" s="23"/>
      <c r="E12" s="25">
        <v>6</v>
      </c>
      <c r="F12" s="215">
        <v>106.2</v>
      </c>
      <c r="G12" s="215">
        <v>300.89999999999998</v>
      </c>
      <c r="I12" s="229" t="s">
        <v>477</v>
      </c>
      <c r="J12" s="274">
        <f ca="1">+CORREL(OFFSET('Anexo Geom Emb'!G13,0,0,'Anexo Geom Emb'!A10,1),OFFSET('Anexo Geom Emb'!F13,0,0,'Anexo Geom Emb'!A10,1))</f>
        <v>0.99394158184244097</v>
      </c>
      <c r="K12" s="81"/>
    </row>
    <row r="13" spans="1:12" s="29" customFormat="1">
      <c r="A13" s="405" t="s">
        <v>287</v>
      </c>
      <c r="B13" s="405"/>
      <c r="C13" s="404" t="s">
        <v>288</v>
      </c>
      <c r="D13" s="404"/>
      <c r="E13" s="25">
        <v>7</v>
      </c>
      <c r="F13" s="215"/>
      <c r="G13" s="215"/>
    </row>
    <row r="14" spans="1:12" s="29" customFormat="1" ht="16">
      <c r="A14" s="399" t="s">
        <v>154</v>
      </c>
      <c r="B14" s="399"/>
      <c r="C14" s="168">
        <v>2559</v>
      </c>
      <c r="D14" s="272" t="s">
        <v>286</v>
      </c>
      <c r="E14" s="25">
        <v>8</v>
      </c>
      <c r="F14" s="215"/>
      <c r="G14" s="215"/>
    </row>
    <row r="15" spans="1:12" s="29" customFormat="1" ht="15" customHeight="1">
      <c r="A15" s="399" t="s">
        <v>155</v>
      </c>
      <c r="B15" s="399"/>
      <c r="C15" s="168">
        <v>71</v>
      </c>
      <c r="D15" s="273" t="s">
        <v>286</v>
      </c>
      <c r="E15" s="25">
        <v>9</v>
      </c>
      <c r="F15" s="215"/>
      <c r="G15" s="215"/>
    </row>
    <row r="16" spans="1:12" ht="16">
      <c r="A16" s="399"/>
      <c r="B16" s="399"/>
      <c r="C16" s="168"/>
      <c r="D16" s="273" t="s">
        <v>286</v>
      </c>
      <c r="E16" s="28">
        <v>10</v>
      </c>
      <c r="F16" s="215"/>
      <c r="G16" s="215"/>
      <c r="H16" s="25"/>
    </row>
    <row r="17" spans="1:8" s="28" customFormat="1" ht="15.75" customHeight="1">
      <c r="A17" s="399"/>
      <c r="B17" s="399"/>
      <c r="C17" s="168"/>
      <c r="D17" s="273" t="s">
        <v>286</v>
      </c>
      <c r="E17" s="25">
        <v>11</v>
      </c>
      <c r="F17" s="215"/>
      <c r="G17" s="215"/>
    </row>
    <row r="18" spans="1:8" s="28" customFormat="1" ht="16">
      <c r="A18" s="400" t="s">
        <v>285</v>
      </c>
      <c r="B18" s="400"/>
      <c r="C18" s="63">
        <f>+C14+C15+C16+C17</f>
        <v>2630</v>
      </c>
      <c r="D18" s="26" t="s">
        <v>286</v>
      </c>
      <c r="E18" s="25">
        <v>12</v>
      </c>
      <c r="F18" s="215"/>
      <c r="G18" s="215"/>
    </row>
    <row r="19" spans="1:8">
      <c r="A19" s="28"/>
      <c r="B19" s="28"/>
      <c r="C19" s="28"/>
      <c r="D19" s="24"/>
      <c r="E19" s="25">
        <v>13</v>
      </c>
      <c r="F19" s="215"/>
      <c r="G19" s="215"/>
    </row>
    <row r="20" spans="1:8">
      <c r="A20" s="30" t="s">
        <v>355</v>
      </c>
      <c r="B20" s="33"/>
      <c r="C20" s="33"/>
      <c r="D20" s="33"/>
      <c r="E20" s="25">
        <v>14</v>
      </c>
      <c r="F20" s="215"/>
      <c r="G20" s="215"/>
      <c r="H20" s="25"/>
    </row>
    <row r="21" spans="1:8" ht="18" customHeight="1">
      <c r="A21" s="92" t="s">
        <v>356</v>
      </c>
      <c r="B21" s="93" t="s">
        <v>357</v>
      </c>
      <c r="C21" s="93" t="s">
        <v>148</v>
      </c>
      <c r="D21" s="93" t="s">
        <v>149</v>
      </c>
      <c r="E21" s="28">
        <v>15</v>
      </c>
      <c r="F21" s="215"/>
      <c r="G21" s="215"/>
      <c r="H21" s="25"/>
    </row>
    <row r="22" spans="1:8" ht="16">
      <c r="A22" s="231" t="s">
        <v>478</v>
      </c>
      <c r="B22" s="26"/>
      <c r="C22" s="27"/>
      <c r="D22" s="26"/>
      <c r="E22" s="25">
        <v>16</v>
      </c>
      <c r="F22" s="215"/>
      <c r="G22" s="215"/>
    </row>
    <row r="23" spans="1:8" ht="16.5" customHeight="1">
      <c r="A23" s="232" t="s">
        <v>354</v>
      </c>
      <c r="B23" s="26" t="s">
        <v>386</v>
      </c>
      <c r="C23" s="75">
        <f>+SUM('Anexo Escurrimiento'!O18:O377)/30</f>
        <v>22.459197848311252</v>
      </c>
      <c r="D23" s="26" t="s">
        <v>352</v>
      </c>
      <c r="E23" s="25">
        <v>17</v>
      </c>
      <c r="F23" s="215"/>
      <c r="G23" s="215"/>
    </row>
    <row r="24" spans="1:8" ht="16">
      <c r="A24" s="234" t="s">
        <v>421</v>
      </c>
      <c r="B24" s="26"/>
      <c r="C24" s="27"/>
      <c r="D24" s="26"/>
      <c r="E24" s="25">
        <v>18</v>
      </c>
      <c r="F24" s="215"/>
      <c r="G24" s="215"/>
    </row>
    <row r="25" spans="1:8" ht="16">
      <c r="A25" s="232" t="s">
        <v>351</v>
      </c>
      <c r="B25" s="26" t="s">
        <v>385</v>
      </c>
      <c r="C25" s="159">
        <f ca="1">+'Ht - Hv - Volumen'!O11</f>
        <v>7.493200510545476</v>
      </c>
      <c r="D25" s="26" t="s">
        <v>350</v>
      </c>
      <c r="E25" s="25">
        <v>19</v>
      </c>
      <c r="F25" s="215"/>
      <c r="G25" s="215"/>
    </row>
    <row r="26" spans="1:8" ht="16">
      <c r="A26" s="232" t="s">
        <v>427</v>
      </c>
      <c r="B26" s="26"/>
      <c r="C26" s="277">
        <f ca="1">+C25/C23*100</f>
        <v>33.363615927667261</v>
      </c>
      <c r="D26" s="144" t="s">
        <v>173</v>
      </c>
      <c r="E26" s="28">
        <v>20</v>
      </c>
      <c r="F26" s="215"/>
      <c r="G26" s="215"/>
    </row>
    <row r="27" spans="1:8" ht="16">
      <c r="A27" s="232" t="s">
        <v>201</v>
      </c>
      <c r="B27" s="26" t="s">
        <v>54</v>
      </c>
      <c r="C27" s="275">
        <f>+'Ht - Hv - Volumen'!O9</f>
        <v>100.5</v>
      </c>
      <c r="D27" s="26" t="s">
        <v>259</v>
      </c>
      <c r="E27" s="36"/>
    </row>
    <row r="28" spans="1:8" ht="16">
      <c r="A28" s="232" t="s">
        <v>227</v>
      </c>
      <c r="B28" s="26" t="s">
        <v>55</v>
      </c>
      <c r="C28" s="275">
        <f>+'Ht - Hv - Volumen'!O10</f>
        <v>106</v>
      </c>
      <c r="D28" s="26" t="s">
        <v>259</v>
      </c>
      <c r="E28" s="36"/>
    </row>
    <row r="29" spans="1:8" ht="16">
      <c r="A29" s="231" t="s">
        <v>422</v>
      </c>
      <c r="B29" s="26"/>
      <c r="C29" s="27"/>
      <c r="D29" s="26"/>
      <c r="E29" s="36"/>
    </row>
    <row r="30" spans="1:8" ht="16">
      <c r="A30" s="232" t="s">
        <v>424</v>
      </c>
      <c r="B30" s="26" t="s">
        <v>425</v>
      </c>
      <c r="C30" s="27">
        <f>+'Avenida Proy'!B11</f>
        <v>100</v>
      </c>
      <c r="D30" s="26" t="s">
        <v>426</v>
      </c>
    </row>
    <row r="31" spans="1:8" ht="16">
      <c r="A31" s="233" t="s">
        <v>376</v>
      </c>
      <c r="B31" s="26" t="s">
        <v>377</v>
      </c>
      <c r="C31" s="140">
        <f>+'Avenida Proy'!B53</f>
        <v>229.26047150119342</v>
      </c>
      <c r="D31" s="26" t="s">
        <v>379</v>
      </c>
    </row>
    <row r="32" spans="1:8" ht="16">
      <c r="A32" s="232" t="s">
        <v>375</v>
      </c>
      <c r="B32" s="26" t="s">
        <v>180</v>
      </c>
      <c r="C32" s="140">
        <f ca="1">+'Diseño Aliv-Canal'!F37</f>
        <v>97.389087805078148</v>
      </c>
      <c r="D32" s="26" t="s">
        <v>379</v>
      </c>
    </row>
    <row r="33" spans="1:6" ht="16">
      <c r="A33" s="232" t="s">
        <v>353</v>
      </c>
      <c r="B33" s="26"/>
      <c r="C33" s="143">
        <f ca="1">+C32/C31*100</f>
        <v>42.47966828619699</v>
      </c>
      <c r="D33" s="144" t="s">
        <v>173</v>
      </c>
    </row>
    <row r="34" spans="1:6" ht="16">
      <c r="A34" s="232" t="s">
        <v>230</v>
      </c>
      <c r="B34" s="26" t="s">
        <v>178</v>
      </c>
      <c r="C34" s="75">
        <f>+'Diseño Aliv-Canal'!F34</f>
        <v>0.45</v>
      </c>
      <c r="D34" s="26" t="s">
        <v>49</v>
      </c>
    </row>
    <row r="35" spans="1:6" ht="16">
      <c r="A35" s="232" t="s">
        <v>228</v>
      </c>
      <c r="B35" s="26" t="s">
        <v>229</v>
      </c>
      <c r="C35" s="75">
        <f>+'Diseño Aliv-Canal'!F35</f>
        <v>1.4242941182203603</v>
      </c>
      <c r="D35" s="26" t="s">
        <v>185</v>
      </c>
    </row>
    <row r="36" spans="1:6" ht="16">
      <c r="A36" s="233" t="s">
        <v>374</v>
      </c>
      <c r="B36" s="26" t="s">
        <v>182</v>
      </c>
      <c r="C36" s="26">
        <f>+'Diseño Aliv-Canal'!F33</f>
        <v>200</v>
      </c>
      <c r="D36" s="26" t="s">
        <v>49</v>
      </c>
    </row>
    <row r="37" spans="1:6" ht="15.75" customHeight="1">
      <c r="A37" s="231" t="s">
        <v>423</v>
      </c>
    </row>
    <row r="38" spans="1:6" ht="18">
      <c r="A38" s="233" t="s">
        <v>479</v>
      </c>
      <c r="B38" s="276" t="s">
        <v>480</v>
      </c>
      <c r="C38" s="75">
        <f>+'C de Coronam'!E22</f>
        <v>1.35</v>
      </c>
      <c r="D38" s="26" t="s">
        <v>49</v>
      </c>
    </row>
    <row r="39" spans="1:6" ht="16">
      <c r="A39" s="233" t="s">
        <v>381</v>
      </c>
      <c r="B39" s="141" t="s">
        <v>300</v>
      </c>
      <c r="C39" s="75">
        <f>+'C de Coronam'!E23</f>
        <v>107.35</v>
      </c>
      <c r="D39" s="26" t="s">
        <v>259</v>
      </c>
    </row>
    <row r="40" spans="1:6" ht="16">
      <c r="A40" s="233" t="s">
        <v>380</v>
      </c>
      <c r="B40" s="141" t="s">
        <v>382</v>
      </c>
      <c r="C40" s="75">
        <f>+'C de Coronam'!E27</f>
        <v>9.3499999999999943</v>
      </c>
      <c r="D40" s="26" t="s">
        <v>49</v>
      </c>
    </row>
    <row r="41" spans="1:6">
      <c r="F41"/>
    </row>
    <row r="45" spans="1:6">
      <c r="A45" s="85"/>
      <c r="B45" s="94"/>
      <c r="C45" s="95"/>
      <c r="D45" s="94"/>
    </row>
    <row r="48" spans="1:6">
      <c r="A48" s="91"/>
      <c r="B48" s="91"/>
    </row>
  </sheetData>
  <sheetProtection sheet="1"/>
  <mergeCells count="23">
    <mergeCell ref="A11:B11"/>
    <mergeCell ref="C8:C9"/>
    <mergeCell ref="I9:I10"/>
    <mergeCell ref="I7:I8"/>
    <mergeCell ref="A10:B10"/>
    <mergeCell ref="A9:B9"/>
    <mergeCell ref="D8:D10"/>
    <mergeCell ref="A1:D1"/>
    <mergeCell ref="F5:F6"/>
    <mergeCell ref="G5:G6"/>
    <mergeCell ref="H5:K6"/>
    <mergeCell ref="F2:H3"/>
    <mergeCell ref="E1:L1"/>
    <mergeCell ref="A15:B15"/>
    <mergeCell ref="A18:B18"/>
    <mergeCell ref="B3:D3"/>
    <mergeCell ref="A16:B16"/>
    <mergeCell ref="A17:B17"/>
    <mergeCell ref="C13:D13"/>
    <mergeCell ref="A13:B13"/>
    <mergeCell ref="A14:B14"/>
    <mergeCell ref="A6:A7"/>
    <mergeCell ref="A8:B8"/>
  </mergeCells>
  <phoneticPr fontId="15" type="noConversion"/>
  <dataValidations count="4">
    <dataValidation type="list" allowBlank="1" showInputMessage="1" showErrorMessage="1" error="Seleccione de la lista desplegable!" prompt="Seleccione de la lista desplegable la Estación de Tanque Evaporímetro más cercana al baricentro de la cuenca. (La información completa está en la hoja &quot;Evap Tanque&quot;)" sqref="C10">
      <formula1>Evaporacion</formula1>
    </dataValidation>
    <dataValidation type="list" allowBlank="1" showInputMessage="1" showErrorMessage="1" error="La sintaxis del nombre de la Estación introducida debe ser exacta a la que aparece en la hoja &quot;Precip 1981-2010&quot;" prompt="Se selecciona automáticamente la Estación pluvimétrica más cercana a las coordenadas introducidas. Ver hoja &quot;Precip 1981-2010&quot;. Si decide cambiarla, desproteja la hoja, y seleccione la Estación de la lista desplegable._x000a_Resguarde antes la fórmula original." sqref="C8:C9">
      <formula1>Precipitaciones</formula1>
    </dataValidation>
    <dataValidation allowBlank="1" showInputMessage="1" showErrorMessage="1" error="Seleccione de la lista desplegable!" prompt="Ubique la cuenca en el Mapa 2.3 del Manual, e interpole el valor de las isolíneas." sqref="C11"/>
    <dataValidation type="list" showInputMessage="1" showErrorMessage="1" error="La sintaxis no coincide con el nombre de ninguna Unidad de Suelos de la lilsta desplegable" prompt="Seleccione de la lista desplegable la Unidad de Suelos que corresponde según la Carta de Reconocimiento de Suelos del Uruguay (Esc 1:1.000.000)" sqref="A14:B17">
      <formula1>CRSU</formula1>
    </dataValidation>
  </dataValidations>
  <pageMargins left="0.75" right="0.45" top="1" bottom="1" header="0" footer="0"/>
  <pageSetup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3"/>
  </sheetPr>
  <dimension ref="A1:M11"/>
  <sheetViews>
    <sheetView zoomScale="90" workbookViewId="0">
      <selection sqref="A1:M1"/>
    </sheetView>
  </sheetViews>
  <sheetFormatPr baseColWidth="10" defaultColWidth="11.5" defaultRowHeight="15"/>
  <cols>
    <col min="1" max="1" width="11.1640625" style="37" customWidth="1"/>
    <col min="2" max="2" width="6.33203125" style="37" customWidth="1"/>
    <col min="3" max="10" width="6.6640625" style="37" customWidth="1"/>
    <col min="11" max="11" width="9" style="37" customWidth="1"/>
    <col min="12" max="13" width="6.6640625" style="37" customWidth="1"/>
    <col min="14" max="16384" width="11.5" style="37"/>
  </cols>
  <sheetData>
    <row r="1" spans="1:13" ht="19">
      <c r="A1" s="435" t="s">
        <v>420</v>
      </c>
      <c r="B1" s="435"/>
      <c r="C1" s="435"/>
      <c r="D1" s="435"/>
      <c r="E1" s="435"/>
      <c r="F1" s="435"/>
      <c r="G1" s="435"/>
      <c r="H1" s="435"/>
      <c r="I1" s="435"/>
      <c r="J1" s="435"/>
      <c r="K1" s="435"/>
      <c r="L1" s="435"/>
      <c r="M1" s="435"/>
    </row>
    <row r="2" spans="1:13">
      <c r="A2" s="79" t="s">
        <v>347</v>
      </c>
      <c r="G2" s="37" t="s">
        <v>387</v>
      </c>
    </row>
    <row r="3" spans="1:13" ht="19">
      <c r="I3" s="83"/>
      <c r="J3" s="83"/>
      <c r="K3" s="83"/>
      <c r="L3" s="83"/>
      <c r="M3" s="270" t="str">
        <f>+'Info Gral'!B3</f>
        <v>Presa del Ejemplo del Manual</v>
      </c>
    </row>
    <row r="5" spans="1:13">
      <c r="A5" s="436" t="s">
        <v>726</v>
      </c>
      <c r="B5" s="436"/>
      <c r="C5" s="436"/>
      <c r="D5" s="436"/>
      <c r="E5" s="436"/>
      <c r="F5" s="436"/>
      <c r="G5" s="436"/>
      <c r="H5" s="436"/>
      <c r="I5" s="436"/>
      <c r="J5" s="436"/>
      <c r="K5" s="436"/>
      <c r="L5" s="436"/>
      <c r="M5" s="436"/>
    </row>
    <row r="6" spans="1:13">
      <c r="A6" s="436"/>
      <c r="B6" s="436"/>
      <c r="C6" s="436"/>
      <c r="D6" s="436"/>
      <c r="E6" s="436"/>
      <c r="F6" s="436"/>
      <c r="G6" s="436"/>
      <c r="H6" s="436"/>
      <c r="I6" s="436"/>
      <c r="J6" s="436"/>
      <c r="K6" s="436"/>
      <c r="L6" s="436"/>
      <c r="M6" s="436"/>
    </row>
    <row r="7" spans="1:13">
      <c r="A7" s="436"/>
      <c r="B7" s="436"/>
      <c r="C7" s="436"/>
      <c r="D7" s="436"/>
      <c r="E7" s="436"/>
      <c r="F7" s="436"/>
      <c r="G7" s="436"/>
      <c r="H7" s="436"/>
      <c r="I7" s="436"/>
      <c r="J7" s="436"/>
      <c r="K7" s="436"/>
      <c r="L7" s="436"/>
      <c r="M7" s="436"/>
    </row>
    <row r="9" spans="1:13" ht="19">
      <c r="J9" s="269" t="s">
        <v>4</v>
      </c>
      <c r="K9" s="333">
        <f>+SUM('Anexo Escurrimiento'!O18:O377)/30</f>
        <v>22.459197848311252</v>
      </c>
      <c r="L9" s="323" t="s">
        <v>48</v>
      </c>
    </row>
    <row r="11" spans="1:13">
      <c r="J11" s="38"/>
      <c r="L11" s="148"/>
      <c r="M11" s="148"/>
    </row>
  </sheetData>
  <sheetProtection sheet="1" objects="1"/>
  <mergeCells count="2">
    <mergeCell ref="A1:M1"/>
    <mergeCell ref="A5:M7"/>
  </mergeCells>
  <phoneticPr fontId="15" type="noConversion"/>
  <pageMargins left="0.47244094488188981" right="0.15748031496062992" top="0.74803149606299213" bottom="0.74803149606299213" header="0.31496062992125984" footer="0.31496062992125984"/>
  <pageSetup paperSize="9" pageOrder="overThenDown" orientation="portrait" horizontalDpi="300" verticalDpi="30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indexed="42"/>
  </sheetPr>
  <dimension ref="A1:P40"/>
  <sheetViews>
    <sheetView zoomScaleNormal="100" workbookViewId="0">
      <selection activeCell="A26" sqref="A26:A32"/>
    </sheetView>
  </sheetViews>
  <sheetFormatPr baseColWidth="10" defaultRowHeight="15"/>
  <cols>
    <col min="1" max="1" width="4.33203125" customWidth="1"/>
    <col min="2" max="2" width="10.33203125" style="1" customWidth="1"/>
    <col min="3" max="3" width="10.83203125" style="1" customWidth="1"/>
    <col min="4" max="4" width="8.83203125" style="1" customWidth="1"/>
    <col min="5" max="5" width="11" style="1" customWidth="1"/>
    <col min="6" max="7" width="11" customWidth="1"/>
    <col min="8" max="8" width="9.5" customWidth="1"/>
    <col min="9" max="9" width="10.33203125" customWidth="1"/>
    <col min="10" max="10" width="12.6640625" customWidth="1"/>
    <col min="11" max="11" width="13" customWidth="1"/>
    <col min="16" max="16" width="11.1640625" customWidth="1"/>
  </cols>
  <sheetData>
    <row r="1" spans="1:16" ht="21">
      <c r="A1" s="437" t="s">
        <v>731</v>
      </c>
      <c r="B1" s="437"/>
      <c r="C1" s="437"/>
      <c r="D1" s="437"/>
      <c r="E1" s="437"/>
      <c r="F1" s="437"/>
      <c r="G1" s="437"/>
      <c r="H1" s="437"/>
      <c r="I1" s="438"/>
      <c r="J1" s="241" t="s">
        <v>434</v>
      </c>
      <c r="K1" s="74"/>
      <c r="L1" s="74"/>
      <c r="M1" s="74"/>
      <c r="N1" s="74"/>
      <c r="O1" s="74"/>
      <c r="P1" s="74"/>
    </row>
    <row r="2" spans="1:16" ht="19">
      <c r="A2" s="395" t="s">
        <v>360</v>
      </c>
      <c r="I2" s="269" t="str">
        <f>+'Info Gral'!B3</f>
        <v>Presa del Ejemplo del Manual</v>
      </c>
      <c r="J2" s="1" t="s">
        <v>360</v>
      </c>
      <c r="P2" s="269" t="str">
        <f>+'Info Gral'!B3</f>
        <v>Presa del Ejemplo del Manual</v>
      </c>
    </row>
    <row r="4" spans="1:16" ht="15" customHeight="1">
      <c r="B4" s="448" t="s">
        <v>766</v>
      </c>
      <c r="C4" s="448"/>
      <c r="D4" s="454" t="s">
        <v>747</v>
      </c>
      <c r="E4" s="455"/>
      <c r="F4" s="455"/>
      <c r="G4" s="455"/>
      <c r="H4" s="455"/>
      <c r="I4" s="455"/>
      <c r="J4" s="445" t="s">
        <v>745</v>
      </c>
      <c r="K4" s="445"/>
      <c r="L4" s="445"/>
      <c r="M4" s="445"/>
      <c r="N4" s="445"/>
      <c r="O4" s="445"/>
      <c r="P4" s="445"/>
    </row>
    <row r="5" spans="1:16" ht="23.25" customHeight="1">
      <c r="B5" s="449"/>
      <c r="C5" s="449"/>
      <c r="D5" s="454"/>
      <c r="E5" s="455"/>
      <c r="F5" s="455"/>
      <c r="G5" s="455"/>
      <c r="H5" s="455"/>
      <c r="I5" s="455"/>
      <c r="J5" s="445"/>
      <c r="K5" s="445"/>
      <c r="L5" s="445"/>
      <c r="M5" s="445"/>
      <c r="N5" s="445"/>
      <c r="O5" s="445"/>
      <c r="P5" s="445"/>
    </row>
    <row r="6" spans="1:16" ht="15.75" customHeight="1">
      <c r="B6" s="190" t="s">
        <v>6</v>
      </c>
      <c r="C6" s="190" t="s">
        <v>765</v>
      </c>
      <c r="D6" s="454"/>
      <c r="E6" s="455"/>
      <c r="F6" s="455"/>
      <c r="G6" s="455"/>
      <c r="H6" s="455"/>
      <c r="I6" s="455"/>
      <c r="J6" s="445"/>
      <c r="K6" s="445"/>
      <c r="L6" s="445"/>
      <c r="M6" s="445"/>
      <c r="N6" s="445"/>
      <c r="O6" s="445"/>
      <c r="P6" s="445"/>
    </row>
    <row r="7" spans="1:16" ht="15" customHeight="1">
      <c r="B7" s="52" t="s">
        <v>8</v>
      </c>
      <c r="C7" s="165">
        <v>318</v>
      </c>
      <c r="D7" s="445" t="s">
        <v>746</v>
      </c>
      <c r="E7" s="445"/>
      <c r="F7" s="445"/>
      <c r="G7" s="445"/>
      <c r="H7" s="445"/>
      <c r="I7" s="445"/>
      <c r="J7" s="1"/>
      <c r="K7" s="1"/>
    </row>
    <row r="8" spans="1:16">
      <c r="B8" s="52" t="s">
        <v>9</v>
      </c>
      <c r="C8" s="165">
        <v>153</v>
      </c>
      <c r="D8" s="445"/>
      <c r="E8" s="445"/>
      <c r="F8" s="445"/>
      <c r="G8" s="445"/>
      <c r="H8" s="445"/>
      <c r="I8" s="445"/>
      <c r="J8" s="337"/>
      <c r="K8" s="337"/>
    </row>
    <row r="9" spans="1:16" ht="16">
      <c r="B9" s="52" t="s">
        <v>10</v>
      </c>
      <c r="C9" s="165">
        <v>47</v>
      </c>
      <c r="D9" s="445"/>
      <c r="E9" s="445"/>
      <c r="F9" s="445"/>
      <c r="G9" s="445"/>
      <c r="H9" s="445"/>
      <c r="I9" s="445"/>
      <c r="J9" s="1"/>
      <c r="K9" s="1"/>
      <c r="N9" s="16" t="s">
        <v>405</v>
      </c>
      <c r="O9" s="349">
        <v>100.5</v>
      </c>
      <c r="P9" s="17" t="s">
        <v>259</v>
      </c>
    </row>
    <row r="10" spans="1:16" ht="16">
      <c r="B10" s="52" t="s">
        <v>11</v>
      </c>
      <c r="C10" s="165">
        <v>0</v>
      </c>
      <c r="F10" s="142" t="s">
        <v>733</v>
      </c>
      <c r="G10" s="370">
        <v>100.5</v>
      </c>
      <c r="H10" s="149" t="s">
        <v>259</v>
      </c>
      <c r="J10" s="1"/>
      <c r="K10" s="1"/>
      <c r="N10" s="16" t="s">
        <v>404</v>
      </c>
      <c r="O10" s="349">
        <v>106</v>
      </c>
      <c r="P10" s="17" t="s">
        <v>259</v>
      </c>
    </row>
    <row r="11" spans="1:16" ht="19">
      <c r="B11" s="52" t="s">
        <v>12</v>
      </c>
      <c r="C11" s="165">
        <v>0</v>
      </c>
      <c r="I11" s="47" t="s">
        <v>773</v>
      </c>
      <c r="K11" s="191"/>
      <c r="L11" s="192"/>
      <c r="M11" s="192"/>
      <c r="N11" s="336" t="s">
        <v>3</v>
      </c>
      <c r="O11" s="348">
        <f ca="1">+(c_*(O10-Hast)^d_)-(c_*(O9-Hast)^d_)</f>
        <v>7.493200510545476</v>
      </c>
      <c r="P11" s="193" t="s">
        <v>48</v>
      </c>
    </row>
    <row r="12" spans="1:16" ht="16">
      <c r="B12" s="52" t="s">
        <v>13</v>
      </c>
      <c r="C12" s="165">
        <v>0</v>
      </c>
      <c r="F12" s="47" t="s">
        <v>764</v>
      </c>
      <c r="G12" s="370">
        <v>106</v>
      </c>
      <c r="H12" t="s">
        <v>259</v>
      </c>
      <c r="N12" s="47" t="s">
        <v>4</v>
      </c>
      <c r="O12" s="138">
        <f>+'Calc Escurrimiento'!K9</f>
        <v>22.459197848311252</v>
      </c>
      <c r="P12" t="s">
        <v>48</v>
      </c>
    </row>
    <row r="13" spans="1:16" ht="15" customHeight="1">
      <c r="B13" s="52" t="s">
        <v>14</v>
      </c>
      <c r="C13" s="165">
        <v>0</v>
      </c>
      <c r="F13" s="47" t="s">
        <v>769</v>
      </c>
      <c r="G13" s="396">
        <v>0.5</v>
      </c>
      <c r="H13" t="s">
        <v>770</v>
      </c>
    </row>
    <row r="14" spans="1:16" ht="16">
      <c r="B14" s="52" t="s">
        <v>15</v>
      </c>
      <c r="C14" s="165">
        <v>0</v>
      </c>
      <c r="F14" s="47" t="s">
        <v>774</v>
      </c>
      <c r="G14" s="370">
        <v>900</v>
      </c>
      <c r="H14" t="s">
        <v>50</v>
      </c>
      <c r="K14" s="453" t="str">
        <f ca="1">+IF(O11/O12&lt;0.95,"El volumen de almacenamiento es inferior al 95% del Escurrimiento medio anual de la cuenca","No se autorizará este volumen de almacenamiento por ser mayor al 95% del Escurrimiento medio anual")</f>
        <v>El volumen de almacenamiento es inferior al 95% del Escurrimiento medio anual de la cuenca</v>
      </c>
      <c r="L14" s="453"/>
      <c r="M14" s="453"/>
      <c r="N14" s="453"/>
      <c r="O14" s="453"/>
    </row>
    <row r="15" spans="1:16" ht="16">
      <c r="B15" s="52" t="s">
        <v>16</v>
      </c>
      <c r="C15" s="165">
        <v>0</v>
      </c>
      <c r="F15" s="47" t="s">
        <v>771</v>
      </c>
      <c r="G15" s="370">
        <v>20</v>
      </c>
      <c r="H15" t="s">
        <v>772</v>
      </c>
      <c r="K15" s="453"/>
      <c r="L15" s="453"/>
      <c r="M15" s="453"/>
      <c r="N15" s="453"/>
      <c r="O15" s="453"/>
    </row>
    <row r="16" spans="1:16" ht="15" customHeight="1">
      <c r="B16" s="52" t="s">
        <v>17</v>
      </c>
      <c r="C16" s="165">
        <v>59</v>
      </c>
      <c r="D16" s="451" t="str">
        <f>+IF(H23='Ht - Hv - Volumen'!H22,"","El gráfico responde a otros valores.                                                                    ACTUALICE EL BALANCE HÍDRICO CON EL BOTÓN AL PIE DEL GRÁFICO  (Debe 'habilitar macros')")</f>
        <v/>
      </c>
      <c r="E16" s="452"/>
      <c r="F16" s="452"/>
      <c r="G16" s="452"/>
      <c r="H16" s="452"/>
      <c r="I16" s="452"/>
    </row>
    <row r="17" spans="1:9" ht="15" customHeight="1">
      <c r="B17" s="52" t="s">
        <v>18</v>
      </c>
      <c r="C17" s="165">
        <v>212</v>
      </c>
      <c r="D17" s="451"/>
      <c r="E17" s="452"/>
      <c r="F17" s="452"/>
      <c r="G17" s="452"/>
      <c r="H17" s="452"/>
      <c r="I17" s="452"/>
    </row>
    <row r="18" spans="1:9">
      <c r="B18" s="52" t="s">
        <v>19</v>
      </c>
      <c r="C18" s="165">
        <v>388</v>
      </c>
      <c r="D18" s="451"/>
      <c r="E18" s="452"/>
      <c r="F18" s="452"/>
      <c r="G18" s="452"/>
      <c r="H18" s="452"/>
      <c r="I18" s="452"/>
    </row>
    <row r="21" spans="1:9" ht="15" customHeight="1">
      <c r="A21" s="181" t="s">
        <v>473</v>
      </c>
      <c r="C21" s="339"/>
    </row>
    <row r="22" spans="1:9">
      <c r="B22" s="339"/>
      <c r="C22" s="339"/>
      <c r="D22" s="339"/>
      <c r="E22" s="339"/>
      <c r="G22" s="338" t="s">
        <v>775</v>
      </c>
      <c r="H22" s="340">
        <f>12*'Calc Escurrimiento'!K9+2*'Ht - Hv - Volumen'!G10+1234*SUM('Ht - Hv - Volumen'!B26:B28)+12345*SUM(C30,C31)</f>
        <v>5610058.0103741791</v>
      </c>
    </row>
    <row r="23" spans="1:9" ht="15.75" customHeight="1" thickBot="1">
      <c r="A23" s="392" t="s">
        <v>757</v>
      </c>
      <c r="B23" s="450" t="s">
        <v>756</v>
      </c>
      <c r="C23" s="450"/>
      <c r="D23" s="450"/>
      <c r="E23" s="441" t="s">
        <v>761</v>
      </c>
      <c r="F23">
        <f>+G10</f>
        <v>100.5</v>
      </c>
      <c r="G23" s="338" t="s">
        <v>734</v>
      </c>
      <c r="H23" s="369">
        <v>5610058.0103741791</v>
      </c>
    </row>
    <row r="24" spans="1:9" ht="21.75" customHeight="1">
      <c r="A24" s="439" t="s">
        <v>758</v>
      </c>
      <c r="B24" s="52">
        <f>+VLOOKUP(A23,$A$26:$C$40,2,FALSE)</f>
        <v>900</v>
      </c>
      <c r="C24" s="52">
        <f>+VLOOKUP(A23,$A$26:$C$40,3,FALSE)</f>
        <v>106</v>
      </c>
      <c r="D24" s="52">
        <f ca="1">+'Anexo Bal Hídrico'!P3</f>
        <v>98.9</v>
      </c>
      <c r="E24" s="442"/>
      <c r="F24" s="39" t="s">
        <v>739</v>
      </c>
      <c r="G24" s="446" t="s">
        <v>740</v>
      </c>
      <c r="H24" s="446"/>
      <c r="I24" s="447"/>
    </row>
    <row r="25" spans="1:9" ht="16" thickBot="1">
      <c r="A25" s="440"/>
      <c r="B25" s="52" t="s">
        <v>737</v>
      </c>
      <c r="C25" s="52" t="s">
        <v>55</v>
      </c>
      <c r="D25" s="52" t="s">
        <v>759</v>
      </c>
      <c r="E25" s="391" t="s">
        <v>760</v>
      </c>
      <c r="G25" s="389" t="str">
        <f>+CONCATENATE("Hv=",G26," msnm")</f>
        <v>Hv=105,5 msnm</v>
      </c>
      <c r="H25" s="389" t="str">
        <f>+CONCATENATE("Hv=",H26," msnm")</f>
        <v>Hv=106 msnm</v>
      </c>
      <c r="I25" s="390" t="str">
        <f>+CONCATENATE("Hv=",I26," msnm")</f>
        <v>Hv=106,5 msnm</v>
      </c>
    </row>
    <row r="26" spans="1:9">
      <c r="A26" s="366"/>
      <c r="B26" s="393">
        <f>+B28*(1-G15/100)</f>
        <v>720</v>
      </c>
      <c r="C26" s="52">
        <f>+G12-G13</f>
        <v>105.5</v>
      </c>
      <c r="D26" s="62" t="str">
        <f t="shared" ref="D26:D40" si="0">+IF(A26=A$23,D$24,"")</f>
        <v/>
      </c>
      <c r="E26" s="366">
        <v>99.7</v>
      </c>
      <c r="F26" s="365">
        <v>100.5</v>
      </c>
      <c r="G26" s="367">
        <v>105.5</v>
      </c>
      <c r="H26" s="367">
        <v>106</v>
      </c>
      <c r="I26" s="368">
        <v>106.5</v>
      </c>
    </row>
    <row r="27" spans="1:9">
      <c r="A27" s="366"/>
      <c r="B27" s="393">
        <f>+B28*(1-G15/200)</f>
        <v>810</v>
      </c>
      <c r="C27" s="52">
        <f>+C26</f>
        <v>105.5</v>
      </c>
      <c r="D27" s="62" t="str">
        <f t="shared" si="0"/>
        <v/>
      </c>
      <c r="E27" s="366">
        <v>98.6</v>
      </c>
      <c r="F27" s="387">
        <v>720</v>
      </c>
      <c r="G27" s="393">
        <f>+E26</f>
        <v>99.7</v>
      </c>
      <c r="H27" s="393">
        <f>+E31</f>
        <v>100</v>
      </c>
      <c r="I27" s="393">
        <f>+E36</f>
        <v>100</v>
      </c>
    </row>
    <row r="28" spans="1:9">
      <c r="A28" s="366"/>
      <c r="B28" s="393">
        <f>+G14</f>
        <v>900</v>
      </c>
      <c r="C28" s="52">
        <f>+C27</f>
        <v>105.5</v>
      </c>
      <c r="D28" s="62" t="str">
        <f t="shared" si="0"/>
        <v/>
      </c>
      <c r="E28" s="366">
        <v>96.4</v>
      </c>
      <c r="F28" s="387">
        <v>810</v>
      </c>
      <c r="G28" s="393">
        <f>+E27</f>
        <v>98.6</v>
      </c>
      <c r="H28" s="393">
        <f>+E32</f>
        <v>100</v>
      </c>
      <c r="I28" s="393">
        <f>+E37</f>
        <v>100</v>
      </c>
    </row>
    <row r="29" spans="1:9">
      <c r="A29" s="366"/>
      <c r="B29" s="393">
        <f>+B28*(1+G15/200)</f>
        <v>990.00000000000011</v>
      </c>
      <c r="C29" s="52">
        <f>+C28</f>
        <v>105.5</v>
      </c>
      <c r="D29" s="62" t="str">
        <f t="shared" si="0"/>
        <v/>
      </c>
      <c r="E29" s="366">
        <v>93.6</v>
      </c>
      <c r="F29" s="387">
        <v>900</v>
      </c>
      <c r="G29" s="393">
        <f>+E28</f>
        <v>96.4</v>
      </c>
      <c r="H29" s="393">
        <f>+E33</f>
        <v>98.9</v>
      </c>
      <c r="I29" s="393">
        <f>+E38</f>
        <v>99.8</v>
      </c>
    </row>
    <row r="30" spans="1:9">
      <c r="A30" s="366"/>
      <c r="B30" s="393">
        <f>+B28*(1+G15/100)</f>
        <v>1080</v>
      </c>
      <c r="C30" s="52">
        <f>+C29</f>
        <v>105.5</v>
      </c>
      <c r="D30" s="62" t="str">
        <f t="shared" si="0"/>
        <v/>
      </c>
      <c r="E30" s="366">
        <v>90.2</v>
      </c>
      <c r="F30" s="387">
        <v>990</v>
      </c>
      <c r="G30" s="393">
        <f>+E29</f>
        <v>93.6</v>
      </c>
      <c r="H30" s="393">
        <f>+E34</f>
        <v>97.3</v>
      </c>
      <c r="I30" s="393">
        <f>+E39</f>
        <v>99.1</v>
      </c>
    </row>
    <row r="31" spans="1:9" ht="16" thickBot="1">
      <c r="A31" s="366"/>
      <c r="B31" s="52">
        <f>+B26</f>
        <v>720</v>
      </c>
      <c r="C31" s="52">
        <f>+G12</f>
        <v>106</v>
      </c>
      <c r="D31" s="62" t="str">
        <f t="shared" si="0"/>
        <v/>
      </c>
      <c r="E31" s="366">
        <v>100</v>
      </c>
      <c r="F31" s="388">
        <v>1080</v>
      </c>
      <c r="G31" s="393">
        <f>+E30</f>
        <v>90.2</v>
      </c>
      <c r="H31" s="393">
        <f>+E35</f>
        <v>94.7</v>
      </c>
      <c r="I31" s="393">
        <f>+E40</f>
        <v>97.8</v>
      </c>
    </row>
    <row r="32" spans="1:9">
      <c r="A32" s="366"/>
      <c r="B32" s="52">
        <f t="shared" ref="B32:B40" si="1">+B27</f>
        <v>810</v>
      </c>
      <c r="C32" s="52">
        <f>+C31</f>
        <v>106</v>
      </c>
      <c r="D32" s="62" t="str">
        <f t="shared" si="0"/>
        <v/>
      </c>
      <c r="E32" s="366">
        <v>100</v>
      </c>
      <c r="F32" s="443" t="s">
        <v>732</v>
      </c>
      <c r="G32" s="444"/>
      <c r="H32" s="444"/>
      <c r="I32" s="444"/>
    </row>
    <row r="33" spans="1:9">
      <c r="A33" s="366" t="s">
        <v>757</v>
      </c>
      <c r="B33" s="52">
        <f t="shared" si="1"/>
        <v>900</v>
      </c>
      <c r="C33" s="52">
        <f>+C32</f>
        <v>106</v>
      </c>
      <c r="D33" s="62">
        <f t="shared" ca="1" si="0"/>
        <v>98.9</v>
      </c>
      <c r="E33" s="366">
        <v>98.9</v>
      </c>
      <c r="F33" s="443"/>
      <c r="G33" s="444"/>
      <c r="H33" s="444"/>
      <c r="I33" s="444"/>
    </row>
    <row r="34" spans="1:9">
      <c r="A34" s="366" t="s">
        <v>757</v>
      </c>
      <c r="B34" s="52">
        <f t="shared" si="1"/>
        <v>990.00000000000011</v>
      </c>
      <c r="C34" s="52">
        <f>+C33</f>
        <v>106</v>
      </c>
      <c r="D34" s="62">
        <f t="shared" ca="1" si="0"/>
        <v>98.9</v>
      </c>
      <c r="E34" s="366">
        <v>97.3</v>
      </c>
    </row>
    <row r="35" spans="1:9">
      <c r="A35" s="366" t="s">
        <v>757</v>
      </c>
      <c r="B35" s="52">
        <f t="shared" si="1"/>
        <v>1080</v>
      </c>
      <c r="C35" s="52">
        <f>+C34</f>
        <v>106</v>
      </c>
      <c r="D35" s="62">
        <f t="shared" ca="1" si="0"/>
        <v>98.9</v>
      </c>
      <c r="E35" s="366">
        <v>94.7</v>
      </c>
      <c r="F35" t="str">
        <f>+CONCATENATE("Esc. Anual=",ROUND('Calc Escurrimiento'!K9,2)," Hm3")</f>
        <v>Esc. Anual=22,46 Hm3</v>
      </c>
    </row>
    <row r="36" spans="1:9">
      <c r="A36" s="366" t="s">
        <v>757</v>
      </c>
      <c r="B36" s="52">
        <f t="shared" si="1"/>
        <v>720</v>
      </c>
      <c r="C36" s="52">
        <f>+G12+G13</f>
        <v>106.5</v>
      </c>
      <c r="D36" s="62">
        <f t="shared" ca="1" si="0"/>
        <v>98.9</v>
      </c>
      <c r="E36" s="366">
        <v>100</v>
      </c>
      <c r="F36" s="397" t="str">
        <f>+CONCATENATE("Ht=",F26," msnm")</f>
        <v>Ht=100,5 msnm</v>
      </c>
    </row>
    <row r="37" spans="1:9" ht="15" customHeight="1">
      <c r="A37" s="366" t="s">
        <v>757</v>
      </c>
      <c r="B37" s="52">
        <f t="shared" si="1"/>
        <v>810</v>
      </c>
      <c r="C37" s="52">
        <f>+C36</f>
        <v>106.5</v>
      </c>
      <c r="D37" s="62">
        <f t="shared" ca="1" si="0"/>
        <v>98.9</v>
      </c>
      <c r="E37" s="366">
        <v>100</v>
      </c>
    </row>
    <row r="38" spans="1:9">
      <c r="A38" s="366" t="s">
        <v>757</v>
      </c>
      <c r="B38" s="52">
        <f t="shared" si="1"/>
        <v>900</v>
      </c>
      <c r="C38" s="52">
        <f>+C37</f>
        <v>106.5</v>
      </c>
      <c r="D38" s="62">
        <f t="shared" ca="1" si="0"/>
        <v>98.9</v>
      </c>
      <c r="E38" s="366">
        <v>99.8</v>
      </c>
    </row>
    <row r="39" spans="1:9">
      <c r="A39" s="366" t="s">
        <v>757</v>
      </c>
      <c r="B39" s="52">
        <f t="shared" si="1"/>
        <v>990.00000000000011</v>
      </c>
      <c r="C39" s="52">
        <f>+C38</f>
        <v>106.5</v>
      </c>
      <c r="D39" s="62">
        <f t="shared" ca="1" si="0"/>
        <v>98.9</v>
      </c>
      <c r="E39" s="366">
        <v>99.1</v>
      </c>
    </row>
    <row r="40" spans="1:9">
      <c r="A40" s="366" t="s">
        <v>757</v>
      </c>
      <c r="B40" s="52">
        <f t="shared" si="1"/>
        <v>1080</v>
      </c>
      <c r="C40" s="52">
        <f>+C39</f>
        <v>106.5</v>
      </c>
      <c r="D40" s="62">
        <f t="shared" ca="1" si="0"/>
        <v>98.9</v>
      </c>
      <c r="E40" s="366">
        <v>97.8</v>
      </c>
    </row>
  </sheetData>
  <sheetProtection sheet="1" objects="1"/>
  <mergeCells count="12">
    <mergeCell ref="J4:P6"/>
    <mergeCell ref="K14:O15"/>
    <mergeCell ref="D4:I6"/>
    <mergeCell ref="A1:I1"/>
    <mergeCell ref="A24:A25"/>
    <mergeCell ref="E23:E24"/>
    <mergeCell ref="F32:I33"/>
    <mergeCell ref="D7:I9"/>
    <mergeCell ref="G24:I24"/>
    <mergeCell ref="B4:C5"/>
    <mergeCell ref="B23:D23"/>
    <mergeCell ref="D16:I18"/>
  </mergeCells>
  <phoneticPr fontId="15" type="noConversion"/>
  <pageMargins left="0.7" right="0.7" top="0.75" bottom="0.75" header="0.3" footer="0.3"/>
  <pageSetup paperSize="9" orientation="portrait"/>
  <ignoredErrors>
    <ignoredError sqref="D26:D40"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6167" r:id="rId3" name="Button 23">
              <controlPr defaultSize="0" print="0" autoFill="0" autoPict="0" macro="[0]!Actualizar_Tabla_ISD">
                <anchor moveWithCells="1" sizeWithCells="1">
                  <from>
                    <xdr:col>2</xdr:col>
                    <xdr:colOff>508000</xdr:colOff>
                    <xdr:row>42</xdr:row>
                    <xdr:rowOff>50800</xdr:rowOff>
                  </from>
                  <to>
                    <xdr:col>6</xdr:col>
                    <xdr:colOff>431800</xdr:colOff>
                    <xdr:row>44</xdr:row>
                    <xdr:rowOff>165100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1"/>
  </sheetPr>
  <dimension ref="A1:H55"/>
  <sheetViews>
    <sheetView zoomScale="90" zoomScaleNormal="90" workbookViewId="0">
      <selection activeCell="R51" sqref="R51"/>
    </sheetView>
  </sheetViews>
  <sheetFormatPr baseColWidth="10" defaultColWidth="11.5" defaultRowHeight="15"/>
  <cols>
    <col min="1" max="1" width="10.6640625" style="97" customWidth="1"/>
    <col min="2" max="2" width="10.6640625" style="82" customWidth="1"/>
    <col min="3" max="3" width="12.5" style="82" customWidth="1"/>
    <col min="4" max="4" width="14.6640625" style="82" bestFit="1" customWidth="1"/>
    <col min="5" max="5" width="14.5" style="82" customWidth="1"/>
    <col min="6" max="6" width="18" style="82" customWidth="1"/>
    <col min="7" max="7" width="14.33203125" style="82" customWidth="1"/>
    <col min="8" max="8" width="11.83203125" style="82" bestFit="1" customWidth="1"/>
    <col min="9" max="10" width="11.5" style="82"/>
    <col min="11" max="12" width="18.5" style="82" customWidth="1"/>
    <col min="13" max="16384" width="11.5" style="82"/>
  </cols>
  <sheetData>
    <row r="1" spans="1:8" ht="21">
      <c r="A1" s="456" t="s">
        <v>283</v>
      </c>
      <c r="B1" s="457"/>
      <c r="C1" s="457"/>
      <c r="D1" s="457"/>
      <c r="E1" s="457"/>
      <c r="F1" s="458"/>
    </row>
    <row r="2" spans="1:8" ht="21">
      <c r="A2" s="459" t="s">
        <v>174</v>
      </c>
      <c r="B2" s="459"/>
      <c r="C2" s="459"/>
      <c r="D2" s="459"/>
      <c r="E2" s="459"/>
      <c r="F2" s="459"/>
    </row>
    <row r="3" spans="1:8" ht="19">
      <c r="A3" s="82" t="s">
        <v>337</v>
      </c>
      <c r="F3" s="271" t="str">
        <f>+'Info Gral'!B3</f>
        <v>Presa del Ejemplo del Manual</v>
      </c>
    </row>
    <row r="4" spans="1:8">
      <c r="A4" s="96" t="s">
        <v>219</v>
      </c>
    </row>
    <row r="5" spans="1:8">
      <c r="A5" s="97" t="s">
        <v>231</v>
      </c>
      <c r="B5" s="170">
        <v>10.3</v>
      </c>
      <c r="C5" s="98" t="s">
        <v>255</v>
      </c>
      <c r="D5" s="98"/>
      <c r="E5" s="98"/>
      <c r="F5" s="98"/>
    </row>
    <row r="6" spans="1:8" ht="17">
      <c r="A6" s="99" t="s">
        <v>232</v>
      </c>
      <c r="B6" s="170">
        <v>95</v>
      </c>
      <c r="C6" s="98" t="s">
        <v>254</v>
      </c>
      <c r="D6" s="98"/>
      <c r="E6" s="98"/>
      <c r="F6" s="98"/>
    </row>
    <row r="7" spans="1:8" ht="17">
      <c r="A7" s="97" t="s">
        <v>233</v>
      </c>
      <c r="B7" s="100">
        <f>0.4*B5^0.77*(B6/B5/10)^-0.385</f>
        <v>2.4857840544648968</v>
      </c>
      <c r="C7" s="460" t="s">
        <v>212</v>
      </c>
      <c r="D7" s="460"/>
      <c r="E7" s="460"/>
      <c r="F7" s="460"/>
    </row>
    <row r="8" spans="1:8">
      <c r="B8" s="100"/>
      <c r="C8" s="460"/>
      <c r="D8" s="460"/>
      <c r="E8" s="460"/>
      <c r="F8" s="460"/>
    </row>
    <row r="9" spans="1:8">
      <c r="A9" s="101" t="s">
        <v>220</v>
      </c>
    </row>
    <row r="10" spans="1:8" s="104" customFormat="1" ht="17">
      <c r="A10" s="102" t="s">
        <v>234</v>
      </c>
      <c r="B10" s="171">
        <v>97</v>
      </c>
      <c r="C10" s="98" t="s">
        <v>465</v>
      </c>
      <c r="D10" s="103"/>
      <c r="E10" s="82"/>
      <c r="F10" s="82"/>
      <c r="G10" s="82"/>
      <c r="H10" s="82"/>
    </row>
    <row r="11" spans="1:8">
      <c r="A11" s="97" t="s">
        <v>235</v>
      </c>
      <c r="B11" s="171">
        <v>100</v>
      </c>
      <c r="C11" s="98" t="s">
        <v>211</v>
      </c>
      <c r="D11" s="103"/>
    </row>
    <row r="12" spans="1:8" ht="17">
      <c r="A12" s="97" t="s">
        <v>236</v>
      </c>
      <c r="B12" s="105">
        <f>0.5786-0.4312*LOG(LN(B11/(B11-1)))</f>
        <v>1.4400597361119927</v>
      </c>
      <c r="C12" s="98" t="s">
        <v>249</v>
      </c>
      <c r="D12" s="103"/>
    </row>
    <row r="13" spans="1:8" s="110" customFormat="1" ht="9.75" customHeight="1">
      <c r="A13" s="106"/>
      <c r="B13" s="107"/>
      <c r="C13" s="108"/>
      <c r="D13" s="109"/>
    </row>
    <row r="14" spans="1:8" s="110" customFormat="1">
      <c r="A14" s="111" t="s">
        <v>257</v>
      </c>
      <c r="B14" s="109"/>
      <c r="C14" s="109"/>
      <c r="D14" s="109"/>
    </row>
    <row r="15" spans="1:8" s="108" customFormat="1" ht="14">
      <c r="A15" s="88" t="s">
        <v>237</v>
      </c>
      <c r="B15" s="112">
        <f>+B7</f>
        <v>2.4857840544648968</v>
      </c>
      <c r="C15" s="108" t="s">
        <v>252</v>
      </c>
    </row>
    <row r="16" spans="1:8" s="108" customFormat="1" ht="16">
      <c r="A16" s="88" t="s">
        <v>303</v>
      </c>
      <c r="B16" s="113">
        <f>+IF(B15&lt;3,(0.6208*B15)/(B15+0.0137)^0.5639,+(1.0287*B15)/(B15+1.0293)^0.8083)</f>
        <v>0.92059218149416844</v>
      </c>
      <c r="C16" s="108" t="s">
        <v>250</v>
      </c>
    </row>
    <row r="17" spans="1:7" s="108" customFormat="1" ht="16">
      <c r="A17" s="88" t="s">
        <v>304</v>
      </c>
      <c r="B17" s="114">
        <f>1-0.3549*B15^-0.4272*(1-EXP(-0.15*Ac/1000))</f>
        <v>0.92159224184058997</v>
      </c>
      <c r="C17" s="108" t="s">
        <v>251</v>
      </c>
    </row>
    <row r="18" spans="1:7" s="108" customFormat="1" ht="16">
      <c r="A18" s="88" t="s">
        <v>305</v>
      </c>
      <c r="B18" s="115">
        <f>+B10*B12*B16*B17</f>
        <v>118.51091036790321</v>
      </c>
      <c r="C18" s="108" t="s">
        <v>388</v>
      </c>
    </row>
    <row r="19" spans="1:7" s="110" customFormat="1" ht="8.25" customHeight="1">
      <c r="A19" s="116"/>
      <c r="B19" s="117"/>
      <c r="C19" s="108"/>
      <c r="D19" s="109"/>
    </row>
    <row r="20" spans="1:7" s="110" customFormat="1">
      <c r="A20" s="111" t="s">
        <v>239</v>
      </c>
      <c r="B20" s="109"/>
      <c r="C20" s="109"/>
      <c r="D20" s="109"/>
    </row>
    <row r="21" spans="1:7" s="108" customFormat="1" ht="14">
      <c r="A21" s="88" t="s">
        <v>238</v>
      </c>
      <c r="B21" s="112">
        <f>+B15*1.71428571428571</f>
        <v>4.2613440933683835</v>
      </c>
      <c r="C21" s="108" t="s">
        <v>253</v>
      </c>
    </row>
    <row r="22" spans="1:7" s="108" customFormat="1" ht="16">
      <c r="A22" s="88" t="s">
        <v>306</v>
      </c>
      <c r="B22" s="113">
        <f>+IF(B21&lt;3,(0.6208*B21)/(B21+0.0137)^0.5639,+(1.0287*B21)/(B21+1.0293)^0.8083)</f>
        <v>1.1403111872123157</v>
      </c>
      <c r="C22" s="108" t="s">
        <v>250</v>
      </c>
    </row>
    <row r="23" spans="1:7" s="108" customFormat="1" ht="16">
      <c r="A23" s="88" t="s">
        <v>307</v>
      </c>
      <c r="B23" s="114">
        <f>1-0.3549*B21^-0.4272*(1-EXP(-0.15*Ac/1000))</f>
        <v>0.93771855343698929</v>
      </c>
      <c r="C23" s="108" t="s">
        <v>251</v>
      </c>
    </row>
    <row r="24" spans="1:7" s="108" customFormat="1" ht="16">
      <c r="A24" s="88" t="s">
        <v>308</v>
      </c>
      <c r="B24" s="115">
        <f>+B10*B12*B22*B23</f>
        <v>149.36475676806634</v>
      </c>
      <c r="C24" s="108" t="s">
        <v>256</v>
      </c>
    </row>
    <row r="25" spans="1:7" s="110" customFormat="1" ht="9.75" customHeight="1">
      <c r="A25" s="106"/>
    </row>
    <row r="26" spans="1:7" ht="17">
      <c r="A26" s="250" t="s">
        <v>437</v>
      </c>
      <c r="B26" s="104"/>
      <c r="C26" s="104"/>
      <c r="D26" s="104"/>
      <c r="E26" s="104"/>
      <c r="F26" s="104"/>
      <c r="G26" s="104"/>
    </row>
    <row r="27" spans="1:7" s="98" customFormat="1" ht="12.75" customHeight="1">
      <c r="A27" s="324" t="s">
        <v>391</v>
      </c>
      <c r="B27" s="327" t="s">
        <v>205</v>
      </c>
      <c r="C27" s="328" t="s">
        <v>206</v>
      </c>
      <c r="D27" s="85" t="s">
        <v>389</v>
      </c>
      <c r="E27" s="150">
        <f>+B7*60</f>
        <v>149.14704326789382</v>
      </c>
      <c r="F27" s="98" t="s">
        <v>392</v>
      </c>
    </row>
    <row r="28" spans="1:7" s="98" customFormat="1">
      <c r="A28" s="325" t="s">
        <v>204</v>
      </c>
      <c r="B28" s="120" t="s">
        <v>207</v>
      </c>
      <c r="C28" s="120" t="s">
        <v>207</v>
      </c>
      <c r="D28" s="85" t="s">
        <v>390</v>
      </c>
      <c r="E28" s="81">
        <f>+Ac</f>
        <v>2630</v>
      </c>
      <c r="F28" s="98" t="s">
        <v>50</v>
      </c>
    </row>
    <row r="29" spans="1:7" s="98" customFormat="1">
      <c r="A29" s="326" t="s">
        <v>203</v>
      </c>
      <c r="B29" s="120" t="s">
        <v>208</v>
      </c>
      <c r="C29" s="120" t="s">
        <v>175</v>
      </c>
      <c r="D29" s="118" t="s">
        <v>209</v>
      </c>
      <c r="E29" s="332" t="str">
        <f>+IF(B7&lt;20/60,"Método Racional",IF(Ac&gt;400,"Método del NRCS","Ambos métodos"))</f>
        <v>Método del NRCS</v>
      </c>
    </row>
    <row r="30" spans="1:7" s="108" customFormat="1" ht="14">
      <c r="B30" s="121"/>
      <c r="C30" s="122"/>
      <c r="D30" s="122"/>
      <c r="G30" s="123"/>
    </row>
    <row r="31" spans="1:7" s="110" customFormat="1" ht="16">
      <c r="A31" s="251" t="s">
        <v>221</v>
      </c>
      <c r="C31" s="124"/>
      <c r="D31" s="125"/>
      <c r="E31" s="125"/>
      <c r="F31" s="125"/>
    </row>
    <row r="32" spans="1:7" s="108" customFormat="1" ht="14">
      <c r="A32" s="88" t="s">
        <v>241</v>
      </c>
      <c r="B32" s="172"/>
      <c r="C32" s="126" t="s">
        <v>260</v>
      </c>
      <c r="D32" s="127"/>
      <c r="E32" s="127"/>
      <c r="F32" s="127"/>
    </row>
    <row r="33" spans="1:8" s="108" customFormat="1" ht="14">
      <c r="A33" s="88" t="s">
        <v>242</v>
      </c>
      <c r="B33" s="172"/>
      <c r="C33" s="126" t="s">
        <v>261</v>
      </c>
      <c r="D33" s="127"/>
      <c r="E33" s="127"/>
      <c r="F33" s="127"/>
    </row>
    <row r="34" spans="1:8" s="108" customFormat="1" ht="14">
      <c r="A34" s="88" t="s">
        <v>243</v>
      </c>
      <c r="B34" s="151">
        <f>10*B32*B33/Ac</f>
        <v>0</v>
      </c>
      <c r="C34" s="126" t="s">
        <v>262</v>
      </c>
      <c r="D34" s="127"/>
      <c r="E34" s="127"/>
      <c r="F34" s="127"/>
    </row>
    <row r="35" spans="1:8" s="108" customFormat="1" ht="14">
      <c r="A35" s="88" t="s">
        <v>176</v>
      </c>
      <c r="B35" s="173"/>
      <c r="C35" s="127" t="s">
        <v>247</v>
      </c>
      <c r="E35" s="127"/>
      <c r="F35" s="127"/>
    </row>
    <row r="36" spans="1:8" s="108" customFormat="1" ht="16">
      <c r="A36" s="89" t="s">
        <v>301</v>
      </c>
      <c r="B36" s="152">
        <f>+B35*B18*Ac/360</f>
        <v>0</v>
      </c>
      <c r="C36" s="128" t="s">
        <v>246</v>
      </c>
      <c r="D36" s="127"/>
      <c r="E36" s="127"/>
      <c r="F36" s="127"/>
    </row>
    <row r="37" spans="1:8" s="108" customFormat="1" ht="16">
      <c r="A37" s="89" t="s">
        <v>302</v>
      </c>
      <c r="B37" s="152">
        <f>4.81*B36*B7/1000</f>
        <v>0</v>
      </c>
      <c r="C37" s="128" t="s">
        <v>245</v>
      </c>
      <c r="D37" s="127"/>
      <c r="E37" s="127"/>
      <c r="F37" s="127"/>
    </row>
    <row r="38" spans="1:8" s="98" customFormat="1" ht="14">
      <c r="A38" s="81"/>
      <c r="C38" s="121"/>
      <c r="D38" s="122"/>
      <c r="E38" s="122"/>
      <c r="H38" s="119"/>
    </row>
    <row r="39" spans="1:8">
      <c r="A39" s="252" t="s">
        <v>210</v>
      </c>
    </row>
    <row r="40" spans="1:8" s="98" customFormat="1" ht="30">
      <c r="A40" s="470" t="s">
        <v>153</v>
      </c>
      <c r="B40" s="471"/>
      <c r="C40" s="471"/>
      <c r="D40" s="329" t="s">
        <v>258</v>
      </c>
      <c r="E40" s="329" t="s">
        <v>225</v>
      </c>
      <c r="F40" s="330" t="s">
        <v>226</v>
      </c>
    </row>
    <row r="41" spans="1:8" s="98" customFormat="1">
      <c r="A41" s="472" t="str">
        <f>+'Info Gral'!A14</f>
        <v>Cuchilla de Haedo – Paso de Los Toros</v>
      </c>
      <c r="B41" s="472"/>
      <c r="C41" s="472"/>
      <c r="D41" s="129">
        <f>+'Info Gral'!C14</f>
        <v>2559</v>
      </c>
      <c r="E41" s="129" t="str">
        <f>+VLOOKUP(A41,CRSU_AD_GH,4,FALSE)</f>
        <v>D</v>
      </c>
      <c r="F41" s="174">
        <v>80</v>
      </c>
    </row>
    <row r="42" spans="1:8" s="98" customFormat="1">
      <c r="A42" s="472" t="str">
        <f>+'Info Gral'!A15</f>
        <v>Masoller</v>
      </c>
      <c r="B42" s="472"/>
      <c r="C42" s="472"/>
      <c r="D42" s="129">
        <f>+'Info Gral'!C15</f>
        <v>71</v>
      </c>
      <c r="E42" s="129" t="str">
        <f>+VLOOKUP(A42,CRSU_AD_GH,4,FALSE)</f>
        <v>C</v>
      </c>
      <c r="F42" s="174">
        <v>74</v>
      </c>
    </row>
    <row r="43" spans="1:8" s="98" customFormat="1" ht="14">
      <c r="A43" s="472">
        <f>+'Info Gral'!A16</f>
        <v>0</v>
      </c>
      <c r="B43" s="472"/>
      <c r="C43" s="472"/>
      <c r="D43" s="129">
        <f>+'Info Gral'!C16</f>
        <v>0</v>
      </c>
      <c r="E43" s="129">
        <f>+VLOOKUP(A43,CRSU_AD_GH,4,FALSE)</f>
        <v>0</v>
      </c>
      <c r="F43" s="174"/>
    </row>
    <row r="44" spans="1:8" s="98" customFormat="1" ht="14">
      <c r="A44" s="472">
        <f>+'Info Gral'!A17</f>
        <v>0</v>
      </c>
      <c r="B44" s="472"/>
      <c r="C44" s="472"/>
      <c r="D44" s="129">
        <f>+'Info Gral'!C17</f>
        <v>0</v>
      </c>
      <c r="E44" s="129">
        <f>+VLOOKUP(A44,CRSU_AD_GH,4,FALSE)</f>
        <v>0</v>
      </c>
      <c r="F44" s="174"/>
    </row>
    <row r="45" spans="1:8" s="98" customFormat="1" ht="12.75" customHeight="1">
      <c r="A45" s="464" t="s">
        <v>725</v>
      </c>
      <c r="B45" s="465"/>
      <c r="C45" s="465"/>
      <c r="D45" s="465"/>
      <c r="E45" s="466"/>
      <c r="F45" s="331">
        <f>+(F41*D41+F42*D42+F43*D43+F44*D44)/Ac</f>
        <v>79.838022813688212</v>
      </c>
    </row>
    <row r="46" spans="1:8" ht="8.25" customHeight="1">
      <c r="B46" s="130"/>
    </row>
    <row r="47" spans="1:8" s="98" customFormat="1" ht="16">
      <c r="A47" s="81" t="s">
        <v>309</v>
      </c>
      <c r="B47" s="131">
        <f>0.2*25.4*(1000/F45-10)</f>
        <v>12.828830236124471</v>
      </c>
      <c r="C47" s="98" t="s">
        <v>248</v>
      </c>
    </row>
    <row r="48" spans="1:8" s="98" customFormat="1" ht="16">
      <c r="A48" s="81" t="s">
        <v>310</v>
      </c>
      <c r="B48" s="132">
        <f>0.786*(1.223-B47/B18)^2/(1.223+4*B47/B18)</f>
        <v>0.58981634354572998</v>
      </c>
      <c r="C48" s="98" t="s">
        <v>240</v>
      </c>
    </row>
    <row r="49" spans="1:6" s="98" customFormat="1" ht="16">
      <c r="A49" s="133" t="s">
        <v>301</v>
      </c>
      <c r="B49" s="134">
        <f>0.31*B48/B7*B18*Ac*10^-2</f>
        <v>229.26047150119342</v>
      </c>
      <c r="C49" s="135" t="s">
        <v>177</v>
      </c>
    </row>
    <row r="50" spans="1:6" s="98" customFormat="1" ht="16">
      <c r="A50" s="133" t="s">
        <v>302</v>
      </c>
      <c r="B50" s="136">
        <f>+(B24-B47)^2/(B24+4*B47)*Ac*10^-5</f>
        <v>2.4431232210042952</v>
      </c>
      <c r="C50" s="135" t="s">
        <v>493</v>
      </c>
    </row>
    <row r="51" spans="1:6" s="98" customFormat="1" ht="6" customHeight="1">
      <c r="A51" s="81"/>
      <c r="B51" s="137"/>
    </row>
    <row r="52" spans="1:6" s="98" customFormat="1" ht="20" thickBot="1">
      <c r="A52" s="249" t="s">
        <v>311</v>
      </c>
    </row>
    <row r="53" spans="1:6" s="98" customFormat="1" ht="19">
      <c r="A53" s="245" t="s">
        <v>435</v>
      </c>
      <c r="B53" s="246">
        <f>+MAX(B49,B36)</f>
        <v>229.26047150119342</v>
      </c>
      <c r="C53" s="461" t="s">
        <v>246</v>
      </c>
      <c r="D53" s="462"/>
      <c r="E53" s="462"/>
      <c r="F53" s="463"/>
    </row>
    <row r="54" spans="1:6" s="98" customFormat="1" ht="20" thickBot="1">
      <c r="A54" s="247" t="s">
        <v>436</v>
      </c>
      <c r="B54" s="248">
        <f>+MAX(B50,B37)</f>
        <v>2.4431232210042952</v>
      </c>
      <c r="C54" s="467" t="s">
        <v>312</v>
      </c>
      <c r="D54" s="468"/>
      <c r="E54" s="468"/>
      <c r="F54" s="469"/>
    </row>
    <row r="55" spans="1:6" s="98" customFormat="1" ht="14">
      <c r="A55" s="81"/>
    </row>
  </sheetData>
  <sheetProtection sheet="1" objects="1"/>
  <mergeCells count="11">
    <mergeCell ref="A44:C44"/>
    <mergeCell ref="A1:F1"/>
    <mergeCell ref="A2:F2"/>
    <mergeCell ref="C7:F8"/>
    <mergeCell ref="C53:F53"/>
    <mergeCell ref="A45:E45"/>
    <mergeCell ref="C54:F54"/>
    <mergeCell ref="A40:C40"/>
    <mergeCell ref="A41:C41"/>
    <mergeCell ref="A42:C42"/>
    <mergeCell ref="A43:C43"/>
  </mergeCells>
  <phoneticPr fontId="15" type="noConversion"/>
  <pageMargins left="0.76" right="0.28000000000000003" top="0.47" bottom="0.44" header="0.3" footer="0.3"/>
  <pageSetup paperSize="9" orientation="portrait"/>
  <ignoredErrors>
    <ignoredError sqref="D41:D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1"/>
  </sheetPr>
  <dimension ref="A1:L92"/>
  <sheetViews>
    <sheetView topLeftCell="A13" zoomScale="90" workbookViewId="0">
      <selection activeCell="R51" sqref="R51"/>
    </sheetView>
  </sheetViews>
  <sheetFormatPr baseColWidth="10" defaultRowHeight="15"/>
  <cols>
    <col min="4" max="4" width="12.1640625" customWidth="1"/>
    <col min="5" max="5" width="15.5" customWidth="1"/>
    <col min="6" max="6" width="9.6640625" customWidth="1"/>
    <col min="7" max="7" width="14.5" customWidth="1"/>
    <col min="9" max="9" width="36.83203125" customWidth="1"/>
    <col min="10" max="12" width="9.83203125" customWidth="1"/>
    <col min="13" max="13" width="7.33203125" customWidth="1"/>
  </cols>
  <sheetData>
    <row r="1" spans="1:12" s="82" customFormat="1" ht="21">
      <c r="A1" s="456" t="s">
        <v>283</v>
      </c>
      <c r="B1" s="457"/>
      <c r="C1" s="457"/>
      <c r="D1" s="457"/>
      <c r="E1" s="457"/>
      <c r="F1" s="457"/>
      <c r="G1" s="457"/>
      <c r="I1" s="475" t="s">
        <v>511</v>
      </c>
      <c r="J1" s="476"/>
      <c r="K1" s="476"/>
      <c r="L1" s="476"/>
    </row>
    <row r="2" spans="1:12" ht="22" thickBot="1">
      <c r="A2" s="487" t="s">
        <v>263</v>
      </c>
      <c r="B2" s="487"/>
      <c r="C2" s="487"/>
      <c r="D2" s="487"/>
      <c r="E2" s="487"/>
      <c r="F2" s="487"/>
      <c r="G2" s="487"/>
    </row>
    <row r="3" spans="1:12" ht="20" thickBot="1">
      <c r="A3" t="s">
        <v>336</v>
      </c>
      <c r="G3" s="269" t="str">
        <f>+'Info Gral'!B3</f>
        <v>Presa del Ejemplo del Manual</v>
      </c>
      <c r="I3" s="477" t="s">
        <v>495</v>
      </c>
      <c r="J3" s="479" t="s">
        <v>496</v>
      </c>
      <c r="K3" s="479"/>
      <c r="L3" s="480"/>
    </row>
    <row r="4" spans="1:12" ht="19">
      <c r="I4" s="478"/>
      <c r="J4" s="311" t="s">
        <v>497</v>
      </c>
      <c r="K4" s="311" t="s">
        <v>498</v>
      </c>
      <c r="L4" s="312" t="s">
        <v>499</v>
      </c>
    </row>
    <row r="5" spans="1:12">
      <c r="E5" s="47" t="s">
        <v>749</v>
      </c>
      <c r="F5" s="3">
        <f>+'Ht - Hv - Volumen'!O10</f>
        <v>106</v>
      </c>
      <c r="G5" t="s">
        <v>259</v>
      </c>
      <c r="I5" s="300" t="s">
        <v>500</v>
      </c>
      <c r="J5" s="301">
        <v>0.02</v>
      </c>
      <c r="K5" s="301">
        <v>2.2499999999999999E-2</v>
      </c>
      <c r="L5" s="302" t="s">
        <v>501</v>
      </c>
    </row>
    <row r="6" spans="1:12">
      <c r="G6" s="47" t="s">
        <v>750</v>
      </c>
      <c r="I6" s="300" t="s">
        <v>502</v>
      </c>
      <c r="J6" s="301">
        <v>0.03</v>
      </c>
      <c r="K6" s="301" t="s">
        <v>503</v>
      </c>
      <c r="L6" s="302">
        <v>3.5000000000000003E-2</v>
      </c>
    </row>
    <row r="7" spans="1:12">
      <c r="I7" s="300" t="s">
        <v>504</v>
      </c>
      <c r="J7" s="301">
        <v>0.04</v>
      </c>
      <c r="K7" s="301">
        <v>4.4999999999999998E-2</v>
      </c>
      <c r="L7" s="302"/>
    </row>
    <row r="8" spans="1:12">
      <c r="A8" t="s">
        <v>751</v>
      </c>
      <c r="I8" s="300" t="s">
        <v>505</v>
      </c>
      <c r="J8" s="301" t="s">
        <v>501</v>
      </c>
      <c r="K8" s="301">
        <v>2.75E-2</v>
      </c>
      <c r="L8" s="302">
        <v>0.03</v>
      </c>
    </row>
    <row r="9" spans="1:12">
      <c r="B9" s="46" t="s">
        <v>222</v>
      </c>
      <c r="I9" s="300" t="s">
        <v>506</v>
      </c>
      <c r="J9" s="301" t="s">
        <v>507</v>
      </c>
      <c r="K9" s="301">
        <v>0.03</v>
      </c>
      <c r="L9" s="302">
        <v>3.3000000000000002E-2</v>
      </c>
    </row>
    <row r="10" spans="1:12">
      <c r="B10" s="46" t="s">
        <v>223</v>
      </c>
      <c r="I10" s="300" t="s">
        <v>512</v>
      </c>
      <c r="J10" s="301">
        <v>0.03</v>
      </c>
      <c r="K10" s="301" t="s">
        <v>508</v>
      </c>
      <c r="L10" s="302">
        <v>0.04</v>
      </c>
    </row>
    <row r="11" spans="1:12" ht="16" thickBot="1">
      <c r="B11" s="46" t="s">
        <v>224</v>
      </c>
      <c r="I11" s="303" t="s">
        <v>509</v>
      </c>
      <c r="J11" s="304">
        <v>0.03</v>
      </c>
      <c r="K11" s="304" t="s">
        <v>503</v>
      </c>
      <c r="L11" s="305">
        <v>3.5000000000000003E-2</v>
      </c>
    </row>
    <row r="12" spans="1:12">
      <c r="I12" s="157" t="s">
        <v>510</v>
      </c>
    </row>
    <row r="13" spans="1:12">
      <c r="I13" s="310" t="s">
        <v>494</v>
      </c>
    </row>
    <row r="14" spans="1:12">
      <c r="A14" s="42" t="s">
        <v>264</v>
      </c>
    </row>
    <row r="15" spans="1:12" ht="16" thickBot="1"/>
    <row r="16" spans="1:12" ht="16">
      <c r="B16" s="175">
        <v>0.01</v>
      </c>
      <c r="C16" s="20" t="s">
        <v>265</v>
      </c>
      <c r="I16" s="306" t="s">
        <v>187</v>
      </c>
      <c r="J16" s="481" t="s">
        <v>188</v>
      </c>
      <c r="K16" s="482"/>
    </row>
    <row r="17" spans="1:11" ht="16">
      <c r="B17" s="176">
        <v>3.5000000000000003E-2</v>
      </c>
      <c r="C17" s="20" t="s">
        <v>266</v>
      </c>
      <c r="I17" s="307" t="s">
        <v>189</v>
      </c>
      <c r="J17" s="483" t="s">
        <v>190</v>
      </c>
      <c r="K17" s="484"/>
    </row>
    <row r="18" spans="1:11">
      <c r="B18" s="3">
        <f>+B16/B17^2</f>
        <v>8.1632653061224474</v>
      </c>
      <c r="C18" t="s">
        <v>213</v>
      </c>
      <c r="I18" s="307" t="s">
        <v>191</v>
      </c>
      <c r="J18" s="485" t="s">
        <v>192</v>
      </c>
      <c r="K18" s="486"/>
    </row>
    <row r="19" spans="1:11">
      <c r="I19" s="307" t="s">
        <v>193</v>
      </c>
      <c r="J19" s="483" t="s">
        <v>194</v>
      </c>
      <c r="K19" s="484"/>
    </row>
    <row r="20" spans="1:11">
      <c r="I20" s="307" t="s">
        <v>195</v>
      </c>
      <c r="J20" s="485" t="s">
        <v>196</v>
      </c>
      <c r="K20" s="486"/>
    </row>
    <row r="21" spans="1:11" ht="16" thickBot="1">
      <c r="I21" s="308" t="s">
        <v>197</v>
      </c>
      <c r="J21" s="473" t="s">
        <v>198</v>
      </c>
      <c r="K21" s="474"/>
    </row>
    <row r="22" spans="1:11">
      <c r="A22" s="4" t="s">
        <v>752</v>
      </c>
      <c r="I22" s="309" t="s">
        <v>199</v>
      </c>
      <c r="K22" s="43"/>
    </row>
    <row r="23" spans="1:11" ht="16">
      <c r="A23" s="162" t="s">
        <v>178</v>
      </c>
      <c r="B23" s="163" t="s">
        <v>179</v>
      </c>
      <c r="C23" s="163" t="s">
        <v>180</v>
      </c>
      <c r="D23" s="163" t="s">
        <v>181</v>
      </c>
      <c r="E23" s="163" t="s">
        <v>156</v>
      </c>
      <c r="F23" s="163" t="s">
        <v>157</v>
      </c>
      <c r="G23" s="164" t="s">
        <v>182</v>
      </c>
      <c r="I23" s="45" t="s">
        <v>200</v>
      </c>
      <c r="J23" s="44"/>
      <c r="K23" s="44"/>
    </row>
    <row r="24" spans="1:11" ht="17">
      <c r="A24" s="161" t="s">
        <v>183</v>
      </c>
      <c r="B24" s="161" t="s">
        <v>51</v>
      </c>
      <c r="C24" s="161" t="s">
        <v>184</v>
      </c>
      <c r="D24" s="161"/>
      <c r="E24" s="161" t="s">
        <v>186</v>
      </c>
      <c r="F24" s="161" t="s">
        <v>185</v>
      </c>
      <c r="G24" s="161" t="s">
        <v>183</v>
      </c>
    </row>
    <row r="25" spans="1:11" ht="16">
      <c r="A25" s="177">
        <v>0.4</v>
      </c>
      <c r="B25" s="18">
        <f ca="1">+c_*(Hv+A25-Hast)^d_-VolHv</f>
        <v>1.2415512124656445</v>
      </c>
      <c r="C25" s="21">
        <f ca="1">+(1-B25/'Avenida Proy'!$B$54)*'Avenida Proy'!$B$53</f>
        <v>112.75442959727931</v>
      </c>
      <c r="D25" s="18">
        <f>+$B$18^0.5*(2/3*A25)^(1/6)/9.81^0.5</f>
        <v>0.73185589270806273</v>
      </c>
      <c r="E25" s="18">
        <f>+D25*(3/(2+D25^2))^(5/3)*(2/3*A25)^(3/2)*9.81^0.5</f>
        <v>0.41777614436079863</v>
      </c>
      <c r="F25" s="18">
        <f>+D25*(3/(2+D25^2))^(2/3)*(2/3*9.81*A25)^0.5</f>
        <v>1.3241483033193688</v>
      </c>
      <c r="G25" s="19">
        <f ca="1">+C25/E25</f>
        <v>269.89197712520092</v>
      </c>
    </row>
    <row r="26" spans="1:11" ht="16">
      <c r="A26" s="177">
        <v>0.44</v>
      </c>
      <c r="B26" s="18">
        <f ca="1">+c_*(Hv+A26-Hast)^d_-VolHv</f>
        <v>1.3723899572714533</v>
      </c>
      <c r="C26" s="21">
        <f ca="1">+(1-B26/'Avenida Proy'!$B$54)*'Avenida Proy'!$B$53</f>
        <v>100.47664022222131</v>
      </c>
      <c r="D26" s="18">
        <f>+$B$18^0.5*(2/3*A26)^(1/6)/9.81^0.5</f>
        <v>0.74357427249127861</v>
      </c>
      <c r="E26" s="18">
        <f>+D26*(3/(2+D26^2))^(5/3)*(2/3*A26)^(3/2)*9.81^0.5</f>
        <v>0.48418645782002973</v>
      </c>
      <c r="F26" s="18">
        <f>+D26*(3/(2+D26^2))^(2/3)*(2/3*9.81*A26)^0.5</f>
        <v>1.4046374032364108</v>
      </c>
      <c r="G26" s="19">
        <f ca="1">+C26/E26</f>
        <v>207.51641975820829</v>
      </c>
    </row>
    <row r="27" spans="1:11" ht="16">
      <c r="A27" s="177">
        <v>0.45</v>
      </c>
      <c r="B27" s="18">
        <f ca="1">+c_*(Hv+A27-Hast)^d_-VolHv</f>
        <v>1.4052925808986192</v>
      </c>
      <c r="C27" s="21">
        <f ca="1">+(1-B27/'Avenida Proy'!$B$54)*'Avenida Proy'!$B$53</f>
        <v>97.389087805078148</v>
      </c>
      <c r="D27" s="18">
        <f>+$B$18^0.5*(2/3*A27)^(1/6)/9.81^0.5</f>
        <v>0.74636453423198279</v>
      </c>
      <c r="E27" s="18">
        <f>+D27*(3/(2+D27^2))^(5/3)*(2/3*A27)^(3/2)*9.81^0.5</f>
        <v>0.50130411386328078</v>
      </c>
      <c r="F27" s="18">
        <f>+D27*(3/(2+D27^2))^(2/3)*(2/3*9.81*A27)^0.5</f>
        <v>1.4242941182203603</v>
      </c>
      <c r="G27" s="19">
        <f ca="1">+C27/E27</f>
        <v>194.27147137204383</v>
      </c>
    </row>
    <row r="28" spans="1:11" ht="16">
      <c r="A28" s="177">
        <v>0.5</v>
      </c>
      <c r="B28" s="18">
        <f ca="1">+c_*(Hv+A28-Hast)^d_-VolHv</f>
        <v>1.5709673933941204</v>
      </c>
      <c r="C28" s="21">
        <f ca="1">+(1-B28/'Avenida Proy'!$B$54)*'Avenida Proy'!$B$53</f>
        <v>81.842313372236859</v>
      </c>
      <c r="D28" s="18">
        <f>+$B$18^0.5*(2/3*A28)^(1/6)/9.81^0.5</f>
        <v>0.7595865093523918</v>
      </c>
      <c r="E28" s="18">
        <f>+D28*(3/(2+D28^2))^(5/3)*(2/3*A28)^(3/2)*9.81^0.5</f>
        <v>0.58986036707413225</v>
      </c>
      <c r="F28" s="18">
        <f>+D28*(3/(2+D28^2))^(2/3)*(2/3*9.81*A28)^0.5</f>
        <v>1.5200534523687004</v>
      </c>
      <c r="G28" s="19">
        <f ca="1">+C28/E28</f>
        <v>138.74862245483109</v>
      </c>
    </row>
    <row r="29" spans="1:11">
      <c r="A29" s="4"/>
    </row>
    <row r="32" spans="1:11">
      <c r="F32" s="47" t="s">
        <v>402</v>
      </c>
    </row>
    <row r="33" spans="1:7">
      <c r="E33" s="47" t="s">
        <v>403</v>
      </c>
      <c r="F33" s="170">
        <v>200</v>
      </c>
      <c r="G33" t="s">
        <v>49</v>
      </c>
    </row>
    <row r="34" spans="1:7">
      <c r="E34" s="47" t="s">
        <v>269</v>
      </c>
      <c r="F34" s="230">
        <v>0.45</v>
      </c>
      <c r="G34" t="s">
        <v>49</v>
      </c>
    </row>
    <row r="35" spans="1:7" ht="15.75" customHeight="1">
      <c r="E35" s="47" t="s">
        <v>267</v>
      </c>
      <c r="F35" s="158">
        <f>+($B$18^0.5*(2/3*F34)^(1/6)/9.81^0.5)*(3/(2+($B$18^0.5*(2/3*F34)^(1/6)/9.81^0.5)^2))^(2/3)*(2/3*9.81*F34)^0.5</f>
        <v>1.4242941182203603</v>
      </c>
      <c r="G35" t="s">
        <v>185</v>
      </c>
    </row>
    <row r="36" spans="1:7">
      <c r="A36" s="2"/>
      <c r="F36" s="47" t="s">
        <v>268</v>
      </c>
    </row>
    <row r="37" spans="1:7" ht="19">
      <c r="A37" s="2"/>
      <c r="E37" s="242" t="s">
        <v>378</v>
      </c>
      <c r="F37" s="243">
        <f ca="1">+(1-(+c_*(Hv+F34-Hast)^d_-VolHv)/'Avenida Proy'!$B$54)*'Avenida Proy'!$B$53</f>
        <v>97.389087805078148</v>
      </c>
      <c r="G37" s="244" t="s">
        <v>379</v>
      </c>
    </row>
    <row r="38" spans="1:7">
      <c r="A38" s="2"/>
      <c r="E38" s="47" t="s">
        <v>400</v>
      </c>
      <c r="F38" s="139">
        <f>+'Avenida Proy'!B53</f>
        <v>229.26047150119342</v>
      </c>
      <c r="G38" t="s">
        <v>379</v>
      </c>
    </row>
    <row r="39" spans="1:7">
      <c r="A39" s="2"/>
      <c r="E39" s="47" t="s">
        <v>401</v>
      </c>
      <c r="F39" s="139">
        <f ca="1">+F37/F38*100</f>
        <v>42.47966828619699</v>
      </c>
      <c r="G39" t="s">
        <v>173</v>
      </c>
    </row>
    <row r="40" spans="1:7">
      <c r="A40" s="2"/>
    </row>
    <row r="41" spans="1:7">
      <c r="A41" s="4" t="s">
        <v>753</v>
      </c>
    </row>
    <row r="44" spans="1:7">
      <c r="A44" s="2"/>
    </row>
    <row r="45" spans="1:7">
      <c r="A45" s="2"/>
    </row>
    <row r="46" spans="1:7">
      <c r="A46" s="2"/>
    </row>
    <row r="47" spans="1:7">
      <c r="A47" s="2"/>
    </row>
    <row r="48" spans="1:7">
      <c r="A48" s="2"/>
    </row>
    <row r="49" spans="1:6">
      <c r="A49" s="2"/>
    </row>
    <row r="50" spans="1:6">
      <c r="A50" s="2"/>
    </row>
    <row r="51" spans="1:6">
      <c r="A51" s="2"/>
      <c r="B51" t="s">
        <v>273</v>
      </c>
    </row>
    <row r="52" spans="1:6">
      <c r="A52" s="2"/>
    </row>
    <row r="53" spans="1:6">
      <c r="A53" s="489" t="s">
        <v>271</v>
      </c>
      <c r="B53" s="489"/>
      <c r="C53" s="489"/>
      <c r="D53" s="489"/>
      <c r="E53" s="489"/>
      <c r="F53" s="489"/>
    </row>
    <row r="54" spans="1:6" ht="32">
      <c r="A54" s="52" t="s">
        <v>182</v>
      </c>
      <c r="B54" s="51" t="s">
        <v>189</v>
      </c>
      <c r="C54" s="51" t="s">
        <v>191</v>
      </c>
      <c r="D54" s="51" t="s">
        <v>193</v>
      </c>
      <c r="E54" s="51" t="s">
        <v>195</v>
      </c>
      <c r="F54" s="51" t="s">
        <v>272</v>
      </c>
    </row>
    <row r="55" spans="1:6">
      <c r="A55" s="53">
        <f ca="1">+INT(MIN(G25:G28)/100)*100</f>
        <v>100</v>
      </c>
      <c r="B55" s="52">
        <v>1</v>
      </c>
      <c r="C55" s="52">
        <v>1.2</v>
      </c>
      <c r="D55" s="52">
        <v>1.5</v>
      </c>
      <c r="E55" s="52">
        <v>1.8</v>
      </c>
      <c r="F55" s="52">
        <v>2.1</v>
      </c>
    </row>
    <row r="56" spans="1:6">
      <c r="A56" s="53">
        <f ca="1">+(C60-A55)/4+A55</f>
        <v>150</v>
      </c>
      <c r="B56" s="52">
        <v>1</v>
      </c>
      <c r="C56" s="52">
        <v>1.2</v>
      </c>
      <c r="D56" s="52">
        <v>1.5</v>
      </c>
      <c r="E56" s="52">
        <v>1.8</v>
      </c>
      <c r="F56" s="52">
        <v>2.1</v>
      </c>
    </row>
    <row r="57" spans="1:6">
      <c r="A57" s="2"/>
    </row>
    <row r="58" spans="1:6">
      <c r="A58" s="2"/>
      <c r="C58" s="490" t="s">
        <v>270</v>
      </c>
      <c r="D58" s="490"/>
      <c r="E58" s="490"/>
      <c r="F58" s="490"/>
    </row>
    <row r="59" spans="1:6">
      <c r="A59" s="2"/>
      <c r="C59" s="48" t="s">
        <v>182</v>
      </c>
      <c r="D59" s="48" t="s">
        <v>178</v>
      </c>
      <c r="E59" s="48" t="s">
        <v>28</v>
      </c>
      <c r="F59" s="48" t="s">
        <v>182</v>
      </c>
    </row>
    <row r="60" spans="1:6">
      <c r="A60" s="2"/>
      <c r="C60" s="50">
        <f ca="1">+ROUND(MAX(G25:G28)/100,0)*100</f>
        <v>300</v>
      </c>
      <c r="D60" s="49">
        <f>+F34</f>
        <v>0.45</v>
      </c>
      <c r="E60" s="49"/>
      <c r="F60" s="49"/>
    </row>
    <row r="61" spans="1:6">
      <c r="A61" s="2"/>
      <c r="C61" s="49">
        <f>+F33</f>
        <v>200</v>
      </c>
      <c r="D61" s="49">
        <f>+D60</f>
        <v>0.45</v>
      </c>
      <c r="E61" s="49">
        <v>0</v>
      </c>
      <c r="F61" s="49">
        <v>0</v>
      </c>
    </row>
    <row r="62" spans="1:6">
      <c r="A62" s="2"/>
      <c r="C62" s="49">
        <f>+C61</f>
        <v>200</v>
      </c>
      <c r="D62" s="49">
        <v>0</v>
      </c>
      <c r="E62" s="49">
        <f>+F35</f>
        <v>1.4242941182203603</v>
      </c>
      <c r="F62" s="49">
        <v>0</v>
      </c>
    </row>
    <row r="63" spans="1:6">
      <c r="A63" s="2"/>
      <c r="C63" s="50">
        <f ca="1">+A55</f>
        <v>100</v>
      </c>
      <c r="D63" s="49"/>
      <c r="E63" s="49">
        <f>+E62</f>
        <v>1.4242941182203603</v>
      </c>
      <c r="F63" s="49"/>
    </row>
    <row r="64" spans="1:6">
      <c r="A64" s="2"/>
    </row>
    <row r="65" spans="1:9">
      <c r="A65" s="2"/>
    </row>
    <row r="66" spans="1:9">
      <c r="A66" s="2"/>
    </row>
    <row r="67" spans="1:9">
      <c r="A67" s="2"/>
    </row>
    <row r="68" spans="1:9">
      <c r="A68" s="2"/>
    </row>
    <row r="69" spans="1:9">
      <c r="A69" s="2"/>
    </row>
    <row r="70" spans="1:9">
      <c r="A70" s="2"/>
    </row>
    <row r="71" spans="1:9">
      <c r="A71" s="2"/>
    </row>
    <row r="72" spans="1:9">
      <c r="A72" s="2"/>
      <c r="C72" t="s">
        <v>398</v>
      </c>
    </row>
    <row r="73" spans="1:9">
      <c r="A73" s="2"/>
      <c r="C73" s="47" t="s">
        <v>396</v>
      </c>
      <c r="D73" s="156">
        <f>+B18</f>
        <v>8.1632653061224474</v>
      </c>
      <c r="I73" s="3"/>
    </row>
    <row r="74" spans="1:9">
      <c r="A74" s="2"/>
      <c r="C74" s="47" t="s">
        <v>178</v>
      </c>
      <c r="D74" s="156">
        <f>+F34</f>
        <v>0.45</v>
      </c>
    </row>
    <row r="75" spans="1:9">
      <c r="A75" s="2"/>
      <c r="C75" s="47" t="s">
        <v>156</v>
      </c>
      <c r="D75" s="157">
        <f>+(D73^0.5*(2/3*D74)^(1/6)/9.81^0.5)*(3/(2+(D73^0.5*(2/3*D74)^(1/6)/9.81^0.5)^2))^(5/3)*(2/3*D74)^(3/2)*9.81^0.5</f>
        <v>0.50130411386328078</v>
      </c>
    </row>
    <row r="76" spans="1:9">
      <c r="A76" s="2"/>
    </row>
    <row r="77" spans="1:9">
      <c r="A77" s="2"/>
    </row>
    <row r="78" spans="1:9">
      <c r="A78" s="2"/>
    </row>
    <row r="79" spans="1:9">
      <c r="A79" s="2"/>
    </row>
    <row r="80" spans="1:9">
      <c r="A80" s="2"/>
    </row>
    <row r="81" spans="1:7">
      <c r="A81" s="2"/>
    </row>
    <row r="82" spans="1:7">
      <c r="A82" s="2"/>
    </row>
    <row r="83" spans="1:7">
      <c r="A83" s="2"/>
    </row>
    <row r="84" spans="1:7">
      <c r="A84" s="2"/>
    </row>
    <row r="85" spans="1:7">
      <c r="A85" s="2"/>
    </row>
    <row r="86" spans="1:7">
      <c r="A86" s="2"/>
    </row>
    <row r="87" spans="1:7">
      <c r="A87" s="2"/>
    </row>
    <row r="88" spans="1:7">
      <c r="A88" s="2"/>
    </row>
    <row r="90" spans="1:7" ht="18.75" customHeight="1">
      <c r="A90" s="488" t="s">
        <v>414</v>
      </c>
      <c r="B90" s="488"/>
      <c r="C90" s="488"/>
      <c r="D90" s="488"/>
      <c r="E90" s="488"/>
      <c r="F90" s="488"/>
      <c r="G90" s="488"/>
    </row>
    <row r="91" spans="1:7">
      <c r="A91" s="2"/>
    </row>
    <row r="92" spans="1:7">
      <c r="A92" s="2"/>
    </row>
  </sheetData>
  <sheetProtection sheet="1" objects="1"/>
  <mergeCells count="14">
    <mergeCell ref="A1:G1"/>
    <mergeCell ref="A2:G2"/>
    <mergeCell ref="A90:G90"/>
    <mergeCell ref="A53:F53"/>
    <mergeCell ref="C58:F58"/>
    <mergeCell ref="J21:K21"/>
    <mergeCell ref="I1:L1"/>
    <mergeCell ref="I3:I4"/>
    <mergeCell ref="J3:L3"/>
    <mergeCell ref="J16:K16"/>
    <mergeCell ref="J17:K17"/>
    <mergeCell ref="J18:K18"/>
    <mergeCell ref="J19:K19"/>
    <mergeCell ref="J20:K20"/>
  </mergeCells>
  <phoneticPr fontId="15" type="noConversion"/>
  <pageMargins left="0.75" right="0.75" top="1" bottom="1" header="0" footer="0"/>
  <pageSetup paperSize="9"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21"/>
  <sheetViews>
    <sheetView zoomScale="110" zoomScaleNormal="110" workbookViewId="0">
      <pane ySplit="1" topLeftCell="A2" activePane="bottomLeft" state="frozen"/>
      <selection activeCell="C1" sqref="C1"/>
      <selection pane="bottomLeft" activeCell="B2" sqref="B2"/>
    </sheetView>
  </sheetViews>
  <sheetFormatPr baseColWidth="10" defaultRowHeight="15"/>
  <cols>
    <col min="1" max="1" width="6.5" customWidth="1"/>
    <col min="2" max="10" width="4.6640625" customWidth="1"/>
    <col min="11" max="11" width="5.83203125" customWidth="1"/>
    <col min="12" max="12" width="4.83203125" style="153" bestFit="1" customWidth="1"/>
    <col min="13" max="13" width="5.5" style="153" customWidth="1"/>
    <col min="14" max="17" width="5.5" customWidth="1"/>
    <col min="18" max="18" width="7.5" customWidth="1"/>
  </cols>
  <sheetData>
    <row r="2" spans="1:18">
      <c r="C2" s="491" t="s">
        <v>393</v>
      </c>
      <c r="D2" s="491"/>
      <c r="E2" s="491"/>
      <c r="F2" s="491"/>
      <c r="G2" s="491"/>
      <c r="H2" s="491"/>
      <c r="I2" s="491"/>
      <c r="J2" s="491"/>
      <c r="M2" s="491" t="s">
        <v>394</v>
      </c>
      <c r="N2" s="491"/>
      <c r="O2" s="491"/>
      <c r="P2" s="491"/>
      <c r="Q2" s="491"/>
      <c r="R2" s="491"/>
    </row>
    <row r="3" spans="1:18">
      <c r="B3" t="s">
        <v>395</v>
      </c>
      <c r="C3" s="153">
        <v>0.1</v>
      </c>
      <c r="D3" s="153">
        <v>0.2</v>
      </c>
      <c r="E3" s="153">
        <v>0.3</v>
      </c>
      <c r="F3" s="153">
        <v>0.4</v>
      </c>
      <c r="G3" s="153">
        <v>0.5</v>
      </c>
      <c r="H3" s="153">
        <v>0.6</v>
      </c>
      <c r="I3" s="153">
        <v>0.7</v>
      </c>
      <c r="J3" s="153">
        <v>0.8</v>
      </c>
      <c r="L3" s="154" t="s">
        <v>396</v>
      </c>
      <c r="M3" s="153">
        <v>1</v>
      </c>
      <c r="N3">
        <v>1.2</v>
      </c>
      <c r="O3">
        <v>1.4</v>
      </c>
      <c r="P3">
        <v>1.6</v>
      </c>
      <c r="Q3">
        <v>1.8</v>
      </c>
      <c r="R3" s="155" t="s">
        <v>397</v>
      </c>
    </row>
    <row r="4" spans="1:18">
      <c r="A4" s="138"/>
      <c r="B4">
        <v>1</v>
      </c>
      <c r="C4" s="3">
        <v>2.0822207775198418E-2</v>
      </c>
      <c r="D4" s="3">
        <v>6.5530575867263088E-2</v>
      </c>
      <c r="E4" s="3">
        <v>0.1280194752570461</v>
      </c>
      <c r="F4" s="3">
        <v>0.20577938049848049</v>
      </c>
      <c r="G4" s="3">
        <v>0.29726608128057852</v>
      </c>
      <c r="H4" s="3">
        <v>0.40139104758958472</v>
      </c>
      <c r="I4" s="3">
        <v>0.51732756805003899</v>
      </c>
      <c r="J4" s="3">
        <v>0.64441704348933992</v>
      </c>
      <c r="L4" s="153">
        <v>1</v>
      </c>
      <c r="M4" s="153">
        <v>1</v>
      </c>
      <c r="N4">
        <v>1.57744</v>
      </c>
      <c r="O4">
        <v>2.3191000000000002</v>
      </c>
      <c r="P4">
        <v>3.2381700000000002</v>
      </c>
      <c r="Q4">
        <v>4.3469199999999999</v>
      </c>
      <c r="R4">
        <v>90854.205912890146</v>
      </c>
    </row>
    <row r="5" spans="1:18">
      <c r="A5" s="138"/>
      <c r="B5">
        <v>2</v>
      </c>
      <c r="C5" s="3">
        <v>2.8479478835218668E-2</v>
      </c>
      <c r="D5" s="3">
        <v>8.8883118316132687E-2</v>
      </c>
      <c r="E5" s="3">
        <v>0.17263875340184731</v>
      </c>
      <c r="F5" s="3">
        <v>0.27623756648888559</v>
      </c>
      <c r="G5" s="3">
        <v>0.39752658490434289</v>
      </c>
      <c r="H5" s="3">
        <v>0.53499182307153892</v>
      </c>
      <c r="I5" s="3">
        <v>0.68748592358006722</v>
      </c>
      <c r="J5" s="3">
        <v>0.85409664309246702</v>
      </c>
      <c r="L5" s="153">
        <v>2</v>
      </c>
      <c r="M5" s="153">
        <v>0.59460000000000002</v>
      </c>
      <c r="N5">
        <v>0.93794999999999995</v>
      </c>
      <c r="O5">
        <v>1.3789499999999999</v>
      </c>
      <c r="P5">
        <v>1.92543</v>
      </c>
      <c r="Q5">
        <v>2.5846900000000002</v>
      </c>
      <c r="R5">
        <v>4015.2265687702243</v>
      </c>
    </row>
    <row r="6" spans="1:18">
      <c r="A6" s="138"/>
      <c r="B6">
        <v>3</v>
      </c>
      <c r="C6" s="3">
        <v>3.3756163798227976E-2</v>
      </c>
      <c r="D6" s="3">
        <v>0.10451261593684892</v>
      </c>
      <c r="E6" s="3">
        <v>0.20188504192704781</v>
      </c>
      <c r="F6" s="3">
        <v>0.32164782538280062</v>
      </c>
      <c r="G6" s="3">
        <v>0.46121839546539745</v>
      </c>
      <c r="H6" s="3">
        <v>0.61878664810259154</v>
      </c>
      <c r="I6" s="3">
        <v>0.79298478686885343</v>
      </c>
      <c r="J6" s="3">
        <v>0.98272814458188273</v>
      </c>
      <c r="L6" s="153">
        <v>3</v>
      </c>
      <c r="M6" s="153">
        <v>0.43869000000000002</v>
      </c>
      <c r="N6">
        <v>0.69201000000000001</v>
      </c>
      <c r="O6">
        <v>1.0173700000000001</v>
      </c>
      <c r="P6">
        <v>1.42056</v>
      </c>
      <c r="Q6">
        <v>1.9069499999999999</v>
      </c>
      <c r="R6">
        <v>647.58889186193596</v>
      </c>
    </row>
    <row r="7" spans="1:18">
      <c r="A7" s="138"/>
      <c r="B7">
        <v>4</v>
      </c>
      <c r="C7" s="3">
        <v>3.7746095507459373E-2</v>
      </c>
      <c r="D7" s="3">
        <v>0.11597495901302059</v>
      </c>
      <c r="E7" s="3">
        <v>0.22286186840507122</v>
      </c>
      <c r="F7" s="3">
        <v>0.35362926466615935</v>
      </c>
      <c r="G7" s="3">
        <v>0.50537081051723887</v>
      </c>
      <c r="H7" s="3">
        <v>0.67605725873001909</v>
      </c>
      <c r="I7" s="3">
        <v>0.86416031075881139</v>
      </c>
      <c r="J7" s="3">
        <v>1.0684716208042486</v>
      </c>
      <c r="L7" s="153">
        <v>4</v>
      </c>
      <c r="M7" s="153">
        <v>0.35354999999999998</v>
      </c>
      <c r="N7">
        <v>0.55771000000000004</v>
      </c>
      <c r="O7">
        <v>0.81993000000000005</v>
      </c>
      <c r="P7">
        <v>1.1448700000000001</v>
      </c>
      <c r="Q7">
        <v>1.53687</v>
      </c>
      <c r="R7">
        <v>177.44962092361345</v>
      </c>
    </row>
    <row r="8" spans="1:18">
      <c r="A8" s="138"/>
      <c r="B8">
        <v>5</v>
      </c>
      <c r="C8" s="3">
        <v>4.0892194219693027E-2</v>
      </c>
      <c r="D8" s="3">
        <v>0.12472342282134918</v>
      </c>
      <c r="E8" s="3">
        <v>0.23848802074453843</v>
      </c>
      <c r="F8" s="3">
        <v>0.37697316454833923</v>
      </c>
      <c r="G8" s="3">
        <v>0.53702385798249108</v>
      </c>
      <c r="H8" s="3">
        <v>0.71644632640728467</v>
      </c>
      <c r="I8" s="3">
        <v>0.91359422626780451</v>
      </c>
      <c r="J8" s="3">
        <v>1.1271699794774515</v>
      </c>
      <c r="L8" s="153">
        <v>5</v>
      </c>
      <c r="M8" s="153">
        <v>0.29907</v>
      </c>
      <c r="N8">
        <v>0.47176000000000001</v>
      </c>
      <c r="O8">
        <v>0.69357000000000002</v>
      </c>
      <c r="P8">
        <v>0.96843999999999997</v>
      </c>
      <c r="Q8">
        <v>1.30003</v>
      </c>
      <c r="R8">
        <v>65.009977748155421</v>
      </c>
    </row>
    <row r="9" spans="1:18">
      <c r="A9" s="138"/>
      <c r="B9">
        <v>6</v>
      </c>
      <c r="C9" s="3">
        <v>4.343085844354521E-2</v>
      </c>
      <c r="D9" s="3">
        <v>0.1315381506663949</v>
      </c>
      <c r="E9" s="3">
        <v>0.25033422017017015</v>
      </c>
      <c r="F9" s="3">
        <v>0.39426066655778641</v>
      </c>
      <c r="G9" s="3">
        <v>0.55997131975714554</v>
      </c>
      <c r="H9" s="3">
        <v>0.74514944741009714</v>
      </c>
      <c r="I9" s="3">
        <v>0.94806278513613595</v>
      </c>
      <c r="J9" s="3">
        <v>1.1673504294251684</v>
      </c>
      <c r="L9" s="153">
        <v>6</v>
      </c>
      <c r="M9" s="153">
        <v>0.26085000000000003</v>
      </c>
      <c r="N9">
        <v>0.41147</v>
      </c>
      <c r="O9">
        <v>0.60492999999999997</v>
      </c>
      <c r="P9">
        <v>0.84467000000000003</v>
      </c>
      <c r="Q9">
        <v>1.13388</v>
      </c>
      <c r="R9">
        <v>28.619656053541028</v>
      </c>
    </row>
    <row r="10" spans="1:18">
      <c r="A10" s="138"/>
      <c r="B10">
        <v>7</v>
      </c>
      <c r="C10" s="3">
        <v>4.5507599761309268E-2</v>
      </c>
      <c r="D10" s="3">
        <v>0.13690061439102644</v>
      </c>
      <c r="E10" s="3">
        <v>0.25936988036854491</v>
      </c>
      <c r="F10" s="3">
        <v>0.40708330498397222</v>
      </c>
      <c r="G10" s="3">
        <v>0.57654919738320898</v>
      </c>
      <c r="H10" s="3">
        <v>0.76536058255385275</v>
      </c>
      <c r="I10" s="3">
        <v>0.97172433792673885</v>
      </c>
      <c r="J10" s="3">
        <v>1.1942362798961905</v>
      </c>
      <c r="L10" s="153">
        <v>7</v>
      </c>
      <c r="M10" s="153">
        <v>0.23236999999999999</v>
      </c>
      <c r="N10">
        <v>0.36654999999999999</v>
      </c>
      <c r="O10">
        <v>0.53888999999999998</v>
      </c>
      <c r="P10">
        <v>0.75244999999999995</v>
      </c>
      <c r="Q10">
        <v>1.0100800000000001</v>
      </c>
      <c r="R10">
        <v>14.302233260531994</v>
      </c>
    </row>
    <row r="11" spans="1:18">
      <c r="A11" s="138"/>
      <c r="B11">
        <v>8</v>
      </c>
      <c r="C11" s="3">
        <v>4.7220220536004109E-2</v>
      </c>
      <c r="D11" s="3">
        <v>0.14113438160773681</v>
      </c>
      <c r="E11" s="3">
        <v>0.26624519729651652</v>
      </c>
      <c r="F11" s="3">
        <v>0.41650585328267514</v>
      </c>
      <c r="G11" s="3">
        <v>0.58831612051159365</v>
      </c>
      <c r="H11" s="3">
        <v>0.77920498032364238</v>
      </c>
      <c r="I11" s="3">
        <v>0.98733831147444384</v>
      </c>
      <c r="J11" s="3">
        <v>1.2112843784738929</v>
      </c>
      <c r="L11" s="153">
        <v>8</v>
      </c>
      <c r="M11" s="153">
        <v>0.21021999999999999</v>
      </c>
      <c r="N11">
        <v>0.33162000000000003</v>
      </c>
      <c r="O11">
        <v>0.48753000000000002</v>
      </c>
      <c r="P11">
        <v>0.68074000000000001</v>
      </c>
      <c r="Q11">
        <v>0.91383000000000003</v>
      </c>
      <c r="R11">
        <v>7.8422393921293372</v>
      </c>
    </row>
    <row r="12" spans="1:18">
      <c r="A12" s="138"/>
      <c r="B12">
        <v>9</v>
      </c>
      <c r="C12" s="3">
        <v>4.8638488370917235E-2</v>
      </c>
      <c r="D12" s="3">
        <v>0.14446969211123431</v>
      </c>
      <c r="E12" s="3">
        <v>0.27142116181593828</v>
      </c>
      <c r="F12" s="3">
        <v>0.42328040625871466</v>
      </c>
      <c r="G12" s="3">
        <v>0.59636895509140087</v>
      </c>
      <c r="H12" s="3">
        <v>0.7881729258221265</v>
      </c>
      <c r="I12" s="3">
        <v>0.99683306166248786</v>
      </c>
      <c r="J12" s="3">
        <v>1.220902500013332</v>
      </c>
      <c r="L12" s="153">
        <v>9</v>
      </c>
      <c r="M12" s="153">
        <v>0.19245000000000001</v>
      </c>
      <c r="N12">
        <v>0.30358000000000002</v>
      </c>
      <c r="O12">
        <v>0.44630999999999998</v>
      </c>
      <c r="P12">
        <v>0.62319000000000002</v>
      </c>
      <c r="Q12">
        <v>0.83655999999999997</v>
      </c>
      <c r="R12">
        <v>4.6158718647000008</v>
      </c>
    </row>
    <row r="13" spans="1:18">
      <c r="A13" s="138"/>
      <c r="B13">
        <v>10</v>
      </c>
      <c r="C13" s="3">
        <v>4.9814346002400478E-2</v>
      </c>
      <c r="D13" s="3">
        <v>0.14707718976249698</v>
      </c>
      <c r="E13" s="3">
        <v>0.27523776293358743</v>
      </c>
      <c r="F13" s="3">
        <v>0.42795902996159213</v>
      </c>
      <c r="G13" s="3">
        <v>0.6015092591445752</v>
      </c>
      <c r="H13" s="3">
        <v>0.79334891168074906</v>
      </c>
      <c r="I13" s="3">
        <v>1.0016063135231179</v>
      </c>
      <c r="J13" s="3">
        <v>1.2248293156071208</v>
      </c>
      <c r="L13" s="153">
        <v>10</v>
      </c>
      <c r="M13" s="153">
        <v>0.17782999999999999</v>
      </c>
      <c r="N13">
        <v>0.28050999999999998</v>
      </c>
      <c r="O13">
        <v>0.41239999999999999</v>
      </c>
      <c r="P13">
        <v>0.57584000000000002</v>
      </c>
      <c r="Q13">
        <v>0.77300000000000002</v>
      </c>
      <c r="R13">
        <v>2.8730622569067039</v>
      </c>
    </row>
    <row r="14" spans="1:18">
      <c r="A14" s="138"/>
      <c r="B14">
        <v>11</v>
      </c>
      <c r="C14" s="3">
        <v>5.0787723849031748E-2</v>
      </c>
      <c r="D14" s="3">
        <v>0.14908724478335941</v>
      </c>
      <c r="E14" s="3">
        <v>0.27795320028369325</v>
      </c>
      <c r="F14" s="3">
        <v>0.43095868579129692</v>
      </c>
      <c r="G14" s="3">
        <v>0.6043393765226337</v>
      </c>
      <c r="H14" s="3">
        <v>0.79554408779557217</v>
      </c>
      <c r="I14" s="3">
        <v>1.0026989346265478</v>
      </c>
      <c r="J14" s="3">
        <v>1.2243542732256314</v>
      </c>
      <c r="L14" s="153">
        <v>11</v>
      </c>
      <c r="M14" s="153">
        <v>0.16714000000000001</v>
      </c>
      <c r="N14">
        <v>0.26116</v>
      </c>
      <c r="O14">
        <v>0.38395000000000001</v>
      </c>
      <c r="P14">
        <v>0.53610999999999998</v>
      </c>
      <c r="Q14">
        <v>0.71960000000000002</v>
      </c>
      <c r="R14">
        <v>1.8710179485923433</v>
      </c>
    </row>
    <row r="15" spans="1:18">
      <c r="A15" s="138"/>
      <c r="B15">
        <v>12</v>
      </c>
      <c r="C15" s="3">
        <v>5.1590087791722819E-2</v>
      </c>
      <c r="D15" s="3">
        <v>0.1506018130936248</v>
      </c>
      <c r="E15" s="3">
        <v>0.27976802306311338</v>
      </c>
      <c r="F15" s="3">
        <v>0.43260126596368753</v>
      </c>
      <c r="G15" s="3">
        <v>0.60532175080782935</v>
      </c>
      <c r="H15" s="3">
        <v>0.7953780560172764</v>
      </c>
      <c r="I15" s="3">
        <v>1.0009022661162199</v>
      </c>
      <c r="J15" s="3">
        <v>1.220453395644443</v>
      </c>
      <c r="L15" s="153">
        <v>12</v>
      </c>
      <c r="M15" s="153">
        <v>0.15509999999999999</v>
      </c>
      <c r="N15">
        <v>0.24465999999999999</v>
      </c>
      <c r="O15">
        <v>0.35969000000000001</v>
      </c>
      <c r="P15">
        <v>0.50224000000000002</v>
      </c>
      <c r="Q15">
        <v>0.67420999999999998</v>
      </c>
      <c r="R15">
        <v>1.264822054417843</v>
      </c>
    </row>
    <row r="16" spans="1:18">
      <c r="A16" s="138"/>
      <c r="B16">
        <v>13</v>
      </c>
      <c r="C16" s="3">
        <v>5.2246725546231831E-2</v>
      </c>
      <c r="D16" s="3">
        <v>0.15170211581709281</v>
      </c>
      <c r="E16" s="3">
        <v>0.280840795331738</v>
      </c>
      <c r="F16" s="3">
        <v>0.43313960027503107</v>
      </c>
      <c r="G16" s="3">
        <v>0.60481746623808319</v>
      </c>
      <c r="H16" s="3">
        <v>0.79333201127735142</v>
      </c>
      <c r="I16" s="3"/>
      <c r="J16" s="3"/>
      <c r="L16" s="153">
        <v>13</v>
      </c>
      <c r="M16" s="153">
        <v>0.14606</v>
      </c>
      <c r="N16">
        <v>0.23041</v>
      </c>
      <c r="O16">
        <v>0.33873999999999999</v>
      </c>
      <c r="P16">
        <v>0.47298000000000001</v>
      </c>
      <c r="Q16">
        <v>0.63492999999999999</v>
      </c>
      <c r="R16">
        <v>0.88226682972878245</v>
      </c>
    </row>
    <row r="17" spans="1:18">
      <c r="A17" s="138"/>
      <c r="B17">
        <v>14</v>
      </c>
      <c r="C17" s="3">
        <v>5.2778285740849515E-2</v>
      </c>
      <c r="D17" s="3">
        <v>0.15245382909300034</v>
      </c>
      <c r="E17" s="3">
        <v>0.28129869697441778</v>
      </c>
      <c r="F17" s="3">
        <v>0.4327750593507701</v>
      </c>
      <c r="G17" s="3">
        <v>0.60311232537552373</v>
      </c>
      <c r="H17" s="3"/>
      <c r="I17" s="3"/>
      <c r="J17" s="3"/>
      <c r="L17" s="153">
        <v>14</v>
      </c>
      <c r="M17" s="153">
        <v>0.13816999999999999</v>
      </c>
      <c r="N17">
        <v>0.21795</v>
      </c>
      <c r="O17">
        <v>0.32041999999999998</v>
      </c>
      <c r="P17">
        <v>0.44740999999999997</v>
      </c>
      <c r="Q17">
        <v>0.60060000000000002</v>
      </c>
      <c r="R17">
        <v>0.63207538278962228</v>
      </c>
    </row>
    <row r="18" spans="1:18">
      <c r="A18" s="138"/>
      <c r="B18">
        <v>15</v>
      </c>
      <c r="C18" s="3">
        <v>5.3201851575065205E-2</v>
      </c>
      <c r="D18" s="3">
        <v>0.15291071530739256</v>
      </c>
      <c r="E18" s="3">
        <v>0.28124494494922381</v>
      </c>
      <c r="F18" s="3">
        <v>0.43166987203516616</v>
      </c>
      <c r="G18" s="3"/>
      <c r="H18" s="3"/>
      <c r="I18" s="3"/>
      <c r="J18" s="3"/>
      <c r="L18" s="153">
        <v>15</v>
      </c>
      <c r="M18" s="153">
        <v>0.13120000000000001</v>
      </c>
      <c r="N18">
        <v>0.20696000000000001</v>
      </c>
      <c r="O18">
        <v>0.30425999999999997</v>
      </c>
      <c r="P18">
        <v>0.42485000000000001</v>
      </c>
      <c r="R18">
        <v>0.46337689077665573</v>
      </c>
    </row>
    <row r="19" spans="1:18">
      <c r="A19" s="138"/>
      <c r="B19">
        <v>16</v>
      </c>
      <c r="C19" s="3">
        <v>5.3531712372763891E-2</v>
      </c>
      <c r="D19" s="3">
        <v>0.15311723782973968</v>
      </c>
      <c r="E19" s="3">
        <v>0.28076413565063457</v>
      </c>
      <c r="F19" s="3"/>
      <c r="G19" s="3"/>
      <c r="H19" s="3"/>
      <c r="I19" s="3"/>
      <c r="J19" s="3"/>
      <c r="L19" s="153">
        <v>16</v>
      </c>
      <c r="M19" s="153">
        <v>0.125</v>
      </c>
      <c r="N19">
        <v>0.19717999999999999</v>
      </c>
      <c r="O19">
        <v>0.28988999999999998</v>
      </c>
      <c r="R19">
        <v>0.34658129086643258</v>
      </c>
    </row>
    <row r="20" spans="1:18">
      <c r="A20" s="138"/>
      <c r="B20">
        <v>17</v>
      </c>
      <c r="C20" s="3">
        <v>5.3779932097689123E-2</v>
      </c>
      <c r="D20" s="3">
        <v>0.15311048967159771</v>
      </c>
      <c r="E20" s="3"/>
      <c r="F20" s="3"/>
      <c r="G20" s="3"/>
      <c r="H20" s="3"/>
      <c r="I20" s="3"/>
      <c r="J20" s="3"/>
      <c r="L20" s="153">
        <v>17</v>
      </c>
      <c r="M20" s="153">
        <v>0.11942999999999999</v>
      </c>
      <c r="N20">
        <v>0.18842</v>
      </c>
      <c r="R20">
        <v>0.26383043328339584</v>
      </c>
    </row>
    <row r="21" spans="1:18">
      <c r="A21" s="138"/>
      <c r="B21">
        <v>18</v>
      </c>
      <c r="C21" s="3">
        <v>5.3956777307939748E-2</v>
      </c>
      <c r="D21" s="3">
        <v>0.15292164542183609</v>
      </c>
      <c r="E21" s="3"/>
      <c r="F21" s="3"/>
      <c r="G21" s="3"/>
      <c r="H21" s="3"/>
      <c r="I21" s="3"/>
      <c r="J21" s="3"/>
      <c r="L21" s="153">
        <v>18</v>
      </c>
      <c r="M21" s="153">
        <v>0.11443</v>
      </c>
      <c r="N21">
        <v>0.18051</v>
      </c>
      <c r="R21">
        <v>0.20399464353859773</v>
      </c>
    </row>
  </sheetData>
  <mergeCells count="2">
    <mergeCell ref="C2:J2"/>
    <mergeCell ref="M2:R2"/>
  </mergeCells>
  <phoneticPr fontId="15" type="noConversion"/>
  <pageMargins left="0.75" right="0.75" top="1" bottom="1" header="0" footer="0"/>
  <pageSetup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0"/>
  </sheetPr>
  <dimension ref="A1:G27"/>
  <sheetViews>
    <sheetView zoomScale="90" workbookViewId="0">
      <selection activeCell="R51" sqref="R51"/>
    </sheetView>
  </sheetViews>
  <sheetFormatPr baseColWidth="10" defaultRowHeight="15"/>
  <sheetData>
    <row r="1" spans="1:7" s="82" customFormat="1" ht="21">
      <c r="A1" s="459" t="s">
        <v>283</v>
      </c>
      <c r="B1" s="459"/>
      <c r="C1" s="459"/>
      <c r="D1" s="459"/>
      <c r="E1" s="459"/>
      <c r="F1" s="459"/>
      <c r="G1" s="459"/>
    </row>
    <row r="2" spans="1:7" ht="21">
      <c r="A2" s="437" t="s">
        <v>333</v>
      </c>
      <c r="B2" s="437"/>
      <c r="C2" s="437"/>
      <c r="D2" s="437"/>
      <c r="E2" s="437"/>
      <c r="F2" s="437"/>
      <c r="G2" s="437"/>
    </row>
    <row r="3" spans="1:7" ht="19">
      <c r="A3" t="s">
        <v>334</v>
      </c>
      <c r="G3" s="269" t="str">
        <f>+'Info Gral'!B3</f>
        <v>Presa del Ejemplo del Manual</v>
      </c>
    </row>
    <row r="4" spans="1:7" ht="18">
      <c r="D4" s="350" t="s">
        <v>383</v>
      </c>
      <c r="E4" s="352" t="s">
        <v>741</v>
      </c>
      <c r="F4" s="352"/>
      <c r="G4" s="2"/>
    </row>
    <row r="5" spans="1:7" ht="16">
      <c r="D5" s="350" t="s">
        <v>293</v>
      </c>
      <c r="E5" s="353">
        <f>+'Ht - Hv - Volumen'!O10</f>
        <v>106</v>
      </c>
      <c r="F5" s="352" t="s">
        <v>259</v>
      </c>
      <c r="G5" s="2"/>
    </row>
    <row r="6" spans="1:7" ht="16">
      <c r="D6" s="350" t="s">
        <v>291</v>
      </c>
      <c r="E6" s="353">
        <f>+ROUND(2*'Diseño Aliv-Canal'!F34,1)/2</f>
        <v>0.45</v>
      </c>
      <c r="F6" s="352" t="s">
        <v>49</v>
      </c>
      <c r="G6" s="2"/>
    </row>
    <row r="7" spans="1:7" ht="16">
      <c r="D7" s="350" t="s">
        <v>292</v>
      </c>
      <c r="E7" s="354">
        <v>0.77</v>
      </c>
      <c r="F7" s="352" t="s">
        <v>326</v>
      </c>
      <c r="G7" s="2"/>
    </row>
    <row r="8" spans="1:7">
      <c r="G8" s="2"/>
    </row>
    <row r="9" spans="1:7">
      <c r="C9" s="70" t="s">
        <v>289</v>
      </c>
      <c r="D9" s="70" t="s">
        <v>331</v>
      </c>
      <c r="E9" s="70" t="s">
        <v>332</v>
      </c>
      <c r="G9" s="2"/>
    </row>
    <row r="10" spans="1:7">
      <c r="C10" s="70" t="s">
        <v>244</v>
      </c>
      <c r="D10" s="70" t="s">
        <v>183</v>
      </c>
      <c r="E10" s="70" t="s">
        <v>183</v>
      </c>
      <c r="G10" s="2"/>
    </row>
    <row r="11" spans="1:7" ht="17">
      <c r="C11" s="64" t="s">
        <v>290</v>
      </c>
      <c r="D11" s="64">
        <v>1.2</v>
      </c>
      <c r="E11" s="64">
        <v>0.9</v>
      </c>
      <c r="G11" s="2"/>
    </row>
    <row r="12" spans="1:7" ht="16">
      <c r="C12" s="64">
        <v>1.6</v>
      </c>
      <c r="D12" s="64">
        <v>1.5</v>
      </c>
      <c r="E12" s="64">
        <v>1.2</v>
      </c>
      <c r="G12" s="2"/>
    </row>
    <row r="13" spans="1:7" ht="16">
      <c r="C13" s="64">
        <v>4</v>
      </c>
      <c r="D13" s="64">
        <v>1.8</v>
      </c>
      <c r="E13" s="64">
        <v>1.5</v>
      </c>
      <c r="G13" s="2"/>
    </row>
    <row r="14" spans="1:7" ht="16">
      <c r="C14" s="64">
        <v>8</v>
      </c>
      <c r="D14" s="64">
        <v>2.4</v>
      </c>
      <c r="E14" s="64">
        <v>1.8</v>
      </c>
    </row>
    <row r="15" spans="1:7" ht="16">
      <c r="C15" s="64">
        <v>16.100000000000001</v>
      </c>
      <c r="D15" s="64">
        <v>3</v>
      </c>
      <c r="E15" s="64">
        <v>2.1</v>
      </c>
    </row>
    <row r="16" spans="1:7">
      <c r="C16" t="s">
        <v>329</v>
      </c>
    </row>
    <row r="17" spans="3:6">
      <c r="C17" s="4" t="s">
        <v>330</v>
      </c>
    </row>
    <row r="19" spans="3:6" ht="18">
      <c r="D19" s="350" t="s">
        <v>408</v>
      </c>
      <c r="E19" s="351">
        <f>IF($E$7&lt;1.6,1.2,+VLOOKUP($E$7,$C$12:$E$15,2,TRUE))</f>
        <v>1.2</v>
      </c>
      <c r="F19" s="352" t="s">
        <v>49</v>
      </c>
    </row>
    <row r="20" spans="3:6" ht="18">
      <c r="D20" s="350" t="s">
        <v>409</v>
      </c>
      <c r="E20" s="351">
        <f>IF($E$7&lt;1.6,0.9,+VLOOKUP($E$7,$C$12:$E$15,3,TRUE))</f>
        <v>0.9</v>
      </c>
      <c r="F20" s="352" t="s">
        <v>49</v>
      </c>
    </row>
    <row r="21" spans="3:6" ht="18">
      <c r="D21" s="350" t="s">
        <v>328</v>
      </c>
      <c r="E21" s="351">
        <f>+E6+E20</f>
        <v>1.35</v>
      </c>
      <c r="F21" s="352" t="s">
        <v>49</v>
      </c>
    </row>
    <row r="22" spans="3:6" ht="18">
      <c r="D22" s="350" t="s">
        <v>327</v>
      </c>
      <c r="E22" s="351">
        <f>+MAX(E21,E19)</f>
        <v>1.35</v>
      </c>
      <c r="F22" s="352" t="s">
        <v>49</v>
      </c>
    </row>
    <row r="23" spans="3:6" ht="19">
      <c r="D23" s="71" t="s">
        <v>335</v>
      </c>
      <c r="E23" s="72">
        <f>+E5+E22</f>
        <v>107.35</v>
      </c>
      <c r="F23" s="73" t="s">
        <v>259</v>
      </c>
    </row>
    <row r="25" spans="3:6" ht="16">
      <c r="D25" s="355" t="s">
        <v>384</v>
      </c>
      <c r="E25" s="354">
        <v>98</v>
      </c>
      <c r="F25" s="352" t="s">
        <v>259</v>
      </c>
    </row>
    <row r="27" spans="3:6" ht="19">
      <c r="D27" s="71" t="s">
        <v>415</v>
      </c>
      <c r="E27" s="72">
        <f>+E23-E25</f>
        <v>9.3499999999999943</v>
      </c>
      <c r="F27" s="73" t="s">
        <v>49</v>
      </c>
    </row>
  </sheetData>
  <sheetProtection sheet="1" objects="1"/>
  <mergeCells count="2">
    <mergeCell ref="A1:G1"/>
    <mergeCell ref="A2:G2"/>
  </mergeCells>
  <phoneticPr fontId="15" type="noConversion"/>
  <pageMargins left="0.75" right="0.75" top="1" bottom="0.56999999999999995"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3"/>
  </sheetPr>
  <dimension ref="A1:AE377"/>
  <sheetViews>
    <sheetView zoomScale="90" workbookViewId="0">
      <pane ySplit="16" topLeftCell="A17" activePane="bottomLeft" state="frozen"/>
      <selection activeCell="R51" sqref="R51"/>
      <selection pane="bottomLeft" activeCell="R51" sqref="R51"/>
    </sheetView>
  </sheetViews>
  <sheetFormatPr baseColWidth="10" defaultColWidth="11.5" defaultRowHeight="15"/>
  <cols>
    <col min="1" max="1" width="6.1640625" style="37" customWidth="1"/>
    <col min="2" max="2" width="4.83203125" style="37" customWidth="1"/>
    <col min="3" max="3" width="6" style="37" bestFit="1" customWidth="1"/>
    <col min="4" max="4" width="6.6640625" style="37" bestFit="1" customWidth="1"/>
    <col min="5" max="5" width="7.1640625" style="37" bestFit="1" customWidth="1"/>
    <col min="6" max="6" width="5.6640625" style="37" bestFit="1" customWidth="1"/>
    <col min="7" max="7" width="7.1640625" style="37" bestFit="1" customWidth="1"/>
    <col min="8" max="8" width="5.6640625" style="37" bestFit="1" customWidth="1"/>
    <col min="9" max="10" width="7" style="37" customWidth="1"/>
    <col min="11" max="11" width="7.1640625" style="37" bestFit="1" customWidth="1"/>
    <col min="12" max="12" width="6.1640625" style="37" bestFit="1" customWidth="1"/>
    <col min="13" max="14" width="7.1640625" style="37" bestFit="1" customWidth="1"/>
    <col min="15" max="15" width="7.5" style="37" customWidth="1"/>
    <col min="16" max="16" width="4.5" style="37" customWidth="1"/>
    <col min="17" max="28" width="6.1640625" style="37" customWidth="1"/>
    <col min="29" max="29" width="7.1640625" style="37" bestFit="1" customWidth="1"/>
    <col min="30" max="31" width="6.1640625" style="37" customWidth="1"/>
    <col min="32" max="16384" width="11.5" style="37"/>
  </cols>
  <sheetData>
    <row r="1" spans="1:31" ht="19">
      <c r="A1" s="435" t="s">
        <v>513</v>
      </c>
      <c r="B1" s="435"/>
      <c r="C1" s="435"/>
      <c r="D1" s="435"/>
      <c r="E1" s="435"/>
      <c r="F1" s="435"/>
      <c r="G1" s="435"/>
      <c r="H1" s="435"/>
      <c r="I1" s="435"/>
      <c r="J1" s="435"/>
      <c r="K1" s="435"/>
      <c r="L1" s="435"/>
      <c r="M1" s="435"/>
      <c r="N1" s="435"/>
      <c r="O1" s="435"/>
      <c r="Q1" s="507" t="s">
        <v>722</v>
      </c>
      <c r="R1" s="507"/>
      <c r="S1" s="507"/>
      <c r="T1" s="507"/>
      <c r="U1" s="507"/>
      <c r="V1" s="507"/>
      <c r="W1" s="507"/>
      <c r="X1" s="507"/>
      <c r="Y1" s="507"/>
      <c r="Z1" s="507"/>
      <c r="AA1" s="507"/>
      <c r="AB1" s="507"/>
      <c r="AC1" s="507"/>
      <c r="AD1" s="507"/>
      <c r="AE1" s="507"/>
    </row>
    <row r="2" spans="1:31" ht="16">
      <c r="A2" s="181" t="s">
        <v>349</v>
      </c>
      <c r="D2" s="297" t="s">
        <v>348</v>
      </c>
    </row>
    <row r="3" spans="1:31" ht="19">
      <c r="A3" s="181"/>
      <c r="E3" s="181"/>
      <c r="O3" s="298" t="str">
        <f>+'Info Gral'!B3</f>
        <v>Presa del Ejemplo del Manual</v>
      </c>
      <c r="Q3" s="181"/>
      <c r="R3" s="321" t="s">
        <v>0</v>
      </c>
      <c r="AE3" s="38"/>
    </row>
    <row r="4" spans="1:31" ht="16">
      <c r="A4" s="181"/>
      <c r="O4" s="38"/>
      <c r="Q4" s="503" t="s">
        <v>6</v>
      </c>
      <c r="R4" s="504"/>
      <c r="S4" s="505"/>
      <c r="T4" s="188" t="s">
        <v>8</v>
      </c>
      <c r="U4" s="188" t="s">
        <v>9</v>
      </c>
      <c r="V4" s="188" t="s">
        <v>10</v>
      </c>
      <c r="W4" s="188" t="s">
        <v>11</v>
      </c>
      <c r="X4" s="188" t="s">
        <v>12</v>
      </c>
      <c r="Y4" s="188" t="s">
        <v>13</v>
      </c>
      <c r="Z4" s="188" t="s">
        <v>14</v>
      </c>
      <c r="AA4" s="188" t="s">
        <v>15</v>
      </c>
      <c r="AB4" s="188" t="s">
        <v>16</v>
      </c>
      <c r="AC4" s="188" t="s">
        <v>17</v>
      </c>
      <c r="AD4" s="188" t="s">
        <v>18</v>
      </c>
      <c r="AE4" s="188" t="s">
        <v>19</v>
      </c>
    </row>
    <row r="5" spans="1:31" ht="19">
      <c r="A5" s="320" t="s">
        <v>721</v>
      </c>
      <c r="Q5" s="503" t="s">
        <v>464</v>
      </c>
      <c r="R5" s="504"/>
      <c r="S5" s="506"/>
      <c r="T5" s="189">
        <v>1.88</v>
      </c>
      <c r="U5" s="189">
        <v>1.45</v>
      </c>
      <c r="V5" s="189">
        <v>1.19</v>
      </c>
      <c r="W5" s="189">
        <v>0.73</v>
      </c>
      <c r="X5" s="189">
        <v>0.44</v>
      </c>
      <c r="Y5" s="189">
        <v>0.28999999999999998</v>
      </c>
      <c r="Z5" s="189">
        <v>0.35</v>
      </c>
      <c r="AA5" s="189">
        <v>0.55000000000000004</v>
      </c>
      <c r="AB5" s="189">
        <v>0.78</v>
      </c>
      <c r="AC5" s="189">
        <v>1.1200000000000001</v>
      </c>
      <c r="AD5" s="189">
        <v>1.47</v>
      </c>
      <c r="AE5" s="189">
        <v>1.78</v>
      </c>
    </row>
    <row r="6" spans="1:31" ht="15" customHeight="1">
      <c r="D6" s="508" t="str">
        <f>+'Info Gral'!A13</f>
        <v xml:space="preserve">Unidad Cartográfica seg/Carta de Recon. Suelos del Uruguay </v>
      </c>
      <c r="E6" s="504"/>
      <c r="F6" s="504"/>
      <c r="G6" s="504"/>
      <c r="H6" s="504"/>
      <c r="I6" s="504"/>
      <c r="J6" s="504"/>
      <c r="K6" s="505"/>
      <c r="L6" s="147" t="s">
        <v>297</v>
      </c>
      <c r="M6" s="502" t="s">
        <v>298</v>
      </c>
      <c r="N6" s="404"/>
      <c r="Q6" s="181"/>
      <c r="U6" s="181"/>
      <c r="AE6" s="38"/>
    </row>
    <row r="7" spans="1:31" ht="16">
      <c r="D7" s="492" t="str">
        <f>+'Info Gral'!A14</f>
        <v>Cuchilla de Haedo – Paso de Los Toros</v>
      </c>
      <c r="E7" s="493"/>
      <c r="F7" s="493"/>
      <c r="G7" s="493"/>
      <c r="H7" s="493"/>
      <c r="I7" s="493"/>
      <c r="J7" s="493"/>
      <c r="K7" s="494"/>
      <c r="L7" s="145">
        <f>+'Info Gral'!C14</f>
        <v>2559</v>
      </c>
      <c r="M7" s="319">
        <f>+VLOOKUP(D7,CRSU_AD_GH,3,FALSE)</f>
        <v>21.5</v>
      </c>
      <c r="N7" s="62" t="s">
        <v>47</v>
      </c>
      <c r="Q7" s="181"/>
      <c r="R7" s="321" t="s">
        <v>723</v>
      </c>
      <c r="AA7" s="35"/>
      <c r="AB7" s="31"/>
      <c r="AC7" s="32"/>
      <c r="AE7" s="38"/>
    </row>
    <row r="8" spans="1:31" ht="18">
      <c r="D8" s="492" t="str">
        <f>+'Info Gral'!A15</f>
        <v>Masoller</v>
      </c>
      <c r="E8" s="493"/>
      <c r="F8" s="493"/>
      <c r="G8" s="493"/>
      <c r="H8" s="493"/>
      <c r="I8" s="493"/>
      <c r="J8" s="493"/>
      <c r="K8" s="494"/>
      <c r="L8" s="39">
        <f>+'Info Gral'!C15</f>
        <v>71</v>
      </c>
      <c r="M8" s="319">
        <f>+VLOOKUP(D8,CRSU_AD_GH,3,FALSE)</f>
        <v>52.1</v>
      </c>
      <c r="N8" s="62" t="s">
        <v>47</v>
      </c>
      <c r="Q8" s="181"/>
      <c r="AA8" s="38" t="s">
        <v>2</v>
      </c>
      <c r="AB8" s="236" t="s">
        <v>1</v>
      </c>
      <c r="AC8" s="187">
        <f>0.9161</f>
        <v>0.91610000000000003</v>
      </c>
      <c r="AD8" s="39" t="s">
        <v>47</v>
      </c>
      <c r="AE8" s="38"/>
    </row>
    <row r="9" spans="1:31" ht="16">
      <c r="D9" s="499">
        <f>+'Info Gral'!A16</f>
        <v>0</v>
      </c>
      <c r="E9" s="500"/>
      <c r="F9" s="500"/>
      <c r="G9" s="500"/>
      <c r="H9" s="500"/>
      <c r="I9" s="500"/>
      <c r="J9" s="500"/>
      <c r="K9" s="501"/>
      <c r="L9" s="39">
        <f>+'Info Gral'!C16</f>
        <v>0</v>
      </c>
      <c r="M9" s="319">
        <f>+VLOOKUP(D9,CRSU_AD_GH,3,FALSE)</f>
        <v>0</v>
      </c>
      <c r="N9" s="62" t="s">
        <v>47</v>
      </c>
      <c r="Q9" s="181"/>
      <c r="AA9" s="38" t="s">
        <v>216</v>
      </c>
      <c r="AB9" s="238" t="s">
        <v>32</v>
      </c>
      <c r="AC9" s="40">
        <v>0.3</v>
      </c>
      <c r="AD9" s="39"/>
      <c r="AE9" s="38"/>
    </row>
    <row r="10" spans="1:31" ht="16">
      <c r="D10" s="499">
        <f>+'Info Gral'!A17</f>
        <v>0</v>
      </c>
      <c r="E10" s="500"/>
      <c r="F10" s="500"/>
      <c r="G10" s="500"/>
      <c r="H10" s="500"/>
      <c r="I10" s="500"/>
      <c r="J10" s="500"/>
      <c r="K10" s="501"/>
      <c r="L10" s="39">
        <f>+'Info Gral'!C17</f>
        <v>0</v>
      </c>
      <c r="M10" s="319">
        <f>+VLOOKUP(D10,CRSU_AD_GH,3,FALSE)</f>
        <v>0</v>
      </c>
      <c r="N10" s="62" t="s">
        <v>47</v>
      </c>
      <c r="Q10" s="181"/>
      <c r="AA10" s="38" t="s">
        <v>217</v>
      </c>
      <c r="AB10" s="238" t="s">
        <v>33</v>
      </c>
      <c r="AC10" s="40">
        <v>386</v>
      </c>
      <c r="AD10" s="39" t="s">
        <v>47</v>
      </c>
      <c r="AE10" s="38"/>
    </row>
    <row r="11" spans="1:31" ht="16">
      <c r="D11" s="492" t="s">
        <v>296</v>
      </c>
      <c r="E11" s="493"/>
      <c r="F11" s="493"/>
      <c r="G11" s="493"/>
      <c r="H11" s="493"/>
      <c r="I11" s="493"/>
      <c r="J11" s="493"/>
      <c r="K11" s="494"/>
      <c r="L11" s="39">
        <f>+Ac</f>
        <v>2630</v>
      </c>
      <c r="M11" s="34">
        <f>+(M7*L7+M8*L8+M9*L9+M10*L10)/Ac</f>
        <v>22.326083650190114</v>
      </c>
      <c r="N11" s="62" t="s">
        <v>47</v>
      </c>
      <c r="Q11" s="181"/>
      <c r="AA11" s="38" t="s">
        <v>218</v>
      </c>
      <c r="AB11" s="237" t="s">
        <v>34</v>
      </c>
      <c r="AC11" s="40">
        <v>2.3250000000000002</v>
      </c>
      <c r="AD11" s="39" t="s">
        <v>214</v>
      </c>
      <c r="AE11" s="38"/>
    </row>
    <row r="12" spans="1:31">
      <c r="D12" s="146" t="s">
        <v>299</v>
      </c>
      <c r="L12" s="31"/>
      <c r="M12" s="32"/>
    </row>
    <row r="13" spans="1:31">
      <c r="A13" s="182"/>
      <c r="B13" s="182"/>
      <c r="C13" s="182"/>
      <c r="D13" s="182"/>
      <c r="E13" s="182"/>
      <c r="F13" s="182"/>
      <c r="G13" s="182"/>
      <c r="H13" s="182"/>
      <c r="I13" s="182"/>
      <c r="J13" s="182"/>
      <c r="K13" s="182"/>
      <c r="L13" s="182"/>
      <c r="M13" s="182"/>
      <c r="N13" s="182"/>
      <c r="O13" s="182"/>
    </row>
    <row r="14" spans="1:31" ht="16" thickBot="1">
      <c r="A14" s="497" t="s">
        <v>215</v>
      </c>
      <c r="B14" s="498"/>
      <c r="C14" s="183" t="s">
        <v>35</v>
      </c>
      <c r="D14" s="183" t="s">
        <v>36</v>
      </c>
      <c r="E14" s="183" t="s">
        <v>37</v>
      </c>
      <c r="F14" s="183" t="s">
        <v>38</v>
      </c>
      <c r="G14" s="183" t="s">
        <v>28</v>
      </c>
      <c r="H14" s="183" t="s">
        <v>39</v>
      </c>
      <c r="I14" s="183" t="s">
        <v>40</v>
      </c>
      <c r="J14" s="183" t="s">
        <v>41</v>
      </c>
      <c r="K14" s="183" t="s">
        <v>42</v>
      </c>
      <c r="L14" s="183" t="s">
        <v>43</v>
      </c>
      <c r="M14" s="183" t="s">
        <v>44</v>
      </c>
      <c r="N14" s="183" t="s">
        <v>45</v>
      </c>
      <c r="O14" s="183" t="s">
        <v>46</v>
      </c>
    </row>
    <row r="15" spans="1:31" ht="16" thickBot="1">
      <c r="A15" s="495" t="s">
        <v>30</v>
      </c>
      <c r="B15" s="496"/>
      <c r="C15" s="184" t="s">
        <v>7</v>
      </c>
      <c r="D15" s="184" t="s">
        <v>21</v>
      </c>
      <c r="E15" s="184" t="s">
        <v>22</v>
      </c>
      <c r="F15" s="184" t="s">
        <v>23</v>
      </c>
      <c r="G15" s="184" t="s">
        <v>24</v>
      </c>
      <c r="H15" s="184" t="s">
        <v>25</v>
      </c>
      <c r="I15" s="184" t="s">
        <v>26</v>
      </c>
      <c r="J15" s="184" t="s">
        <v>27</v>
      </c>
      <c r="K15" s="184" t="s">
        <v>147</v>
      </c>
      <c r="L15" s="184" t="s">
        <v>28</v>
      </c>
      <c r="M15" s="184" t="s">
        <v>146</v>
      </c>
      <c r="N15" s="184" t="s">
        <v>29</v>
      </c>
      <c r="O15" s="184" t="s">
        <v>145</v>
      </c>
      <c r="Q15" s="240"/>
      <c r="R15" s="240"/>
      <c r="S15" s="240"/>
      <c r="T15" s="240"/>
      <c r="U15" s="240"/>
      <c r="V15" s="240"/>
      <c r="W15" s="240"/>
      <c r="X15" s="240"/>
      <c r="Y15" s="240"/>
      <c r="Z15" s="240"/>
      <c r="AA15" s="240"/>
      <c r="AB15" s="240"/>
      <c r="AC15" s="240"/>
      <c r="AD15" s="240"/>
      <c r="AE15" s="240"/>
    </row>
    <row r="16" spans="1:31" ht="16" thickBot="1">
      <c r="A16" s="184" t="s">
        <v>20</v>
      </c>
      <c r="B16" s="184" t="s">
        <v>31</v>
      </c>
      <c r="C16" s="184" t="s">
        <v>47</v>
      </c>
      <c r="D16" s="184" t="s">
        <v>47</v>
      </c>
      <c r="E16" s="184" t="s">
        <v>47</v>
      </c>
      <c r="F16" s="184" t="s">
        <v>47</v>
      </c>
      <c r="G16" s="184" t="s">
        <v>47</v>
      </c>
      <c r="H16" s="184" t="s">
        <v>47</v>
      </c>
      <c r="I16" s="184" t="s">
        <v>47</v>
      </c>
      <c r="J16" s="184" t="s">
        <v>47</v>
      </c>
      <c r="K16" s="184" t="s">
        <v>47</v>
      </c>
      <c r="L16" s="184" t="s">
        <v>47</v>
      </c>
      <c r="M16" s="184" t="s">
        <v>47</v>
      </c>
      <c r="N16" s="184" t="s">
        <v>47</v>
      </c>
      <c r="O16" s="184" t="s">
        <v>48</v>
      </c>
    </row>
    <row r="17" spans="1:31" s="240" customFormat="1">
      <c r="A17" s="239"/>
      <c r="B17" s="239"/>
      <c r="C17" s="239"/>
      <c r="D17" s="239"/>
      <c r="E17" s="239"/>
      <c r="F17" s="239"/>
      <c r="G17" s="239"/>
      <c r="H17" s="239">
        <v>0</v>
      </c>
      <c r="I17" s="239"/>
      <c r="J17" s="239"/>
      <c r="K17" s="239"/>
      <c r="L17" s="239">
        <v>0</v>
      </c>
      <c r="M17" s="239"/>
      <c r="N17" s="239"/>
      <c r="O17" s="239"/>
      <c r="Q17" s="37"/>
      <c r="R17" s="37"/>
      <c r="S17" s="37"/>
      <c r="T17" s="37"/>
      <c r="U17" s="37"/>
      <c r="V17" s="37"/>
      <c r="W17" s="37"/>
      <c r="X17" s="37"/>
      <c r="Y17" s="37"/>
      <c r="Z17" s="37"/>
      <c r="AA17" s="37"/>
      <c r="AB17" s="37"/>
      <c r="AC17" s="37"/>
      <c r="AD17" s="37"/>
      <c r="AE17" s="37"/>
    </row>
    <row r="18" spans="1:31">
      <c r="A18" s="41">
        <v>1981</v>
      </c>
      <c r="B18" s="41">
        <v>1</v>
      </c>
      <c r="C18" s="180">
        <f>+ETPm*T5</f>
        <v>190.06799999999998</v>
      </c>
      <c r="D18" s="180">
        <f>+HLOOKUP('Info Gral'!$C$8,'Precip 1981-2010'!$D$5:$AL$373,10,FALSE)</f>
        <v>137.4</v>
      </c>
      <c r="E18" s="185">
        <f t="shared" ref="E18:E81" si="0">+CAD*AD-H17+C18</f>
        <v>210.52092523193915</v>
      </c>
      <c r="F18" s="185">
        <f t="shared" ref="F18:F81" si="1">+CP.o*(CAD*AD-H17)</f>
        <v>6.1358775695817496</v>
      </c>
      <c r="G18" s="185">
        <f t="shared" ref="G18:G81" si="2">+IF(D18&lt;F18,0,(D18-F18)^2/(D18+E18-2*F18))</f>
        <v>51.334164874190741</v>
      </c>
      <c r="H18" s="185">
        <f t="shared" ref="H18:H81" si="3">+MAX(0,H17+D18-G18-C18)</f>
        <v>0</v>
      </c>
      <c r="I18" s="185">
        <f t="shared" ref="I18:I81" si="4">+MIN(H17+D18-G18,C18)</f>
        <v>86.065835125809258</v>
      </c>
      <c r="J18" s="185">
        <f t="shared" ref="J18:J81" si="5">+Imax*G18/(G18+Imax)</f>
        <v>45.308574616249949</v>
      </c>
      <c r="K18" s="185">
        <f t="shared" ref="K18:K81" si="6">+G18-J18</f>
        <v>6.0255902579407916</v>
      </c>
      <c r="L18" s="185">
        <f t="shared" ref="L18:L81" si="7">+L17*EXP(-α)+J18*EXP(-α/2)</f>
        <v>14.168147336960629</v>
      </c>
      <c r="M18" s="186">
        <f t="shared" ref="M18:M81" si="8">+L17-L18+J18</f>
        <v>31.14042727928932</v>
      </c>
      <c r="N18" s="186">
        <f t="shared" ref="N18:N81" si="9">+M18+K18</f>
        <v>37.166017537230111</v>
      </c>
      <c r="O18" s="186">
        <f t="shared" ref="O18:O81" si="10">+N18*Ac/100000</f>
        <v>0.97746626122915181</v>
      </c>
    </row>
    <row r="19" spans="1:31">
      <c r="A19" s="41">
        <v>1981</v>
      </c>
      <c r="B19" s="41">
        <v>2</v>
      </c>
      <c r="C19" s="180">
        <f>+ETPm*U5</f>
        <v>146.595</v>
      </c>
      <c r="D19" s="180">
        <f>+HLOOKUP('Info Gral'!$C$8,'Precip 1981-2010'!$D$5:$AL$373,11,FALSE)</f>
        <v>186.1</v>
      </c>
      <c r="E19" s="185">
        <f t="shared" si="0"/>
        <v>167.04792523193916</v>
      </c>
      <c r="F19" s="185">
        <f t="shared" si="1"/>
        <v>6.1358775695817496</v>
      </c>
      <c r="G19" s="186">
        <f t="shared" si="2"/>
        <v>95.011292086906025</v>
      </c>
      <c r="H19" s="186">
        <f t="shared" si="3"/>
        <v>0</v>
      </c>
      <c r="I19" s="186">
        <f t="shared" si="4"/>
        <v>91.08870791309397</v>
      </c>
      <c r="J19" s="186">
        <f t="shared" si="5"/>
        <v>76.24427814663369</v>
      </c>
      <c r="K19" s="186">
        <f t="shared" si="6"/>
        <v>18.767013940272335</v>
      </c>
      <c r="L19" s="186">
        <f t="shared" si="7"/>
        <v>25.227258623917383</v>
      </c>
      <c r="M19" s="186">
        <f t="shared" si="8"/>
        <v>65.18516685967694</v>
      </c>
      <c r="N19" s="186">
        <f t="shared" si="9"/>
        <v>83.952180799949275</v>
      </c>
      <c r="O19" s="186">
        <f t="shared" si="10"/>
        <v>2.2079423550386661</v>
      </c>
    </row>
    <row r="20" spans="1:31">
      <c r="A20" s="41">
        <v>1981</v>
      </c>
      <c r="B20" s="41">
        <v>3</v>
      </c>
      <c r="C20" s="180">
        <f>+ETPm*V5</f>
        <v>120.30899999999998</v>
      </c>
      <c r="D20" s="180">
        <f>+HLOOKUP('Info Gral'!$C$8,'Precip 1981-2010'!$D$5:$AL$373,12,FALSE)</f>
        <v>66</v>
      </c>
      <c r="E20" s="185">
        <f t="shared" si="0"/>
        <v>140.76192523193916</v>
      </c>
      <c r="F20" s="185">
        <f t="shared" si="1"/>
        <v>6.1358775695817496</v>
      </c>
      <c r="G20" s="186">
        <f t="shared" si="2"/>
        <v>18.426191681844916</v>
      </c>
      <c r="H20" s="186">
        <f t="shared" si="3"/>
        <v>0</v>
      </c>
      <c r="I20" s="186">
        <f t="shared" si="4"/>
        <v>47.573808318155088</v>
      </c>
      <c r="J20" s="186">
        <f t="shared" si="5"/>
        <v>17.586670041359305</v>
      </c>
      <c r="K20" s="186">
        <f t="shared" si="6"/>
        <v>0.83952164048561073</v>
      </c>
      <c r="L20" s="186">
        <f t="shared" si="7"/>
        <v>7.9662205271978159</v>
      </c>
      <c r="M20" s="186">
        <f t="shared" si="8"/>
        <v>34.847708138078872</v>
      </c>
      <c r="N20" s="186">
        <f t="shared" si="9"/>
        <v>35.687229778564486</v>
      </c>
      <c r="O20" s="186">
        <f t="shared" si="10"/>
        <v>0.93857414317624599</v>
      </c>
    </row>
    <row r="21" spans="1:31">
      <c r="A21" s="41">
        <v>1981</v>
      </c>
      <c r="B21" s="41">
        <v>4</v>
      </c>
      <c r="C21" s="180">
        <f>+ETPm*W5</f>
        <v>73.802999999999997</v>
      </c>
      <c r="D21" s="180">
        <f>+HLOOKUP('Info Gral'!$C$8,'Precip 1981-2010'!$D$5:$AL$373,13,FALSE)</f>
        <v>48</v>
      </c>
      <c r="E21" s="185">
        <f t="shared" si="0"/>
        <v>94.255925231939159</v>
      </c>
      <c r="F21" s="185">
        <f t="shared" si="1"/>
        <v>6.1358775695817496</v>
      </c>
      <c r="G21" s="186">
        <f t="shared" si="2"/>
        <v>13.48321680723225</v>
      </c>
      <c r="H21" s="186">
        <f t="shared" si="3"/>
        <v>0</v>
      </c>
      <c r="I21" s="186">
        <f t="shared" si="4"/>
        <v>34.516783192767747</v>
      </c>
      <c r="J21" s="186">
        <f t="shared" si="5"/>
        <v>13.028136023303961</v>
      </c>
      <c r="K21" s="186">
        <f t="shared" si="6"/>
        <v>0.45508078392828821</v>
      </c>
      <c r="L21" s="186">
        <f t="shared" si="7"/>
        <v>4.8529074859819579</v>
      </c>
      <c r="M21" s="186">
        <f t="shared" si="8"/>
        <v>16.141449064519819</v>
      </c>
      <c r="N21" s="186">
        <f t="shared" si="9"/>
        <v>16.596529848448107</v>
      </c>
      <c r="O21" s="186">
        <f t="shared" si="10"/>
        <v>0.43648873501418523</v>
      </c>
    </row>
    <row r="22" spans="1:31">
      <c r="A22" s="41">
        <v>1981</v>
      </c>
      <c r="B22" s="41">
        <v>5</v>
      </c>
      <c r="C22" s="180">
        <f>+ETPm*X5</f>
        <v>44.483999999999995</v>
      </c>
      <c r="D22" s="180">
        <f>+HLOOKUP('Info Gral'!$C$8,'Precip 1981-2010'!$D$5:$AL$373,14,FALSE)</f>
        <v>256.39999999999998</v>
      </c>
      <c r="E22" s="185">
        <f t="shared" si="0"/>
        <v>64.936925231939156</v>
      </c>
      <c r="F22" s="185">
        <f t="shared" si="1"/>
        <v>6.1358775695817496</v>
      </c>
      <c r="G22" s="186">
        <f t="shared" si="2"/>
        <v>202.6502402618398</v>
      </c>
      <c r="H22" s="186">
        <f t="shared" si="3"/>
        <v>9.2657597381601846</v>
      </c>
      <c r="I22" s="186">
        <f t="shared" si="4"/>
        <v>44.483999999999995</v>
      </c>
      <c r="J22" s="186">
        <f t="shared" si="5"/>
        <v>132.88534921225121</v>
      </c>
      <c r="K22" s="186">
        <f t="shared" si="6"/>
        <v>69.764891049588584</v>
      </c>
      <c r="L22" s="186">
        <f t="shared" si="7"/>
        <v>42.028240397853402</v>
      </c>
      <c r="M22" s="186">
        <f t="shared" si="8"/>
        <v>95.710016300379777</v>
      </c>
      <c r="N22" s="186">
        <f t="shared" si="9"/>
        <v>165.47490734996836</v>
      </c>
      <c r="O22" s="186">
        <f t="shared" si="10"/>
        <v>4.3519900633041679</v>
      </c>
    </row>
    <row r="23" spans="1:31">
      <c r="A23" s="41">
        <v>1981</v>
      </c>
      <c r="B23" s="41">
        <v>6</v>
      </c>
      <c r="C23" s="180">
        <f>+ETPm*Y5</f>
        <v>29.318999999999996</v>
      </c>
      <c r="D23" s="180">
        <f>+HLOOKUP('Info Gral'!$C$8,'Precip 1981-2010'!$D$5:$AL$373,15,FALSE)</f>
        <v>96.8</v>
      </c>
      <c r="E23" s="185">
        <f t="shared" si="0"/>
        <v>40.50616549377898</v>
      </c>
      <c r="F23" s="185">
        <f t="shared" si="1"/>
        <v>3.3561496481336941</v>
      </c>
      <c r="G23" s="186">
        <f t="shared" si="2"/>
        <v>66.861893462714292</v>
      </c>
      <c r="H23" s="186">
        <f t="shared" si="3"/>
        <v>9.8848662754458942</v>
      </c>
      <c r="I23" s="186">
        <f t="shared" si="4"/>
        <v>29.318999999999996</v>
      </c>
      <c r="J23" s="186">
        <f t="shared" si="5"/>
        <v>56.990202198879949</v>
      </c>
      <c r="K23" s="186">
        <f t="shared" si="6"/>
        <v>9.871691263834343</v>
      </c>
      <c r="L23" s="186">
        <f t="shared" si="7"/>
        <v>21.930698610118448</v>
      </c>
      <c r="M23" s="186">
        <f t="shared" si="8"/>
        <v>77.087743986614896</v>
      </c>
      <c r="N23" s="186">
        <f t="shared" si="9"/>
        <v>86.959435250449246</v>
      </c>
      <c r="O23" s="186">
        <f t="shared" si="10"/>
        <v>2.2870331470868153</v>
      </c>
    </row>
    <row r="24" spans="1:31">
      <c r="A24" s="41">
        <v>1981</v>
      </c>
      <c r="B24" s="41">
        <v>7</v>
      </c>
      <c r="C24" s="180">
        <f>+ETPm*Z5</f>
        <v>35.384999999999998</v>
      </c>
      <c r="D24" s="180">
        <f>+HLOOKUP('Info Gral'!$C$8,'Precip 1981-2010'!$D$5:$AL$373,16,FALSE)</f>
        <v>66.099999999999994</v>
      </c>
      <c r="E24" s="185">
        <f t="shared" si="0"/>
        <v>45.953058956493265</v>
      </c>
      <c r="F24" s="185">
        <f t="shared" si="1"/>
        <v>3.1704176869479812</v>
      </c>
      <c r="G24" s="186">
        <f t="shared" si="2"/>
        <v>37.461441977908777</v>
      </c>
      <c r="H24" s="186">
        <f t="shared" si="3"/>
        <v>3.1384242975371066</v>
      </c>
      <c r="I24" s="186">
        <f t="shared" si="4"/>
        <v>35.384999999999998</v>
      </c>
      <c r="J24" s="186">
        <f t="shared" si="5"/>
        <v>34.147422102782969</v>
      </c>
      <c r="K24" s="186">
        <f t="shared" si="6"/>
        <v>3.3140198751258083</v>
      </c>
      <c r="L24" s="186">
        <f t="shared" si="7"/>
        <v>12.82247574465068</v>
      </c>
      <c r="M24" s="186">
        <f t="shared" si="8"/>
        <v>43.255644968250735</v>
      </c>
      <c r="N24" s="186">
        <f t="shared" si="9"/>
        <v>46.569664843376543</v>
      </c>
      <c r="O24" s="186">
        <f t="shared" si="10"/>
        <v>1.2247821853808032</v>
      </c>
    </row>
    <row r="25" spans="1:31">
      <c r="A25" s="41">
        <v>1981</v>
      </c>
      <c r="B25" s="41">
        <v>8</v>
      </c>
      <c r="C25" s="180">
        <f>+ETPm*AA5</f>
        <v>55.605000000000004</v>
      </c>
      <c r="D25" s="180">
        <f>+HLOOKUP('Info Gral'!$C$8,'Precip 1981-2010'!$D$5:$AL$373,17,FALSE)</f>
        <v>48.3</v>
      </c>
      <c r="E25" s="185">
        <f t="shared" si="0"/>
        <v>72.919500934402066</v>
      </c>
      <c r="F25" s="185">
        <f t="shared" si="1"/>
        <v>5.1943502803206174</v>
      </c>
      <c r="G25" s="186">
        <f t="shared" si="2"/>
        <v>16.765168450372386</v>
      </c>
      <c r="H25" s="186">
        <f t="shared" si="3"/>
        <v>0</v>
      </c>
      <c r="I25" s="186">
        <f t="shared" si="4"/>
        <v>34.673255847164718</v>
      </c>
      <c r="J25" s="186">
        <f t="shared" si="5"/>
        <v>16.067315470059384</v>
      </c>
      <c r="K25" s="186">
        <f t="shared" si="6"/>
        <v>0.69785298031300158</v>
      </c>
      <c r="L25" s="186">
        <f t="shared" si="7"/>
        <v>6.2781307270579756</v>
      </c>
      <c r="M25" s="186">
        <f t="shared" si="8"/>
        <v>22.611660487652088</v>
      </c>
      <c r="N25" s="186">
        <f t="shared" si="9"/>
        <v>23.30951346796509</v>
      </c>
      <c r="O25" s="186">
        <f t="shared" si="10"/>
        <v>0.61304020420748184</v>
      </c>
    </row>
    <row r="26" spans="1:31">
      <c r="A26" s="41">
        <v>1981</v>
      </c>
      <c r="B26" s="41">
        <v>9</v>
      </c>
      <c r="C26" s="180">
        <f>+ETPm*AB5</f>
        <v>78.858000000000004</v>
      </c>
      <c r="D26" s="180">
        <f>+HLOOKUP('Info Gral'!$C$8,'Precip 1981-2010'!$D$5:$AL$373,18,FALSE)</f>
        <v>95.2</v>
      </c>
      <c r="E26" s="185">
        <f t="shared" si="0"/>
        <v>99.310925231939166</v>
      </c>
      <c r="F26" s="185">
        <f t="shared" si="1"/>
        <v>6.1358775695817496</v>
      </c>
      <c r="G26" s="186">
        <f t="shared" si="2"/>
        <v>43.527513323629812</v>
      </c>
      <c r="H26" s="186">
        <f t="shared" si="3"/>
        <v>0</v>
      </c>
      <c r="I26" s="186">
        <f t="shared" si="4"/>
        <v>51.672486676370191</v>
      </c>
      <c r="J26" s="186">
        <f t="shared" si="5"/>
        <v>39.116516688098244</v>
      </c>
      <c r="K26" s="186">
        <f t="shared" si="6"/>
        <v>4.4109966355315677</v>
      </c>
      <c r="L26" s="186">
        <f t="shared" si="7"/>
        <v>12.845766740473586</v>
      </c>
      <c r="M26" s="186">
        <f t="shared" si="8"/>
        <v>32.548880674682636</v>
      </c>
      <c r="N26" s="186">
        <f t="shared" si="9"/>
        <v>36.959877310214203</v>
      </c>
      <c r="O26" s="186">
        <f t="shared" si="10"/>
        <v>0.97204477325863348</v>
      </c>
    </row>
    <row r="27" spans="1:31">
      <c r="A27" s="41">
        <v>1981</v>
      </c>
      <c r="B27" s="41">
        <v>10</v>
      </c>
      <c r="C27" s="180">
        <f>+ETPm*AC5</f>
        <v>113.232</v>
      </c>
      <c r="D27" s="180">
        <f>+HLOOKUP('Info Gral'!$C$8,'Precip 1981-2010'!$D$5:$AL$373,19,FALSE)</f>
        <v>55.5</v>
      </c>
      <c r="E27" s="185">
        <f t="shared" si="0"/>
        <v>133.68492523193916</v>
      </c>
      <c r="F27" s="185">
        <f t="shared" si="1"/>
        <v>6.1358775695817496</v>
      </c>
      <c r="G27" s="186">
        <f t="shared" si="2"/>
        <v>13.77408240464756</v>
      </c>
      <c r="H27" s="186">
        <f t="shared" si="3"/>
        <v>0</v>
      </c>
      <c r="I27" s="186">
        <f t="shared" si="4"/>
        <v>41.725917595352442</v>
      </c>
      <c r="J27" s="186">
        <f t="shared" si="5"/>
        <v>13.299500998697427</v>
      </c>
      <c r="K27" s="186">
        <f t="shared" si="6"/>
        <v>0.47458140595013276</v>
      </c>
      <c r="L27" s="186">
        <f t="shared" si="7"/>
        <v>5.4149030825805422</v>
      </c>
      <c r="M27" s="186">
        <f t="shared" si="8"/>
        <v>20.730364656590471</v>
      </c>
      <c r="N27" s="186">
        <f t="shared" si="9"/>
        <v>21.204946062540603</v>
      </c>
      <c r="O27" s="186">
        <f t="shared" si="10"/>
        <v>0.5576900814448178</v>
      </c>
    </row>
    <row r="28" spans="1:31">
      <c r="A28" s="41">
        <v>1981</v>
      </c>
      <c r="B28" s="41">
        <v>11</v>
      </c>
      <c r="C28" s="180">
        <f>+ETPm*AD5</f>
        <v>148.61699999999999</v>
      </c>
      <c r="D28" s="180">
        <f>+HLOOKUP('Info Gral'!$C$8,'Precip 1981-2010'!$D$5:$AL$373,20,FALSE)</f>
        <v>121.3</v>
      </c>
      <c r="E28" s="185">
        <f t="shared" si="0"/>
        <v>169.06992523193915</v>
      </c>
      <c r="F28" s="185">
        <f t="shared" si="1"/>
        <v>6.1358775695817496</v>
      </c>
      <c r="G28" s="186">
        <f t="shared" si="2"/>
        <v>47.690982974622955</v>
      </c>
      <c r="H28" s="186">
        <f t="shared" si="3"/>
        <v>0</v>
      </c>
      <c r="I28" s="186">
        <f t="shared" si="4"/>
        <v>73.609017025377042</v>
      </c>
      <c r="J28" s="186">
        <f t="shared" si="5"/>
        <v>42.446627093654911</v>
      </c>
      <c r="K28" s="186">
        <f t="shared" si="6"/>
        <v>5.2443558809680439</v>
      </c>
      <c r="L28" s="186">
        <f t="shared" si="7"/>
        <v>13.802694361976066</v>
      </c>
      <c r="M28" s="186">
        <f t="shared" si="8"/>
        <v>34.058835814259389</v>
      </c>
      <c r="N28" s="186">
        <f t="shared" si="9"/>
        <v>39.303191695227433</v>
      </c>
      <c r="O28" s="186">
        <f t="shared" si="10"/>
        <v>1.0336739415844816</v>
      </c>
    </row>
    <row r="29" spans="1:31">
      <c r="A29" s="41">
        <v>1981</v>
      </c>
      <c r="B29" s="41">
        <v>12</v>
      </c>
      <c r="C29" s="180">
        <f>+ETPm*AE5</f>
        <v>179.958</v>
      </c>
      <c r="D29" s="180">
        <f>+HLOOKUP('Info Gral'!$C$8,'Precip 1981-2010'!$D$5:$AL$373,21,FALSE)</f>
        <v>135.4</v>
      </c>
      <c r="E29" s="185">
        <f t="shared" si="0"/>
        <v>200.41092523193916</v>
      </c>
      <c r="F29" s="185">
        <f t="shared" si="1"/>
        <v>6.1358775695817496</v>
      </c>
      <c r="G29" s="186">
        <f t="shared" si="2"/>
        <v>51.645101713386829</v>
      </c>
      <c r="H29" s="186">
        <f t="shared" si="3"/>
        <v>0</v>
      </c>
      <c r="I29" s="186">
        <f t="shared" si="4"/>
        <v>83.754898286613184</v>
      </c>
      <c r="J29" s="186">
        <f t="shared" si="5"/>
        <v>45.550628084997335</v>
      </c>
      <c r="K29" s="186">
        <f t="shared" si="6"/>
        <v>6.094473628389494</v>
      </c>
      <c r="L29" s="186">
        <f t="shared" si="7"/>
        <v>15.593513282234913</v>
      </c>
      <c r="M29" s="186">
        <f t="shared" si="8"/>
        <v>43.759809164738485</v>
      </c>
      <c r="N29" s="186">
        <f t="shared" si="9"/>
        <v>49.854282793127979</v>
      </c>
      <c r="O29" s="186">
        <f t="shared" si="10"/>
        <v>1.3111676374592658</v>
      </c>
    </row>
    <row r="30" spans="1:31">
      <c r="A30" s="41">
        <v>1982</v>
      </c>
      <c r="B30" s="41">
        <v>1</v>
      </c>
      <c r="C30" s="180">
        <f t="shared" ref="C30:C93" si="11">+C18</f>
        <v>190.06799999999998</v>
      </c>
      <c r="D30" s="180">
        <f>+HLOOKUP('Info Gral'!$C$8,'Precip 1981-2010'!$D$5:$AL$373,22,FALSE)</f>
        <v>70.400000000000006</v>
      </c>
      <c r="E30" s="185">
        <f t="shared" si="0"/>
        <v>210.52092523193915</v>
      </c>
      <c r="F30" s="185">
        <f t="shared" si="1"/>
        <v>6.1358775695817496</v>
      </c>
      <c r="G30" s="186">
        <f t="shared" si="2"/>
        <v>15.372753358313258</v>
      </c>
      <c r="H30" s="186">
        <f t="shared" si="3"/>
        <v>0</v>
      </c>
      <c r="I30" s="186">
        <f t="shared" si="4"/>
        <v>55.027246641686745</v>
      </c>
      <c r="J30" s="186">
        <f t="shared" si="5"/>
        <v>14.783970129162267</v>
      </c>
      <c r="K30" s="186">
        <f t="shared" si="6"/>
        <v>0.58878322915099091</v>
      </c>
      <c r="L30" s="186">
        <f t="shared" si="7"/>
        <v>6.1477858128064522</v>
      </c>
      <c r="M30" s="186">
        <f t="shared" si="8"/>
        <v>24.229697598590725</v>
      </c>
      <c r="N30" s="186">
        <f t="shared" si="9"/>
        <v>24.818480827741716</v>
      </c>
      <c r="O30" s="186">
        <f t="shared" si="10"/>
        <v>0.65272604576960713</v>
      </c>
    </row>
    <row r="31" spans="1:31">
      <c r="A31" s="41">
        <v>1982</v>
      </c>
      <c r="B31" s="41">
        <v>2</v>
      </c>
      <c r="C31" s="180">
        <f t="shared" si="11"/>
        <v>146.595</v>
      </c>
      <c r="D31" s="180">
        <f>+HLOOKUP('Info Gral'!$C$8,'Precip 1981-2010'!$D$5:$AL$373,23,FALSE)</f>
        <v>360.8</v>
      </c>
      <c r="E31" s="185">
        <f t="shared" si="0"/>
        <v>167.04792523193916</v>
      </c>
      <c r="F31" s="185">
        <f t="shared" si="1"/>
        <v>6.1358775695817496</v>
      </c>
      <c r="G31" s="186">
        <f t="shared" si="2"/>
        <v>243.97295110963714</v>
      </c>
      <c r="H31" s="186">
        <f t="shared" si="3"/>
        <v>0</v>
      </c>
      <c r="I31" s="186">
        <f t="shared" si="4"/>
        <v>116.82704889036287</v>
      </c>
      <c r="J31" s="186">
        <f t="shared" si="5"/>
        <v>149.4882581267056</v>
      </c>
      <c r="K31" s="186">
        <f t="shared" si="6"/>
        <v>94.484692982931534</v>
      </c>
      <c r="L31" s="186">
        <f t="shared" si="7"/>
        <v>47.346644862543663</v>
      </c>
      <c r="M31" s="186">
        <f t="shared" si="8"/>
        <v>108.28939907696839</v>
      </c>
      <c r="N31" s="186">
        <f t="shared" si="9"/>
        <v>202.77409205989994</v>
      </c>
      <c r="O31" s="186">
        <f t="shared" si="10"/>
        <v>5.3329586211753686</v>
      </c>
    </row>
    <row r="32" spans="1:31">
      <c r="A32" s="41">
        <v>1982</v>
      </c>
      <c r="B32" s="41">
        <v>3</v>
      </c>
      <c r="C32" s="180">
        <f t="shared" si="11"/>
        <v>120.30899999999998</v>
      </c>
      <c r="D32" s="180">
        <f>+HLOOKUP('Info Gral'!$C$8,'Precip 1981-2010'!$D$5:$AL$373,24,FALSE)</f>
        <v>29.1</v>
      </c>
      <c r="E32" s="185">
        <f t="shared" si="0"/>
        <v>140.76192523193916</v>
      </c>
      <c r="F32" s="185">
        <f t="shared" si="1"/>
        <v>6.1358775695817496</v>
      </c>
      <c r="G32" s="186">
        <f t="shared" si="2"/>
        <v>3.3463439927044902</v>
      </c>
      <c r="H32" s="186">
        <f t="shared" si="3"/>
        <v>0</v>
      </c>
      <c r="I32" s="186">
        <f t="shared" si="4"/>
        <v>25.753656007295511</v>
      </c>
      <c r="J32" s="186">
        <f t="shared" si="5"/>
        <v>3.3175829209998615</v>
      </c>
      <c r="K32" s="186">
        <f t="shared" si="6"/>
        <v>2.8761071704628716E-2</v>
      </c>
      <c r="L32" s="186">
        <f t="shared" si="7"/>
        <v>5.6671376049466833</v>
      </c>
      <c r="M32" s="186">
        <f t="shared" si="8"/>
        <v>44.997090178596842</v>
      </c>
      <c r="N32" s="186">
        <f t="shared" si="9"/>
        <v>45.025851250301471</v>
      </c>
      <c r="O32" s="186">
        <f t="shared" si="10"/>
        <v>1.1841798878829288</v>
      </c>
    </row>
    <row r="33" spans="1:15">
      <c r="A33" s="41">
        <v>1982</v>
      </c>
      <c r="B33" s="41">
        <v>4</v>
      </c>
      <c r="C33" s="180">
        <f t="shared" si="11"/>
        <v>73.802999999999997</v>
      </c>
      <c r="D33" s="180">
        <f>+HLOOKUP('Info Gral'!$C$8,'Precip 1981-2010'!$D$5:$AL$373,25,FALSE)</f>
        <v>21.4</v>
      </c>
      <c r="E33" s="185">
        <f t="shared" si="0"/>
        <v>94.255925231939159</v>
      </c>
      <c r="F33" s="185">
        <f t="shared" si="1"/>
        <v>6.1358775695817496</v>
      </c>
      <c r="G33" s="186">
        <f t="shared" si="2"/>
        <v>2.2536664303801262</v>
      </c>
      <c r="H33" s="186">
        <f t="shared" si="3"/>
        <v>0</v>
      </c>
      <c r="I33" s="186">
        <f t="shared" si="4"/>
        <v>19.146333569619873</v>
      </c>
      <c r="J33" s="186">
        <f t="shared" si="5"/>
        <v>2.2405847448261458</v>
      </c>
      <c r="K33" s="186">
        <f t="shared" si="6"/>
        <v>1.3081685553980371E-2</v>
      </c>
      <c r="L33" s="186">
        <f t="shared" si="7"/>
        <v>1.2547907997855865</v>
      </c>
      <c r="M33" s="186">
        <f t="shared" si="8"/>
        <v>6.6529315499872421</v>
      </c>
      <c r="N33" s="186">
        <f t="shared" si="9"/>
        <v>6.6660132355412225</v>
      </c>
      <c r="O33" s="186">
        <f t="shared" si="10"/>
        <v>0.17531614809473417</v>
      </c>
    </row>
    <row r="34" spans="1:15">
      <c r="A34" s="41">
        <v>1982</v>
      </c>
      <c r="B34" s="41">
        <v>5</v>
      </c>
      <c r="C34" s="180">
        <f t="shared" si="11"/>
        <v>44.483999999999995</v>
      </c>
      <c r="D34" s="180">
        <f>+HLOOKUP('Info Gral'!$C$8,'Precip 1981-2010'!$D$5:$AL$373,26,FALSE)</f>
        <v>178.5</v>
      </c>
      <c r="E34" s="185">
        <f t="shared" si="0"/>
        <v>64.936925231939156</v>
      </c>
      <c r="F34" s="185">
        <f t="shared" si="1"/>
        <v>6.1358775695817496</v>
      </c>
      <c r="G34" s="186">
        <f t="shared" si="2"/>
        <v>128.52018619104544</v>
      </c>
      <c r="H34" s="186">
        <f t="shared" si="3"/>
        <v>5.4958138089545656</v>
      </c>
      <c r="I34" s="186">
        <f t="shared" si="4"/>
        <v>44.483999999999995</v>
      </c>
      <c r="J34" s="186">
        <f t="shared" si="5"/>
        <v>96.417581275078291</v>
      </c>
      <c r="K34" s="186">
        <f t="shared" si="6"/>
        <v>32.102604915967149</v>
      </c>
      <c r="L34" s="186">
        <f t="shared" si="7"/>
        <v>30.272807517791925</v>
      </c>
      <c r="M34" s="186">
        <f t="shared" si="8"/>
        <v>67.399564557071955</v>
      </c>
      <c r="N34" s="186">
        <f t="shared" si="9"/>
        <v>99.502169473039103</v>
      </c>
      <c r="O34" s="186">
        <f t="shared" si="10"/>
        <v>2.6169070571409283</v>
      </c>
    </row>
    <row r="35" spans="1:15">
      <c r="A35" s="41">
        <v>1982</v>
      </c>
      <c r="B35" s="41">
        <v>6</v>
      </c>
      <c r="C35" s="180">
        <f t="shared" si="11"/>
        <v>29.318999999999996</v>
      </c>
      <c r="D35" s="180">
        <f>+HLOOKUP('Info Gral'!$C$8,'Precip 1981-2010'!$D$5:$AL$373,27,FALSE)</f>
        <v>127.1</v>
      </c>
      <c r="E35" s="185">
        <f t="shared" si="0"/>
        <v>44.276111422984599</v>
      </c>
      <c r="F35" s="185">
        <f t="shared" si="1"/>
        <v>4.4871334268953795</v>
      </c>
      <c r="G35" s="186">
        <f t="shared" si="2"/>
        <v>92.572317076537402</v>
      </c>
      <c r="H35" s="186">
        <f t="shared" si="3"/>
        <v>10.704496732417176</v>
      </c>
      <c r="I35" s="186">
        <f t="shared" si="4"/>
        <v>29.318999999999996</v>
      </c>
      <c r="J35" s="186">
        <f t="shared" si="5"/>
        <v>74.66565264331561</v>
      </c>
      <c r="K35" s="186">
        <f t="shared" si="6"/>
        <v>17.906664433221792</v>
      </c>
      <c r="L35" s="186">
        <f t="shared" si="7"/>
        <v>26.308386129593273</v>
      </c>
      <c r="M35" s="186">
        <f t="shared" si="8"/>
        <v>78.630074031514255</v>
      </c>
      <c r="N35" s="186">
        <f t="shared" si="9"/>
        <v>96.536738464736047</v>
      </c>
      <c r="O35" s="186">
        <f t="shared" si="10"/>
        <v>2.538916221622558</v>
      </c>
    </row>
    <row r="36" spans="1:15">
      <c r="A36" s="41">
        <v>1982</v>
      </c>
      <c r="B36" s="41">
        <v>7</v>
      </c>
      <c r="C36" s="180">
        <f t="shared" si="11"/>
        <v>35.384999999999998</v>
      </c>
      <c r="D36" s="180">
        <f>+HLOOKUP('Info Gral'!$C$8,'Precip 1981-2010'!$D$5:$AL$373,28,FALSE)</f>
        <v>71.3</v>
      </c>
      <c r="E36" s="185">
        <f t="shared" si="0"/>
        <v>45.133428499521983</v>
      </c>
      <c r="F36" s="185">
        <f t="shared" si="1"/>
        <v>2.9245285498565967</v>
      </c>
      <c r="G36" s="186">
        <f t="shared" si="2"/>
        <v>42.27726790729362</v>
      </c>
      <c r="H36" s="186">
        <f t="shared" si="3"/>
        <v>4.3422288251235628</v>
      </c>
      <c r="I36" s="186">
        <f t="shared" si="4"/>
        <v>35.384999999999998</v>
      </c>
      <c r="J36" s="186">
        <f t="shared" si="5"/>
        <v>38.103879507674009</v>
      </c>
      <c r="K36" s="186">
        <f t="shared" si="6"/>
        <v>4.1733883996196113</v>
      </c>
      <c r="L36" s="186">
        <f t="shared" si="7"/>
        <v>14.487738964858416</v>
      </c>
      <c r="M36" s="186">
        <f t="shared" si="8"/>
        <v>49.924526672408867</v>
      </c>
      <c r="N36" s="186">
        <f t="shared" si="9"/>
        <v>54.097915072028478</v>
      </c>
      <c r="O36" s="186">
        <f t="shared" si="10"/>
        <v>1.4227751663943491</v>
      </c>
    </row>
    <row r="37" spans="1:15">
      <c r="A37" s="41">
        <v>1982</v>
      </c>
      <c r="B37" s="41">
        <v>8</v>
      </c>
      <c r="C37" s="180">
        <f t="shared" si="11"/>
        <v>55.605000000000004</v>
      </c>
      <c r="D37" s="180">
        <f>+HLOOKUP('Info Gral'!$C$8,'Precip 1981-2010'!$D$5:$AL$373,29,FALSE)</f>
        <v>167</v>
      </c>
      <c r="E37" s="185">
        <f t="shared" si="0"/>
        <v>71.71569640681561</v>
      </c>
      <c r="F37" s="185">
        <f t="shared" si="1"/>
        <v>4.8332089220446806</v>
      </c>
      <c r="G37" s="186">
        <f t="shared" si="2"/>
        <v>114.81401859696037</v>
      </c>
      <c r="H37" s="186">
        <f t="shared" si="3"/>
        <v>0.92321022816318532</v>
      </c>
      <c r="I37" s="186">
        <f t="shared" si="4"/>
        <v>55.605000000000004</v>
      </c>
      <c r="J37" s="186">
        <f t="shared" si="5"/>
        <v>88.492353513955109</v>
      </c>
      <c r="K37" s="186">
        <f t="shared" si="6"/>
        <v>26.321665083005257</v>
      </c>
      <c r="L37" s="186">
        <f t="shared" si="7"/>
        <v>29.088524746886634</v>
      </c>
      <c r="M37" s="186">
        <f t="shared" si="8"/>
        <v>73.891567731926898</v>
      </c>
      <c r="N37" s="186">
        <f t="shared" si="9"/>
        <v>100.21323281493216</v>
      </c>
      <c r="O37" s="186">
        <f t="shared" si="10"/>
        <v>2.6356080230327152</v>
      </c>
    </row>
    <row r="38" spans="1:15">
      <c r="A38" s="41">
        <v>1982</v>
      </c>
      <c r="B38" s="41">
        <v>9</v>
      </c>
      <c r="C38" s="180">
        <f t="shared" si="11"/>
        <v>78.858000000000004</v>
      </c>
      <c r="D38" s="180">
        <f>+HLOOKUP('Info Gral'!$C$8,'Precip 1981-2010'!$D$5:$AL$373,30,FALSE)</f>
        <v>219.2</v>
      </c>
      <c r="E38" s="185">
        <f t="shared" si="0"/>
        <v>98.38771500377598</v>
      </c>
      <c r="F38" s="185">
        <f t="shared" si="1"/>
        <v>5.8589145011327934</v>
      </c>
      <c r="G38" s="186">
        <f t="shared" si="2"/>
        <v>148.80320307704372</v>
      </c>
      <c r="H38" s="186">
        <f t="shared" si="3"/>
        <v>0</v>
      </c>
      <c r="I38" s="186">
        <f t="shared" si="4"/>
        <v>71.320007151119455</v>
      </c>
      <c r="J38" s="186">
        <f t="shared" si="5"/>
        <v>107.40032231905754</v>
      </c>
      <c r="K38" s="186">
        <f t="shared" si="6"/>
        <v>41.402880757986182</v>
      </c>
      <c r="L38" s="186">
        <f t="shared" si="7"/>
        <v>36.428826835803832</v>
      </c>
      <c r="M38" s="186">
        <f t="shared" si="8"/>
        <v>100.06002023014034</v>
      </c>
      <c r="N38" s="186">
        <f t="shared" si="9"/>
        <v>141.46290098812653</v>
      </c>
      <c r="O38" s="186">
        <f t="shared" si="10"/>
        <v>3.7204742959877279</v>
      </c>
    </row>
    <row r="39" spans="1:15">
      <c r="A39" s="41">
        <v>1982</v>
      </c>
      <c r="B39" s="41">
        <v>10</v>
      </c>
      <c r="C39" s="180">
        <f t="shared" si="11"/>
        <v>113.232</v>
      </c>
      <c r="D39" s="180">
        <f>+HLOOKUP('Info Gral'!$C$8,'Precip 1981-2010'!$D$5:$AL$373,31,FALSE)</f>
        <v>117.3</v>
      </c>
      <c r="E39" s="185">
        <f t="shared" si="0"/>
        <v>133.68492523193916</v>
      </c>
      <c r="F39" s="185">
        <f t="shared" si="1"/>
        <v>6.1358775695817496</v>
      </c>
      <c r="G39" s="186">
        <f t="shared" si="2"/>
        <v>51.766989273873328</v>
      </c>
      <c r="H39" s="186">
        <f t="shared" si="3"/>
        <v>0</v>
      </c>
      <c r="I39" s="186">
        <f t="shared" si="4"/>
        <v>65.533010726126662</v>
      </c>
      <c r="J39" s="186">
        <f t="shared" si="5"/>
        <v>45.645419479571679</v>
      </c>
      <c r="K39" s="186">
        <f t="shared" si="6"/>
        <v>6.1215697943016494</v>
      </c>
      <c r="L39" s="186">
        <f t="shared" si="7"/>
        <v>17.835616036657381</v>
      </c>
      <c r="M39" s="186">
        <f t="shared" si="8"/>
        <v>64.238630278718134</v>
      </c>
      <c r="N39" s="186">
        <f t="shared" si="9"/>
        <v>70.360200073019783</v>
      </c>
      <c r="O39" s="186">
        <f t="shared" si="10"/>
        <v>1.8504732619204203</v>
      </c>
    </row>
    <row r="40" spans="1:15">
      <c r="A40" s="41">
        <v>1982</v>
      </c>
      <c r="B40" s="41">
        <v>11</v>
      </c>
      <c r="C40" s="180">
        <f t="shared" si="11"/>
        <v>148.61699999999999</v>
      </c>
      <c r="D40" s="180">
        <f>+HLOOKUP('Info Gral'!$C$8,'Precip 1981-2010'!$D$5:$AL$373,32,FALSE)</f>
        <v>315.2</v>
      </c>
      <c r="E40" s="185">
        <f t="shared" si="0"/>
        <v>169.06992523193915</v>
      </c>
      <c r="F40" s="185">
        <f t="shared" si="1"/>
        <v>6.1358775695817496</v>
      </c>
      <c r="G40" s="186">
        <f t="shared" si="2"/>
        <v>202.3750044516255</v>
      </c>
      <c r="H40" s="186">
        <f t="shared" si="3"/>
        <v>0</v>
      </c>
      <c r="I40" s="186">
        <f t="shared" si="4"/>
        <v>112.82499554837449</v>
      </c>
      <c r="J40" s="186">
        <f t="shared" si="5"/>
        <v>132.76694476702568</v>
      </c>
      <c r="K40" s="186">
        <f t="shared" si="6"/>
        <v>69.608059684599823</v>
      </c>
      <c r="L40" s="186">
        <f t="shared" si="7"/>
        <v>43.260708875215769</v>
      </c>
      <c r="M40" s="186">
        <f t="shared" si="8"/>
        <v>107.34185192846729</v>
      </c>
      <c r="N40" s="186">
        <f t="shared" si="9"/>
        <v>176.94991161306712</v>
      </c>
      <c r="O40" s="186">
        <f t="shared" si="10"/>
        <v>4.6537826754236651</v>
      </c>
    </row>
    <row r="41" spans="1:15">
      <c r="A41" s="41">
        <v>1982</v>
      </c>
      <c r="B41" s="41">
        <v>12</v>
      </c>
      <c r="C41" s="180">
        <f t="shared" si="11"/>
        <v>179.958</v>
      </c>
      <c r="D41" s="180">
        <f>+HLOOKUP('Info Gral'!$C$8,'Precip 1981-2010'!$D$5:$AL$373,33,FALSE)</f>
        <v>34.700000000000003</v>
      </c>
      <c r="E41" s="185">
        <f t="shared" si="0"/>
        <v>200.41092523193916</v>
      </c>
      <c r="F41" s="185">
        <f t="shared" si="1"/>
        <v>6.1358775695817496</v>
      </c>
      <c r="G41" s="186">
        <f t="shared" si="2"/>
        <v>3.6614258161176592</v>
      </c>
      <c r="H41" s="186">
        <f t="shared" si="3"/>
        <v>0</v>
      </c>
      <c r="I41" s="186">
        <f t="shared" si="4"/>
        <v>31.038574183882343</v>
      </c>
      <c r="J41" s="186">
        <f t="shared" si="5"/>
        <v>3.6270214893900263</v>
      </c>
      <c r="K41" s="186">
        <f t="shared" si="6"/>
        <v>3.4404326727632828E-2</v>
      </c>
      <c r="L41" s="186">
        <f t="shared" si="7"/>
        <v>5.3643632180545415</v>
      </c>
      <c r="M41" s="186">
        <f t="shared" si="8"/>
        <v>41.523367146551251</v>
      </c>
      <c r="N41" s="186">
        <f t="shared" si="9"/>
        <v>41.557771473278883</v>
      </c>
      <c r="O41" s="186">
        <f t="shared" si="10"/>
        <v>1.0929693897472346</v>
      </c>
    </row>
    <row r="42" spans="1:15">
      <c r="A42" s="41">
        <v>1983</v>
      </c>
      <c r="B42" s="41">
        <v>1</v>
      </c>
      <c r="C42" s="180">
        <f t="shared" si="11"/>
        <v>190.06799999999998</v>
      </c>
      <c r="D42" s="180">
        <f>+HLOOKUP('Info Gral'!$C$8,'Precip 1981-2010'!$D$5:$AL$373,34,FALSE)</f>
        <v>162.1</v>
      </c>
      <c r="E42" s="185">
        <f t="shared" si="0"/>
        <v>210.52092523193915</v>
      </c>
      <c r="F42" s="185">
        <f t="shared" si="1"/>
        <v>6.1358775695817496</v>
      </c>
      <c r="G42" s="186">
        <f t="shared" si="2"/>
        <v>67.503436955960851</v>
      </c>
      <c r="H42" s="186">
        <f t="shared" si="3"/>
        <v>0</v>
      </c>
      <c r="I42" s="186">
        <f t="shared" si="4"/>
        <v>94.596563044039144</v>
      </c>
      <c r="J42" s="186">
        <f t="shared" si="5"/>
        <v>57.455632177559849</v>
      </c>
      <c r="K42" s="186">
        <f t="shared" si="6"/>
        <v>10.047804778401002</v>
      </c>
      <c r="L42" s="186">
        <f t="shared" si="7"/>
        <v>18.491119984596544</v>
      </c>
      <c r="M42" s="186">
        <f t="shared" si="8"/>
        <v>44.328875411017847</v>
      </c>
      <c r="N42" s="186">
        <f t="shared" si="9"/>
        <v>54.376680189418849</v>
      </c>
      <c r="O42" s="186">
        <f t="shared" si="10"/>
        <v>1.4301066889817158</v>
      </c>
    </row>
    <row r="43" spans="1:15">
      <c r="A43" s="41">
        <v>1983</v>
      </c>
      <c r="B43" s="41">
        <v>2</v>
      </c>
      <c r="C43" s="180">
        <f t="shared" si="11"/>
        <v>146.595</v>
      </c>
      <c r="D43" s="180">
        <f>+HLOOKUP('Info Gral'!$C$8,'Precip 1981-2010'!$D$5:$AL$373,35,FALSE)</f>
        <v>427.6</v>
      </c>
      <c r="E43" s="185">
        <f t="shared" si="0"/>
        <v>167.04792523193916</v>
      </c>
      <c r="F43" s="185">
        <f t="shared" si="1"/>
        <v>6.1358775695817496</v>
      </c>
      <c r="G43" s="186">
        <f t="shared" si="2"/>
        <v>305.01249126959448</v>
      </c>
      <c r="H43" s="186">
        <f t="shared" si="3"/>
        <v>0</v>
      </c>
      <c r="I43" s="186">
        <f t="shared" si="4"/>
        <v>122.58750873040555</v>
      </c>
      <c r="J43" s="186">
        <f t="shared" si="5"/>
        <v>170.38016406005883</v>
      </c>
      <c r="K43" s="186">
        <f t="shared" si="6"/>
        <v>134.63232720953565</v>
      </c>
      <c r="L43" s="186">
        <f t="shared" si="7"/>
        <v>55.086589531429553</v>
      </c>
      <c r="M43" s="186">
        <f t="shared" si="8"/>
        <v>133.78469451322582</v>
      </c>
      <c r="N43" s="186">
        <f t="shared" si="9"/>
        <v>268.41702172276143</v>
      </c>
      <c r="O43" s="186">
        <f t="shared" si="10"/>
        <v>7.0593676713086255</v>
      </c>
    </row>
    <row r="44" spans="1:15">
      <c r="A44" s="41">
        <v>1983</v>
      </c>
      <c r="B44" s="41">
        <v>3</v>
      </c>
      <c r="C44" s="180">
        <f t="shared" si="11"/>
        <v>120.30899999999998</v>
      </c>
      <c r="D44" s="180">
        <f>+HLOOKUP('Info Gral'!$C$8,'Precip 1981-2010'!$D$5:$AL$373,36,FALSE)</f>
        <v>91.9</v>
      </c>
      <c r="E44" s="185">
        <f t="shared" si="0"/>
        <v>140.76192523193916</v>
      </c>
      <c r="F44" s="185">
        <f t="shared" si="1"/>
        <v>6.1358775695817496</v>
      </c>
      <c r="G44" s="186">
        <f t="shared" si="2"/>
        <v>33.374831069658867</v>
      </c>
      <c r="H44" s="186">
        <f t="shared" si="3"/>
        <v>0</v>
      </c>
      <c r="I44" s="186">
        <f t="shared" si="4"/>
        <v>58.525168930341138</v>
      </c>
      <c r="J44" s="186">
        <f t="shared" si="5"/>
        <v>30.718783862230609</v>
      </c>
      <c r="K44" s="186">
        <f t="shared" si="6"/>
        <v>2.6560472074282586</v>
      </c>
      <c r="L44" s="186">
        <f t="shared" si="7"/>
        <v>14.992425962589031</v>
      </c>
      <c r="M44" s="186">
        <f t="shared" si="8"/>
        <v>70.812947431071137</v>
      </c>
      <c r="N44" s="186">
        <f t="shared" si="9"/>
        <v>73.468994638499396</v>
      </c>
      <c r="O44" s="186">
        <f t="shared" si="10"/>
        <v>1.932234558992534</v>
      </c>
    </row>
    <row r="45" spans="1:15">
      <c r="A45" s="41">
        <v>1983</v>
      </c>
      <c r="B45" s="41">
        <v>4</v>
      </c>
      <c r="C45" s="180">
        <f t="shared" si="11"/>
        <v>73.802999999999997</v>
      </c>
      <c r="D45" s="180">
        <f>+HLOOKUP('Info Gral'!$C$8,'Precip 1981-2010'!$D$5:$AL$373,37,FALSE)</f>
        <v>80.099999999999994</v>
      </c>
      <c r="E45" s="185">
        <f t="shared" si="0"/>
        <v>94.255925231939159</v>
      </c>
      <c r="F45" s="185">
        <f t="shared" si="1"/>
        <v>6.1358775695817496</v>
      </c>
      <c r="G45" s="186">
        <f t="shared" si="2"/>
        <v>33.752163482532076</v>
      </c>
      <c r="H45" s="186">
        <f t="shared" si="3"/>
        <v>0</v>
      </c>
      <c r="I45" s="186">
        <f t="shared" si="4"/>
        <v>46.347836517467918</v>
      </c>
      <c r="J45" s="186">
        <f t="shared" si="5"/>
        <v>31.03816069979483</v>
      </c>
      <c r="K45" s="186">
        <f t="shared" si="6"/>
        <v>2.7140027827372464</v>
      </c>
      <c r="L45" s="186">
        <f t="shared" si="7"/>
        <v>11.171750799592468</v>
      </c>
      <c r="M45" s="186">
        <f t="shared" si="8"/>
        <v>34.858835862791395</v>
      </c>
      <c r="N45" s="186">
        <f t="shared" si="9"/>
        <v>37.572838645528641</v>
      </c>
      <c r="O45" s="186">
        <f t="shared" si="10"/>
        <v>0.98816565637740317</v>
      </c>
    </row>
    <row r="46" spans="1:15">
      <c r="A46" s="41">
        <v>1983</v>
      </c>
      <c r="B46" s="41">
        <v>5</v>
      </c>
      <c r="C46" s="180">
        <f t="shared" si="11"/>
        <v>44.483999999999995</v>
      </c>
      <c r="D46" s="180">
        <f>+HLOOKUP('Info Gral'!$C$8,'Precip 1981-2010'!$D$5:$AL$373,38,FALSE)</f>
        <v>299.2</v>
      </c>
      <c r="E46" s="185">
        <f t="shared" si="0"/>
        <v>64.936925231939156</v>
      </c>
      <c r="F46" s="185">
        <f t="shared" si="1"/>
        <v>6.1358775695817496</v>
      </c>
      <c r="G46" s="186">
        <f t="shared" si="2"/>
        <v>244.08946140723623</v>
      </c>
      <c r="H46" s="186">
        <f t="shared" si="3"/>
        <v>10.626538592763765</v>
      </c>
      <c r="I46" s="186">
        <f t="shared" si="4"/>
        <v>44.483999999999995</v>
      </c>
      <c r="J46" s="186">
        <f t="shared" si="5"/>
        <v>149.53199168379413</v>
      </c>
      <c r="K46" s="186">
        <f t="shared" si="6"/>
        <v>94.557469723442097</v>
      </c>
      <c r="L46" s="186">
        <f t="shared" si="7"/>
        <v>47.851581095676273</v>
      </c>
      <c r="M46" s="186">
        <f t="shared" si="8"/>
        <v>112.85216138771032</v>
      </c>
      <c r="N46" s="186">
        <f t="shared" si="9"/>
        <v>207.40963111115241</v>
      </c>
      <c r="O46" s="186">
        <f t="shared" si="10"/>
        <v>5.4548732982233084</v>
      </c>
    </row>
    <row r="47" spans="1:15">
      <c r="A47" s="41">
        <v>1983</v>
      </c>
      <c r="B47" s="41">
        <v>6</v>
      </c>
      <c r="C47" s="180">
        <f t="shared" si="11"/>
        <v>29.318999999999996</v>
      </c>
      <c r="D47" s="180">
        <f>+HLOOKUP('Info Gral'!$C$8,'Precip 1981-2010'!$D$5:$AL$373,39,FALSE)</f>
        <v>80.2</v>
      </c>
      <c r="E47" s="185">
        <f t="shared" si="0"/>
        <v>39.145386639175399</v>
      </c>
      <c r="F47" s="185">
        <f t="shared" si="1"/>
        <v>2.9479159917526201</v>
      </c>
      <c r="G47" s="186">
        <f t="shared" si="2"/>
        <v>52.603859942248249</v>
      </c>
      <c r="H47" s="186">
        <f t="shared" si="3"/>
        <v>8.9036786505155234</v>
      </c>
      <c r="I47" s="186">
        <f t="shared" si="4"/>
        <v>29.318999999999996</v>
      </c>
      <c r="J47" s="186">
        <f t="shared" si="5"/>
        <v>46.294827273935596</v>
      </c>
      <c r="K47" s="186">
        <f t="shared" si="6"/>
        <v>6.3090326683126534</v>
      </c>
      <c r="L47" s="186">
        <f t="shared" si="7"/>
        <v>19.155644342766081</v>
      </c>
      <c r="M47" s="186">
        <f t="shared" si="8"/>
        <v>74.990764026845795</v>
      </c>
      <c r="N47" s="186">
        <f t="shared" si="9"/>
        <v>81.299796695158449</v>
      </c>
      <c r="O47" s="186">
        <f t="shared" si="10"/>
        <v>2.1381846530826674</v>
      </c>
    </row>
    <row r="48" spans="1:15">
      <c r="A48" s="41">
        <v>1983</v>
      </c>
      <c r="B48" s="41">
        <v>7</v>
      </c>
      <c r="C48" s="180">
        <f t="shared" si="11"/>
        <v>35.384999999999998</v>
      </c>
      <c r="D48" s="180">
        <f>+HLOOKUP('Info Gral'!$C$8,'Precip 1981-2010'!$D$5:$AL$373,40,FALSE)</f>
        <v>121.5</v>
      </c>
      <c r="E48" s="185">
        <f t="shared" si="0"/>
        <v>46.934246581423636</v>
      </c>
      <c r="F48" s="185">
        <f t="shared" si="1"/>
        <v>3.4647739744270925</v>
      </c>
      <c r="G48" s="186">
        <f t="shared" si="2"/>
        <v>86.265691963580181</v>
      </c>
      <c r="H48" s="186">
        <f t="shared" si="3"/>
        <v>8.7529866869353512</v>
      </c>
      <c r="I48" s="186">
        <f t="shared" si="4"/>
        <v>35.384999999999998</v>
      </c>
      <c r="J48" s="186">
        <f t="shared" si="5"/>
        <v>70.508100979119703</v>
      </c>
      <c r="K48" s="186">
        <f t="shared" si="6"/>
        <v>15.757590984460478</v>
      </c>
      <c r="L48" s="186">
        <f t="shared" si="7"/>
        <v>23.921230901180213</v>
      </c>
      <c r="M48" s="186">
        <f t="shared" si="8"/>
        <v>65.742514420705575</v>
      </c>
      <c r="N48" s="186">
        <f t="shared" si="9"/>
        <v>81.500105405166053</v>
      </c>
      <c r="O48" s="186">
        <f t="shared" si="10"/>
        <v>2.1434527721558672</v>
      </c>
    </row>
    <row r="49" spans="1:15">
      <c r="A49" s="41">
        <v>1983</v>
      </c>
      <c r="B49" s="41">
        <v>8</v>
      </c>
      <c r="C49" s="180">
        <f t="shared" si="11"/>
        <v>55.605000000000004</v>
      </c>
      <c r="D49" s="180">
        <f>+HLOOKUP('Info Gral'!$C$8,'Precip 1981-2010'!$D$5:$AL$373,41,FALSE)</f>
        <v>47.8</v>
      </c>
      <c r="E49" s="185">
        <f t="shared" si="0"/>
        <v>67.304938545003822</v>
      </c>
      <c r="F49" s="185">
        <f t="shared" si="1"/>
        <v>3.5099815635011442</v>
      </c>
      <c r="G49" s="186">
        <f t="shared" si="2"/>
        <v>18.14873645036425</v>
      </c>
      <c r="H49" s="186">
        <f t="shared" si="3"/>
        <v>0</v>
      </c>
      <c r="I49" s="186">
        <f t="shared" si="4"/>
        <v>38.404250236571102</v>
      </c>
      <c r="J49" s="186">
        <f t="shared" si="5"/>
        <v>17.333747796341246</v>
      </c>
      <c r="K49" s="186">
        <f t="shared" si="6"/>
        <v>0.81498865402300424</v>
      </c>
      <c r="L49" s="186">
        <f t="shared" si="7"/>
        <v>7.759422981295204</v>
      </c>
      <c r="M49" s="186">
        <f t="shared" si="8"/>
        <v>33.495555716226249</v>
      </c>
      <c r="N49" s="186">
        <f t="shared" si="9"/>
        <v>34.310544370249254</v>
      </c>
      <c r="O49" s="186">
        <f t="shared" si="10"/>
        <v>0.90236731693755545</v>
      </c>
    </row>
    <row r="50" spans="1:15">
      <c r="A50" s="41">
        <v>1983</v>
      </c>
      <c r="B50" s="41">
        <v>9</v>
      </c>
      <c r="C50" s="180">
        <f t="shared" si="11"/>
        <v>78.858000000000004</v>
      </c>
      <c r="D50" s="180">
        <f>+HLOOKUP('Info Gral'!$C$8,'Precip 1981-2010'!$D$5:$AL$373,42,FALSE)</f>
        <v>47.7</v>
      </c>
      <c r="E50" s="185">
        <f t="shared" si="0"/>
        <v>99.310925231939166</v>
      </c>
      <c r="F50" s="185">
        <f t="shared" si="1"/>
        <v>6.1358775695817496</v>
      </c>
      <c r="G50" s="186">
        <f t="shared" si="2"/>
        <v>12.821633621620663</v>
      </c>
      <c r="H50" s="186">
        <f t="shared" si="3"/>
        <v>0</v>
      </c>
      <c r="I50" s="186">
        <f t="shared" si="4"/>
        <v>34.87836637837934</v>
      </c>
      <c r="J50" s="186">
        <f t="shared" si="5"/>
        <v>12.409433593166234</v>
      </c>
      <c r="K50" s="186">
        <f t="shared" si="6"/>
        <v>0.41220002845442849</v>
      </c>
      <c r="L50" s="186">
        <f t="shared" si="7"/>
        <v>4.6392157288468434</v>
      </c>
      <c r="M50" s="186">
        <f t="shared" si="8"/>
        <v>15.529640845614594</v>
      </c>
      <c r="N50" s="186">
        <f t="shared" si="9"/>
        <v>15.941840874069023</v>
      </c>
      <c r="O50" s="186">
        <f t="shared" si="10"/>
        <v>0.41927041498801532</v>
      </c>
    </row>
    <row r="51" spans="1:15">
      <c r="A51" s="41">
        <v>1983</v>
      </c>
      <c r="B51" s="41">
        <v>10</v>
      </c>
      <c r="C51" s="180">
        <f t="shared" si="11"/>
        <v>113.232</v>
      </c>
      <c r="D51" s="180">
        <f>+HLOOKUP('Info Gral'!$C$8,'Precip 1981-2010'!$D$5:$AL$373,43,FALSE)</f>
        <v>87</v>
      </c>
      <c r="E51" s="185">
        <f t="shared" si="0"/>
        <v>133.68492523193916</v>
      </c>
      <c r="F51" s="185">
        <f t="shared" si="1"/>
        <v>6.1358775695817496</v>
      </c>
      <c r="G51" s="186">
        <f t="shared" si="2"/>
        <v>31.375206727726546</v>
      </c>
      <c r="H51" s="186">
        <f t="shared" si="3"/>
        <v>0</v>
      </c>
      <c r="I51" s="186">
        <f t="shared" si="4"/>
        <v>55.62479327227345</v>
      </c>
      <c r="J51" s="186">
        <f t="shared" si="5"/>
        <v>29.016648813073626</v>
      </c>
      <c r="K51" s="186">
        <f t="shared" si="6"/>
        <v>2.3585579146529199</v>
      </c>
      <c r="L51" s="186">
        <f t="shared" si="7"/>
        <v>9.5272445163615416</v>
      </c>
      <c r="M51" s="186">
        <f t="shared" si="8"/>
        <v>24.128620025558927</v>
      </c>
      <c r="N51" s="186">
        <f t="shared" si="9"/>
        <v>26.487177940211847</v>
      </c>
      <c r="O51" s="186">
        <f t="shared" si="10"/>
        <v>0.69661277982757164</v>
      </c>
    </row>
    <row r="52" spans="1:15">
      <c r="A52" s="41">
        <v>1983</v>
      </c>
      <c r="B52" s="41">
        <v>11</v>
      </c>
      <c r="C52" s="180">
        <f t="shared" si="11"/>
        <v>148.61699999999999</v>
      </c>
      <c r="D52" s="180">
        <f>+HLOOKUP('Info Gral'!$C$8,'Precip 1981-2010'!$D$5:$AL$373,44,FALSE)</f>
        <v>150.5</v>
      </c>
      <c r="E52" s="185">
        <f t="shared" si="0"/>
        <v>169.06992523193915</v>
      </c>
      <c r="F52" s="185">
        <f t="shared" si="1"/>
        <v>6.1358775695817496</v>
      </c>
      <c r="G52" s="186">
        <f t="shared" si="2"/>
        <v>67.820123493780443</v>
      </c>
      <c r="H52" s="186">
        <f t="shared" si="3"/>
        <v>0</v>
      </c>
      <c r="I52" s="186">
        <f t="shared" si="4"/>
        <v>82.679876506219557</v>
      </c>
      <c r="J52" s="186">
        <f t="shared" si="5"/>
        <v>57.684898296401848</v>
      </c>
      <c r="K52" s="186">
        <f t="shared" si="6"/>
        <v>10.135225197378595</v>
      </c>
      <c r="L52" s="186">
        <f t="shared" si="7"/>
        <v>18.969873160135709</v>
      </c>
      <c r="M52" s="186">
        <f t="shared" si="8"/>
        <v>48.242269652627684</v>
      </c>
      <c r="N52" s="186">
        <f t="shared" si="9"/>
        <v>58.377494850006279</v>
      </c>
      <c r="O52" s="186">
        <f t="shared" si="10"/>
        <v>1.5353281145551652</v>
      </c>
    </row>
    <row r="53" spans="1:15">
      <c r="A53" s="41">
        <v>1983</v>
      </c>
      <c r="B53" s="41">
        <v>12</v>
      </c>
      <c r="C53" s="180">
        <f t="shared" si="11"/>
        <v>179.958</v>
      </c>
      <c r="D53" s="180">
        <f>+HLOOKUP('Info Gral'!$C$8,'Precip 1981-2010'!$D$5:$AL$373,45,FALSE)</f>
        <v>19.3</v>
      </c>
      <c r="E53" s="185">
        <f t="shared" si="0"/>
        <v>200.41092523193916</v>
      </c>
      <c r="F53" s="185">
        <f t="shared" si="1"/>
        <v>6.1358775695817496</v>
      </c>
      <c r="G53" s="186">
        <f t="shared" si="2"/>
        <v>0.83539728434864247</v>
      </c>
      <c r="H53" s="186">
        <f t="shared" si="3"/>
        <v>0</v>
      </c>
      <c r="I53" s="186">
        <f t="shared" si="4"/>
        <v>18.46460271565136</v>
      </c>
      <c r="J53" s="186">
        <f t="shared" si="5"/>
        <v>0.8335931872375808</v>
      </c>
      <c r="K53" s="186">
        <f t="shared" si="6"/>
        <v>1.8040971110616644E-3</v>
      </c>
      <c r="L53" s="186">
        <f t="shared" si="7"/>
        <v>2.1156069915752438</v>
      </c>
      <c r="M53" s="186">
        <f t="shared" si="8"/>
        <v>17.687859355798047</v>
      </c>
      <c r="N53" s="186">
        <f t="shared" si="9"/>
        <v>17.689663452909109</v>
      </c>
      <c r="O53" s="186">
        <f t="shared" si="10"/>
        <v>0.46523814881150954</v>
      </c>
    </row>
    <row r="54" spans="1:15">
      <c r="A54" s="41">
        <v>1984</v>
      </c>
      <c r="B54" s="41">
        <v>1</v>
      </c>
      <c r="C54" s="180">
        <f t="shared" si="11"/>
        <v>190.06799999999998</v>
      </c>
      <c r="D54" s="180">
        <f>+HLOOKUP('Info Gral'!$C$8,'Precip 1981-2010'!$D$5:$AL$373,46,FALSE)</f>
        <v>343.1</v>
      </c>
      <c r="E54" s="185">
        <f t="shared" si="0"/>
        <v>210.52092523193915</v>
      </c>
      <c r="F54" s="185">
        <f t="shared" si="1"/>
        <v>6.1358775695817496</v>
      </c>
      <c r="G54" s="186">
        <f t="shared" si="2"/>
        <v>209.7441468061044</v>
      </c>
      <c r="H54" s="186">
        <f t="shared" si="3"/>
        <v>0</v>
      </c>
      <c r="I54" s="186">
        <f t="shared" si="4"/>
        <v>133.35585319389563</v>
      </c>
      <c r="J54" s="186">
        <f t="shared" si="5"/>
        <v>135.89934723019039</v>
      </c>
      <c r="K54" s="186">
        <f t="shared" si="6"/>
        <v>73.84479957591401</v>
      </c>
      <c r="L54" s="186">
        <f t="shared" si="7"/>
        <v>42.70306528930579</v>
      </c>
      <c r="M54" s="186">
        <f t="shared" si="8"/>
        <v>95.311888932459837</v>
      </c>
      <c r="N54" s="186">
        <f t="shared" si="9"/>
        <v>169.15668850837386</v>
      </c>
      <c r="O54" s="186">
        <f t="shared" si="10"/>
        <v>4.4488209077702319</v>
      </c>
    </row>
    <row r="55" spans="1:15">
      <c r="A55" s="41">
        <v>1984</v>
      </c>
      <c r="B55" s="41">
        <v>2</v>
      </c>
      <c r="C55" s="180">
        <f t="shared" si="11"/>
        <v>146.595</v>
      </c>
      <c r="D55" s="180">
        <f>+HLOOKUP('Info Gral'!$C$8,'Precip 1981-2010'!$D$5:$AL$373,47,FALSE)</f>
        <v>332.6</v>
      </c>
      <c r="E55" s="185">
        <f t="shared" si="0"/>
        <v>167.04792523193916</v>
      </c>
      <c r="F55" s="185">
        <f t="shared" si="1"/>
        <v>6.1358775695817496</v>
      </c>
      <c r="G55" s="186">
        <f t="shared" si="2"/>
        <v>218.67877375698333</v>
      </c>
      <c r="H55" s="186">
        <f t="shared" si="3"/>
        <v>0</v>
      </c>
      <c r="I55" s="186">
        <f t="shared" si="4"/>
        <v>113.92122624301669</v>
      </c>
      <c r="J55" s="186">
        <f t="shared" si="5"/>
        <v>139.59479038058549</v>
      </c>
      <c r="K55" s="186">
        <f t="shared" si="6"/>
        <v>79.083983376397839</v>
      </c>
      <c r="L55" s="186">
        <f t="shared" si="7"/>
        <v>47.82742454813976</v>
      </c>
      <c r="M55" s="186">
        <f t="shared" si="8"/>
        <v>134.47043112175152</v>
      </c>
      <c r="N55" s="186">
        <f t="shared" si="9"/>
        <v>213.55441449814936</v>
      </c>
      <c r="O55" s="186">
        <f t="shared" si="10"/>
        <v>5.6164811013013276</v>
      </c>
    </row>
    <row r="56" spans="1:15">
      <c r="A56" s="41">
        <v>1984</v>
      </c>
      <c r="B56" s="41">
        <v>3</v>
      </c>
      <c r="C56" s="180">
        <f t="shared" si="11"/>
        <v>120.30899999999998</v>
      </c>
      <c r="D56" s="180">
        <f>+HLOOKUP('Info Gral'!$C$8,'Precip 1981-2010'!$D$5:$AL$373,48,FALSE)</f>
        <v>197.5</v>
      </c>
      <c r="E56" s="185">
        <f t="shared" si="0"/>
        <v>140.76192523193916</v>
      </c>
      <c r="F56" s="185">
        <f t="shared" si="1"/>
        <v>6.1358775695817496</v>
      </c>
      <c r="G56" s="186">
        <f t="shared" si="2"/>
        <v>112.33537300570174</v>
      </c>
      <c r="H56" s="186">
        <f t="shared" si="3"/>
        <v>0</v>
      </c>
      <c r="I56" s="186">
        <f t="shared" si="4"/>
        <v>85.16462699429826</v>
      </c>
      <c r="J56" s="186">
        <f t="shared" si="5"/>
        <v>87.012594989328093</v>
      </c>
      <c r="K56" s="186">
        <f t="shared" si="6"/>
        <v>25.322778016373647</v>
      </c>
      <c r="L56" s="186">
        <f t="shared" si="7"/>
        <v>31.88586843948676</v>
      </c>
      <c r="M56" s="186">
        <f t="shared" si="8"/>
        <v>102.9541510979811</v>
      </c>
      <c r="N56" s="186">
        <f t="shared" si="9"/>
        <v>128.27692911435474</v>
      </c>
      <c r="O56" s="186">
        <f t="shared" si="10"/>
        <v>3.3736832357075297</v>
      </c>
    </row>
    <row r="57" spans="1:15">
      <c r="A57" s="41">
        <v>1984</v>
      </c>
      <c r="B57" s="41">
        <v>4</v>
      </c>
      <c r="C57" s="180">
        <f t="shared" si="11"/>
        <v>73.802999999999997</v>
      </c>
      <c r="D57" s="180">
        <f>+HLOOKUP('Info Gral'!$C$8,'Precip 1981-2010'!$D$5:$AL$373,49,FALSE)</f>
        <v>125.1</v>
      </c>
      <c r="E57" s="185">
        <f t="shared" si="0"/>
        <v>94.255925231939159</v>
      </c>
      <c r="F57" s="185">
        <f t="shared" si="1"/>
        <v>6.1358775695817496</v>
      </c>
      <c r="G57" s="186">
        <f t="shared" si="2"/>
        <v>68.341594721118014</v>
      </c>
      <c r="H57" s="186">
        <f t="shared" si="3"/>
        <v>0</v>
      </c>
      <c r="I57" s="186">
        <f t="shared" si="4"/>
        <v>56.75840527888198</v>
      </c>
      <c r="J57" s="186">
        <f t="shared" si="5"/>
        <v>58.061722432752219</v>
      </c>
      <c r="K57" s="186">
        <f t="shared" si="6"/>
        <v>10.279872288365794</v>
      </c>
      <c r="L57" s="186">
        <f t="shared" si="7"/>
        <v>21.27401061690443</v>
      </c>
      <c r="M57" s="186">
        <f t="shared" si="8"/>
        <v>68.673580255334542</v>
      </c>
      <c r="N57" s="186">
        <f t="shared" si="9"/>
        <v>78.953452543700337</v>
      </c>
      <c r="O57" s="186">
        <f t="shared" si="10"/>
        <v>2.0764758018993188</v>
      </c>
    </row>
    <row r="58" spans="1:15">
      <c r="A58" s="41">
        <v>1984</v>
      </c>
      <c r="B58" s="41">
        <v>5</v>
      </c>
      <c r="C58" s="180">
        <f t="shared" si="11"/>
        <v>44.483999999999995</v>
      </c>
      <c r="D58" s="180">
        <f>+HLOOKUP('Info Gral'!$C$8,'Precip 1981-2010'!$D$5:$AL$373,50,FALSE)</f>
        <v>177.1</v>
      </c>
      <c r="E58" s="185">
        <f t="shared" si="0"/>
        <v>64.936925231939156</v>
      </c>
      <c r="F58" s="185">
        <f t="shared" si="1"/>
        <v>6.1358775695817496</v>
      </c>
      <c r="G58" s="186">
        <f t="shared" si="2"/>
        <v>127.21132252813135</v>
      </c>
      <c r="H58" s="186">
        <f t="shared" si="3"/>
        <v>5.4046774718686521</v>
      </c>
      <c r="I58" s="186">
        <f t="shared" si="4"/>
        <v>44.483999999999995</v>
      </c>
      <c r="J58" s="186">
        <f t="shared" si="5"/>
        <v>95.679047480810624</v>
      </c>
      <c r="K58" s="186">
        <f t="shared" si="6"/>
        <v>31.532275047320724</v>
      </c>
      <c r="L58" s="186">
        <f t="shared" si="7"/>
        <v>31.999413717561783</v>
      </c>
      <c r="M58" s="186">
        <f t="shared" si="8"/>
        <v>84.953644380153264</v>
      </c>
      <c r="N58" s="186">
        <f t="shared" si="9"/>
        <v>116.48591942747399</v>
      </c>
      <c r="O58" s="186">
        <f t="shared" si="10"/>
        <v>3.0635796809425657</v>
      </c>
    </row>
    <row r="59" spans="1:15">
      <c r="A59" s="41">
        <v>1984</v>
      </c>
      <c r="B59" s="41">
        <v>6</v>
      </c>
      <c r="C59" s="180">
        <f t="shared" si="11"/>
        <v>29.318999999999996</v>
      </c>
      <c r="D59" s="180">
        <f>+HLOOKUP('Info Gral'!$C$8,'Precip 1981-2010'!$D$5:$AL$373,51,FALSE)</f>
        <v>131.6</v>
      </c>
      <c r="E59" s="185">
        <f t="shared" si="0"/>
        <v>44.367247760070512</v>
      </c>
      <c r="F59" s="185">
        <f t="shared" si="1"/>
        <v>4.5144743280211541</v>
      </c>
      <c r="G59" s="186">
        <f t="shared" si="2"/>
        <v>96.746707747745816</v>
      </c>
      <c r="H59" s="186">
        <f t="shared" si="3"/>
        <v>10.938969724122849</v>
      </c>
      <c r="I59" s="186">
        <f t="shared" si="4"/>
        <v>29.318999999999996</v>
      </c>
      <c r="J59" s="186">
        <f t="shared" si="5"/>
        <v>77.357812267346873</v>
      </c>
      <c r="K59" s="186">
        <f t="shared" si="6"/>
        <v>19.388895480398944</v>
      </c>
      <c r="L59" s="186">
        <f t="shared" si="7"/>
        <v>27.319067217256379</v>
      </c>
      <c r="M59" s="186">
        <f t="shared" si="8"/>
        <v>82.038158767652277</v>
      </c>
      <c r="N59" s="186">
        <f t="shared" si="9"/>
        <v>101.42705424805122</v>
      </c>
      <c r="O59" s="186">
        <f t="shared" si="10"/>
        <v>2.6675315267237472</v>
      </c>
    </row>
    <row r="60" spans="1:15">
      <c r="A60" s="41">
        <v>1984</v>
      </c>
      <c r="B60" s="41">
        <v>7</v>
      </c>
      <c r="C60" s="180">
        <f t="shared" si="11"/>
        <v>35.384999999999998</v>
      </c>
      <c r="D60" s="180">
        <f>+HLOOKUP('Info Gral'!$C$8,'Precip 1981-2010'!$D$5:$AL$373,52,FALSE)</f>
        <v>101.2</v>
      </c>
      <c r="E60" s="185">
        <f t="shared" si="0"/>
        <v>44.898955507816311</v>
      </c>
      <c r="F60" s="185">
        <f t="shared" si="1"/>
        <v>2.8541866523448949</v>
      </c>
      <c r="G60" s="186">
        <f t="shared" si="2"/>
        <v>68.892790750150652</v>
      </c>
      <c r="H60" s="186">
        <f t="shared" si="3"/>
        <v>7.8611789739722084</v>
      </c>
      <c r="I60" s="186">
        <f t="shared" si="4"/>
        <v>35.384999999999998</v>
      </c>
      <c r="J60" s="186">
        <f t="shared" si="5"/>
        <v>58.459086998730029</v>
      </c>
      <c r="K60" s="186">
        <f t="shared" si="6"/>
        <v>10.433703751420623</v>
      </c>
      <c r="L60" s="186">
        <f t="shared" si="7"/>
        <v>20.951710333504515</v>
      </c>
      <c r="M60" s="186">
        <f t="shared" si="8"/>
        <v>64.826443882481897</v>
      </c>
      <c r="N60" s="186">
        <f t="shared" si="9"/>
        <v>75.26014763390252</v>
      </c>
      <c r="O60" s="186">
        <f t="shared" si="10"/>
        <v>1.9793418827716363</v>
      </c>
    </row>
    <row r="61" spans="1:15">
      <c r="A61" s="41">
        <v>1984</v>
      </c>
      <c r="B61" s="41">
        <v>8</v>
      </c>
      <c r="C61" s="180">
        <f t="shared" si="11"/>
        <v>55.605000000000004</v>
      </c>
      <c r="D61" s="180">
        <f>+HLOOKUP('Info Gral'!$C$8,'Precip 1981-2010'!$D$5:$AL$373,53,FALSE)</f>
        <v>25.3</v>
      </c>
      <c r="E61" s="185">
        <f t="shared" si="0"/>
        <v>68.196746257966964</v>
      </c>
      <c r="F61" s="185">
        <f t="shared" si="1"/>
        <v>3.7775238773900868</v>
      </c>
      <c r="G61" s="186">
        <f t="shared" si="2"/>
        <v>5.3898978786314924</v>
      </c>
      <c r="H61" s="186">
        <f t="shared" si="3"/>
        <v>0</v>
      </c>
      <c r="I61" s="186">
        <f t="shared" si="4"/>
        <v>27.771281095340719</v>
      </c>
      <c r="J61" s="186">
        <f t="shared" si="5"/>
        <v>5.3156726640831993</v>
      </c>
      <c r="K61" s="186">
        <f t="shared" si="6"/>
        <v>7.4225214548293117E-2</v>
      </c>
      <c r="L61" s="186">
        <f t="shared" si="7"/>
        <v>3.7109595457877842</v>
      </c>
      <c r="M61" s="186">
        <f t="shared" si="8"/>
        <v>22.55642345179993</v>
      </c>
      <c r="N61" s="186">
        <f t="shared" si="9"/>
        <v>22.630648666348222</v>
      </c>
      <c r="O61" s="186">
        <f t="shared" si="10"/>
        <v>0.59518605992495821</v>
      </c>
    </row>
    <row r="62" spans="1:15">
      <c r="A62" s="41">
        <v>1984</v>
      </c>
      <c r="B62" s="41">
        <v>9</v>
      </c>
      <c r="C62" s="180">
        <f t="shared" si="11"/>
        <v>78.858000000000004</v>
      </c>
      <c r="D62" s="180">
        <f>+HLOOKUP('Info Gral'!$C$8,'Precip 1981-2010'!$D$5:$AL$373,54,FALSE)</f>
        <v>207.1</v>
      </c>
      <c r="E62" s="185">
        <f t="shared" si="0"/>
        <v>99.310925231939166</v>
      </c>
      <c r="F62" s="185">
        <f t="shared" si="1"/>
        <v>6.1358775695817496</v>
      </c>
      <c r="G62" s="186">
        <f t="shared" si="2"/>
        <v>137.30431921559321</v>
      </c>
      <c r="H62" s="186">
        <f t="shared" si="3"/>
        <v>0</v>
      </c>
      <c r="I62" s="186">
        <f t="shared" si="4"/>
        <v>69.795680784406784</v>
      </c>
      <c r="J62" s="186">
        <f t="shared" si="5"/>
        <v>101.2784822733023</v>
      </c>
      <c r="K62" s="186">
        <f t="shared" si="6"/>
        <v>36.025836942290908</v>
      </c>
      <c r="L62" s="186">
        <f t="shared" si="7"/>
        <v>32.033000641293256</v>
      </c>
      <c r="M62" s="186">
        <f t="shared" si="8"/>
        <v>72.956441177796833</v>
      </c>
      <c r="N62" s="186">
        <f t="shared" si="9"/>
        <v>108.98227812008774</v>
      </c>
      <c r="O62" s="186">
        <f t="shared" si="10"/>
        <v>2.8662339145583076</v>
      </c>
    </row>
    <row r="63" spans="1:15">
      <c r="A63" s="41">
        <v>1984</v>
      </c>
      <c r="B63" s="41">
        <v>10</v>
      </c>
      <c r="C63" s="180">
        <f t="shared" si="11"/>
        <v>113.232</v>
      </c>
      <c r="D63" s="180">
        <f>+HLOOKUP('Info Gral'!$C$8,'Precip 1981-2010'!$D$5:$AL$373,55,FALSE)</f>
        <v>125.3</v>
      </c>
      <c r="E63" s="185">
        <f t="shared" si="0"/>
        <v>133.68492523193916</v>
      </c>
      <c r="F63" s="185">
        <f t="shared" si="1"/>
        <v>6.1358775695817496</v>
      </c>
      <c r="G63" s="186">
        <f t="shared" si="2"/>
        <v>57.557073541196907</v>
      </c>
      <c r="H63" s="186">
        <f t="shared" si="3"/>
        <v>0</v>
      </c>
      <c r="I63" s="186">
        <f t="shared" si="4"/>
        <v>67.742926458803083</v>
      </c>
      <c r="J63" s="186">
        <f t="shared" si="5"/>
        <v>50.08832394336401</v>
      </c>
      <c r="K63" s="186">
        <f t="shared" si="6"/>
        <v>7.4687495978328968</v>
      </c>
      <c r="L63" s="186">
        <f t="shared" si="7"/>
        <v>18.795088540247896</v>
      </c>
      <c r="M63" s="186">
        <f t="shared" si="8"/>
        <v>63.32623604440937</v>
      </c>
      <c r="N63" s="186">
        <f t="shared" si="9"/>
        <v>70.794985642242267</v>
      </c>
      <c r="O63" s="186">
        <f t="shared" si="10"/>
        <v>1.8619081223909717</v>
      </c>
    </row>
    <row r="64" spans="1:15">
      <c r="A64" s="41">
        <v>1984</v>
      </c>
      <c r="B64" s="41">
        <v>11</v>
      </c>
      <c r="C64" s="180">
        <f t="shared" si="11"/>
        <v>148.61699999999999</v>
      </c>
      <c r="D64" s="180">
        <f>+HLOOKUP('Info Gral'!$C$8,'Precip 1981-2010'!$D$5:$AL$373,56,FALSE)</f>
        <v>143.9</v>
      </c>
      <c r="E64" s="185">
        <f t="shared" si="0"/>
        <v>169.06992523193915</v>
      </c>
      <c r="F64" s="185">
        <f t="shared" si="1"/>
        <v>6.1358775695817496</v>
      </c>
      <c r="G64" s="186">
        <f t="shared" si="2"/>
        <v>63.116291739213501</v>
      </c>
      <c r="H64" s="186">
        <f t="shared" si="3"/>
        <v>0</v>
      </c>
      <c r="I64" s="186">
        <f t="shared" si="4"/>
        <v>80.783708260786511</v>
      </c>
      <c r="J64" s="186">
        <f t="shared" si="5"/>
        <v>54.246281106816561</v>
      </c>
      <c r="K64" s="186">
        <f t="shared" si="6"/>
        <v>8.8700106323969408</v>
      </c>
      <c r="L64" s="186">
        <f t="shared" si="7"/>
        <v>18.800847429051021</v>
      </c>
      <c r="M64" s="186">
        <f t="shared" si="8"/>
        <v>54.240522218013439</v>
      </c>
      <c r="N64" s="186">
        <f t="shared" si="9"/>
        <v>63.11053285041038</v>
      </c>
      <c r="O64" s="186">
        <f t="shared" si="10"/>
        <v>1.659807013965793</v>
      </c>
    </row>
    <row r="65" spans="1:15">
      <c r="A65" s="41">
        <v>1984</v>
      </c>
      <c r="B65" s="41">
        <v>12</v>
      </c>
      <c r="C65" s="180">
        <f t="shared" si="11"/>
        <v>179.958</v>
      </c>
      <c r="D65" s="180">
        <f>+HLOOKUP('Info Gral'!$C$8,'Precip 1981-2010'!$D$5:$AL$373,57,FALSE)</f>
        <v>28.2</v>
      </c>
      <c r="E65" s="185">
        <f t="shared" si="0"/>
        <v>200.41092523193916</v>
      </c>
      <c r="F65" s="185">
        <f t="shared" si="1"/>
        <v>6.1358775695817496</v>
      </c>
      <c r="G65" s="186">
        <f t="shared" si="2"/>
        <v>2.2502882784274059</v>
      </c>
      <c r="H65" s="186">
        <f t="shared" si="3"/>
        <v>0</v>
      </c>
      <c r="I65" s="186">
        <f t="shared" si="4"/>
        <v>25.949711721572594</v>
      </c>
      <c r="J65" s="186">
        <f t="shared" si="5"/>
        <v>2.237245667799912</v>
      </c>
      <c r="K65" s="186">
        <f t="shared" si="6"/>
        <v>1.30426106274939E-2</v>
      </c>
      <c r="L65" s="186">
        <f t="shared" si="7"/>
        <v>2.5380060386708108</v>
      </c>
      <c r="M65" s="186">
        <f t="shared" si="8"/>
        <v>18.500087058180121</v>
      </c>
      <c r="N65" s="186">
        <f t="shared" si="9"/>
        <v>18.513129668807615</v>
      </c>
      <c r="O65" s="186">
        <f t="shared" si="10"/>
        <v>0.48689531028964028</v>
      </c>
    </row>
    <row r="66" spans="1:15">
      <c r="A66" s="41">
        <v>1985</v>
      </c>
      <c r="B66" s="41">
        <v>1</v>
      </c>
      <c r="C66" s="180">
        <f t="shared" si="11"/>
        <v>190.06799999999998</v>
      </c>
      <c r="D66" s="180">
        <f>+HLOOKUP('Info Gral'!$C$8,'Precip 1981-2010'!$D$5:$AL$373,58,FALSE)</f>
        <v>66.400000000000006</v>
      </c>
      <c r="E66" s="185">
        <f t="shared" si="0"/>
        <v>210.52092523193915</v>
      </c>
      <c r="F66" s="185">
        <f t="shared" si="1"/>
        <v>6.1358775695817496</v>
      </c>
      <c r="G66" s="186">
        <f t="shared" si="2"/>
        <v>13.722939131210145</v>
      </c>
      <c r="H66" s="186">
        <f t="shared" si="3"/>
        <v>0</v>
      </c>
      <c r="I66" s="186">
        <f t="shared" si="4"/>
        <v>52.677060868789859</v>
      </c>
      <c r="J66" s="186">
        <f t="shared" si="5"/>
        <v>13.251815160171089</v>
      </c>
      <c r="K66" s="186">
        <f t="shared" si="6"/>
        <v>0.47112397103905579</v>
      </c>
      <c r="L66" s="186">
        <f t="shared" si="7"/>
        <v>4.3920632147515484</v>
      </c>
      <c r="M66" s="186">
        <f t="shared" si="8"/>
        <v>11.397757984090351</v>
      </c>
      <c r="N66" s="186">
        <f t="shared" si="9"/>
        <v>11.868881955129407</v>
      </c>
      <c r="O66" s="186">
        <f t="shared" si="10"/>
        <v>0.31215159541990339</v>
      </c>
    </row>
    <row r="67" spans="1:15">
      <c r="A67" s="41">
        <v>1985</v>
      </c>
      <c r="B67" s="41">
        <v>2</v>
      </c>
      <c r="C67" s="180">
        <f t="shared" si="11"/>
        <v>146.595</v>
      </c>
      <c r="D67" s="180">
        <f>+HLOOKUP('Info Gral'!$C$8,'Precip 1981-2010'!$D$5:$AL$373,59,FALSE)</f>
        <v>102.9</v>
      </c>
      <c r="E67" s="185">
        <f t="shared" si="0"/>
        <v>167.04792523193916</v>
      </c>
      <c r="F67" s="185">
        <f t="shared" si="1"/>
        <v>6.1358775695817496</v>
      </c>
      <c r="G67" s="186">
        <f t="shared" si="2"/>
        <v>36.337451718401979</v>
      </c>
      <c r="H67" s="186">
        <f t="shared" si="3"/>
        <v>0</v>
      </c>
      <c r="I67" s="186">
        <f t="shared" si="4"/>
        <v>66.562548281598026</v>
      </c>
      <c r="J67" s="186">
        <f t="shared" si="5"/>
        <v>33.21101717650965</v>
      </c>
      <c r="K67" s="186">
        <f t="shared" si="6"/>
        <v>3.1264345418923298</v>
      </c>
      <c r="L67" s="186">
        <f t="shared" si="7"/>
        <v>10.81467052606417</v>
      </c>
      <c r="M67" s="186">
        <f t="shared" si="8"/>
        <v>26.788409865197028</v>
      </c>
      <c r="N67" s="186">
        <f t="shared" si="9"/>
        <v>29.914844407089358</v>
      </c>
      <c r="O67" s="186">
        <f t="shared" si="10"/>
        <v>0.78676040790645008</v>
      </c>
    </row>
    <row r="68" spans="1:15">
      <c r="A68" s="41">
        <v>1985</v>
      </c>
      <c r="B68" s="41">
        <v>3</v>
      </c>
      <c r="C68" s="180">
        <f t="shared" si="11"/>
        <v>120.30899999999998</v>
      </c>
      <c r="D68" s="180">
        <f>+HLOOKUP('Info Gral'!$C$8,'Precip 1981-2010'!$D$5:$AL$373,60,FALSE)</f>
        <v>261.7</v>
      </c>
      <c r="E68" s="185">
        <f t="shared" si="0"/>
        <v>140.76192523193916</v>
      </c>
      <c r="F68" s="185">
        <f t="shared" si="1"/>
        <v>6.1358775695817496</v>
      </c>
      <c r="G68" s="186">
        <f t="shared" si="2"/>
        <v>167.3876629390748</v>
      </c>
      <c r="H68" s="186">
        <f t="shared" si="3"/>
        <v>0</v>
      </c>
      <c r="I68" s="186">
        <f t="shared" si="4"/>
        <v>94.312337060925188</v>
      </c>
      <c r="J68" s="186">
        <f t="shared" si="5"/>
        <v>116.75655642795979</v>
      </c>
      <c r="K68" s="186">
        <f t="shared" si="6"/>
        <v>50.631106511115007</v>
      </c>
      <c r="L68" s="186">
        <f t="shared" si="7"/>
        <v>37.567673065145414</v>
      </c>
      <c r="M68" s="186">
        <f t="shared" si="8"/>
        <v>90.003553888878542</v>
      </c>
      <c r="N68" s="186">
        <f t="shared" si="9"/>
        <v>140.63466039999355</v>
      </c>
      <c r="O68" s="186">
        <f t="shared" si="10"/>
        <v>3.6986915685198305</v>
      </c>
    </row>
    <row r="69" spans="1:15">
      <c r="A69" s="41">
        <v>1985</v>
      </c>
      <c r="B69" s="41">
        <v>4</v>
      </c>
      <c r="C69" s="180">
        <f t="shared" si="11"/>
        <v>73.802999999999997</v>
      </c>
      <c r="D69" s="180">
        <f>+HLOOKUP('Info Gral'!$C$8,'Precip 1981-2010'!$D$5:$AL$373,61,FALSE)</f>
        <v>115.7</v>
      </c>
      <c r="E69" s="185">
        <f t="shared" si="0"/>
        <v>94.255925231939159</v>
      </c>
      <c r="F69" s="185">
        <f t="shared" si="1"/>
        <v>6.1358775695817496</v>
      </c>
      <c r="G69" s="186">
        <f t="shared" si="2"/>
        <v>60.724624122983215</v>
      </c>
      <c r="H69" s="186">
        <f t="shared" si="3"/>
        <v>0</v>
      </c>
      <c r="I69" s="186">
        <f t="shared" si="4"/>
        <v>54.975375877016788</v>
      </c>
      <c r="J69" s="186">
        <f t="shared" si="5"/>
        <v>52.470143004739711</v>
      </c>
      <c r="K69" s="186">
        <f t="shared" si="6"/>
        <v>8.2544811182435041</v>
      </c>
      <c r="L69" s="186">
        <f t="shared" si="7"/>
        <v>20.081090895641765</v>
      </c>
      <c r="M69" s="186">
        <f t="shared" si="8"/>
        <v>69.95672517424336</v>
      </c>
      <c r="N69" s="186">
        <f t="shared" si="9"/>
        <v>78.211206292486864</v>
      </c>
      <c r="O69" s="186">
        <f t="shared" si="10"/>
        <v>2.0569547254924045</v>
      </c>
    </row>
    <row r="70" spans="1:15">
      <c r="A70" s="41">
        <v>1985</v>
      </c>
      <c r="B70" s="41">
        <v>5</v>
      </c>
      <c r="C70" s="180">
        <f t="shared" si="11"/>
        <v>44.483999999999995</v>
      </c>
      <c r="D70" s="180">
        <f>+HLOOKUP('Info Gral'!$C$8,'Precip 1981-2010'!$D$5:$AL$373,62,FALSE)</f>
        <v>150.69999999999999</v>
      </c>
      <c r="E70" s="185">
        <f t="shared" si="0"/>
        <v>64.936925231939156</v>
      </c>
      <c r="F70" s="185">
        <f t="shared" si="1"/>
        <v>6.1358775695817496</v>
      </c>
      <c r="G70" s="186">
        <f t="shared" si="2"/>
        <v>102.76482194341777</v>
      </c>
      <c r="H70" s="186">
        <f t="shared" si="3"/>
        <v>3.4511780565822221</v>
      </c>
      <c r="I70" s="186">
        <f t="shared" si="4"/>
        <v>44.483999999999995</v>
      </c>
      <c r="J70" s="186">
        <f t="shared" si="5"/>
        <v>81.158093809687813</v>
      </c>
      <c r="K70" s="186">
        <f t="shared" si="6"/>
        <v>21.606728133729959</v>
      </c>
      <c r="L70" s="186">
        <f t="shared" si="7"/>
        <v>27.342013691856597</v>
      </c>
      <c r="M70" s="186">
        <f t="shared" si="8"/>
        <v>73.897171013472985</v>
      </c>
      <c r="N70" s="186">
        <f t="shared" si="9"/>
        <v>95.503899147202944</v>
      </c>
      <c r="O70" s="186">
        <f t="shared" si="10"/>
        <v>2.5117525475714375</v>
      </c>
    </row>
    <row r="71" spans="1:15">
      <c r="A71" s="41">
        <v>1985</v>
      </c>
      <c r="B71" s="41">
        <v>6</v>
      </c>
      <c r="C71" s="180">
        <f t="shared" si="11"/>
        <v>29.318999999999996</v>
      </c>
      <c r="D71" s="180">
        <f>+HLOOKUP('Info Gral'!$C$8,'Precip 1981-2010'!$D$5:$AL$373,63,FALSE)</f>
        <v>75.3</v>
      </c>
      <c r="E71" s="185">
        <f t="shared" si="0"/>
        <v>46.320747175356942</v>
      </c>
      <c r="F71" s="185">
        <f t="shared" si="1"/>
        <v>5.1005241526070826</v>
      </c>
      <c r="G71" s="186">
        <f t="shared" si="2"/>
        <v>44.228861316454811</v>
      </c>
      <c r="H71" s="186">
        <f t="shared" si="3"/>
        <v>5.2033167401274127</v>
      </c>
      <c r="I71" s="186">
        <f t="shared" si="4"/>
        <v>29.318999999999996</v>
      </c>
      <c r="J71" s="186">
        <f t="shared" si="5"/>
        <v>39.68199719542757</v>
      </c>
      <c r="K71" s="186">
        <f t="shared" si="6"/>
        <v>4.5468641210272409</v>
      </c>
      <c r="L71" s="186">
        <f t="shared" si="7"/>
        <v>15.082293464169283</v>
      </c>
      <c r="M71" s="186">
        <f t="shared" si="8"/>
        <v>51.941717423114881</v>
      </c>
      <c r="N71" s="186">
        <f t="shared" si="9"/>
        <v>56.488581544142122</v>
      </c>
      <c r="O71" s="186">
        <f t="shared" si="10"/>
        <v>1.4856496946109377</v>
      </c>
    </row>
    <row r="72" spans="1:15">
      <c r="A72" s="41">
        <v>1985</v>
      </c>
      <c r="B72" s="41">
        <v>7</v>
      </c>
      <c r="C72" s="180">
        <f t="shared" si="11"/>
        <v>35.384999999999998</v>
      </c>
      <c r="D72" s="180">
        <f>+HLOOKUP('Info Gral'!$C$8,'Precip 1981-2010'!$D$5:$AL$373,64,FALSE)</f>
        <v>136.80000000000001</v>
      </c>
      <c r="E72" s="185">
        <f t="shared" si="0"/>
        <v>50.634608491811747</v>
      </c>
      <c r="F72" s="185">
        <f t="shared" si="1"/>
        <v>4.5748825475435257</v>
      </c>
      <c r="G72" s="186">
        <f t="shared" si="2"/>
        <v>98.064879505270966</v>
      </c>
      <c r="H72" s="186">
        <f t="shared" si="3"/>
        <v>8.5534372348564531</v>
      </c>
      <c r="I72" s="186">
        <f t="shared" si="4"/>
        <v>35.384999999999998</v>
      </c>
      <c r="J72" s="186">
        <f t="shared" si="5"/>
        <v>78.198285171445519</v>
      </c>
      <c r="K72" s="186">
        <f t="shared" si="6"/>
        <v>19.866594333825446</v>
      </c>
      <c r="L72" s="186">
        <f t="shared" si="7"/>
        <v>25.927671707366702</v>
      </c>
      <c r="M72" s="186">
        <f t="shared" si="8"/>
        <v>67.352906928248103</v>
      </c>
      <c r="N72" s="186">
        <f t="shared" si="9"/>
        <v>87.21950126207355</v>
      </c>
      <c r="O72" s="186">
        <f t="shared" si="10"/>
        <v>2.2938728831925346</v>
      </c>
    </row>
    <row r="73" spans="1:15">
      <c r="A73" s="41">
        <v>1985</v>
      </c>
      <c r="B73" s="41">
        <v>8</v>
      </c>
      <c r="C73" s="180">
        <f t="shared" si="11"/>
        <v>55.605000000000004</v>
      </c>
      <c r="D73" s="180">
        <f>+HLOOKUP('Info Gral'!$C$8,'Precip 1981-2010'!$D$5:$AL$373,65,FALSE)</f>
        <v>80</v>
      </c>
      <c r="E73" s="185">
        <f t="shared" si="0"/>
        <v>67.50448799708272</v>
      </c>
      <c r="F73" s="185">
        <f t="shared" si="1"/>
        <v>3.5698463991248137</v>
      </c>
      <c r="G73" s="186">
        <f t="shared" si="2"/>
        <v>41.617047716120901</v>
      </c>
      <c r="H73" s="186">
        <f t="shared" si="3"/>
        <v>0</v>
      </c>
      <c r="I73" s="186">
        <f t="shared" si="4"/>
        <v>46.93638951873556</v>
      </c>
      <c r="J73" s="186">
        <f t="shared" si="5"/>
        <v>37.566744600620041</v>
      </c>
      <c r="K73" s="186">
        <f t="shared" si="6"/>
        <v>4.05030311550086</v>
      </c>
      <c r="L73" s="186">
        <f t="shared" si="7"/>
        <v>14.282547461985645</v>
      </c>
      <c r="M73" s="186">
        <f t="shared" si="8"/>
        <v>49.211868846001096</v>
      </c>
      <c r="N73" s="186">
        <f t="shared" si="9"/>
        <v>53.262171961501956</v>
      </c>
      <c r="O73" s="186">
        <f t="shared" si="10"/>
        <v>1.4007951225875015</v>
      </c>
    </row>
    <row r="74" spans="1:15">
      <c r="A74" s="41">
        <v>1985</v>
      </c>
      <c r="B74" s="41">
        <v>9</v>
      </c>
      <c r="C74" s="180">
        <f t="shared" si="11"/>
        <v>78.858000000000004</v>
      </c>
      <c r="D74" s="180">
        <f>+HLOOKUP('Info Gral'!$C$8,'Precip 1981-2010'!$D$5:$AL$373,66,FALSE)</f>
        <v>106.8</v>
      </c>
      <c r="E74" s="185">
        <f t="shared" si="0"/>
        <v>99.310925231939166</v>
      </c>
      <c r="F74" s="185">
        <f t="shared" si="1"/>
        <v>6.1358775695817496</v>
      </c>
      <c r="G74" s="186">
        <f t="shared" si="2"/>
        <v>52.276665958878333</v>
      </c>
      <c r="H74" s="186">
        <f t="shared" si="3"/>
        <v>0</v>
      </c>
      <c r="I74" s="186">
        <f t="shared" si="4"/>
        <v>54.523334041121664</v>
      </c>
      <c r="J74" s="186">
        <f t="shared" si="5"/>
        <v>46.041221510114184</v>
      </c>
      <c r="K74" s="186">
        <f t="shared" si="6"/>
        <v>6.2354444487641487</v>
      </c>
      <c r="L74" s="186">
        <f t="shared" si="7"/>
        <v>15.793845224757352</v>
      </c>
      <c r="M74" s="186">
        <f t="shared" si="8"/>
        <v>44.52992374734248</v>
      </c>
      <c r="N74" s="186">
        <f t="shared" si="9"/>
        <v>50.765368196106628</v>
      </c>
      <c r="O74" s="186">
        <f t="shared" si="10"/>
        <v>1.3351291835576042</v>
      </c>
    </row>
    <row r="75" spans="1:15">
      <c r="A75" s="41">
        <v>1985</v>
      </c>
      <c r="B75" s="41">
        <v>10</v>
      </c>
      <c r="C75" s="180">
        <f t="shared" si="11"/>
        <v>113.232</v>
      </c>
      <c r="D75" s="180">
        <f>+HLOOKUP('Info Gral'!$C$8,'Precip 1981-2010'!$D$5:$AL$373,67,FALSE)</f>
        <v>110.6</v>
      </c>
      <c r="E75" s="185">
        <f t="shared" si="0"/>
        <v>133.68492523193916</v>
      </c>
      <c r="F75" s="185">
        <f t="shared" si="1"/>
        <v>6.1358775695817496</v>
      </c>
      <c r="G75" s="186">
        <f t="shared" si="2"/>
        <v>47.035057840870429</v>
      </c>
      <c r="H75" s="186">
        <f t="shared" si="3"/>
        <v>0</v>
      </c>
      <c r="I75" s="186">
        <f t="shared" si="4"/>
        <v>63.564942159129565</v>
      </c>
      <c r="J75" s="186">
        <f t="shared" si="5"/>
        <v>41.926241300416123</v>
      </c>
      <c r="K75" s="186">
        <f t="shared" si="6"/>
        <v>5.1088165404543062</v>
      </c>
      <c r="L75" s="186">
        <f t="shared" si="7"/>
        <v>14.654856640358666</v>
      </c>
      <c r="M75" s="186">
        <f t="shared" si="8"/>
        <v>43.065229884814812</v>
      </c>
      <c r="N75" s="186">
        <f t="shared" si="9"/>
        <v>48.174046425269118</v>
      </c>
      <c r="O75" s="186">
        <f t="shared" si="10"/>
        <v>1.2669774209845777</v>
      </c>
    </row>
    <row r="76" spans="1:15">
      <c r="A76" s="41">
        <v>1985</v>
      </c>
      <c r="B76" s="41">
        <v>11</v>
      </c>
      <c r="C76" s="180">
        <f t="shared" si="11"/>
        <v>148.61699999999999</v>
      </c>
      <c r="D76" s="180">
        <f>+HLOOKUP('Info Gral'!$C$8,'Precip 1981-2010'!$D$5:$AL$373,68,FALSE)</f>
        <v>3.6</v>
      </c>
      <c r="E76" s="185">
        <f t="shared" si="0"/>
        <v>169.06992523193915</v>
      </c>
      <c r="F76" s="185">
        <f t="shared" si="1"/>
        <v>6.1358775695817496</v>
      </c>
      <c r="G76" s="186">
        <f t="shared" si="2"/>
        <v>0</v>
      </c>
      <c r="H76" s="186">
        <f t="shared" si="3"/>
        <v>0</v>
      </c>
      <c r="I76" s="186">
        <f t="shared" si="4"/>
        <v>3.6</v>
      </c>
      <c r="J76" s="186">
        <f t="shared" si="5"/>
        <v>0</v>
      </c>
      <c r="K76" s="186">
        <f t="shared" si="6"/>
        <v>0</v>
      </c>
      <c r="L76" s="186">
        <f t="shared" si="7"/>
        <v>1.4330023543730674</v>
      </c>
      <c r="M76" s="186">
        <f t="shared" si="8"/>
        <v>13.221854285985598</v>
      </c>
      <c r="N76" s="186">
        <f t="shared" si="9"/>
        <v>13.221854285985598</v>
      </c>
      <c r="O76" s="186">
        <f t="shared" si="10"/>
        <v>0.34773476772142126</v>
      </c>
    </row>
    <row r="77" spans="1:15">
      <c r="A77" s="41">
        <v>1985</v>
      </c>
      <c r="B77" s="41">
        <v>12</v>
      </c>
      <c r="C77" s="180">
        <f t="shared" si="11"/>
        <v>179.958</v>
      </c>
      <c r="D77" s="180">
        <f>+HLOOKUP('Info Gral'!$C$8,'Precip 1981-2010'!$D$5:$AL$373,69,FALSE)</f>
        <v>28.3</v>
      </c>
      <c r="E77" s="185">
        <f t="shared" si="0"/>
        <v>200.41092523193916</v>
      </c>
      <c r="F77" s="185">
        <f t="shared" si="1"/>
        <v>6.1358775695817496</v>
      </c>
      <c r="G77" s="186">
        <f t="shared" si="2"/>
        <v>2.2696830841663185</v>
      </c>
      <c r="H77" s="186">
        <f t="shared" si="3"/>
        <v>0</v>
      </c>
      <c r="I77" s="186">
        <f t="shared" si="4"/>
        <v>26.030316915833684</v>
      </c>
      <c r="J77" s="186">
        <f t="shared" si="5"/>
        <v>2.2564153439151844</v>
      </c>
      <c r="K77" s="186">
        <f t="shared" si="6"/>
        <v>1.3267740251134086E-2</v>
      </c>
      <c r="L77" s="186">
        <f t="shared" si="7"/>
        <v>0.84571275526509582</v>
      </c>
      <c r="M77" s="186">
        <f t="shared" si="8"/>
        <v>2.8437049430231562</v>
      </c>
      <c r="N77" s="186">
        <f t="shared" si="9"/>
        <v>2.8569726832742903</v>
      </c>
      <c r="O77" s="186">
        <f t="shared" si="10"/>
        <v>7.5138381570113835E-2</v>
      </c>
    </row>
    <row r="78" spans="1:15">
      <c r="A78" s="41">
        <v>1986</v>
      </c>
      <c r="B78" s="41">
        <v>1</v>
      </c>
      <c r="C78" s="180">
        <f t="shared" si="11"/>
        <v>190.06799999999998</v>
      </c>
      <c r="D78" s="180">
        <f>+HLOOKUP('Info Gral'!$C$8,'Precip 1981-2010'!$D$5:$AL$373,70,FALSE)</f>
        <v>216.8</v>
      </c>
      <c r="E78" s="185">
        <f t="shared" si="0"/>
        <v>210.52092523193915</v>
      </c>
      <c r="F78" s="185">
        <f t="shared" si="1"/>
        <v>6.1358775695817496</v>
      </c>
      <c r="G78" s="186">
        <f t="shared" si="2"/>
        <v>106.92557816573435</v>
      </c>
      <c r="H78" s="186">
        <f t="shared" si="3"/>
        <v>0</v>
      </c>
      <c r="I78" s="186">
        <f t="shared" si="4"/>
        <v>109.87442183426566</v>
      </c>
      <c r="J78" s="186">
        <f t="shared" si="5"/>
        <v>83.731246663155133</v>
      </c>
      <c r="K78" s="186">
        <f t="shared" si="6"/>
        <v>23.194331502579217</v>
      </c>
      <c r="L78" s="186">
        <f t="shared" si="7"/>
        <v>26.265745929544238</v>
      </c>
      <c r="M78" s="186">
        <f t="shared" si="8"/>
        <v>58.311213488875993</v>
      </c>
      <c r="N78" s="186">
        <f t="shared" si="9"/>
        <v>81.50554499145521</v>
      </c>
      <c r="O78" s="186">
        <f t="shared" si="10"/>
        <v>2.1435958332752723</v>
      </c>
    </row>
    <row r="79" spans="1:15">
      <c r="A79" s="41">
        <v>1986</v>
      </c>
      <c r="B79" s="41">
        <v>2</v>
      </c>
      <c r="C79" s="180">
        <f t="shared" si="11"/>
        <v>146.595</v>
      </c>
      <c r="D79" s="180">
        <f>+HLOOKUP('Info Gral'!$C$8,'Precip 1981-2010'!$D$5:$AL$373,71,FALSE)</f>
        <v>76.2</v>
      </c>
      <c r="E79" s="185">
        <f t="shared" si="0"/>
        <v>167.04792523193916</v>
      </c>
      <c r="F79" s="185">
        <f t="shared" si="1"/>
        <v>6.1358775695817496</v>
      </c>
      <c r="G79" s="186">
        <f t="shared" si="2"/>
        <v>21.253193565261984</v>
      </c>
      <c r="H79" s="186">
        <f t="shared" si="3"/>
        <v>0</v>
      </c>
      <c r="I79" s="186">
        <f t="shared" si="4"/>
        <v>54.946806434738022</v>
      </c>
      <c r="J79" s="186">
        <f t="shared" si="5"/>
        <v>20.144059876786415</v>
      </c>
      <c r="K79" s="186">
        <f t="shared" si="6"/>
        <v>1.1091336884755698</v>
      </c>
      <c r="L79" s="186">
        <f t="shared" si="7"/>
        <v>8.8674720023962568</v>
      </c>
      <c r="M79" s="186">
        <f t="shared" si="8"/>
        <v>37.542333803934397</v>
      </c>
      <c r="N79" s="186">
        <f t="shared" si="9"/>
        <v>38.651467492409964</v>
      </c>
      <c r="O79" s="186">
        <f t="shared" si="10"/>
        <v>1.016533595050382</v>
      </c>
    </row>
    <row r="80" spans="1:15">
      <c r="A80" s="41">
        <v>1986</v>
      </c>
      <c r="B80" s="41">
        <v>3</v>
      </c>
      <c r="C80" s="180">
        <f t="shared" si="11"/>
        <v>120.30899999999998</v>
      </c>
      <c r="D80" s="180">
        <f>+HLOOKUP('Info Gral'!$C$8,'Precip 1981-2010'!$D$5:$AL$373,72,FALSE)</f>
        <v>319.2</v>
      </c>
      <c r="E80" s="185">
        <f t="shared" si="0"/>
        <v>140.76192523193916</v>
      </c>
      <c r="F80" s="185">
        <f t="shared" si="1"/>
        <v>6.1358775695817496</v>
      </c>
      <c r="G80" s="186">
        <f t="shared" si="2"/>
        <v>218.92181535461742</v>
      </c>
      <c r="H80" s="186">
        <f t="shared" si="3"/>
        <v>0</v>
      </c>
      <c r="I80" s="186">
        <f t="shared" si="4"/>
        <v>100.27818464538257</v>
      </c>
      <c r="J80" s="186">
        <f t="shared" si="5"/>
        <v>139.69378948144643</v>
      </c>
      <c r="K80" s="186">
        <f t="shared" si="6"/>
        <v>79.228025873170992</v>
      </c>
      <c r="L80" s="186">
        <f t="shared" si="7"/>
        <v>44.54982106484276</v>
      </c>
      <c r="M80" s="186">
        <f t="shared" si="8"/>
        <v>104.01144041899992</v>
      </c>
      <c r="N80" s="186">
        <f t="shared" si="9"/>
        <v>183.2394662921709</v>
      </c>
      <c r="O80" s="186">
        <f t="shared" si="10"/>
        <v>4.8191979634840951</v>
      </c>
    </row>
    <row r="81" spans="1:15">
      <c r="A81" s="41">
        <v>1986</v>
      </c>
      <c r="B81" s="41">
        <v>4</v>
      </c>
      <c r="C81" s="180">
        <f t="shared" si="11"/>
        <v>73.802999999999997</v>
      </c>
      <c r="D81" s="180">
        <f>+HLOOKUP('Info Gral'!$C$8,'Precip 1981-2010'!$D$5:$AL$373,73,FALSE)</f>
        <v>310.89999999999998</v>
      </c>
      <c r="E81" s="185">
        <f t="shared" si="0"/>
        <v>94.255925231939159</v>
      </c>
      <c r="F81" s="185">
        <f t="shared" si="1"/>
        <v>6.1358775695817496</v>
      </c>
      <c r="G81" s="186">
        <f t="shared" si="2"/>
        <v>236.40853307693715</v>
      </c>
      <c r="H81" s="186">
        <f t="shared" si="3"/>
        <v>0.6884669230628333</v>
      </c>
      <c r="I81" s="186">
        <f t="shared" si="4"/>
        <v>73.802999999999997</v>
      </c>
      <c r="J81" s="186">
        <f t="shared" si="5"/>
        <v>146.61382181985235</v>
      </c>
      <c r="K81" s="186">
        <f t="shared" si="6"/>
        <v>89.794711257084799</v>
      </c>
      <c r="L81" s="186">
        <f t="shared" si="7"/>
        <v>50.202881994613413</v>
      </c>
      <c r="M81" s="186">
        <f t="shared" si="8"/>
        <v>140.9607608900817</v>
      </c>
      <c r="N81" s="186">
        <f t="shared" si="9"/>
        <v>230.7554721471665</v>
      </c>
      <c r="O81" s="186">
        <f t="shared" si="10"/>
        <v>6.0688689174704793</v>
      </c>
    </row>
    <row r="82" spans="1:15">
      <c r="A82" s="41">
        <v>1986</v>
      </c>
      <c r="B82" s="41">
        <v>5</v>
      </c>
      <c r="C82" s="180">
        <f t="shared" si="11"/>
        <v>44.483999999999995</v>
      </c>
      <c r="D82" s="180">
        <f>+HLOOKUP('Info Gral'!$C$8,'Precip 1981-2010'!$D$5:$AL$373,74,FALSE)</f>
        <v>243.1</v>
      </c>
      <c r="E82" s="185">
        <f t="shared" ref="E82:E145" si="12">+CAD*AD-H81+C82</f>
        <v>64.248458308876323</v>
      </c>
      <c r="F82" s="185">
        <f t="shared" ref="F82:F145" si="13">+CP.o*(CAD*AD-H81)</f>
        <v>5.9293374926628992</v>
      </c>
      <c r="G82" s="186">
        <f t="shared" ref="G82:G145" si="14">+IF(D82&lt;F82,0,(D82-F82)^2/(D82+E82-2*F82))</f>
        <v>190.36165149770198</v>
      </c>
      <c r="H82" s="186">
        <f t="shared" ref="H82:H145" si="15">+MAX(0,H81+D82-G82-C82)</f>
        <v>8.9428154253608483</v>
      </c>
      <c r="I82" s="186">
        <f t="shared" ref="I82:I145" si="16">+MIN(H81+D82-G82,C82)</f>
        <v>44.483999999999995</v>
      </c>
      <c r="J82" s="186">
        <f t="shared" ref="J82:J145" si="17">+Imax*G82/(G82+Imax)</f>
        <v>127.48869965094464</v>
      </c>
      <c r="K82" s="186">
        <f t="shared" ref="K82:K145" si="18">+G82-J82</f>
        <v>62.872951846757346</v>
      </c>
      <c r="L82" s="186">
        <f t="shared" ref="L82:L145" si="19">+L81*EXP(-α)+J82*EXP(-α/2)</f>
        <v>44.775166187669718</v>
      </c>
      <c r="M82" s="186">
        <f t="shared" ref="M82:M145" si="20">+L81-L82+J82</f>
        <v>132.91641545788832</v>
      </c>
      <c r="N82" s="186">
        <f t="shared" ref="N82:N145" si="21">+M82+K82</f>
        <v>195.78936730464568</v>
      </c>
      <c r="O82" s="186">
        <f t="shared" ref="O82:O145" si="22">+N82*Ac/100000</f>
        <v>5.1492603601121818</v>
      </c>
    </row>
    <row r="83" spans="1:15">
      <c r="A83" s="41">
        <v>1986</v>
      </c>
      <c r="B83" s="41">
        <v>6</v>
      </c>
      <c r="C83" s="180">
        <f t="shared" si="11"/>
        <v>29.318999999999996</v>
      </c>
      <c r="D83" s="180">
        <f>+HLOOKUP('Info Gral'!$C$8,'Precip 1981-2010'!$D$5:$AL$373,75,FALSE)</f>
        <v>113.5</v>
      </c>
      <c r="E83" s="185">
        <f t="shared" si="12"/>
        <v>40.829109806578316</v>
      </c>
      <c r="F83" s="185">
        <f t="shared" si="13"/>
        <v>3.4530329419734951</v>
      </c>
      <c r="G83" s="186">
        <f t="shared" si="14"/>
        <v>82.14682478694418</v>
      </c>
      <c r="H83" s="186">
        <f t="shared" si="15"/>
        <v>10.976990638416673</v>
      </c>
      <c r="I83" s="186">
        <f t="shared" si="16"/>
        <v>29.318999999999996</v>
      </c>
      <c r="J83" s="186">
        <f t="shared" si="17"/>
        <v>67.732328169033764</v>
      </c>
      <c r="K83" s="186">
        <f t="shared" si="18"/>
        <v>14.414496617910416</v>
      </c>
      <c r="L83" s="186">
        <f t="shared" si="19"/>
        <v>25.558402263929739</v>
      </c>
      <c r="M83" s="186">
        <f t="shared" si="20"/>
        <v>86.949092092773739</v>
      </c>
      <c r="N83" s="186">
        <f t="shared" si="21"/>
        <v>101.36358871068416</v>
      </c>
      <c r="O83" s="186">
        <f t="shared" si="22"/>
        <v>2.6658623830909933</v>
      </c>
    </row>
    <row r="84" spans="1:15">
      <c r="A84" s="41">
        <v>1986</v>
      </c>
      <c r="B84" s="41">
        <v>7</v>
      </c>
      <c r="C84" s="180">
        <f t="shared" si="11"/>
        <v>35.384999999999998</v>
      </c>
      <c r="D84" s="180">
        <f>+HLOOKUP('Info Gral'!$C$8,'Precip 1981-2010'!$D$5:$AL$373,76,FALSE)</f>
        <v>30.6</v>
      </c>
      <c r="E84" s="185">
        <f t="shared" si="12"/>
        <v>44.860934593522487</v>
      </c>
      <c r="F84" s="185">
        <f t="shared" si="13"/>
        <v>2.8427803780567475</v>
      </c>
      <c r="G84" s="186">
        <f t="shared" si="14"/>
        <v>11.042051067130497</v>
      </c>
      <c r="H84" s="186">
        <f t="shared" si="15"/>
        <v>0</v>
      </c>
      <c r="I84" s="186">
        <f t="shared" si="16"/>
        <v>30.534939571286177</v>
      </c>
      <c r="J84" s="186">
        <f t="shared" si="17"/>
        <v>10.734962960363431</v>
      </c>
      <c r="K84" s="186">
        <f t="shared" si="18"/>
        <v>0.30708810676706655</v>
      </c>
      <c r="L84" s="186">
        <f t="shared" si="19"/>
        <v>5.8560484895137375</v>
      </c>
      <c r="M84" s="186">
        <f t="shared" si="20"/>
        <v>30.437316734779436</v>
      </c>
      <c r="N84" s="186">
        <f t="shared" si="21"/>
        <v>30.744404841546505</v>
      </c>
      <c r="O84" s="186">
        <f t="shared" si="22"/>
        <v>0.80857784733267313</v>
      </c>
    </row>
    <row r="85" spans="1:15">
      <c r="A85" s="41">
        <v>1986</v>
      </c>
      <c r="B85" s="41">
        <v>8</v>
      </c>
      <c r="C85" s="180">
        <f t="shared" si="11"/>
        <v>55.605000000000004</v>
      </c>
      <c r="D85" s="180">
        <f>+HLOOKUP('Info Gral'!$C$8,'Precip 1981-2010'!$D$5:$AL$373,77,FALSE)</f>
        <v>68.5</v>
      </c>
      <c r="E85" s="185">
        <f t="shared" si="12"/>
        <v>76.057925231939166</v>
      </c>
      <c r="F85" s="185">
        <f t="shared" si="13"/>
        <v>6.1358775695817496</v>
      </c>
      <c r="G85" s="186">
        <f t="shared" si="14"/>
        <v>29.400531920975126</v>
      </c>
      <c r="H85" s="186">
        <f t="shared" si="15"/>
        <v>0</v>
      </c>
      <c r="I85" s="186">
        <f t="shared" si="16"/>
        <v>39.099468079024874</v>
      </c>
      <c r="J85" s="186">
        <f t="shared" si="17"/>
        <v>27.319669690878808</v>
      </c>
      <c r="K85" s="186">
        <f t="shared" si="18"/>
        <v>2.0808622300963187</v>
      </c>
      <c r="L85" s="186">
        <f t="shared" si="19"/>
        <v>9.115579398188375</v>
      </c>
      <c r="M85" s="186">
        <f t="shared" si="20"/>
        <v>24.06013878220417</v>
      </c>
      <c r="N85" s="186">
        <f t="shared" si="21"/>
        <v>26.141001012300489</v>
      </c>
      <c r="O85" s="186">
        <f t="shared" si="22"/>
        <v>0.68750832662350281</v>
      </c>
    </row>
    <row r="86" spans="1:15">
      <c r="A86" s="41">
        <v>1986</v>
      </c>
      <c r="B86" s="41">
        <v>9</v>
      </c>
      <c r="C86" s="180">
        <f t="shared" si="11"/>
        <v>78.858000000000004</v>
      </c>
      <c r="D86" s="180">
        <f>+HLOOKUP('Info Gral'!$C$8,'Precip 1981-2010'!$D$5:$AL$373,78,FALSE)</f>
        <v>113.4</v>
      </c>
      <c r="E86" s="185">
        <f t="shared" si="12"/>
        <v>99.310925231939166</v>
      </c>
      <c r="F86" s="185">
        <f t="shared" si="13"/>
        <v>6.1358775695817496</v>
      </c>
      <c r="G86" s="186">
        <f t="shared" si="14"/>
        <v>57.401913784826867</v>
      </c>
      <c r="H86" s="186">
        <f t="shared" si="15"/>
        <v>0</v>
      </c>
      <c r="I86" s="186">
        <f t="shared" si="16"/>
        <v>55.998086215173139</v>
      </c>
      <c r="J86" s="186">
        <f t="shared" si="17"/>
        <v>49.970778276107168</v>
      </c>
      <c r="K86" s="186">
        <f t="shared" si="18"/>
        <v>7.4311355087196986</v>
      </c>
      <c r="L86" s="186">
        <f t="shared" si="19"/>
        <v>16.517387227312607</v>
      </c>
      <c r="M86" s="186">
        <f t="shared" si="20"/>
        <v>42.568970446982938</v>
      </c>
      <c r="N86" s="186">
        <f t="shared" si="21"/>
        <v>50.000105955702637</v>
      </c>
      <c r="O86" s="186">
        <f t="shared" si="22"/>
        <v>1.3150027866349794</v>
      </c>
    </row>
    <row r="87" spans="1:15">
      <c r="A87" s="41">
        <v>1986</v>
      </c>
      <c r="B87" s="41">
        <v>10</v>
      </c>
      <c r="C87" s="180">
        <f t="shared" si="11"/>
        <v>113.232</v>
      </c>
      <c r="D87" s="180">
        <f>+HLOOKUP('Info Gral'!$C$8,'Precip 1981-2010'!$D$5:$AL$373,79,FALSE)</f>
        <v>147.9</v>
      </c>
      <c r="E87" s="185">
        <f t="shared" si="12"/>
        <v>133.68492523193916</v>
      </c>
      <c r="F87" s="185">
        <f t="shared" si="13"/>
        <v>6.1358775695817496</v>
      </c>
      <c r="G87" s="186">
        <f t="shared" si="14"/>
        <v>74.623407394236906</v>
      </c>
      <c r="H87" s="186">
        <f t="shared" si="15"/>
        <v>0</v>
      </c>
      <c r="I87" s="186">
        <f t="shared" si="16"/>
        <v>73.276592605763099</v>
      </c>
      <c r="J87" s="186">
        <f t="shared" si="17"/>
        <v>62.53402408949276</v>
      </c>
      <c r="K87" s="186">
        <f t="shared" si="18"/>
        <v>12.089383304744146</v>
      </c>
      <c r="L87" s="186">
        <f t="shared" si="19"/>
        <v>21.169731725966919</v>
      </c>
      <c r="M87" s="186">
        <f t="shared" si="20"/>
        <v>57.881679590838445</v>
      </c>
      <c r="N87" s="186">
        <f t="shared" si="21"/>
        <v>69.971062895582591</v>
      </c>
      <c r="O87" s="186">
        <f t="shared" si="22"/>
        <v>1.8402389541538222</v>
      </c>
    </row>
    <row r="88" spans="1:15">
      <c r="A88" s="41">
        <v>1986</v>
      </c>
      <c r="B88" s="41">
        <v>11</v>
      </c>
      <c r="C88" s="180">
        <f t="shared" si="11"/>
        <v>148.61699999999999</v>
      </c>
      <c r="D88" s="180">
        <f>+HLOOKUP('Info Gral'!$C$8,'Precip 1981-2010'!$D$5:$AL$373,80,FALSE)</f>
        <v>312.39999999999998</v>
      </c>
      <c r="E88" s="185">
        <f t="shared" si="12"/>
        <v>169.06992523193915</v>
      </c>
      <c r="F88" s="185">
        <f t="shared" si="13"/>
        <v>6.1358775695817496</v>
      </c>
      <c r="G88" s="186">
        <f t="shared" si="14"/>
        <v>199.91065325239308</v>
      </c>
      <c r="H88" s="186">
        <f t="shared" si="15"/>
        <v>0</v>
      </c>
      <c r="I88" s="186">
        <f t="shared" si="16"/>
        <v>112.4893467476069</v>
      </c>
      <c r="J88" s="186">
        <f t="shared" si="17"/>
        <v>131.70184178607704</v>
      </c>
      <c r="K88" s="186">
        <f t="shared" si="18"/>
        <v>68.208811466316035</v>
      </c>
      <c r="L88" s="186">
        <f t="shared" si="19"/>
        <v>43.253668819549084</v>
      </c>
      <c r="M88" s="186">
        <f t="shared" si="20"/>
        <v>109.61790469249488</v>
      </c>
      <c r="N88" s="186">
        <f t="shared" si="21"/>
        <v>177.82671615881091</v>
      </c>
      <c r="O88" s="186">
        <f t="shared" si="22"/>
        <v>4.6768426349767269</v>
      </c>
    </row>
    <row r="89" spans="1:15">
      <c r="A89" s="41">
        <v>1986</v>
      </c>
      <c r="B89" s="41">
        <v>12</v>
      </c>
      <c r="C89" s="180">
        <f t="shared" si="11"/>
        <v>179.958</v>
      </c>
      <c r="D89" s="180">
        <f>+HLOOKUP('Info Gral'!$C$8,'Precip 1981-2010'!$D$5:$AL$373,81,FALSE)</f>
        <v>34.799999999999997</v>
      </c>
      <c r="E89" s="185">
        <f t="shared" si="12"/>
        <v>200.41092523193916</v>
      </c>
      <c r="F89" s="185">
        <f t="shared" si="13"/>
        <v>6.1358775695817496</v>
      </c>
      <c r="G89" s="186">
        <f t="shared" si="14"/>
        <v>3.6854533654363482</v>
      </c>
      <c r="H89" s="186">
        <f t="shared" si="15"/>
        <v>0</v>
      </c>
      <c r="I89" s="186">
        <f t="shared" si="16"/>
        <v>31.114546634563649</v>
      </c>
      <c r="J89" s="186">
        <f t="shared" si="17"/>
        <v>3.6505981600610817</v>
      </c>
      <c r="K89" s="186">
        <f t="shared" si="18"/>
        <v>3.4855205375266429E-2</v>
      </c>
      <c r="L89" s="186">
        <f t="shared" si="19"/>
        <v>5.3710473232881366</v>
      </c>
      <c r="M89" s="186">
        <f t="shared" si="20"/>
        <v>41.533219656322025</v>
      </c>
      <c r="N89" s="186">
        <f t="shared" si="21"/>
        <v>41.568074861697291</v>
      </c>
      <c r="O89" s="186">
        <f t="shared" si="22"/>
        <v>1.0932403688626386</v>
      </c>
    </row>
    <row r="90" spans="1:15">
      <c r="A90" s="41">
        <v>1987</v>
      </c>
      <c r="B90" s="41">
        <v>1</v>
      </c>
      <c r="C90" s="180">
        <f t="shared" si="11"/>
        <v>190.06799999999998</v>
      </c>
      <c r="D90" s="180">
        <f>+HLOOKUP('Info Gral'!$C$8,'Precip 1981-2010'!$D$5:$AL$373,82,FALSE)</f>
        <v>149.19999999999999</v>
      </c>
      <c r="E90" s="185">
        <f t="shared" si="12"/>
        <v>210.52092523193915</v>
      </c>
      <c r="F90" s="185">
        <f t="shared" si="13"/>
        <v>6.1358775695817496</v>
      </c>
      <c r="G90" s="186">
        <f t="shared" si="14"/>
        <v>58.907445717370756</v>
      </c>
      <c r="H90" s="186">
        <f t="shared" si="15"/>
        <v>0</v>
      </c>
      <c r="I90" s="186">
        <f t="shared" si="16"/>
        <v>90.292554282629226</v>
      </c>
      <c r="J90" s="186">
        <f t="shared" si="17"/>
        <v>51.107874830554515</v>
      </c>
      <c r="K90" s="186">
        <f t="shared" si="18"/>
        <v>7.799570886816241</v>
      </c>
      <c r="L90" s="186">
        <f t="shared" si="19"/>
        <v>16.506807993698676</v>
      </c>
      <c r="M90" s="186">
        <f t="shared" si="20"/>
        <v>39.972114160143974</v>
      </c>
      <c r="N90" s="186">
        <f t="shared" si="21"/>
        <v>47.771685046960215</v>
      </c>
      <c r="O90" s="186">
        <f t="shared" si="22"/>
        <v>1.2563953167350537</v>
      </c>
    </row>
    <row r="91" spans="1:15">
      <c r="A91" s="41">
        <v>1987</v>
      </c>
      <c r="B91" s="41">
        <v>2</v>
      </c>
      <c r="C91" s="180">
        <f t="shared" si="11"/>
        <v>146.595</v>
      </c>
      <c r="D91" s="180">
        <f>+HLOOKUP('Info Gral'!$C$8,'Precip 1981-2010'!$D$5:$AL$373,83,FALSE)</f>
        <v>68.8</v>
      </c>
      <c r="E91" s="185">
        <f t="shared" si="12"/>
        <v>167.04792523193916</v>
      </c>
      <c r="F91" s="185">
        <f t="shared" si="13"/>
        <v>6.1358775695817496</v>
      </c>
      <c r="G91" s="186">
        <f t="shared" si="14"/>
        <v>17.563554462646788</v>
      </c>
      <c r="H91" s="186">
        <f t="shared" si="15"/>
        <v>0</v>
      </c>
      <c r="I91" s="186">
        <f t="shared" si="16"/>
        <v>51.236445537353205</v>
      </c>
      <c r="J91" s="186">
        <f t="shared" si="17"/>
        <v>16.799168179616089</v>
      </c>
      <c r="K91" s="186">
        <f t="shared" si="18"/>
        <v>0.76438628303069933</v>
      </c>
      <c r="L91" s="186">
        <f t="shared" si="19"/>
        <v>6.8672502863679012</v>
      </c>
      <c r="M91" s="186">
        <f t="shared" si="20"/>
        <v>26.438725886946862</v>
      </c>
      <c r="N91" s="186">
        <f t="shared" si="21"/>
        <v>27.203112169977562</v>
      </c>
      <c r="O91" s="186">
        <f t="shared" si="22"/>
        <v>0.71544185007040983</v>
      </c>
    </row>
    <row r="92" spans="1:15">
      <c r="A92" s="41">
        <v>1987</v>
      </c>
      <c r="B92" s="41">
        <v>3</v>
      </c>
      <c r="C92" s="180">
        <f t="shared" si="11"/>
        <v>120.30899999999998</v>
      </c>
      <c r="D92" s="180">
        <f>+HLOOKUP('Info Gral'!$C$8,'Precip 1981-2010'!$D$5:$AL$373,84,FALSE)</f>
        <v>358.6</v>
      </c>
      <c r="E92" s="185">
        <f t="shared" si="12"/>
        <v>140.76192523193916</v>
      </c>
      <c r="F92" s="185">
        <f t="shared" si="13"/>
        <v>6.1358775695817496</v>
      </c>
      <c r="G92" s="186">
        <f t="shared" si="14"/>
        <v>255.04714574096766</v>
      </c>
      <c r="H92" s="186">
        <f t="shared" si="15"/>
        <v>0</v>
      </c>
      <c r="I92" s="186">
        <f t="shared" si="16"/>
        <v>103.55285425903236</v>
      </c>
      <c r="J92" s="186">
        <f t="shared" si="17"/>
        <v>153.57403727649412</v>
      </c>
      <c r="K92" s="186">
        <f t="shared" si="18"/>
        <v>101.47310846447354</v>
      </c>
      <c r="L92" s="186">
        <f t="shared" si="19"/>
        <v>48.694633789260976</v>
      </c>
      <c r="M92" s="186">
        <f t="shared" si="20"/>
        <v>111.74665377360105</v>
      </c>
      <c r="N92" s="186">
        <f t="shared" si="21"/>
        <v>213.21976223807459</v>
      </c>
      <c r="O92" s="186">
        <f t="shared" si="22"/>
        <v>5.6076797468613622</v>
      </c>
    </row>
    <row r="93" spans="1:15">
      <c r="A93" s="41">
        <v>1987</v>
      </c>
      <c r="B93" s="41">
        <v>4</v>
      </c>
      <c r="C93" s="180">
        <f t="shared" si="11"/>
        <v>73.802999999999997</v>
      </c>
      <c r="D93" s="180">
        <f>+HLOOKUP('Info Gral'!$C$8,'Precip 1981-2010'!$D$5:$AL$373,85,FALSE)</f>
        <v>193.2</v>
      </c>
      <c r="E93" s="185">
        <f t="shared" si="12"/>
        <v>94.255925231939159</v>
      </c>
      <c r="F93" s="185">
        <f t="shared" si="13"/>
        <v>6.1358775695817496</v>
      </c>
      <c r="G93" s="186">
        <f t="shared" si="14"/>
        <v>127.16205982656984</v>
      </c>
      <c r="H93" s="186">
        <f t="shared" si="15"/>
        <v>0</v>
      </c>
      <c r="I93" s="186">
        <f t="shared" si="16"/>
        <v>66.037940173430144</v>
      </c>
      <c r="J93" s="186">
        <f t="shared" si="17"/>
        <v>95.651177153752883</v>
      </c>
      <c r="K93" s="186">
        <f t="shared" si="18"/>
        <v>31.510882672816962</v>
      </c>
      <c r="L93" s="186">
        <f t="shared" si="19"/>
        <v>34.671981542125486</v>
      </c>
      <c r="M93" s="186">
        <f t="shared" si="20"/>
        <v>109.67382940088837</v>
      </c>
      <c r="N93" s="186">
        <f t="shared" si="21"/>
        <v>141.18471207370533</v>
      </c>
      <c r="O93" s="186">
        <f t="shared" si="22"/>
        <v>3.7131579275384499</v>
      </c>
    </row>
    <row r="94" spans="1:15">
      <c r="A94" s="41">
        <v>1987</v>
      </c>
      <c r="B94" s="41">
        <v>5</v>
      </c>
      <c r="C94" s="180">
        <f t="shared" ref="C94:C157" si="23">+C82</f>
        <v>44.483999999999995</v>
      </c>
      <c r="D94" s="180">
        <f>+HLOOKUP('Info Gral'!$C$8,'Precip 1981-2010'!$D$5:$AL$373,86,FALSE)</f>
        <v>69.8</v>
      </c>
      <c r="E94" s="185">
        <f t="shared" si="12"/>
        <v>64.936925231939156</v>
      </c>
      <c r="F94" s="185">
        <f t="shared" si="13"/>
        <v>6.1358775695817496</v>
      </c>
      <c r="G94" s="186">
        <f t="shared" si="14"/>
        <v>33.09610791186401</v>
      </c>
      <c r="H94" s="186">
        <f t="shared" si="15"/>
        <v>0</v>
      </c>
      <c r="I94" s="186">
        <f t="shared" si="16"/>
        <v>36.703892088135987</v>
      </c>
      <c r="J94" s="186">
        <f t="shared" si="17"/>
        <v>30.482501299358557</v>
      </c>
      <c r="K94" s="186">
        <f t="shared" si="18"/>
        <v>2.6136066125054533</v>
      </c>
      <c r="L94" s="186">
        <f t="shared" si="19"/>
        <v>12.922328913208274</v>
      </c>
      <c r="M94" s="186">
        <f t="shared" si="20"/>
        <v>52.232153928275764</v>
      </c>
      <c r="N94" s="186">
        <f t="shared" si="21"/>
        <v>54.845760540781214</v>
      </c>
      <c r="O94" s="186">
        <f t="shared" si="22"/>
        <v>1.4424435022225457</v>
      </c>
    </row>
    <row r="95" spans="1:15">
      <c r="A95" s="41">
        <v>1987</v>
      </c>
      <c r="B95" s="41">
        <v>6</v>
      </c>
      <c r="C95" s="180">
        <f t="shared" si="23"/>
        <v>29.318999999999996</v>
      </c>
      <c r="D95" s="180">
        <f>+HLOOKUP('Info Gral'!$C$8,'Precip 1981-2010'!$D$5:$AL$373,87,FALSE)</f>
        <v>54.3</v>
      </c>
      <c r="E95" s="185">
        <f t="shared" si="12"/>
        <v>49.771925231939164</v>
      </c>
      <c r="F95" s="185">
        <f t="shared" si="13"/>
        <v>6.1358775695817496</v>
      </c>
      <c r="G95" s="186">
        <f t="shared" si="14"/>
        <v>25.269917116143517</v>
      </c>
      <c r="H95" s="186">
        <f t="shared" si="15"/>
        <v>0</v>
      </c>
      <c r="I95" s="186">
        <f t="shared" si="16"/>
        <v>29.03008288385648</v>
      </c>
      <c r="J95" s="186">
        <f t="shared" si="17"/>
        <v>23.717241648084837</v>
      </c>
      <c r="K95" s="186">
        <f t="shared" si="18"/>
        <v>1.5526754680586805</v>
      </c>
      <c r="L95" s="186">
        <f t="shared" si="19"/>
        <v>8.6800529779735047</v>
      </c>
      <c r="M95" s="186">
        <f t="shared" si="20"/>
        <v>27.959517583319606</v>
      </c>
      <c r="N95" s="186">
        <f t="shared" si="21"/>
        <v>29.512193051378286</v>
      </c>
      <c r="O95" s="186">
        <f t="shared" si="22"/>
        <v>0.776170677251249</v>
      </c>
    </row>
    <row r="96" spans="1:15">
      <c r="A96" s="41">
        <v>1987</v>
      </c>
      <c r="B96" s="41">
        <v>7</v>
      </c>
      <c r="C96" s="180">
        <f t="shared" si="23"/>
        <v>35.384999999999998</v>
      </c>
      <c r="D96" s="180">
        <f>+HLOOKUP('Info Gral'!$C$8,'Precip 1981-2010'!$D$5:$AL$373,88,FALSE)</f>
        <v>155.30000000000001</v>
      </c>
      <c r="E96" s="185">
        <f t="shared" si="12"/>
        <v>55.837925231939167</v>
      </c>
      <c r="F96" s="185">
        <f t="shared" si="13"/>
        <v>6.1358775695817496</v>
      </c>
      <c r="G96" s="186">
        <f t="shared" si="14"/>
        <v>111.88396402493549</v>
      </c>
      <c r="H96" s="186">
        <f t="shared" si="15"/>
        <v>8.0310359750645191</v>
      </c>
      <c r="I96" s="186">
        <f t="shared" si="16"/>
        <v>35.384999999999998</v>
      </c>
      <c r="J96" s="186">
        <f t="shared" si="17"/>
        <v>86.741516566422604</v>
      </c>
      <c r="K96" s="186">
        <f t="shared" si="18"/>
        <v>25.142447458512891</v>
      </c>
      <c r="L96" s="186">
        <f t="shared" si="19"/>
        <v>27.973136465291194</v>
      </c>
      <c r="M96" s="186">
        <f t="shared" si="20"/>
        <v>67.448433079104916</v>
      </c>
      <c r="N96" s="186">
        <f t="shared" si="21"/>
        <v>92.590880537617807</v>
      </c>
      <c r="O96" s="186">
        <f t="shared" si="22"/>
        <v>2.4351401581393484</v>
      </c>
    </row>
    <row r="97" spans="1:15">
      <c r="A97" s="41">
        <v>1987</v>
      </c>
      <c r="B97" s="41">
        <v>8</v>
      </c>
      <c r="C97" s="180">
        <f t="shared" si="23"/>
        <v>55.605000000000004</v>
      </c>
      <c r="D97" s="180">
        <f>+HLOOKUP('Info Gral'!$C$8,'Precip 1981-2010'!$D$5:$AL$373,89,FALSE)</f>
        <v>91.4</v>
      </c>
      <c r="E97" s="185">
        <f t="shared" si="12"/>
        <v>68.026889256874654</v>
      </c>
      <c r="F97" s="185">
        <f t="shared" si="13"/>
        <v>3.7265667770623936</v>
      </c>
      <c r="G97" s="186">
        <f t="shared" si="14"/>
        <v>50.578672992272551</v>
      </c>
      <c r="H97" s="186">
        <f t="shared" si="15"/>
        <v>0</v>
      </c>
      <c r="I97" s="186">
        <f t="shared" si="16"/>
        <v>48.852362982791981</v>
      </c>
      <c r="J97" s="186">
        <f t="shared" si="17"/>
        <v>44.719013966499389</v>
      </c>
      <c r="K97" s="186">
        <f t="shared" si="18"/>
        <v>5.859659025773162</v>
      </c>
      <c r="L97" s="186">
        <f t="shared" si="19"/>
        <v>16.719099315678726</v>
      </c>
      <c r="M97" s="186">
        <f t="shared" si="20"/>
        <v>55.973051116111861</v>
      </c>
      <c r="N97" s="186">
        <f t="shared" si="21"/>
        <v>61.832710141885023</v>
      </c>
      <c r="O97" s="186">
        <f t="shared" si="22"/>
        <v>1.626200276731576</v>
      </c>
    </row>
    <row r="98" spans="1:15">
      <c r="A98" s="41">
        <v>1987</v>
      </c>
      <c r="B98" s="41">
        <v>9</v>
      </c>
      <c r="C98" s="180">
        <f t="shared" si="23"/>
        <v>78.858000000000004</v>
      </c>
      <c r="D98" s="180">
        <f>+HLOOKUP('Info Gral'!$C$8,'Precip 1981-2010'!$D$5:$AL$373,90,FALSE)</f>
        <v>196.4</v>
      </c>
      <c r="E98" s="185">
        <f t="shared" si="12"/>
        <v>99.310925231939166</v>
      </c>
      <c r="F98" s="185">
        <f t="shared" si="13"/>
        <v>6.1358775695817496</v>
      </c>
      <c r="G98" s="186">
        <f t="shared" si="14"/>
        <v>127.7185375344135</v>
      </c>
      <c r="H98" s="186">
        <f t="shared" si="15"/>
        <v>0</v>
      </c>
      <c r="I98" s="186">
        <f t="shared" si="16"/>
        <v>68.681462465586506</v>
      </c>
      <c r="J98" s="186">
        <f t="shared" si="17"/>
        <v>95.965693052260349</v>
      </c>
      <c r="K98" s="186">
        <f t="shared" si="18"/>
        <v>31.752844482153151</v>
      </c>
      <c r="L98" s="186">
        <f t="shared" si="19"/>
        <v>31.643653860653394</v>
      </c>
      <c r="M98" s="186">
        <f t="shared" si="20"/>
        <v>81.04113850728568</v>
      </c>
      <c r="N98" s="186">
        <f t="shared" si="21"/>
        <v>112.79398298943883</v>
      </c>
      <c r="O98" s="186">
        <f t="shared" si="22"/>
        <v>2.9664817526222409</v>
      </c>
    </row>
    <row r="99" spans="1:15">
      <c r="A99" s="41">
        <v>1987</v>
      </c>
      <c r="B99" s="41">
        <v>10</v>
      </c>
      <c r="C99" s="180">
        <f t="shared" si="23"/>
        <v>113.232</v>
      </c>
      <c r="D99" s="180">
        <f>+HLOOKUP('Info Gral'!$C$8,'Precip 1981-2010'!$D$5:$AL$373,91,FALSE)</f>
        <v>50.9</v>
      </c>
      <c r="E99" s="185">
        <f t="shared" si="12"/>
        <v>133.68492523193916</v>
      </c>
      <c r="F99" s="185">
        <f t="shared" si="13"/>
        <v>6.1358775695817496</v>
      </c>
      <c r="G99" s="186">
        <f t="shared" si="14"/>
        <v>11.628981440516634</v>
      </c>
      <c r="H99" s="186">
        <f t="shared" si="15"/>
        <v>0</v>
      </c>
      <c r="I99" s="186">
        <f t="shared" si="16"/>
        <v>39.271018559483366</v>
      </c>
      <c r="J99" s="186">
        <f t="shared" si="17"/>
        <v>11.288882464697613</v>
      </c>
      <c r="K99" s="186">
        <f t="shared" si="18"/>
        <v>0.34009897581902138</v>
      </c>
      <c r="L99" s="186">
        <f t="shared" si="19"/>
        <v>6.6242978854078096</v>
      </c>
      <c r="M99" s="186">
        <f t="shared" si="20"/>
        <v>36.308238439943196</v>
      </c>
      <c r="N99" s="186">
        <f t="shared" si="21"/>
        <v>36.648337415762214</v>
      </c>
      <c r="O99" s="186">
        <f t="shared" si="22"/>
        <v>0.96385127403454618</v>
      </c>
    </row>
    <row r="100" spans="1:15">
      <c r="A100" s="41">
        <v>1987</v>
      </c>
      <c r="B100" s="41">
        <v>11</v>
      </c>
      <c r="C100" s="180">
        <f t="shared" si="23"/>
        <v>148.61699999999999</v>
      </c>
      <c r="D100" s="180">
        <f>+HLOOKUP('Info Gral'!$C$8,'Precip 1981-2010'!$D$5:$AL$373,92,FALSE)</f>
        <v>97.7</v>
      </c>
      <c r="E100" s="185">
        <f t="shared" si="12"/>
        <v>169.06992523193915</v>
      </c>
      <c r="F100" s="185">
        <f t="shared" si="13"/>
        <v>6.1358775695817496</v>
      </c>
      <c r="G100" s="186">
        <f t="shared" si="14"/>
        <v>32.943217286773788</v>
      </c>
      <c r="H100" s="186">
        <f t="shared" si="15"/>
        <v>0</v>
      </c>
      <c r="I100" s="186">
        <f t="shared" si="16"/>
        <v>64.756782713226215</v>
      </c>
      <c r="J100" s="186">
        <f t="shared" si="17"/>
        <v>30.352757481189403</v>
      </c>
      <c r="K100" s="186">
        <f t="shared" si="18"/>
        <v>2.5904598055843842</v>
      </c>
      <c r="L100" s="186">
        <f t="shared" si="19"/>
        <v>10.139158468778867</v>
      </c>
      <c r="M100" s="186">
        <f t="shared" si="20"/>
        <v>26.837896897818347</v>
      </c>
      <c r="N100" s="186">
        <f t="shared" si="21"/>
        <v>29.428356703402731</v>
      </c>
      <c r="O100" s="186">
        <f t="shared" si="22"/>
        <v>0.77396578129949178</v>
      </c>
    </row>
    <row r="101" spans="1:15">
      <c r="A101" s="41">
        <v>1987</v>
      </c>
      <c r="B101" s="41">
        <v>12</v>
      </c>
      <c r="C101" s="180">
        <f t="shared" si="23"/>
        <v>179.958</v>
      </c>
      <c r="D101" s="180">
        <f>+HLOOKUP('Info Gral'!$C$8,'Precip 1981-2010'!$D$5:$AL$373,93,FALSE)</f>
        <v>74.900000000000006</v>
      </c>
      <c r="E101" s="185">
        <f t="shared" si="12"/>
        <v>200.41092523193916</v>
      </c>
      <c r="F101" s="185">
        <f t="shared" si="13"/>
        <v>6.1358775695817496</v>
      </c>
      <c r="G101" s="186">
        <f t="shared" si="14"/>
        <v>17.976427358548065</v>
      </c>
      <c r="H101" s="186">
        <f t="shared" si="15"/>
        <v>0</v>
      </c>
      <c r="I101" s="186">
        <f t="shared" si="16"/>
        <v>56.923572641451941</v>
      </c>
      <c r="J101" s="186">
        <f t="shared" si="17"/>
        <v>17.176499643235253</v>
      </c>
      <c r="K101" s="186">
        <f t="shared" si="18"/>
        <v>0.79992771531281193</v>
      </c>
      <c r="L101" s="186">
        <f t="shared" si="19"/>
        <v>6.3625924336102457</v>
      </c>
      <c r="M101" s="186">
        <f t="shared" si="20"/>
        <v>20.953065678403874</v>
      </c>
      <c r="N101" s="186">
        <f t="shared" si="21"/>
        <v>21.752993393716686</v>
      </c>
      <c r="O101" s="186">
        <f t="shared" si="22"/>
        <v>0.57210372625474881</v>
      </c>
    </row>
    <row r="102" spans="1:15">
      <c r="A102" s="41">
        <v>1988</v>
      </c>
      <c r="B102" s="41">
        <v>1</v>
      </c>
      <c r="C102" s="180">
        <f t="shared" si="23"/>
        <v>190.06799999999998</v>
      </c>
      <c r="D102" s="180">
        <f>+HLOOKUP('Info Gral'!$C$8,'Precip 1981-2010'!$D$5:$AL$373,94,FALSE)</f>
        <v>381.9</v>
      </c>
      <c r="E102" s="185">
        <f t="shared" si="12"/>
        <v>210.52092523193915</v>
      </c>
      <c r="F102" s="185">
        <f t="shared" si="13"/>
        <v>6.1358775695817496</v>
      </c>
      <c r="G102" s="186">
        <f t="shared" si="14"/>
        <v>243.38339686553766</v>
      </c>
      <c r="H102" s="186">
        <f t="shared" si="15"/>
        <v>0</v>
      </c>
      <c r="I102" s="186">
        <f t="shared" si="16"/>
        <v>138.51660313446231</v>
      </c>
      <c r="J102" s="186">
        <f t="shared" si="17"/>
        <v>149.26671351352519</v>
      </c>
      <c r="K102" s="186">
        <f t="shared" si="18"/>
        <v>94.116683352012473</v>
      </c>
      <c r="L102" s="186">
        <f t="shared" si="19"/>
        <v>47.29837163013238</v>
      </c>
      <c r="M102" s="186">
        <f t="shared" si="20"/>
        <v>108.33093431700306</v>
      </c>
      <c r="N102" s="186">
        <f t="shared" si="21"/>
        <v>202.44761766901553</v>
      </c>
      <c r="O102" s="186">
        <f t="shared" si="22"/>
        <v>5.3243723446951083</v>
      </c>
    </row>
    <row r="103" spans="1:15">
      <c r="A103" s="41">
        <v>1988</v>
      </c>
      <c r="B103" s="41">
        <v>2</v>
      </c>
      <c r="C103" s="180">
        <f t="shared" si="23"/>
        <v>146.595</v>
      </c>
      <c r="D103" s="180">
        <f>+HLOOKUP('Info Gral'!$C$8,'Precip 1981-2010'!$D$5:$AL$373,95,FALSE)</f>
        <v>78.3</v>
      </c>
      <c r="E103" s="185">
        <f t="shared" si="12"/>
        <v>167.04792523193916</v>
      </c>
      <c r="F103" s="185">
        <f t="shared" si="13"/>
        <v>6.1358775695817496</v>
      </c>
      <c r="G103" s="186">
        <f t="shared" si="14"/>
        <v>22.343170321013478</v>
      </c>
      <c r="H103" s="186">
        <f t="shared" si="15"/>
        <v>0</v>
      </c>
      <c r="I103" s="186">
        <f t="shared" si="16"/>
        <v>55.956829678986523</v>
      </c>
      <c r="J103" s="186">
        <f t="shared" si="17"/>
        <v>21.120626891178802</v>
      </c>
      <c r="K103" s="186">
        <f t="shared" si="18"/>
        <v>1.2225434298346762</v>
      </c>
      <c r="L103" s="186">
        <f t="shared" si="19"/>
        <v>11.229490449792788</v>
      </c>
      <c r="M103" s="186">
        <f t="shared" si="20"/>
        <v>57.189508071518389</v>
      </c>
      <c r="N103" s="186">
        <f t="shared" si="21"/>
        <v>58.412051501353062</v>
      </c>
      <c r="O103" s="186">
        <f t="shared" si="22"/>
        <v>1.5362369544855854</v>
      </c>
    </row>
    <row r="104" spans="1:15">
      <c r="A104" s="41">
        <v>1988</v>
      </c>
      <c r="B104" s="41">
        <v>3</v>
      </c>
      <c r="C104" s="180">
        <f t="shared" si="23"/>
        <v>120.30899999999998</v>
      </c>
      <c r="D104" s="180">
        <f>+HLOOKUP('Info Gral'!$C$8,'Precip 1981-2010'!$D$5:$AL$373,96,FALSE)</f>
        <v>51.8</v>
      </c>
      <c r="E104" s="185">
        <f t="shared" si="12"/>
        <v>140.76192523193916</v>
      </c>
      <c r="F104" s="185">
        <f t="shared" si="13"/>
        <v>6.1358775695817496</v>
      </c>
      <c r="G104" s="186">
        <f t="shared" si="14"/>
        <v>11.565866715124823</v>
      </c>
      <c r="H104" s="186">
        <f t="shared" si="15"/>
        <v>0</v>
      </c>
      <c r="I104" s="186">
        <f t="shared" si="16"/>
        <v>40.23413328487517</v>
      </c>
      <c r="J104" s="186">
        <f t="shared" si="17"/>
        <v>11.229395996505803</v>
      </c>
      <c r="K104" s="186">
        <f t="shared" si="18"/>
        <v>0.33647071861902056</v>
      </c>
      <c r="L104" s="186">
        <f t="shared" si="19"/>
        <v>4.6095290561764299</v>
      </c>
      <c r="M104" s="186">
        <f t="shared" si="20"/>
        <v>17.849357390122162</v>
      </c>
      <c r="N104" s="186">
        <f t="shared" si="21"/>
        <v>18.185828108741184</v>
      </c>
      <c r="O104" s="186">
        <f t="shared" si="22"/>
        <v>0.47828727925989312</v>
      </c>
    </row>
    <row r="105" spans="1:15">
      <c r="A105" s="41">
        <v>1988</v>
      </c>
      <c r="B105" s="41">
        <v>4</v>
      </c>
      <c r="C105" s="180">
        <f t="shared" si="23"/>
        <v>73.802999999999997</v>
      </c>
      <c r="D105" s="180">
        <f>+HLOOKUP('Info Gral'!$C$8,'Precip 1981-2010'!$D$5:$AL$373,97,FALSE)</f>
        <v>36.200000000000003</v>
      </c>
      <c r="E105" s="185">
        <f t="shared" si="12"/>
        <v>94.255925231939159</v>
      </c>
      <c r="F105" s="185">
        <f t="shared" si="13"/>
        <v>6.1358775695817496</v>
      </c>
      <c r="G105" s="186">
        <f t="shared" si="14"/>
        <v>7.6478216735933948</v>
      </c>
      <c r="H105" s="186">
        <f t="shared" si="15"/>
        <v>0</v>
      </c>
      <c r="I105" s="186">
        <f t="shared" si="16"/>
        <v>28.552178326406608</v>
      </c>
      <c r="J105" s="186">
        <f t="shared" si="17"/>
        <v>7.4992391764201143</v>
      </c>
      <c r="K105" s="186">
        <f t="shared" si="18"/>
        <v>0.14858249717328054</v>
      </c>
      <c r="L105" s="186">
        <f t="shared" si="19"/>
        <v>2.7957735463551994</v>
      </c>
      <c r="M105" s="186">
        <f t="shared" si="20"/>
        <v>9.3129946862413444</v>
      </c>
      <c r="N105" s="186">
        <f t="shared" si="21"/>
        <v>9.4615771834146258</v>
      </c>
      <c r="O105" s="186">
        <f t="shared" si="22"/>
        <v>0.24883947992380465</v>
      </c>
    </row>
    <row r="106" spans="1:15">
      <c r="A106" s="41">
        <v>1988</v>
      </c>
      <c r="B106" s="41">
        <v>5</v>
      </c>
      <c r="C106" s="180">
        <f t="shared" si="23"/>
        <v>44.483999999999995</v>
      </c>
      <c r="D106" s="180">
        <f>+HLOOKUP('Info Gral'!$C$8,'Precip 1981-2010'!$D$5:$AL$373,98,FALSE)</f>
        <v>9.6999999999999993</v>
      </c>
      <c r="E106" s="185">
        <f t="shared" si="12"/>
        <v>64.936925231939156</v>
      </c>
      <c r="F106" s="185">
        <f t="shared" si="13"/>
        <v>6.1358775695817496</v>
      </c>
      <c r="G106" s="186">
        <f t="shared" si="14"/>
        <v>0.20368690857594557</v>
      </c>
      <c r="H106" s="186">
        <f t="shared" si="15"/>
        <v>0</v>
      </c>
      <c r="I106" s="186">
        <f t="shared" si="16"/>
        <v>9.496313091424053</v>
      </c>
      <c r="J106" s="186">
        <f t="shared" si="17"/>
        <v>0.20357948247378344</v>
      </c>
      <c r="K106" s="186">
        <f t="shared" si="18"/>
        <v>1.0742610216213366E-4</v>
      </c>
      <c r="L106" s="186">
        <f t="shared" si="19"/>
        <v>0.33704037150025512</v>
      </c>
      <c r="M106" s="186">
        <f t="shared" si="20"/>
        <v>2.6623126573287279</v>
      </c>
      <c r="N106" s="186">
        <f t="shared" si="21"/>
        <v>2.6624200834308902</v>
      </c>
      <c r="O106" s="186">
        <f t="shared" si="22"/>
        <v>7.0021648194232414E-2</v>
      </c>
    </row>
    <row r="107" spans="1:15">
      <c r="A107" s="41">
        <v>1988</v>
      </c>
      <c r="B107" s="41">
        <v>6</v>
      </c>
      <c r="C107" s="180">
        <f t="shared" si="23"/>
        <v>29.318999999999996</v>
      </c>
      <c r="D107" s="180">
        <f>+HLOOKUP('Info Gral'!$C$8,'Precip 1981-2010'!$D$5:$AL$373,99,FALSE)</f>
        <v>68.2</v>
      </c>
      <c r="E107" s="185">
        <f t="shared" si="12"/>
        <v>49.771925231939164</v>
      </c>
      <c r="F107" s="185">
        <f t="shared" si="13"/>
        <v>6.1358775695817496</v>
      </c>
      <c r="G107" s="186">
        <f t="shared" si="14"/>
        <v>36.4422809317808</v>
      </c>
      <c r="H107" s="186">
        <f t="shared" si="15"/>
        <v>2.438719068219207</v>
      </c>
      <c r="I107" s="186">
        <f t="shared" si="16"/>
        <v>29.318999999999996</v>
      </c>
      <c r="J107" s="186">
        <f t="shared" si="17"/>
        <v>33.298561897356549</v>
      </c>
      <c r="K107" s="186">
        <f t="shared" si="18"/>
        <v>3.1437190344242509</v>
      </c>
      <c r="L107" s="186">
        <f t="shared" si="19"/>
        <v>10.445531962479665</v>
      </c>
      <c r="M107" s="186">
        <f t="shared" si="20"/>
        <v>23.190070306377137</v>
      </c>
      <c r="N107" s="186">
        <f t="shared" si="21"/>
        <v>26.333789340801388</v>
      </c>
      <c r="O107" s="186">
        <f t="shared" si="22"/>
        <v>0.69257865966307652</v>
      </c>
    </row>
    <row r="108" spans="1:15">
      <c r="A108" s="41">
        <v>1988</v>
      </c>
      <c r="B108" s="41">
        <v>7</v>
      </c>
      <c r="C108" s="180">
        <f t="shared" si="23"/>
        <v>35.384999999999998</v>
      </c>
      <c r="D108" s="180">
        <f>+HLOOKUP('Info Gral'!$C$8,'Precip 1981-2010'!$D$5:$AL$373,100,FALSE)</f>
        <v>33.9</v>
      </c>
      <c r="E108" s="185">
        <f t="shared" si="12"/>
        <v>53.399206163719953</v>
      </c>
      <c r="F108" s="185">
        <f t="shared" si="13"/>
        <v>5.4042618491159873</v>
      </c>
      <c r="G108" s="186">
        <f t="shared" si="14"/>
        <v>10.615764778018788</v>
      </c>
      <c r="H108" s="186">
        <f t="shared" si="15"/>
        <v>0</v>
      </c>
      <c r="I108" s="186">
        <f t="shared" si="16"/>
        <v>25.72295429020042</v>
      </c>
      <c r="J108" s="186">
        <f t="shared" si="17"/>
        <v>10.331624630727118</v>
      </c>
      <c r="K108" s="186">
        <f t="shared" si="18"/>
        <v>0.28414014729166936</v>
      </c>
      <c r="L108" s="186">
        <f t="shared" si="19"/>
        <v>4.2521346970576968</v>
      </c>
      <c r="M108" s="186">
        <f t="shared" si="20"/>
        <v>16.525021896149084</v>
      </c>
      <c r="N108" s="186">
        <f t="shared" si="21"/>
        <v>16.809162043440754</v>
      </c>
      <c r="O108" s="186">
        <f t="shared" si="22"/>
        <v>0.44208096174249184</v>
      </c>
    </row>
    <row r="109" spans="1:15">
      <c r="A109" s="41">
        <v>1988</v>
      </c>
      <c r="B109" s="41">
        <v>8</v>
      </c>
      <c r="C109" s="180">
        <f t="shared" si="23"/>
        <v>55.605000000000004</v>
      </c>
      <c r="D109" s="180">
        <f>+HLOOKUP('Info Gral'!$C$8,'Precip 1981-2010'!$D$5:$AL$373,101,FALSE)</f>
        <v>65</v>
      </c>
      <c r="E109" s="185">
        <f t="shared" si="12"/>
        <v>76.057925231939166</v>
      </c>
      <c r="F109" s="185">
        <f t="shared" si="13"/>
        <v>6.1358775695817496</v>
      </c>
      <c r="G109" s="186">
        <f t="shared" si="14"/>
        <v>26.904945670852268</v>
      </c>
      <c r="H109" s="186">
        <f t="shared" si="15"/>
        <v>0</v>
      </c>
      <c r="I109" s="186">
        <f t="shared" si="16"/>
        <v>38.095054329147729</v>
      </c>
      <c r="J109" s="186">
        <f t="shared" si="17"/>
        <v>25.151815539714164</v>
      </c>
      <c r="K109" s="186">
        <f t="shared" si="18"/>
        <v>1.7531301311381036</v>
      </c>
      <c r="L109" s="186">
        <f t="shared" si="19"/>
        <v>8.2808477238805249</v>
      </c>
      <c r="M109" s="186">
        <f t="shared" si="20"/>
        <v>21.123102512891336</v>
      </c>
      <c r="N109" s="186">
        <f t="shared" si="21"/>
        <v>22.876232644029439</v>
      </c>
      <c r="O109" s="186">
        <f t="shared" si="22"/>
        <v>0.60164491853797419</v>
      </c>
    </row>
    <row r="110" spans="1:15">
      <c r="A110" s="41">
        <v>1988</v>
      </c>
      <c r="B110" s="41">
        <v>9</v>
      </c>
      <c r="C110" s="180">
        <f t="shared" si="23"/>
        <v>78.858000000000004</v>
      </c>
      <c r="D110" s="180">
        <f>+HLOOKUP('Info Gral'!$C$8,'Precip 1981-2010'!$D$5:$AL$373,102,FALSE)</f>
        <v>162.4</v>
      </c>
      <c r="E110" s="185">
        <f t="shared" si="12"/>
        <v>99.310925231939166</v>
      </c>
      <c r="F110" s="185">
        <f t="shared" si="13"/>
        <v>6.1358775695817496</v>
      </c>
      <c r="G110" s="186">
        <f t="shared" si="14"/>
        <v>97.893510268922924</v>
      </c>
      <c r="H110" s="186">
        <f t="shared" si="15"/>
        <v>0</v>
      </c>
      <c r="I110" s="186">
        <f t="shared" si="16"/>
        <v>64.506489731077082</v>
      </c>
      <c r="J110" s="186">
        <f t="shared" si="17"/>
        <v>78.089278243893474</v>
      </c>
      <c r="K110" s="186">
        <f t="shared" si="18"/>
        <v>19.804232025029449</v>
      </c>
      <c r="L110" s="186">
        <f t="shared" si="19"/>
        <v>25.228516076659282</v>
      </c>
      <c r="M110" s="186">
        <f t="shared" si="20"/>
        <v>61.141609891114719</v>
      </c>
      <c r="N110" s="186">
        <f t="shared" si="21"/>
        <v>80.945841916144161</v>
      </c>
      <c r="O110" s="186">
        <f t="shared" si="22"/>
        <v>2.1288756423945916</v>
      </c>
    </row>
    <row r="111" spans="1:15">
      <c r="A111" s="41">
        <v>1988</v>
      </c>
      <c r="B111" s="41">
        <v>10</v>
      </c>
      <c r="C111" s="180">
        <f t="shared" si="23"/>
        <v>113.232</v>
      </c>
      <c r="D111" s="180">
        <f>+HLOOKUP('Info Gral'!$C$8,'Precip 1981-2010'!$D$5:$AL$373,103,FALSE)</f>
        <v>60.9</v>
      </c>
      <c r="E111" s="185">
        <f t="shared" si="12"/>
        <v>133.68492523193916</v>
      </c>
      <c r="F111" s="185">
        <f t="shared" si="13"/>
        <v>6.1358775695817496</v>
      </c>
      <c r="G111" s="186">
        <f t="shared" si="14"/>
        <v>16.450315158513508</v>
      </c>
      <c r="H111" s="186">
        <f t="shared" si="15"/>
        <v>0</v>
      </c>
      <c r="I111" s="186">
        <f t="shared" si="16"/>
        <v>44.449684841486487</v>
      </c>
      <c r="J111" s="186">
        <f t="shared" si="17"/>
        <v>15.777902046579845</v>
      </c>
      <c r="K111" s="186">
        <f t="shared" si="18"/>
        <v>0.67241311193366293</v>
      </c>
      <c r="L111" s="186">
        <f t="shared" si="19"/>
        <v>7.4007355034249329</v>
      </c>
      <c r="M111" s="186">
        <f t="shared" si="20"/>
        <v>33.605682619814196</v>
      </c>
      <c r="N111" s="186">
        <f t="shared" si="21"/>
        <v>34.278095731747861</v>
      </c>
      <c r="O111" s="186">
        <f t="shared" si="22"/>
        <v>0.90151391774496881</v>
      </c>
    </row>
    <row r="112" spans="1:15">
      <c r="A112" s="41">
        <v>1988</v>
      </c>
      <c r="B112" s="41">
        <v>11</v>
      </c>
      <c r="C112" s="180">
        <f t="shared" si="23"/>
        <v>148.61699999999999</v>
      </c>
      <c r="D112" s="180">
        <f>+HLOOKUP('Info Gral'!$C$8,'Precip 1981-2010'!$D$5:$AL$373,104,FALSE)</f>
        <v>100.9</v>
      </c>
      <c r="E112" s="185">
        <f t="shared" si="12"/>
        <v>169.06992523193915</v>
      </c>
      <c r="F112" s="185">
        <f t="shared" si="13"/>
        <v>6.1358775695817496</v>
      </c>
      <c r="G112" s="186">
        <f t="shared" si="14"/>
        <v>34.847895492522369</v>
      </c>
      <c r="H112" s="186">
        <f t="shared" si="15"/>
        <v>0</v>
      </c>
      <c r="I112" s="186">
        <f t="shared" si="16"/>
        <v>66.052104507477637</v>
      </c>
      <c r="J112" s="186">
        <f t="shared" si="17"/>
        <v>31.962349828009625</v>
      </c>
      <c r="K112" s="186">
        <f t="shared" si="18"/>
        <v>2.885545664512744</v>
      </c>
      <c r="L112" s="186">
        <f t="shared" si="19"/>
        <v>10.718406283862983</v>
      </c>
      <c r="M112" s="186">
        <f t="shared" si="20"/>
        <v>28.644679047571575</v>
      </c>
      <c r="N112" s="186">
        <f t="shared" si="21"/>
        <v>31.530224712084319</v>
      </c>
      <c r="O112" s="186">
        <f t="shared" si="22"/>
        <v>0.82924490992781763</v>
      </c>
    </row>
    <row r="113" spans="1:15">
      <c r="A113" s="41">
        <v>1988</v>
      </c>
      <c r="B113" s="41">
        <v>12</v>
      </c>
      <c r="C113" s="180">
        <f t="shared" si="23"/>
        <v>179.958</v>
      </c>
      <c r="D113" s="180">
        <f>+HLOOKUP('Info Gral'!$C$8,'Precip 1981-2010'!$D$5:$AL$373,105,FALSE)</f>
        <v>79.400000000000006</v>
      </c>
      <c r="E113" s="185">
        <f t="shared" si="12"/>
        <v>200.41092523193916</v>
      </c>
      <c r="F113" s="185">
        <f t="shared" si="13"/>
        <v>6.1358775695817496</v>
      </c>
      <c r="G113" s="186">
        <f t="shared" si="14"/>
        <v>20.062974829584611</v>
      </c>
      <c r="H113" s="186">
        <f t="shared" si="15"/>
        <v>0</v>
      </c>
      <c r="I113" s="186">
        <f t="shared" si="16"/>
        <v>59.337025170415394</v>
      </c>
      <c r="J113" s="186">
        <f t="shared" si="17"/>
        <v>19.07169272812861</v>
      </c>
      <c r="K113" s="186">
        <f t="shared" si="18"/>
        <v>0.99128210145600093</v>
      </c>
      <c r="L113" s="186">
        <f t="shared" si="19"/>
        <v>7.0118666851101059</v>
      </c>
      <c r="M113" s="186">
        <f t="shared" si="20"/>
        <v>22.778232326881486</v>
      </c>
      <c r="N113" s="186">
        <f t="shared" si="21"/>
        <v>23.769514428337487</v>
      </c>
      <c r="O113" s="186">
        <f t="shared" si="22"/>
        <v>0.62513822946527597</v>
      </c>
    </row>
    <row r="114" spans="1:15">
      <c r="A114" s="41">
        <v>1989</v>
      </c>
      <c r="B114" s="41">
        <v>1</v>
      </c>
      <c r="C114" s="180">
        <f t="shared" si="23"/>
        <v>190.06799999999998</v>
      </c>
      <c r="D114" s="180">
        <f>+HLOOKUP('Info Gral'!$C$8,'Precip 1981-2010'!$D$5:$AL$373,106,FALSE)</f>
        <v>53.7</v>
      </c>
      <c r="E114" s="185">
        <f t="shared" si="12"/>
        <v>210.52092523193915</v>
      </c>
      <c r="F114" s="185">
        <f t="shared" si="13"/>
        <v>6.1358775695817496</v>
      </c>
      <c r="G114" s="186">
        <f t="shared" si="14"/>
        <v>8.9793736639130408</v>
      </c>
      <c r="H114" s="186">
        <f t="shared" si="15"/>
        <v>0</v>
      </c>
      <c r="I114" s="186">
        <f t="shared" si="16"/>
        <v>44.720626336086966</v>
      </c>
      <c r="J114" s="186">
        <f t="shared" si="17"/>
        <v>8.7752385703555156</v>
      </c>
      <c r="K114" s="186">
        <f t="shared" si="18"/>
        <v>0.20413509355752524</v>
      </c>
      <c r="L114" s="186">
        <f t="shared" si="19"/>
        <v>3.4296917988422986</v>
      </c>
      <c r="M114" s="186">
        <f t="shared" si="20"/>
        <v>12.357413456623323</v>
      </c>
      <c r="N114" s="186">
        <f t="shared" si="21"/>
        <v>12.561548550180849</v>
      </c>
      <c r="O114" s="186">
        <f t="shared" si="22"/>
        <v>0.33036872686975627</v>
      </c>
    </row>
    <row r="115" spans="1:15">
      <c r="A115" s="41">
        <v>1989</v>
      </c>
      <c r="B115" s="41">
        <v>2</v>
      </c>
      <c r="C115" s="180">
        <f t="shared" si="23"/>
        <v>146.595</v>
      </c>
      <c r="D115" s="180">
        <f>+HLOOKUP('Info Gral'!$C$8,'Precip 1981-2010'!$D$5:$AL$373,107,FALSE)</f>
        <v>11.7</v>
      </c>
      <c r="E115" s="185">
        <f t="shared" si="12"/>
        <v>167.04792523193916</v>
      </c>
      <c r="F115" s="185">
        <f t="shared" si="13"/>
        <v>6.1358775695817496</v>
      </c>
      <c r="G115" s="186">
        <f t="shared" si="14"/>
        <v>0.18596930962209227</v>
      </c>
      <c r="H115" s="186">
        <f t="shared" si="15"/>
        <v>0</v>
      </c>
      <c r="I115" s="186">
        <f t="shared" si="16"/>
        <v>11.514030690377908</v>
      </c>
      <c r="J115" s="186">
        <f t="shared" si="17"/>
        <v>0.1858797553998528</v>
      </c>
      <c r="K115" s="186">
        <f t="shared" si="18"/>
        <v>8.9554222239468517E-5</v>
      </c>
      <c r="L115" s="186">
        <f t="shared" si="19"/>
        <v>0.39349231585699723</v>
      </c>
      <c r="M115" s="186">
        <f t="shared" si="20"/>
        <v>3.2220792383851542</v>
      </c>
      <c r="N115" s="186">
        <f t="shared" si="21"/>
        <v>3.2221687926073939</v>
      </c>
      <c r="O115" s="186">
        <f t="shared" si="22"/>
        <v>8.4743039245574456E-2</v>
      </c>
    </row>
    <row r="116" spans="1:15">
      <c r="A116" s="41">
        <v>1989</v>
      </c>
      <c r="B116" s="41">
        <v>3</v>
      </c>
      <c r="C116" s="180">
        <f t="shared" si="23"/>
        <v>120.30899999999998</v>
      </c>
      <c r="D116" s="180">
        <f>+HLOOKUP('Info Gral'!$C$8,'Precip 1981-2010'!$D$5:$AL$373,108,FALSE)</f>
        <v>136.6</v>
      </c>
      <c r="E116" s="185">
        <f t="shared" si="12"/>
        <v>140.76192523193916</v>
      </c>
      <c r="F116" s="185">
        <f t="shared" si="13"/>
        <v>6.1358775695817496</v>
      </c>
      <c r="G116" s="186">
        <f t="shared" si="14"/>
        <v>64.207915501288596</v>
      </c>
      <c r="H116" s="186">
        <f t="shared" si="15"/>
        <v>0</v>
      </c>
      <c r="I116" s="186">
        <f t="shared" si="16"/>
        <v>72.392084498711398</v>
      </c>
      <c r="J116" s="186">
        <f t="shared" si="17"/>
        <v>55.05068776034539</v>
      </c>
      <c r="K116" s="186">
        <f t="shared" si="18"/>
        <v>9.1572277409432061</v>
      </c>
      <c r="L116" s="186">
        <f t="shared" si="19"/>
        <v>17.253016705330964</v>
      </c>
      <c r="M116" s="186">
        <f t="shared" si="20"/>
        <v>38.191163370871422</v>
      </c>
      <c r="N116" s="186">
        <f t="shared" si="21"/>
        <v>47.348391111814628</v>
      </c>
      <c r="O116" s="186">
        <f t="shared" si="22"/>
        <v>1.2452626862407248</v>
      </c>
    </row>
    <row r="117" spans="1:15">
      <c r="A117" s="41">
        <v>1989</v>
      </c>
      <c r="B117" s="41">
        <v>4</v>
      </c>
      <c r="C117" s="180">
        <f t="shared" si="23"/>
        <v>73.802999999999997</v>
      </c>
      <c r="D117" s="180">
        <f>+HLOOKUP('Info Gral'!$C$8,'Precip 1981-2010'!$D$5:$AL$373,109,FALSE)</f>
        <v>144.80000000000001</v>
      </c>
      <c r="E117" s="185">
        <f t="shared" si="12"/>
        <v>94.255925231939159</v>
      </c>
      <c r="F117" s="185">
        <f t="shared" si="13"/>
        <v>6.1358775695817496</v>
      </c>
      <c r="G117" s="186">
        <f t="shared" si="14"/>
        <v>84.784307659269643</v>
      </c>
      <c r="H117" s="186">
        <f t="shared" si="15"/>
        <v>0</v>
      </c>
      <c r="I117" s="186">
        <f t="shared" si="16"/>
        <v>60.015692340730368</v>
      </c>
      <c r="J117" s="186">
        <f t="shared" si="17"/>
        <v>69.515364518402933</v>
      </c>
      <c r="K117" s="186">
        <f t="shared" si="18"/>
        <v>15.26894314086671</v>
      </c>
      <c r="L117" s="186">
        <f t="shared" si="19"/>
        <v>23.424753307537046</v>
      </c>
      <c r="M117" s="186">
        <f t="shared" si="20"/>
        <v>63.343627916196851</v>
      </c>
      <c r="N117" s="186">
        <f t="shared" si="21"/>
        <v>78.612571057063562</v>
      </c>
      <c r="O117" s="186">
        <f t="shared" si="22"/>
        <v>2.0675106188007719</v>
      </c>
    </row>
    <row r="118" spans="1:15">
      <c r="A118" s="41">
        <v>1989</v>
      </c>
      <c r="B118" s="41">
        <v>5</v>
      </c>
      <c r="C118" s="180">
        <f t="shared" si="23"/>
        <v>44.483999999999995</v>
      </c>
      <c r="D118" s="180">
        <f>+HLOOKUP('Info Gral'!$C$8,'Precip 1981-2010'!$D$5:$AL$373,110,FALSE)</f>
        <v>16.600000000000001</v>
      </c>
      <c r="E118" s="185">
        <f t="shared" si="12"/>
        <v>64.936925231939156</v>
      </c>
      <c r="F118" s="185">
        <f t="shared" si="13"/>
        <v>6.1358775695817496</v>
      </c>
      <c r="G118" s="186">
        <f t="shared" si="14"/>
        <v>1.5808502035311247</v>
      </c>
      <c r="H118" s="186">
        <f t="shared" si="15"/>
        <v>0</v>
      </c>
      <c r="I118" s="186">
        <f t="shared" si="16"/>
        <v>15.019149796468877</v>
      </c>
      <c r="J118" s="186">
        <f t="shared" si="17"/>
        <v>1.574402291141511</v>
      </c>
      <c r="K118" s="186">
        <f t="shared" si="18"/>
        <v>6.4479123896137303E-3</v>
      </c>
      <c r="L118" s="186">
        <f t="shared" si="19"/>
        <v>2.7828740735532067</v>
      </c>
      <c r="M118" s="186">
        <f t="shared" si="20"/>
        <v>22.21628152512535</v>
      </c>
      <c r="N118" s="186">
        <f t="shared" si="21"/>
        <v>22.222729437514964</v>
      </c>
      <c r="O118" s="186">
        <f t="shared" si="22"/>
        <v>0.58445778420664352</v>
      </c>
    </row>
    <row r="119" spans="1:15">
      <c r="A119" s="41">
        <v>1989</v>
      </c>
      <c r="B119" s="41">
        <v>6</v>
      </c>
      <c r="C119" s="180">
        <f t="shared" si="23"/>
        <v>29.318999999999996</v>
      </c>
      <c r="D119" s="180">
        <f>+HLOOKUP('Info Gral'!$C$8,'Precip 1981-2010'!$D$5:$AL$373,111,FALSE)</f>
        <v>20.5</v>
      </c>
      <c r="E119" s="185">
        <f t="shared" si="12"/>
        <v>49.771925231939164</v>
      </c>
      <c r="F119" s="185">
        <f t="shared" si="13"/>
        <v>6.1358775695817496</v>
      </c>
      <c r="G119" s="186">
        <f t="shared" si="14"/>
        <v>3.5573691054010261</v>
      </c>
      <c r="H119" s="186">
        <f t="shared" si="15"/>
        <v>0</v>
      </c>
      <c r="I119" s="186">
        <f t="shared" si="16"/>
        <v>16.942630894598974</v>
      </c>
      <c r="J119" s="186">
        <f t="shared" si="17"/>
        <v>3.5248838389019657</v>
      </c>
      <c r="K119" s="186">
        <f t="shared" si="18"/>
        <v>3.2485266499060472E-2</v>
      </c>
      <c r="L119" s="186">
        <f t="shared" si="19"/>
        <v>1.3743623283102577</v>
      </c>
      <c r="M119" s="186">
        <f t="shared" si="20"/>
        <v>4.9333955841449146</v>
      </c>
      <c r="N119" s="186">
        <f t="shared" si="21"/>
        <v>4.9658808506439751</v>
      </c>
      <c r="O119" s="186">
        <f t="shared" si="22"/>
        <v>0.13060266637193654</v>
      </c>
    </row>
    <row r="120" spans="1:15">
      <c r="A120" s="41">
        <v>1989</v>
      </c>
      <c r="B120" s="41">
        <v>7</v>
      </c>
      <c r="C120" s="180">
        <f t="shared" si="23"/>
        <v>35.384999999999998</v>
      </c>
      <c r="D120" s="180">
        <f>+HLOOKUP('Info Gral'!$C$8,'Precip 1981-2010'!$D$5:$AL$373,112,FALSE)</f>
        <v>24.9</v>
      </c>
      <c r="E120" s="185">
        <f t="shared" si="12"/>
        <v>55.837925231939167</v>
      </c>
      <c r="F120" s="185">
        <f t="shared" si="13"/>
        <v>6.1358775695817496</v>
      </c>
      <c r="G120" s="186">
        <f t="shared" si="14"/>
        <v>5.1425731877015988</v>
      </c>
      <c r="H120" s="186">
        <f t="shared" si="15"/>
        <v>0</v>
      </c>
      <c r="I120" s="186">
        <f t="shared" si="16"/>
        <v>19.757426812298398</v>
      </c>
      <c r="J120" s="186">
        <f t="shared" si="17"/>
        <v>5.0749608621617339</v>
      </c>
      <c r="K120" s="186">
        <f t="shared" si="18"/>
        <v>6.7612325539864848E-2</v>
      </c>
      <c r="L120" s="186">
        <f t="shared" si="19"/>
        <v>1.7213476229134654</v>
      </c>
      <c r="M120" s="186">
        <f t="shared" si="20"/>
        <v>4.7279755675585262</v>
      </c>
      <c r="N120" s="186">
        <f t="shared" si="21"/>
        <v>4.7955878930983911</v>
      </c>
      <c r="O120" s="186">
        <f t="shared" si="22"/>
        <v>0.12612396158848768</v>
      </c>
    </row>
    <row r="121" spans="1:15">
      <c r="A121" s="41">
        <v>1989</v>
      </c>
      <c r="B121" s="41">
        <v>8</v>
      </c>
      <c r="C121" s="180">
        <f t="shared" si="23"/>
        <v>55.605000000000004</v>
      </c>
      <c r="D121" s="180">
        <f>+HLOOKUP('Info Gral'!$C$8,'Precip 1981-2010'!$D$5:$AL$373,113,FALSE)</f>
        <v>125.5</v>
      </c>
      <c r="E121" s="185">
        <f t="shared" si="12"/>
        <v>76.057925231939166</v>
      </c>
      <c r="F121" s="185">
        <f t="shared" si="13"/>
        <v>6.1358775695817496</v>
      </c>
      <c r="G121" s="186">
        <f t="shared" si="14"/>
        <v>75.271181812176465</v>
      </c>
      <c r="H121" s="186">
        <f t="shared" si="15"/>
        <v>0</v>
      </c>
      <c r="I121" s="186">
        <f t="shared" si="16"/>
        <v>50.228818187823535</v>
      </c>
      <c r="J121" s="186">
        <f t="shared" si="17"/>
        <v>62.988275281699252</v>
      </c>
      <c r="K121" s="186">
        <f t="shared" si="18"/>
        <v>12.282906530477213</v>
      </c>
      <c r="L121" s="186">
        <f t="shared" si="19"/>
        <v>19.864969927490257</v>
      </c>
      <c r="M121" s="186">
        <f t="shared" si="20"/>
        <v>44.844652977122465</v>
      </c>
      <c r="N121" s="186">
        <f t="shared" si="21"/>
        <v>57.127559507599678</v>
      </c>
      <c r="O121" s="186">
        <f t="shared" si="22"/>
        <v>1.5024548150498713</v>
      </c>
    </row>
    <row r="122" spans="1:15">
      <c r="A122" s="41">
        <v>1989</v>
      </c>
      <c r="B122" s="41">
        <v>9</v>
      </c>
      <c r="C122" s="180">
        <f t="shared" si="23"/>
        <v>78.858000000000004</v>
      </c>
      <c r="D122" s="180">
        <f>+HLOOKUP('Info Gral'!$C$8,'Precip 1981-2010'!$D$5:$AL$373,114,FALSE)</f>
        <v>21.4</v>
      </c>
      <c r="E122" s="185">
        <f t="shared" si="12"/>
        <v>99.310925231939166</v>
      </c>
      <c r="F122" s="185">
        <f t="shared" si="13"/>
        <v>6.1358775695817496</v>
      </c>
      <c r="G122" s="186">
        <f t="shared" si="14"/>
        <v>2.1486095233987759</v>
      </c>
      <c r="H122" s="186">
        <f t="shared" si="15"/>
        <v>0</v>
      </c>
      <c r="I122" s="186">
        <f t="shared" si="16"/>
        <v>19.251390476601223</v>
      </c>
      <c r="J122" s="186">
        <f t="shared" si="17"/>
        <v>2.1367158239991868</v>
      </c>
      <c r="K122" s="186">
        <f t="shared" si="18"/>
        <v>1.1893699399589064E-2</v>
      </c>
      <c r="L122" s="186">
        <f t="shared" si="19"/>
        <v>2.6106235730534353</v>
      </c>
      <c r="M122" s="186">
        <f t="shared" si="20"/>
        <v>19.391062178436009</v>
      </c>
      <c r="N122" s="186">
        <f t="shared" si="21"/>
        <v>19.402955877835598</v>
      </c>
      <c r="O122" s="186">
        <f t="shared" si="22"/>
        <v>0.51029773958707625</v>
      </c>
    </row>
    <row r="123" spans="1:15">
      <c r="A123" s="41">
        <v>1989</v>
      </c>
      <c r="B123" s="41">
        <v>10</v>
      </c>
      <c r="C123" s="180">
        <f t="shared" si="23"/>
        <v>113.232</v>
      </c>
      <c r="D123" s="180">
        <f>+HLOOKUP('Info Gral'!$C$8,'Precip 1981-2010'!$D$5:$AL$373,115,FALSE)</f>
        <v>97</v>
      </c>
      <c r="E123" s="185">
        <f t="shared" si="12"/>
        <v>133.68492523193916</v>
      </c>
      <c r="F123" s="185">
        <f t="shared" si="13"/>
        <v>6.1358775695817496</v>
      </c>
      <c r="G123" s="186">
        <f t="shared" si="14"/>
        <v>37.801240380985277</v>
      </c>
      <c r="H123" s="186">
        <f t="shared" si="15"/>
        <v>0</v>
      </c>
      <c r="I123" s="186">
        <f t="shared" si="16"/>
        <v>59.198759619014723</v>
      </c>
      <c r="J123" s="186">
        <f t="shared" si="17"/>
        <v>34.429532990378156</v>
      </c>
      <c r="K123" s="186">
        <f t="shared" si="18"/>
        <v>3.3717073906071207</v>
      </c>
      <c r="L123" s="186">
        <f t="shared" si="19"/>
        <v>11.021509314409887</v>
      </c>
      <c r="M123" s="186">
        <f t="shared" si="20"/>
        <v>26.018647249021704</v>
      </c>
      <c r="N123" s="186">
        <f t="shared" si="21"/>
        <v>29.390354639628825</v>
      </c>
      <c r="O123" s="186">
        <f t="shared" si="22"/>
        <v>0.77296632702223811</v>
      </c>
    </row>
    <row r="124" spans="1:15">
      <c r="A124" s="41">
        <v>1989</v>
      </c>
      <c r="B124" s="41">
        <v>11</v>
      </c>
      <c r="C124" s="180">
        <f t="shared" si="23"/>
        <v>148.61699999999999</v>
      </c>
      <c r="D124" s="180">
        <f>+HLOOKUP('Info Gral'!$C$8,'Precip 1981-2010'!$D$5:$AL$373,116,FALSE)</f>
        <v>109.6</v>
      </c>
      <c r="E124" s="185">
        <f t="shared" si="12"/>
        <v>169.06992523193915</v>
      </c>
      <c r="F124" s="185">
        <f t="shared" si="13"/>
        <v>6.1358775695817496</v>
      </c>
      <c r="G124" s="186">
        <f t="shared" si="14"/>
        <v>40.183551660916137</v>
      </c>
      <c r="H124" s="186">
        <f t="shared" si="15"/>
        <v>0</v>
      </c>
      <c r="I124" s="186">
        <f t="shared" si="16"/>
        <v>69.416448339083857</v>
      </c>
      <c r="J124" s="186">
        <f t="shared" si="17"/>
        <v>36.394766716512109</v>
      </c>
      <c r="K124" s="186">
        <f t="shared" si="18"/>
        <v>3.7887849444040285</v>
      </c>
      <c r="L124" s="186">
        <f t="shared" si="19"/>
        <v>12.458490044657861</v>
      </c>
      <c r="M124" s="186">
        <f t="shared" si="20"/>
        <v>34.957785986264135</v>
      </c>
      <c r="N124" s="186">
        <f t="shared" si="21"/>
        <v>38.746570930668163</v>
      </c>
      <c r="O124" s="186">
        <f t="shared" si="22"/>
        <v>1.0190348154765727</v>
      </c>
    </row>
    <row r="125" spans="1:15">
      <c r="A125" s="41">
        <v>1989</v>
      </c>
      <c r="B125" s="41">
        <v>12</v>
      </c>
      <c r="C125" s="180">
        <f t="shared" si="23"/>
        <v>179.958</v>
      </c>
      <c r="D125" s="180">
        <f>+HLOOKUP('Info Gral'!$C$8,'Precip 1981-2010'!$D$5:$AL$373,117,FALSE)</f>
        <v>197.7</v>
      </c>
      <c r="E125" s="185">
        <f t="shared" si="12"/>
        <v>200.41092523193916</v>
      </c>
      <c r="F125" s="185">
        <f t="shared" si="13"/>
        <v>6.1358775695817496</v>
      </c>
      <c r="G125" s="186">
        <f t="shared" si="14"/>
        <v>95.109091681159427</v>
      </c>
      <c r="H125" s="186">
        <f t="shared" si="15"/>
        <v>0</v>
      </c>
      <c r="I125" s="186">
        <f t="shared" si="16"/>
        <v>102.59090831884056</v>
      </c>
      <c r="J125" s="186">
        <f t="shared" si="17"/>
        <v>76.30724512114891</v>
      </c>
      <c r="K125" s="186">
        <f t="shared" si="18"/>
        <v>18.801846560010517</v>
      </c>
      <c r="L125" s="186">
        <f t="shared" si="19"/>
        <v>25.079772435533979</v>
      </c>
      <c r="M125" s="186">
        <f t="shared" si="20"/>
        <v>63.685962730272792</v>
      </c>
      <c r="N125" s="186">
        <f t="shared" si="21"/>
        <v>82.487809290283309</v>
      </c>
      <c r="O125" s="186">
        <f t="shared" si="22"/>
        <v>2.169429384334451</v>
      </c>
    </row>
    <row r="126" spans="1:15">
      <c r="A126" s="41">
        <v>1990</v>
      </c>
      <c r="B126" s="41">
        <v>1</v>
      </c>
      <c r="C126" s="180">
        <f t="shared" si="23"/>
        <v>190.06799999999998</v>
      </c>
      <c r="D126" s="180">
        <f>+HLOOKUP('Info Gral'!$C$8,'Precip 1981-2010'!$D$5:$AL$373,118,FALSE)</f>
        <v>163.1</v>
      </c>
      <c r="E126" s="185">
        <f t="shared" si="12"/>
        <v>210.52092523193915</v>
      </c>
      <c r="F126" s="185">
        <f t="shared" si="13"/>
        <v>6.1358775695817496</v>
      </c>
      <c r="G126" s="186">
        <f t="shared" si="14"/>
        <v>68.182627136034768</v>
      </c>
      <c r="H126" s="186">
        <f t="shared" si="15"/>
        <v>0</v>
      </c>
      <c r="I126" s="186">
        <f t="shared" si="16"/>
        <v>94.917372863965227</v>
      </c>
      <c r="J126" s="186">
        <f t="shared" si="17"/>
        <v>57.946941388902189</v>
      </c>
      <c r="K126" s="186">
        <f t="shared" si="18"/>
        <v>10.235685747132578</v>
      </c>
      <c r="L126" s="186">
        <f t="shared" si="19"/>
        <v>20.572594681346267</v>
      </c>
      <c r="M126" s="186">
        <f t="shared" si="20"/>
        <v>62.454119143089898</v>
      </c>
      <c r="N126" s="186">
        <f t="shared" si="21"/>
        <v>72.689804890222476</v>
      </c>
      <c r="O126" s="186">
        <f t="shared" si="22"/>
        <v>1.9117418686128513</v>
      </c>
    </row>
    <row r="127" spans="1:15">
      <c r="A127" s="41">
        <v>1990</v>
      </c>
      <c r="B127" s="41">
        <v>2</v>
      </c>
      <c r="C127" s="180">
        <f t="shared" si="23"/>
        <v>146.595</v>
      </c>
      <c r="D127" s="180">
        <f>+HLOOKUP('Info Gral'!$C$8,'Precip 1981-2010'!$D$5:$AL$373,119,FALSE)</f>
        <v>240.3</v>
      </c>
      <c r="E127" s="185">
        <f t="shared" si="12"/>
        <v>167.04792523193916</v>
      </c>
      <c r="F127" s="185">
        <f t="shared" si="13"/>
        <v>6.1358775695817496</v>
      </c>
      <c r="G127" s="186">
        <f t="shared" si="14"/>
        <v>138.79054315204971</v>
      </c>
      <c r="H127" s="186">
        <f t="shared" si="15"/>
        <v>0</v>
      </c>
      <c r="I127" s="186">
        <f t="shared" si="16"/>
        <v>101.5094568479503</v>
      </c>
      <c r="J127" s="186">
        <f t="shared" si="17"/>
        <v>102.08482289889362</v>
      </c>
      <c r="K127" s="186">
        <f t="shared" si="18"/>
        <v>36.705720253156088</v>
      </c>
      <c r="L127" s="186">
        <f t="shared" si="19"/>
        <v>33.933934888053656</v>
      </c>
      <c r="M127" s="186">
        <f t="shared" si="20"/>
        <v>88.723482692186224</v>
      </c>
      <c r="N127" s="186">
        <f t="shared" si="21"/>
        <v>125.42920294534231</v>
      </c>
      <c r="O127" s="186">
        <f t="shared" si="22"/>
        <v>3.2987880374625029</v>
      </c>
    </row>
    <row r="128" spans="1:15">
      <c r="A128" s="41">
        <v>1990</v>
      </c>
      <c r="B128" s="41">
        <v>3</v>
      </c>
      <c r="C128" s="180">
        <f t="shared" si="23"/>
        <v>120.30899999999998</v>
      </c>
      <c r="D128" s="180">
        <f>+HLOOKUP('Info Gral'!$C$8,'Precip 1981-2010'!$D$5:$AL$373,120,FALSE)</f>
        <v>210.4</v>
      </c>
      <c r="E128" s="185">
        <f t="shared" si="12"/>
        <v>140.76192523193916</v>
      </c>
      <c r="F128" s="185">
        <f t="shared" si="13"/>
        <v>6.1358775695817496</v>
      </c>
      <c r="G128" s="186">
        <f t="shared" si="14"/>
        <v>123.11903794921656</v>
      </c>
      <c r="H128" s="186">
        <f t="shared" si="15"/>
        <v>0</v>
      </c>
      <c r="I128" s="186">
        <f t="shared" si="16"/>
        <v>87.280962050783444</v>
      </c>
      <c r="J128" s="186">
        <f t="shared" si="17"/>
        <v>93.345455789335446</v>
      </c>
      <c r="K128" s="186">
        <f t="shared" si="18"/>
        <v>29.773582159881116</v>
      </c>
      <c r="L128" s="186">
        <f t="shared" si="19"/>
        <v>32.507622554805899</v>
      </c>
      <c r="M128" s="186">
        <f t="shared" si="20"/>
        <v>94.771768122583211</v>
      </c>
      <c r="N128" s="186">
        <f t="shared" si="21"/>
        <v>124.54535028246433</v>
      </c>
      <c r="O128" s="186">
        <f t="shared" si="22"/>
        <v>3.2755427124288121</v>
      </c>
    </row>
    <row r="129" spans="1:15">
      <c r="A129" s="41">
        <v>1990</v>
      </c>
      <c r="B129" s="41">
        <v>4</v>
      </c>
      <c r="C129" s="180">
        <f t="shared" si="23"/>
        <v>73.802999999999997</v>
      </c>
      <c r="D129" s="180">
        <f>+HLOOKUP('Info Gral'!$C$8,'Precip 1981-2010'!$D$5:$AL$373,121,FALSE)</f>
        <v>279.60000000000002</v>
      </c>
      <c r="E129" s="185">
        <f t="shared" si="12"/>
        <v>94.255925231939159</v>
      </c>
      <c r="F129" s="185">
        <f t="shared" si="13"/>
        <v>6.1358775695817496</v>
      </c>
      <c r="G129" s="186">
        <f t="shared" si="14"/>
        <v>206.8194142388783</v>
      </c>
      <c r="H129" s="186">
        <f t="shared" si="15"/>
        <v>0</v>
      </c>
      <c r="I129" s="186">
        <f t="shared" si="16"/>
        <v>72.780585761121728</v>
      </c>
      <c r="J129" s="186">
        <f t="shared" si="17"/>
        <v>134.66545119596634</v>
      </c>
      <c r="K129" s="186">
        <f t="shared" si="18"/>
        <v>72.153963042911954</v>
      </c>
      <c r="L129" s="186">
        <f t="shared" si="19"/>
        <v>45.289057702981516</v>
      </c>
      <c r="M129" s="186">
        <f t="shared" si="20"/>
        <v>121.88401604779072</v>
      </c>
      <c r="N129" s="186">
        <f t="shared" si="21"/>
        <v>194.03797909070266</v>
      </c>
      <c r="O129" s="186">
        <f t="shared" si="22"/>
        <v>5.1031988500854801</v>
      </c>
    </row>
    <row r="130" spans="1:15">
      <c r="A130" s="41">
        <v>1990</v>
      </c>
      <c r="B130" s="41">
        <v>5</v>
      </c>
      <c r="C130" s="180">
        <f t="shared" si="23"/>
        <v>44.483999999999995</v>
      </c>
      <c r="D130" s="180">
        <f>+HLOOKUP('Info Gral'!$C$8,'Precip 1981-2010'!$D$5:$AL$373,122,FALSE)</f>
        <v>72</v>
      </c>
      <c r="E130" s="185">
        <f t="shared" si="12"/>
        <v>64.936925231939156</v>
      </c>
      <c r="F130" s="185">
        <f t="shared" si="13"/>
        <v>6.1358775695817496</v>
      </c>
      <c r="G130" s="186">
        <f t="shared" si="14"/>
        <v>34.797871934083346</v>
      </c>
      <c r="H130" s="186">
        <f t="shared" si="15"/>
        <v>0</v>
      </c>
      <c r="I130" s="186">
        <f t="shared" si="16"/>
        <v>37.202128065916654</v>
      </c>
      <c r="J130" s="186">
        <f t="shared" si="17"/>
        <v>31.920262583125062</v>
      </c>
      <c r="K130" s="186">
        <f t="shared" si="18"/>
        <v>2.8776093509582843</v>
      </c>
      <c r="L130" s="186">
        <f t="shared" si="19"/>
        <v>14.41009609142808</v>
      </c>
      <c r="M130" s="186">
        <f t="shared" si="20"/>
        <v>62.799224194678501</v>
      </c>
      <c r="N130" s="186">
        <f t="shared" si="21"/>
        <v>65.676833545636782</v>
      </c>
      <c r="O130" s="186">
        <f t="shared" si="22"/>
        <v>1.7273007222502474</v>
      </c>
    </row>
    <row r="131" spans="1:15">
      <c r="A131" s="41">
        <v>1990</v>
      </c>
      <c r="B131" s="41">
        <v>6</v>
      </c>
      <c r="C131" s="180">
        <f t="shared" si="23"/>
        <v>29.318999999999996</v>
      </c>
      <c r="D131" s="180">
        <f>+HLOOKUP('Info Gral'!$C$8,'Precip 1981-2010'!$D$5:$AL$373,123,FALSE)</f>
        <v>23.4</v>
      </c>
      <c r="E131" s="185">
        <f t="shared" si="12"/>
        <v>49.771925231939164</v>
      </c>
      <c r="F131" s="185">
        <f t="shared" si="13"/>
        <v>6.1358775695817496</v>
      </c>
      <c r="G131" s="186">
        <f t="shared" si="14"/>
        <v>4.8940737413117166</v>
      </c>
      <c r="H131" s="186">
        <f t="shared" si="15"/>
        <v>0</v>
      </c>
      <c r="I131" s="186">
        <f t="shared" si="16"/>
        <v>18.505926258688284</v>
      </c>
      <c r="J131" s="186">
        <f t="shared" si="17"/>
        <v>4.8327989372295033</v>
      </c>
      <c r="K131" s="186">
        <f t="shared" si="18"/>
        <v>6.1274804082213308E-2</v>
      </c>
      <c r="L131" s="186">
        <f t="shared" si="19"/>
        <v>2.920301698012929</v>
      </c>
      <c r="M131" s="186">
        <f t="shared" si="20"/>
        <v>16.322593330644654</v>
      </c>
      <c r="N131" s="186">
        <f t="shared" si="21"/>
        <v>16.383868134726868</v>
      </c>
      <c r="O131" s="186">
        <f t="shared" si="22"/>
        <v>0.43089573194331665</v>
      </c>
    </row>
    <row r="132" spans="1:15">
      <c r="A132" s="41">
        <v>1990</v>
      </c>
      <c r="B132" s="41">
        <v>7</v>
      </c>
      <c r="C132" s="180">
        <f t="shared" si="23"/>
        <v>35.384999999999998</v>
      </c>
      <c r="D132" s="180">
        <f>+HLOOKUP('Info Gral'!$C$8,'Precip 1981-2010'!$D$5:$AL$373,124,FALSE)</f>
        <v>39.5</v>
      </c>
      <c r="E132" s="185">
        <f t="shared" si="12"/>
        <v>55.837925231939167</v>
      </c>
      <c r="F132" s="185">
        <f t="shared" si="13"/>
        <v>6.1358775695817496</v>
      </c>
      <c r="G132" s="186">
        <f t="shared" si="14"/>
        <v>13.40093884560534</v>
      </c>
      <c r="H132" s="186">
        <f t="shared" si="15"/>
        <v>0</v>
      </c>
      <c r="I132" s="186">
        <f t="shared" si="16"/>
        <v>26.099061154394661</v>
      </c>
      <c r="J132" s="186">
        <f t="shared" si="17"/>
        <v>12.951302541637922</v>
      </c>
      <c r="K132" s="186">
        <f t="shared" si="18"/>
        <v>0.44963630396741827</v>
      </c>
      <c r="L132" s="186">
        <f t="shared" si="19"/>
        <v>4.3354740701093348</v>
      </c>
      <c r="M132" s="186">
        <f t="shared" si="20"/>
        <v>11.536130169541517</v>
      </c>
      <c r="N132" s="186">
        <f t="shared" si="21"/>
        <v>11.985766473508935</v>
      </c>
      <c r="O132" s="186">
        <f t="shared" si="22"/>
        <v>0.31522565825328502</v>
      </c>
    </row>
    <row r="133" spans="1:15">
      <c r="A133" s="41">
        <v>1990</v>
      </c>
      <c r="B133" s="41">
        <v>8</v>
      </c>
      <c r="C133" s="180">
        <f t="shared" si="23"/>
        <v>55.605000000000004</v>
      </c>
      <c r="D133" s="180">
        <f>+HLOOKUP('Info Gral'!$C$8,'Precip 1981-2010'!$D$5:$AL$373,125,FALSE)</f>
        <v>20.9</v>
      </c>
      <c r="E133" s="185">
        <f t="shared" si="12"/>
        <v>76.057925231939166</v>
      </c>
      <c r="F133" s="185">
        <f t="shared" si="13"/>
        <v>6.1358775695817496</v>
      </c>
      <c r="G133" s="186">
        <f t="shared" si="14"/>
        <v>2.5739658659917892</v>
      </c>
      <c r="H133" s="186">
        <f t="shared" si="15"/>
        <v>0</v>
      </c>
      <c r="I133" s="186">
        <f t="shared" si="16"/>
        <v>18.326034134008211</v>
      </c>
      <c r="J133" s="186">
        <f t="shared" si="17"/>
        <v>2.5569155721963068</v>
      </c>
      <c r="K133" s="186">
        <f t="shared" si="18"/>
        <v>1.7050293795482396E-2</v>
      </c>
      <c r="L133" s="186">
        <f t="shared" si="19"/>
        <v>1.2234938922754979</v>
      </c>
      <c r="M133" s="186">
        <f t="shared" si="20"/>
        <v>5.6688957500301438</v>
      </c>
      <c r="N133" s="186">
        <f t="shared" si="21"/>
        <v>5.6859460438256262</v>
      </c>
      <c r="O133" s="186">
        <f t="shared" si="22"/>
        <v>0.14954038095261399</v>
      </c>
    </row>
    <row r="134" spans="1:15">
      <c r="A134" s="41">
        <v>1990</v>
      </c>
      <c r="B134" s="41">
        <v>9</v>
      </c>
      <c r="C134" s="180">
        <f t="shared" si="23"/>
        <v>78.858000000000004</v>
      </c>
      <c r="D134" s="180">
        <f>+HLOOKUP('Info Gral'!$C$8,'Precip 1981-2010'!$D$5:$AL$373,126,FALSE)</f>
        <v>86.4</v>
      </c>
      <c r="E134" s="185">
        <f t="shared" si="12"/>
        <v>99.310925231939166</v>
      </c>
      <c r="F134" s="185">
        <f t="shared" si="13"/>
        <v>6.1358775695817496</v>
      </c>
      <c r="G134" s="186">
        <f t="shared" si="14"/>
        <v>37.144604336373703</v>
      </c>
      <c r="H134" s="186">
        <f t="shared" si="15"/>
        <v>0</v>
      </c>
      <c r="I134" s="186">
        <f t="shared" si="16"/>
        <v>49.255395663626302</v>
      </c>
      <c r="J134" s="186">
        <f t="shared" si="17"/>
        <v>33.883965733951733</v>
      </c>
      <c r="K134" s="186">
        <f t="shared" si="18"/>
        <v>3.2606386024219702</v>
      </c>
      <c r="L134" s="186">
        <f t="shared" si="19"/>
        <v>10.715270236718174</v>
      </c>
      <c r="M134" s="186">
        <f t="shared" si="20"/>
        <v>24.392189389509056</v>
      </c>
      <c r="N134" s="186">
        <f t="shared" si="21"/>
        <v>27.652827991931026</v>
      </c>
      <c r="O134" s="186">
        <f t="shared" si="22"/>
        <v>0.72726937618778598</v>
      </c>
    </row>
    <row r="135" spans="1:15">
      <c r="A135" s="41">
        <v>1990</v>
      </c>
      <c r="B135" s="41">
        <v>10</v>
      </c>
      <c r="C135" s="180">
        <f t="shared" si="23"/>
        <v>113.232</v>
      </c>
      <c r="D135" s="180">
        <f>+HLOOKUP('Info Gral'!$C$8,'Precip 1981-2010'!$D$5:$AL$373,127,FALSE)</f>
        <v>135.1</v>
      </c>
      <c r="E135" s="185">
        <f t="shared" si="12"/>
        <v>133.68492523193916</v>
      </c>
      <c r="F135" s="185">
        <f t="shared" si="13"/>
        <v>6.1358775695817496</v>
      </c>
      <c r="G135" s="186">
        <f t="shared" si="14"/>
        <v>64.837781499610884</v>
      </c>
      <c r="H135" s="186">
        <f t="shared" si="15"/>
        <v>0</v>
      </c>
      <c r="I135" s="186">
        <f t="shared" si="16"/>
        <v>70.26221850038911</v>
      </c>
      <c r="J135" s="186">
        <f t="shared" si="17"/>
        <v>55.513057436317375</v>
      </c>
      <c r="K135" s="186">
        <f t="shared" si="18"/>
        <v>9.3247240632935089</v>
      </c>
      <c r="L135" s="186">
        <f t="shared" si="19"/>
        <v>18.406900289363243</v>
      </c>
      <c r="M135" s="186">
        <f t="shared" si="20"/>
        <v>47.821427383672308</v>
      </c>
      <c r="N135" s="186">
        <f t="shared" si="21"/>
        <v>57.146151446965817</v>
      </c>
      <c r="O135" s="186">
        <f t="shared" si="22"/>
        <v>1.502943783055201</v>
      </c>
    </row>
    <row r="136" spans="1:15">
      <c r="A136" s="41">
        <v>1990</v>
      </c>
      <c r="B136" s="41">
        <v>11</v>
      </c>
      <c r="C136" s="180">
        <f t="shared" si="23"/>
        <v>148.61699999999999</v>
      </c>
      <c r="D136" s="180">
        <f>+HLOOKUP('Info Gral'!$C$8,'Precip 1981-2010'!$D$5:$AL$373,128,FALSE)</f>
        <v>174.7</v>
      </c>
      <c r="E136" s="185">
        <f t="shared" si="12"/>
        <v>169.06992523193915</v>
      </c>
      <c r="F136" s="185">
        <f t="shared" si="13"/>
        <v>6.1358775695817496</v>
      </c>
      <c r="G136" s="186">
        <f t="shared" si="14"/>
        <v>85.713484821906874</v>
      </c>
      <c r="H136" s="186">
        <f t="shared" si="15"/>
        <v>0</v>
      </c>
      <c r="I136" s="186">
        <f t="shared" si="16"/>
        <v>88.986515178093114</v>
      </c>
      <c r="J136" s="186">
        <f t="shared" si="17"/>
        <v>70.138773229574483</v>
      </c>
      <c r="K136" s="186">
        <f t="shared" si="18"/>
        <v>15.574711592332392</v>
      </c>
      <c r="L136" s="186">
        <f t="shared" si="19"/>
        <v>23.732526069582356</v>
      </c>
      <c r="M136" s="186">
        <f t="shared" si="20"/>
        <v>64.81314744935537</v>
      </c>
      <c r="N136" s="186">
        <f t="shared" si="21"/>
        <v>80.387859041687761</v>
      </c>
      <c r="O136" s="186">
        <f t="shared" si="22"/>
        <v>2.1142006927963881</v>
      </c>
    </row>
    <row r="137" spans="1:15">
      <c r="A137" s="41">
        <v>1990</v>
      </c>
      <c r="B137" s="41">
        <v>12</v>
      </c>
      <c r="C137" s="180">
        <f t="shared" si="23"/>
        <v>179.958</v>
      </c>
      <c r="D137" s="180">
        <f>+HLOOKUP('Info Gral'!$C$8,'Precip 1981-2010'!$D$5:$AL$373,129,FALSE)</f>
        <v>308.39999999999998</v>
      </c>
      <c r="E137" s="185">
        <f t="shared" si="12"/>
        <v>200.41092523193916</v>
      </c>
      <c r="F137" s="185">
        <f t="shared" si="13"/>
        <v>6.1358775695817496</v>
      </c>
      <c r="G137" s="186">
        <f t="shared" si="14"/>
        <v>184.00079029326139</v>
      </c>
      <c r="H137" s="186">
        <f t="shared" si="15"/>
        <v>0</v>
      </c>
      <c r="I137" s="186">
        <f t="shared" si="16"/>
        <v>124.39920970673859</v>
      </c>
      <c r="J137" s="186">
        <f t="shared" si="17"/>
        <v>124.60387119227921</v>
      </c>
      <c r="K137" s="186">
        <f t="shared" si="18"/>
        <v>59.396919100982174</v>
      </c>
      <c r="L137" s="186">
        <f t="shared" si="19"/>
        <v>41.284707824934486</v>
      </c>
      <c r="M137" s="186">
        <f t="shared" si="20"/>
        <v>107.05168943692709</v>
      </c>
      <c r="N137" s="186">
        <f t="shared" si="21"/>
        <v>166.44860853790925</v>
      </c>
      <c r="O137" s="186">
        <f t="shared" si="22"/>
        <v>4.3775984045470135</v>
      </c>
    </row>
    <row r="138" spans="1:15">
      <c r="A138" s="41">
        <v>1991</v>
      </c>
      <c r="B138" s="41">
        <v>1</v>
      </c>
      <c r="C138" s="180">
        <f t="shared" si="23"/>
        <v>190.06799999999998</v>
      </c>
      <c r="D138" s="180">
        <f>+HLOOKUP('Info Gral'!$C$8,'Precip 1981-2010'!$D$5:$AL$373,130,FALSE)</f>
        <v>39.5</v>
      </c>
      <c r="E138" s="185">
        <f t="shared" si="12"/>
        <v>210.52092523193915</v>
      </c>
      <c r="F138" s="185">
        <f t="shared" si="13"/>
        <v>6.1358775695817496</v>
      </c>
      <c r="G138" s="186">
        <f t="shared" si="14"/>
        <v>4.6820969558697234</v>
      </c>
      <c r="H138" s="186">
        <f t="shared" si="15"/>
        <v>0</v>
      </c>
      <c r="I138" s="186">
        <f t="shared" si="16"/>
        <v>34.817903044130276</v>
      </c>
      <c r="J138" s="186">
        <f t="shared" si="17"/>
        <v>4.6259847560147067</v>
      </c>
      <c r="K138" s="186">
        <f t="shared" si="18"/>
        <v>5.6112199855016698E-2</v>
      </c>
      <c r="L138" s="186">
        <f t="shared" si="19"/>
        <v>5.4835222840705669</v>
      </c>
      <c r="M138" s="186">
        <f t="shared" si="20"/>
        <v>40.427170296878629</v>
      </c>
      <c r="N138" s="186">
        <f t="shared" si="21"/>
        <v>40.483282496733644</v>
      </c>
      <c r="O138" s="186">
        <f t="shared" si="22"/>
        <v>1.064710329664095</v>
      </c>
    </row>
    <row r="139" spans="1:15">
      <c r="A139" s="41">
        <v>1991</v>
      </c>
      <c r="B139" s="41">
        <v>2</v>
      </c>
      <c r="C139" s="180">
        <f t="shared" si="23"/>
        <v>146.595</v>
      </c>
      <c r="D139" s="180">
        <f>+HLOOKUP('Info Gral'!$C$8,'Precip 1981-2010'!$D$5:$AL$373,131,FALSE)</f>
        <v>57.7</v>
      </c>
      <c r="E139" s="185">
        <f t="shared" si="12"/>
        <v>167.04792523193916</v>
      </c>
      <c r="F139" s="185">
        <f t="shared" si="13"/>
        <v>6.1358775695817496</v>
      </c>
      <c r="G139" s="186">
        <f t="shared" si="14"/>
        <v>12.513679632206273</v>
      </c>
      <c r="H139" s="186">
        <f t="shared" si="15"/>
        <v>0</v>
      </c>
      <c r="I139" s="186">
        <f t="shared" si="16"/>
        <v>45.186320367793726</v>
      </c>
      <c r="J139" s="186">
        <f t="shared" si="17"/>
        <v>12.120739098566334</v>
      </c>
      <c r="K139" s="186">
        <f t="shared" si="18"/>
        <v>0.39294053363993875</v>
      </c>
      <c r="L139" s="186">
        <f t="shared" si="19"/>
        <v>4.3263945575533915</v>
      </c>
      <c r="M139" s="186">
        <f t="shared" si="20"/>
        <v>13.27786682508351</v>
      </c>
      <c r="N139" s="186">
        <f t="shared" si="21"/>
        <v>13.670807358723449</v>
      </c>
      <c r="O139" s="186">
        <f t="shared" si="22"/>
        <v>0.35954223353442671</v>
      </c>
    </row>
    <row r="140" spans="1:15">
      <c r="A140" s="41">
        <v>1991</v>
      </c>
      <c r="B140" s="41">
        <v>3</v>
      </c>
      <c r="C140" s="180">
        <f t="shared" si="23"/>
        <v>120.30899999999998</v>
      </c>
      <c r="D140" s="180">
        <f>+HLOOKUP('Info Gral'!$C$8,'Precip 1981-2010'!$D$5:$AL$373,132,FALSE)</f>
        <v>80.3</v>
      </c>
      <c r="E140" s="185">
        <f t="shared" si="12"/>
        <v>140.76192523193916</v>
      </c>
      <c r="F140" s="185">
        <f t="shared" si="13"/>
        <v>6.1358775695817496</v>
      </c>
      <c r="G140" s="186">
        <f t="shared" si="14"/>
        <v>26.343754849330349</v>
      </c>
      <c r="H140" s="186">
        <f t="shared" si="15"/>
        <v>0</v>
      </c>
      <c r="I140" s="186">
        <f t="shared" si="16"/>
        <v>53.956245150669645</v>
      </c>
      <c r="J140" s="186">
        <f t="shared" si="17"/>
        <v>24.660709061926095</v>
      </c>
      <c r="K140" s="186">
        <f t="shared" si="18"/>
        <v>1.6830457874042537</v>
      </c>
      <c r="L140" s="186">
        <f t="shared" si="19"/>
        <v>8.1345384216924028</v>
      </c>
      <c r="M140" s="186">
        <f t="shared" si="20"/>
        <v>20.852565197787083</v>
      </c>
      <c r="N140" s="186">
        <f t="shared" si="21"/>
        <v>22.535610985191337</v>
      </c>
      <c r="O140" s="186">
        <f t="shared" si="22"/>
        <v>0.59268656891053217</v>
      </c>
    </row>
    <row r="141" spans="1:15">
      <c r="A141" s="41">
        <v>1991</v>
      </c>
      <c r="B141" s="41">
        <v>4</v>
      </c>
      <c r="C141" s="180">
        <f t="shared" si="23"/>
        <v>73.802999999999997</v>
      </c>
      <c r="D141" s="180">
        <f>+HLOOKUP('Info Gral'!$C$8,'Precip 1981-2010'!$D$5:$AL$373,133,FALSE)</f>
        <v>520.6</v>
      </c>
      <c r="E141" s="185">
        <f t="shared" si="12"/>
        <v>94.255925231939159</v>
      </c>
      <c r="F141" s="185">
        <f t="shared" si="13"/>
        <v>6.1358775695817496</v>
      </c>
      <c r="G141" s="186">
        <f t="shared" si="14"/>
        <v>439.23047833691089</v>
      </c>
      <c r="H141" s="186">
        <f t="shared" si="15"/>
        <v>7.5665216630891337</v>
      </c>
      <c r="I141" s="186">
        <f t="shared" si="16"/>
        <v>73.802999999999997</v>
      </c>
      <c r="J141" s="186">
        <f t="shared" si="17"/>
        <v>205.44922792930285</v>
      </c>
      <c r="K141" s="186">
        <f t="shared" si="18"/>
        <v>233.78125040760804</v>
      </c>
      <c r="L141" s="186">
        <f t="shared" si="19"/>
        <v>65.040104376456398</v>
      </c>
      <c r="M141" s="186">
        <f t="shared" si="20"/>
        <v>148.54366197453885</v>
      </c>
      <c r="N141" s="186">
        <f t="shared" si="21"/>
        <v>382.32491238214686</v>
      </c>
      <c r="O141" s="186">
        <f t="shared" si="22"/>
        <v>10.055145195650462</v>
      </c>
    </row>
    <row r="142" spans="1:15">
      <c r="A142" s="41">
        <v>1991</v>
      </c>
      <c r="B142" s="41">
        <v>5</v>
      </c>
      <c r="C142" s="180">
        <f t="shared" si="23"/>
        <v>44.483999999999995</v>
      </c>
      <c r="D142" s="180">
        <f>+HLOOKUP('Info Gral'!$C$8,'Precip 1981-2010'!$D$5:$AL$373,134,FALSE)</f>
        <v>106.5</v>
      </c>
      <c r="E142" s="185">
        <f t="shared" si="12"/>
        <v>57.370403568850023</v>
      </c>
      <c r="F142" s="185">
        <f t="shared" si="13"/>
        <v>3.8659210706550091</v>
      </c>
      <c r="G142" s="186">
        <f t="shared" si="14"/>
        <v>67.464142498606719</v>
      </c>
      <c r="H142" s="186">
        <f t="shared" si="15"/>
        <v>2.1183791644824197</v>
      </c>
      <c r="I142" s="186">
        <f t="shared" si="16"/>
        <v>44.483999999999995</v>
      </c>
      <c r="J142" s="186">
        <f t="shared" si="17"/>
        <v>57.427162511625063</v>
      </c>
      <c r="K142" s="186">
        <f t="shared" si="18"/>
        <v>10.036979986981656</v>
      </c>
      <c r="L142" s="186">
        <f t="shared" si="19"/>
        <v>24.317516918787273</v>
      </c>
      <c r="M142" s="186">
        <f t="shared" si="20"/>
        <v>98.149749969294191</v>
      </c>
      <c r="N142" s="186">
        <f t="shared" si="21"/>
        <v>108.18672995627585</v>
      </c>
      <c r="O142" s="186">
        <f t="shared" si="22"/>
        <v>2.845310997850055</v>
      </c>
    </row>
    <row r="143" spans="1:15">
      <c r="A143" s="41">
        <v>1991</v>
      </c>
      <c r="B143" s="41">
        <v>6</v>
      </c>
      <c r="C143" s="180">
        <f t="shared" si="23"/>
        <v>29.318999999999996</v>
      </c>
      <c r="D143" s="180">
        <f>+HLOOKUP('Info Gral'!$C$8,'Precip 1981-2010'!$D$5:$AL$373,135,FALSE)</f>
        <v>168.1</v>
      </c>
      <c r="E143" s="185">
        <f t="shared" si="12"/>
        <v>47.653546067456745</v>
      </c>
      <c r="F143" s="185">
        <f t="shared" si="13"/>
        <v>5.5003638202370233</v>
      </c>
      <c r="G143" s="186">
        <f t="shared" si="14"/>
        <v>129.12467769140682</v>
      </c>
      <c r="H143" s="186">
        <f t="shared" si="15"/>
        <v>11.774701473075616</v>
      </c>
      <c r="I143" s="186">
        <f t="shared" si="16"/>
        <v>29.318999999999996</v>
      </c>
      <c r="J143" s="186">
        <f t="shared" si="17"/>
        <v>96.75740213467644</v>
      </c>
      <c r="K143" s="186">
        <f t="shared" si="18"/>
        <v>32.367275556730377</v>
      </c>
      <c r="L143" s="186">
        <f t="shared" si="19"/>
        <v>32.634223460148284</v>
      </c>
      <c r="M143" s="186">
        <f t="shared" si="20"/>
        <v>88.440695593315425</v>
      </c>
      <c r="N143" s="186">
        <f t="shared" si="21"/>
        <v>120.8079711500458</v>
      </c>
      <c r="O143" s="186">
        <f t="shared" si="22"/>
        <v>3.1772496412462048</v>
      </c>
    </row>
    <row r="144" spans="1:15">
      <c r="A144" s="41">
        <v>1991</v>
      </c>
      <c r="B144" s="41">
        <v>7</v>
      </c>
      <c r="C144" s="180">
        <f t="shared" si="23"/>
        <v>35.384999999999998</v>
      </c>
      <c r="D144" s="180">
        <f>+HLOOKUP('Info Gral'!$C$8,'Precip 1981-2010'!$D$5:$AL$373,136,FALSE)</f>
        <v>130.19999999999999</v>
      </c>
      <c r="E144" s="185">
        <f t="shared" si="12"/>
        <v>44.063223758863543</v>
      </c>
      <c r="F144" s="185">
        <f t="shared" si="13"/>
        <v>2.6034671276590644</v>
      </c>
      <c r="G144" s="186">
        <f t="shared" si="14"/>
        <v>96.304463139781262</v>
      </c>
      <c r="H144" s="186">
        <f t="shared" si="15"/>
        <v>10.285238333294352</v>
      </c>
      <c r="I144" s="186">
        <f t="shared" si="16"/>
        <v>35.384999999999998</v>
      </c>
      <c r="J144" s="186">
        <f t="shared" si="17"/>
        <v>77.074805673490019</v>
      </c>
      <c r="K144" s="186">
        <f t="shared" si="18"/>
        <v>19.229657466291243</v>
      </c>
      <c r="L144" s="186">
        <f t="shared" si="19"/>
        <v>27.292643963556834</v>
      </c>
      <c r="M144" s="186">
        <f t="shared" si="20"/>
        <v>82.416385170081469</v>
      </c>
      <c r="N144" s="186">
        <f t="shared" si="21"/>
        <v>101.64604263637271</v>
      </c>
      <c r="O144" s="186">
        <f t="shared" si="22"/>
        <v>2.6732909213366023</v>
      </c>
    </row>
    <row r="145" spans="1:15">
      <c r="A145" s="41">
        <v>1991</v>
      </c>
      <c r="B145" s="41">
        <v>8</v>
      </c>
      <c r="C145" s="180">
        <f t="shared" si="23"/>
        <v>55.605000000000004</v>
      </c>
      <c r="D145" s="180">
        <f>+HLOOKUP('Info Gral'!$C$8,'Precip 1981-2010'!$D$5:$AL$373,137,FALSE)</f>
        <v>35.9</v>
      </c>
      <c r="E145" s="185">
        <f t="shared" si="12"/>
        <v>65.772686898644821</v>
      </c>
      <c r="F145" s="185">
        <f t="shared" si="13"/>
        <v>3.0503060695934439</v>
      </c>
      <c r="G145" s="186">
        <f t="shared" si="14"/>
        <v>11.290980069621224</v>
      </c>
      <c r="H145" s="186">
        <f t="shared" si="15"/>
        <v>0</v>
      </c>
      <c r="I145" s="186">
        <f t="shared" si="16"/>
        <v>34.894258263673123</v>
      </c>
      <c r="J145" s="186">
        <f t="shared" si="17"/>
        <v>10.970091256816456</v>
      </c>
      <c r="K145" s="186">
        <f t="shared" si="18"/>
        <v>0.32088881280476755</v>
      </c>
      <c r="L145" s="186">
        <f t="shared" si="19"/>
        <v>6.0991540438643197</v>
      </c>
      <c r="M145" s="186">
        <f t="shared" si="20"/>
        <v>32.16358117650897</v>
      </c>
      <c r="N145" s="186">
        <f t="shared" si="21"/>
        <v>32.484469989313737</v>
      </c>
      <c r="O145" s="186">
        <f t="shared" si="22"/>
        <v>0.85434156071895118</v>
      </c>
    </row>
    <row r="146" spans="1:15">
      <c r="A146" s="41">
        <v>1991</v>
      </c>
      <c r="B146" s="41">
        <v>9</v>
      </c>
      <c r="C146" s="180">
        <f t="shared" si="23"/>
        <v>78.858000000000004</v>
      </c>
      <c r="D146" s="180">
        <f>+HLOOKUP('Info Gral'!$C$8,'Precip 1981-2010'!$D$5:$AL$373,138,FALSE)</f>
        <v>40.700000000000003</v>
      </c>
      <c r="E146" s="185">
        <f t="shared" ref="E146:E209" si="24">+CAD*AD-H145+C146</f>
        <v>99.310925231939166</v>
      </c>
      <c r="F146" s="185">
        <f t="shared" ref="F146:F209" si="25">+CP.o*(CAD*AD-H145)</f>
        <v>6.1358775695817496</v>
      </c>
      <c r="G146" s="186">
        <f t="shared" ref="G146:G209" si="26">+IF(D146&lt;F146,0,(D146-F146)^2/(D146+E146-2*F146))</f>
        <v>9.3524841167925175</v>
      </c>
      <c r="H146" s="186">
        <f t="shared" ref="H146:H209" si="27">+MAX(0,H145+D146-G146-C146)</f>
        <v>0</v>
      </c>
      <c r="I146" s="186">
        <f t="shared" ref="I146:I209" si="28">+MIN(H145+D146-G146,C146)</f>
        <v>31.347515883207485</v>
      </c>
      <c r="J146" s="186">
        <f t="shared" ref="J146:J209" si="29">+Imax*G146/(G146+Imax)</f>
        <v>9.1312411433222493</v>
      </c>
      <c r="K146" s="186">
        <f t="shared" ref="K146:K209" si="30">+G146-J146</f>
        <v>0.22124297347026811</v>
      </c>
      <c r="L146" s="186">
        <f t="shared" ref="L146:L209" si="31">+L145*EXP(-α)+J146*EXP(-α/2)</f>
        <v>3.4517668440837932</v>
      </c>
      <c r="M146" s="186">
        <f t="shared" ref="M146:M209" si="32">+L145-L146+J146</f>
        <v>11.778628343102776</v>
      </c>
      <c r="N146" s="186">
        <f t="shared" ref="N146:N209" si="33">+M146+K146</f>
        <v>11.999871316573044</v>
      </c>
      <c r="O146" s="186">
        <f t="shared" ref="O146:O209" si="34">+N146*Ac/100000</f>
        <v>0.31559661562587105</v>
      </c>
    </row>
    <row r="147" spans="1:15">
      <c r="A147" s="41">
        <v>1991</v>
      </c>
      <c r="B147" s="41">
        <v>10</v>
      </c>
      <c r="C147" s="180">
        <f t="shared" si="23"/>
        <v>113.232</v>
      </c>
      <c r="D147" s="180">
        <f>+HLOOKUP('Info Gral'!$C$8,'Precip 1981-2010'!$D$5:$AL$373,139,FALSE)</f>
        <v>182</v>
      </c>
      <c r="E147" s="185">
        <f t="shared" si="24"/>
        <v>133.68492523193916</v>
      </c>
      <c r="F147" s="185">
        <f t="shared" si="25"/>
        <v>6.1358775695817496</v>
      </c>
      <c r="G147" s="186">
        <f t="shared" si="26"/>
        <v>101.93423557970186</v>
      </c>
      <c r="H147" s="186">
        <f t="shared" si="27"/>
        <v>0</v>
      </c>
      <c r="I147" s="186">
        <f t="shared" si="28"/>
        <v>80.065764420298137</v>
      </c>
      <c r="J147" s="186">
        <f t="shared" si="29"/>
        <v>80.639176480449748</v>
      </c>
      <c r="K147" s="186">
        <f t="shared" si="30"/>
        <v>21.295059099252114</v>
      </c>
      <c r="L147" s="186">
        <f t="shared" si="31"/>
        <v>25.55367387771096</v>
      </c>
      <c r="M147" s="186">
        <f t="shared" si="32"/>
        <v>58.537269446822577</v>
      </c>
      <c r="N147" s="186">
        <f t="shared" si="33"/>
        <v>79.832328546074692</v>
      </c>
      <c r="O147" s="186">
        <f t="shared" si="34"/>
        <v>2.0995902407617644</v>
      </c>
    </row>
    <row r="148" spans="1:15">
      <c r="A148" s="41">
        <v>1991</v>
      </c>
      <c r="B148" s="41">
        <v>11</v>
      </c>
      <c r="C148" s="180">
        <f t="shared" si="23"/>
        <v>148.61699999999999</v>
      </c>
      <c r="D148" s="180">
        <f>+HLOOKUP('Info Gral'!$C$8,'Precip 1981-2010'!$D$5:$AL$373,140,FALSE)</f>
        <v>59.9</v>
      </c>
      <c r="E148" s="185">
        <f t="shared" si="24"/>
        <v>169.06992523193915</v>
      </c>
      <c r="F148" s="185">
        <f t="shared" si="25"/>
        <v>6.1358775695817496</v>
      </c>
      <c r="G148" s="186">
        <f t="shared" si="26"/>
        <v>13.339202908245369</v>
      </c>
      <c r="H148" s="186">
        <f t="shared" si="27"/>
        <v>0</v>
      </c>
      <c r="I148" s="186">
        <f t="shared" si="28"/>
        <v>46.56079709175463</v>
      </c>
      <c r="J148" s="186">
        <f t="shared" si="29"/>
        <v>12.893630991109486</v>
      </c>
      <c r="K148" s="186">
        <f t="shared" si="30"/>
        <v>0.44557191713588296</v>
      </c>
      <c r="L148" s="186">
        <f t="shared" si="31"/>
        <v>6.5306090598502289</v>
      </c>
      <c r="M148" s="186">
        <f t="shared" si="32"/>
        <v>31.916695808970218</v>
      </c>
      <c r="N148" s="186">
        <f t="shared" si="33"/>
        <v>32.362267726106097</v>
      </c>
      <c r="O148" s="186">
        <f t="shared" si="34"/>
        <v>0.85112764119659046</v>
      </c>
    </row>
    <row r="149" spans="1:15">
      <c r="A149" s="41">
        <v>1991</v>
      </c>
      <c r="B149" s="41">
        <v>12</v>
      </c>
      <c r="C149" s="180">
        <f t="shared" si="23"/>
        <v>179.958</v>
      </c>
      <c r="D149" s="180">
        <f>+HLOOKUP('Info Gral'!$C$8,'Precip 1981-2010'!$D$5:$AL$373,141,FALSE)</f>
        <v>292.39999999999998</v>
      </c>
      <c r="E149" s="185">
        <f t="shared" si="24"/>
        <v>200.41092523193916</v>
      </c>
      <c r="F149" s="185">
        <f t="shared" si="25"/>
        <v>6.1358775695817496</v>
      </c>
      <c r="G149" s="186">
        <f t="shared" si="26"/>
        <v>170.53167127881855</v>
      </c>
      <c r="H149" s="186">
        <f t="shared" si="27"/>
        <v>0</v>
      </c>
      <c r="I149" s="186">
        <f t="shared" si="28"/>
        <v>121.86832872118143</v>
      </c>
      <c r="J149" s="186">
        <f t="shared" si="29"/>
        <v>118.27759049609593</v>
      </c>
      <c r="K149" s="186">
        <f t="shared" si="30"/>
        <v>52.254080782722625</v>
      </c>
      <c r="L149" s="186">
        <f t="shared" si="31"/>
        <v>37.624395372392563</v>
      </c>
      <c r="M149" s="186">
        <f t="shared" si="32"/>
        <v>87.18380418355359</v>
      </c>
      <c r="N149" s="186">
        <f t="shared" si="33"/>
        <v>139.43788496627621</v>
      </c>
      <c r="O149" s="186">
        <f t="shared" si="34"/>
        <v>3.6672163746130648</v>
      </c>
    </row>
    <row r="150" spans="1:15">
      <c r="A150" s="41">
        <v>1992</v>
      </c>
      <c r="B150" s="41">
        <v>1</v>
      </c>
      <c r="C150" s="180">
        <f t="shared" si="23"/>
        <v>190.06799999999998</v>
      </c>
      <c r="D150" s="180">
        <f>+HLOOKUP('Info Gral'!$C$8,'Precip 1981-2010'!$D$5:$AL$373,142,FALSE)</f>
        <v>63.6</v>
      </c>
      <c r="E150" s="185">
        <f t="shared" si="24"/>
        <v>210.52092523193915</v>
      </c>
      <c r="F150" s="185">
        <f t="shared" si="25"/>
        <v>6.1358775695817496</v>
      </c>
      <c r="G150" s="186">
        <f t="shared" si="26"/>
        <v>12.610791798683659</v>
      </c>
      <c r="H150" s="186">
        <f t="shared" si="27"/>
        <v>0</v>
      </c>
      <c r="I150" s="186">
        <f t="shared" si="28"/>
        <v>50.989208201316345</v>
      </c>
      <c r="J150" s="186">
        <f t="shared" si="29"/>
        <v>12.211826007837573</v>
      </c>
      <c r="K150" s="186">
        <f t="shared" si="30"/>
        <v>0.39896579084608597</v>
      </c>
      <c r="L150" s="186">
        <f t="shared" si="31"/>
        <v>7.4977230132028776</v>
      </c>
      <c r="M150" s="186">
        <f t="shared" si="32"/>
        <v>42.338498367027256</v>
      </c>
      <c r="N150" s="186">
        <f t="shared" si="33"/>
        <v>42.73746415787334</v>
      </c>
      <c r="O150" s="186">
        <f t="shared" si="34"/>
        <v>1.123995307352069</v>
      </c>
    </row>
    <row r="151" spans="1:15">
      <c r="A151" s="41">
        <v>1992</v>
      </c>
      <c r="B151" s="41">
        <v>2</v>
      </c>
      <c r="C151" s="180">
        <f t="shared" si="23"/>
        <v>146.595</v>
      </c>
      <c r="D151" s="180">
        <f>+HLOOKUP('Info Gral'!$C$8,'Precip 1981-2010'!$D$5:$AL$373,143,FALSE)</f>
        <v>238.1</v>
      </c>
      <c r="E151" s="185">
        <f t="shared" si="24"/>
        <v>167.04792523193916</v>
      </c>
      <c r="F151" s="185">
        <f t="shared" si="25"/>
        <v>6.1358775695817496</v>
      </c>
      <c r="G151" s="186">
        <f t="shared" si="26"/>
        <v>136.95754080021638</v>
      </c>
      <c r="H151" s="186">
        <f t="shared" si="27"/>
        <v>0</v>
      </c>
      <c r="I151" s="186">
        <f t="shared" si="28"/>
        <v>101.14245919978362</v>
      </c>
      <c r="J151" s="186">
        <f t="shared" si="29"/>
        <v>101.08968056563425</v>
      </c>
      <c r="K151" s="186">
        <f t="shared" si="30"/>
        <v>35.867860234582125</v>
      </c>
      <c r="L151" s="186">
        <f t="shared" si="31"/>
        <v>32.344244470675186</v>
      </c>
      <c r="M151" s="186">
        <f t="shared" si="32"/>
        <v>76.243159108161947</v>
      </c>
      <c r="N151" s="186">
        <f t="shared" si="33"/>
        <v>112.11101934274407</v>
      </c>
      <c r="O151" s="186">
        <f t="shared" si="34"/>
        <v>2.9485198087141691</v>
      </c>
    </row>
    <row r="152" spans="1:15">
      <c r="A152" s="41">
        <v>1992</v>
      </c>
      <c r="B152" s="41">
        <v>3</v>
      </c>
      <c r="C152" s="180">
        <f t="shared" si="23"/>
        <v>120.30899999999998</v>
      </c>
      <c r="D152" s="180">
        <f>+HLOOKUP('Info Gral'!$C$8,'Precip 1981-2010'!$D$5:$AL$373,144,FALSE)</f>
        <v>165</v>
      </c>
      <c r="E152" s="185">
        <f t="shared" si="24"/>
        <v>140.76192523193916</v>
      </c>
      <c r="F152" s="185">
        <f t="shared" si="25"/>
        <v>6.1358775695817496</v>
      </c>
      <c r="G152" s="186">
        <f t="shared" si="26"/>
        <v>85.992009162040958</v>
      </c>
      <c r="H152" s="186">
        <f t="shared" si="27"/>
        <v>0</v>
      </c>
      <c r="I152" s="186">
        <f t="shared" si="28"/>
        <v>79.007990837959042</v>
      </c>
      <c r="J152" s="186">
        <f t="shared" si="29"/>
        <v>70.325164181227166</v>
      </c>
      <c r="K152" s="186">
        <f t="shared" si="30"/>
        <v>15.666844980813792</v>
      </c>
      <c r="L152" s="186">
        <f t="shared" si="31"/>
        <v>25.153652677120558</v>
      </c>
      <c r="M152" s="186">
        <f t="shared" si="32"/>
        <v>77.515755974781797</v>
      </c>
      <c r="N152" s="186">
        <f t="shared" si="33"/>
        <v>93.182600955595589</v>
      </c>
      <c r="O152" s="186">
        <f t="shared" si="34"/>
        <v>2.450702405132164</v>
      </c>
    </row>
    <row r="153" spans="1:15">
      <c r="A153" s="41">
        <v>1992</v>
      </c>
      <c r="B153" s="41">
        <v>4</v>
      </c>
      <c r="C153" s="180">
        <f t="shared" si="23"/>
        <v>73.802999999999997</v>
      </c>
      <c r="D153" s="180">
        <f>+HLOOKUP('Info Gral'!$C$8,'Precip 1981-2010'!$D$5:$AL$373,145,FALSE)</f>
        <v>394.7</v>
      </c>
      <c r="E153" s="185">
        <f t="shared" si="24"/>
        <v>94.255925231939159</v>
      </c>
      <c r="F153" s="185">
        <f t="shared" si="25"/>
        <v>6.1358775695817496</v>
      </c>
      <c r="G153" s="186">
        <f t="shared" si="26"/>
        <v>316.73398596545769</v>
      </c>
      <c r="H153" s="186">
        <f t="shared" si="27"/>
        <v>4.1630140345423001</v>
      </c>
      <c r="I153" s="186">
        <f t="shared" si="28"/>
        <v>73.802999999999997</v>
      </c>
      <c r="J153" s="186">
        <f t="shared" si="29"/>
        <v>173.97666972759197</v>
      </c>
      <c r="K153" s="186">
        <f t="shared" si="30"/>
        <v>142.75731623786572</v>
      </c>
      <c r="L153" s="186">
        <f t="shared" si="31"/>
        <v>56.862714633743366</v>
      </c>
      <c r="M153" s="186">
        <f t="shared" si="32"/>
        <v>142.26760777096916</v>
      </c>
      <c r="N153" s="186">
        <f t="shared" si="33"/>
        <v>285.02492400883489</v>
      </c>
      <c r="O153" s="186">
        <f t="shared" si="34"/>
        <v>7.4961555014323569</v>
      </c>
    </row>
    <row r="154" spans="1:15">
      <c r="A154" s="41">
        <v>1992</v>
      </c>
      <c r="B154" s="41">
        <v>5</v>
      </c>
      <c r="C154" s="180">
        <f t="shared" si="23"/>
        <v>44.483999999999995</v>
      </c>
      <c r="D154" s="180">
        <f>+HLOOKUP('Info Gral'!$C$8,'Precip 1981-2010'!$D$5:$AL$373,146,FALSE)</f>
        <v>287.2</v>
      </c>
      <c r="E154" s="185">
        <f t="shared" si="24"/>
        <v>60.773911197396856</v>
      </c>
      <c r="F154" s="185">
        <f t="shared" si="25"/>
        <v>4.8869733592190592</v>
      </c>
      <c r="G154" s="186">
        <f t="shared" si="26"/>
        <v>235.66130509170088</v>
      </c>
      <c r="H154" s="186">
        <f t="shared" si="27"/>
        <v>11.217708942841412</v>
      </c>
      <c r="I154" s="186">
        <f t="shared" si="28"/>
        <v>44.483999999999995</v>
      </c>
      <c r="J154" s="186">
        <f t="shared" si="29"/>
        <v>146.32608306218819</v>
      </c>
      <c r="K154" s="186">
        <f t="shared" si="30"/>
        <v>89.335222029512693</v>
      </c>
      <c r="L154" s="186">
        <f t="shared" si="31"/>
        <v>51.316902233449888</v>
      </c>
      <c r="M154" s="186">
        <f t="shared" si="32"/>
        <v>151.87189546248166</v>
      </c>
      <c r="N154" s="186">
        <f t="shared" si="33"/>
        <v>241.20711749199435</v>
      </c>
      <c r="O154" s="186">
        <f t="shared" si="34"/>
        <v>6.3437471900394513</v>
      </c>
    </row>
    <row r="155" spans="1:15">
      <c r="A155" s="41">
        <v>1992</v>
      </c>
      <c r="B155" s="41">
        <v>6</v>
      </c>
      <c r="C155" s="180">
        <f t="shared" si="23"/>
        <v>29.318999999999996</v>
      </c>
      <c r="D155" s="180">
        <f>+HLOOKUP('Info Gral'!$C$8,'Precip 1981-2010'!$D$5:$AL$373,147,FALSE)</f>
        <v>247.9</v>
      </c>
      <c r="E155" s="185">
        <f t="shared" si="24"/>
        <v>38.554216289097752</v>
      </c>
      <c r="F155" s="185">
        <f t="shared" si="25"/>
        <v>2.7705648867293258</v>
      </c>
      <c r="G155" s="186">
        <f t="shared" si="26"/>
        <v>213.90402527796053</v>
      </c>
      <c r="H155" s="186">
        <f t="shared" si="27"/>
        <v>15.894683664880908</v>
      </c>
      <c r="I155" s="186">
        <f t="shared" si="28"/>
        <v>29.318999999999996</v>
      </c>
      <c r="J155" s="186">
        <f t="shared" si="29"/>
        <v>137.63360517382102</v>
      </c>
      <c r="K155" s="186">
        <f t="shared" si="30"/>
        <v>76.270420104139504</v>
      </c>
      <c r="L155" s="186">
        <f t="shared" si="31"/>
        <v>48.056445822050172</v>
      </c>
      <c r="M155" s="186">
        <f t="shared" si="32"/>
        <v>140.89406158522075</v>
      </c>
      <c r="N155" s="186">
        <f t="shared" si="33"/>
        <v>217.16448168936026</v>
      </c>
      <c r="O155" s="186">
        <f t="shared" si="34"/>
        <v>5.7114258684301751</v>
      </c>
    </row>
    <row r="156" spans="1:15">
      <c r="A156" s="41">
        <v>1992</v>
      </c>
      <c r="B156" s="41">
        <v>7</v>
      </c>
      <c r="C156" s="180">
        <f t="shared" si="23"/>
        <v>35.384999999999998</v>
      </c>
      <c r="D156" s="180">
        <f>+HLOOKUP('Info Gral'!$C$8,'Precip 1981-2010'!$D$5:$AL$373,148,FALSE)</f>
        <v>102.5</v>
      </c>
      <c r="E156" s="185">
        <f t="shared" si="24"/>
        <v>39.943241567058251</v>
      </c>
      <c r="F156" s="185">
        <f t="shared" si="25"/>
        <v>1.367472470117477</v>
      </c>
      <c r="G156" s="186">
        <f t="shared" si="26"/>
        <v>73.208165667512432</v>
      </c>
      <c r="H156" s="186">
        <f t="shared" si="27"/>
        <v>9.8015179973684852</v>
      </c>
      <c r="I156" s="186">
        <f t="shared" si="28"/>
        <v>35.384999999999998</v>
      </c>
      <c r="J156" s="186">
        <f t="shared" si="29"/>
        <v>61.537128606114827</v>
      </c>
      <c r="K156" s="186">
        <f t="shared" si="30"/>
        <v>11.671037061397605</v>
      </c>
      <c r="L156" s="186">
        <f t="shared" si="31"/>
        <v>23.941996846279316</v>
      </c>
      <c r="M156" s="186">
        <f t="shared" si="32"/>
        <v>85.651577581885675</v>
      </c>
      <c r="N156" s="186">
        <f t="shared" si="33"/>
        <v>97.322614643283288</v>
      </c>
      <c r="O156" s="186">
        <f t="shared" si="34"/>
        <v>2.5595847651183505</v>
      </c>
    </row>
    <row r="157" spans="1:15">
      <c r="A157" s="41">
        <v>1992</v>
      </c>
      <c r="B157" s="41">
        <v>8</v>
      </c>
      <c r="C157" s="180">
        <f t="shared" si="23"/>
        <v>55.605000000000004</v>
      </c>
      <c r="D157" s="180">
        <f>+HLOOKUP('Info Gral'!$C$8,'Precip 1981-2010'!$D$5:$AL$373,149,FALSE)</f>
        <v>16.2</v>
      </c>
      <c r="E157" s="185">
        <f t="shared" si="24"/>
        <v>66.256407234570688</v>
      </c>
      <c r="F157" s="185">
        <f t="shared" si="25"/>
        <v>3.195422170371204</v>
      </c>
      <c r="G157" s="186">
        <f t="shared" si="26"/>
        <v>2.2233325843250227</v>
      </c>
      <c r="H157" s="186">
        <f t="shared" si="27"/>
        <v>0</v>
      </c>
      <c r="I157" s="186">
        <f t="shared" si="28"/>
        <v>23.778185413043463</v>
      </c>
      <c r="J157" s="186">
        <f t="shared" si="29"/>
        <v>2.2105996871351103</v>
      </c>
      <c r="K157" s="186">
        <f t="shared" si="30"/>
        <v>1.2732897189912329E-2</v>
      </c>
      <c r="L157" s="186">
        <f t="shared" si="31"/>
        <v>3.0323930451404459</v>
      </c>
      <c r="M157" s="186">
        <f t="shared" si="32"/>
        <v>23.120203488273983</v>
      </c>
      <c r="N157" s="186">
        <f t="shared" si="33"/>
        <v>23.132936385463896</v>
      </c>
      <c r="O157" s="186">
        <f t="shared" si="34"/>
        <v>0.60839622693770046</v>
      </c>
    </row>
    <row r="158" spans="1:15">
      <c r="A158" s="41">
        <v>1992</v>
      </c>
      <c r="B158" s="41">
        <v>9</v>
      </c>
      <c r="C158" s="180">
        <f t="shared" ref="C158:C221" si="35">+C146</f>
        <v>78.858000000000004</v>
      </c>
      <c r="D158" s="180">
        <f>+HLOOKUP('Info Gral'!$C$8,'Precip 1981-2010'!$D$5:$AL$373,150,FALSE)</f>
        <v>98.6</v>
      </c>
      <c r="E158" s="185">
        <f t="shared" si="24"/>
        <v>99.310925231939166</v>
      </c>
      <c r="F158" s="185">
        <f t="shared" si="25"/>
        <v>6.1358775695817496</v>
      </c>
      <c r="G158" s="186">
        <f t="shared" si="26"/>
        <v>46.055010548445082</v>
      </c>
      <c r="H158" s="186">
        <f t="shared" si="27"/>
        <v>0</v>
      </c>
      <c r="I158" s="186">
        <f t="shared" si="28"/>
        <v>52.544989451554912</v>
      </c>
      <c r="J158" s="186">
        <f t="shared" si="29"/>
        <v>41.145765325423746</v>
      </c>
      <c r="K158" s="186">
        <f t="shared" si="30"/>
        <v>4.9092452230213368</v>
      </c>
      <c r="L158" s="186">
        <f t="shared" si="31"/>
        <v>13.162940369597715</v>
      </c>
      <c r="M158" s="186">
        <f t="shared" si="32"/>
        <v>31.015218000966478</v>
      </c>
      <c r="N158" s="186">
        <f t="shared" si="33"/>
        <v>35.924463223987814</v>
      </c>
      <c r="O158" s="186">
        <f t="shared" si="34"/>
        <v>0.94481338279087956</v>
      </c>
    </row>
    <row r="159" spans="1:15">
      <c r="A159" s="41">
        <v>1992</v>
      </c>
      <c r="B159" s="41">
        <v>10</v>
      </c>
      <c r="C159" s="180">
        <f t="shared" si="35"/>
        <v>113.232</v>
      </c>
      <c r="D159" s="180">
        <f>+HLOOKUP('Info Gral'!$C$8,'Precip 1981-2010'!$D$5:$AL$373,151,FALSE)</f>
        <v>89.1</v>
      </c>
      <c r="E159" s="185">
        <f t="shared" si="24"/>
        <v>133.68492523193916</v>
      </c>
      <c r="F159" s="185">
        <f t="shared" si="25"/>
        <v>6.1358775695817496</v>
      </c>
      <c r="G159" s="186">
        <f t="shared" si="26"/>
        <v>32.696508287894709</v>
      </c>
      <c r="H159" s="186">
        <f t="shared" si="27"/>
        <v>0</v>
      </c>
      <c r="I159" s="186">
        <f t="shared" si="28"/>
        <v>56.403491712105286</v>
      </c>
      <c r="J159" s="186">
        <f t="shared" si="29"/>
        <v>30.143199069740728</v>
      </c>
      <c r="K159" s="186">
        <f t="shared" si="30"/>
        <v>2.5533092181539807</v>
      </c>
      <c r="L159" s="186">
        <f t="shared" si="31"/>
        <v>10.712999813270017</v>
      </c>
      <c r="M159" s="186">
        <f t="shared" si="32"/>
        <v>32.593139626068428</v>
      </c>
      <c r="N159" s="186">
        <f t="shared" si="33"/>
        <v>35.146448844222405</v>
      </c>
      <c r="O159" s="186">
        <f t="shared" si="34"/>
        <v>0.92435160460304922</v>
      </c>
    </row>
    <row r="160" spans="1:15">
      <c r="A160" s="41">
        <v>1992</v>
      </c>
      <c r="B160" s="41">
        <v>11</v>
      </c>
      <c r="C160" s="180">
        <f t="shared" si="35"/>
        <v>148.61699999999999</v>
      </c>
      <c r="D160" s="180">
        <f>+HLOOKUP('Info Gral'!$C$8,'Precip 1981-2010'!$D$5:$AL$373,152,FALSE)</f>
        <v>59.4</v>
      </c>
      <c r="E160" s="185">
        <f t="shared" si="24"/>
        <v>169.06992523193915</v>
      </c>
      <c r="F160" s="185">
        <f t="shared" si="25"/>
        <v>6.1358775695817496</v>
      </c>
      <c r="G160" s="186">
        <f t="shared" si="26"/>
        <v>13.122528914398918</v>
      </c>
      <c r="H160" s="186">
        <f t="shared" si="27"/>
        <v>0</v>
      </c>
      <c r="I160" s="186">
        <f t="shared" si="28"/>
        <v>46.277471085601078</v>
      </c>
      <c r="J160" s="186">
        <f t="shared" si="29"/>
        <v>12.691080542948637</v>
      </c>
      <c r="K160" s="186">
        <f t="shared" si="30"/>
        <v>0.4314483714502817</v>
      </c>
      <c r="L160" s="186">
        <f t="shared" si="31"/>
        <v>5.0160986150095743</v>
      </c>
      <c r="M160" s="186">
        <f t="shared" si="32"/>
        <v>18.387981741209078</v>
      </c>
      <c r="N160" s="186">
        <f t="shared" si="33"/>
        <v>18.819430112659361</v>
      </c>
      <c r="O160" s="186">
        <f t="shared" si="34"/>
        <v>0.49495101196294117</v>
      </c>
    </row>
    <row r="161" spans="1:15">
      <c r="A161" s="41">
        <v>1992</v>
      </c>
      <c r="B161" s="41">
        <v>12</v>
      </c>
      <c r="C161" s="180">
        <f t="shared" si="35"/>
        <v>179.958</v>
      </c>
      <c r="D161" s="180">
        <f>+HLOOKUP('Info Gral'!$C$8,'Precip 1981-2010'!$D$5:$AL$373,153,FALSE)</f>
        <v>116.8</v>
      </c>
      <c r="E161" s="185">
        <f t="shared" si="24"/>
        <v>200.41092523193916</v>
      </c>
      <c r="F161" s="185">
        <f t="shared" si="25"/>
        <v>6.1358775695817496</v>
      </c>
      <c r="G161" s="186">
        <f t="shared" si="26"/>
        <v>40.160626099850241</v>
      </c>
      <c r="H161" s="186">
        <f t="shared" si="27"/>
        <v>0</v>
      </c>
      <c r="I161" s="186">
        <f t="shared" si="28"/>
        <v>76.639373900149764</v>
      </c>
      <c r="J161" s="186">
        <f t="shared" si="29"/>
        <v>36.375959497745917</v>
      </c>
      <c r="K161" s="186">
        <f t="shared" si="30"/>
        <v>3.7846666021043234</v>
      </c>
      <c r="L161" s="186">
        <f t="shared" si="31"/>
        <v>11.865379221442554</v>
      </c>
      <c r="M161" s="186">
        <f t="shared" si="32"/>
        <v>29.526678891312937</v>
      </c>
      <c r="N161" s="186">
        <f t="shared" si="33"/>
        <v>33.311345493417264</v>
      </c>
      <c r="O161" s="186">
        <f t="shared" si="34"/>
        <v>0.87608838647687404</v>
      </c>
    </row>
    <row r="162" spans="1:15">
      <c r="A162" s="41">
        <v>1993</v>
      </c>
      <c r="B162" s="41">
        <v>1</v>
      </c>
      <c r="C162" s="180">
        <f t="shared" si="35"/>
        <v>190.06799999999998</v>
      </c>
      <c r="D162" s="180">
        <f>+HLOOKUP('Info Gral'!$C$8,'Precip 1981-2010'!$D$5:$AL$373,154,FALSE)</f>
        <v>253.3</v>
      </c>
      <c r="E162" s="185">
        <f t="shared" si="24"/>
        <v>210.52092523193915</v>
      </c>
      <c r="F162" s="185">
        <f t="shared" si="25"/>
        <v>6.1358775695817496</v>
      </c>
      <c r="G162" s="186">
        <f t="shared" si="26"/>
        <v>135.2900358653016</v>
      </c>
      <c r="H162" s="186">
        <f t="shared" si="27"/>
        <v>0</v>
      </c>
      <c r="I162" s="186">
        <f t="shared" si="28"/>
        <v>118.00996413469841</v>
      </c>
      <c r="J162" s="186">
        <f t="shared" si="29"/>
        <v>100.1783081414974</v>
      </c>
      <c r="K162" s="186">
        <f t="shared" si="30"/>
        <v>35.111727723804208</v>
      </c>
      <c r="L162" s="186">
        <f t="shared" si="31"/>
        <v>32.486339641118981</v>
      </c>
      <c r="M162" s="186">
        <f t="shared" si="32"/>
        <v>79.557347721820975</v>
      </c>
      <c r="N162" s="186">
        <f t="shared" si="33"/>
        <v>114.66907544562518</v>
      </c>
      <c r="O162" s="186">
        <f t="shared" si="34"/>
        <v>3.0157966842199424</v>
      </c>
    </row>
    <row r="163" spans="1:15">
      <c r="A163" s="41">
        <v>1993</v>
      </c>
      <c r="B163" s="41">
        <v>2</v>
      </c>
      <c r="C163" s="180">
        <f t="shared" si="35"/>
        <v>146.595</v>
      </c>
      <c r="D163" s="180">
        <f>+HLOOKUP('Info Gral'!$C$8,'Precip 1981-2010'!$D$5:$AL$373,155,FALSE)</f>
        <v>73.599999999999994</v>
      </c>
      <c r="E163" s="185">
        <f t="shared" si="24"/>
        <v>167.04792523193916</v>
      </c>
      <c r="F163" s="185">
        <f t="shared" si="25"/>
        <v>6.1358775695817496</v>
      </c>
      <c r="G163" s="186">
        <f t="shared" si="26"/>
        <v>19.92943402745346</v>
      </c>
      <c r="H163" s="186">
        <f t="shared" si="27"/>
        <v>0</v>
      </c>
      <c r="I163" s="186">
        <f t="shared" si="28"/>
        <v>53.670565972546534</v>
      </c>
      <c r="J163" s="186">
        <f t="shared" si="29"/>
        <v>18.950982337675878</v>
      </c>
      <c r="K163" s="186">
        <f t="shared" si="30"/>
        <v>0.97845168977758235</v>
      </c>
      <c r="L163" s="186">
        <f t="shared" si="31"/>
        <v>9.1026636238104626</v>
      </c>
      <c r="M163" s="186">
        <f t="shared" si="32"/>
        <v>42.334658354984398</v>
      </c>
      <c r="N163" s="186">
        <f t="shared" si="33"/>
        <v>43.313110044761984</v>
      </c>
      <c r="O163" s="186">
        <f t="shared" si="34"/>
        <v>1.1391347941772403</v>
      </c>
    </row>
    <row r="164" spans="1:15">
      <c r="A164" s="41">
        <v>1993</v>
      </c>
      <c r="B164" s="41">
        <v>3</v>
      </c>
      <c r="C164" s="180">
        <f t="shared" si="35"/>
        <v>120.30899999999998</v>
      </c>
      <c r="D164" s="180">
        <f>+HLOOKUP('Info Gral'!$C$8,'Precip 1981-2010'!$D$5:$AL$373,156,FALSE)</f>
        <v>64.900000000000006</v>
      </c>
      <c r="E164" s="185">
        <f t="shared" si="24"/>
        <v>140.76192523193916</v>
      </c>
      <c r="F164" s="185">
        <f t="shared" si="25"/>
        <v>6.1358775695817496</v>
      </c>
      <c r="G164" s="186">
        <f t="shared" si="26"/>
        <v>17.856244106722492</v>
      </c>
      <c r="H164" s="186">
        <f t="shared" si="27"/>
        <v>0</v>
      </c>
      <c r="I164" s="186">
        <f t="shared" si="28"/>
        <v>47.043755893277513</v>
      </c>
      <c r="J164" s="186">
        <f t="shared" si="29"/>
        <v>17.066741757181987</v>
      </c>
      <c r="K164" s="186">
        <f t="shared" si="30"/>
        <v>0.78950234954050558</v>
      </c>
      <c r="L164" s="186">
        <f t="shared" si="31"/>
        <v>6.2269187289243382</v>
      </c>
      <c r="M164" s="186">
        <f t="shared" si="32"/>
        <v>19.942486652068112</v>
      </c>
      <c r="N164" s="186">
        <f t="shared" si="33"/>
        <v>20.731989001608618</v>
      </c>
      <c r="O164" s="186">
        <f t="shared" si="34"/>
        <v>0.54525131074230671</v>
      </c>
    </row>
    <row r="165" spans="1:15">
      <c r="A165" s="41">
        <v>1993</v>
      </c>
      <c r="B165" s="41">
        <v>4</v>
      </c>
      <c r="C165" s="180">
        <f t="shared" si="35"/>
        <v>73.802999999999997</v>
      </c>
      <c r="D165" s="180">
        <f>+HLOOKUP('Info Gral'!$C$8,'Precip 1981-2010'!$D$5:$AL$373,157,FALSE)</f>
        <v>119.8</v>
      </c>
      <c r="E165" s="185">
        <f t="shared" si="24"/>
        <v>94.255925231939159</v>
      </c>
      <c r="F165" s="185">
        <f t="shared" si="25"/>
        <v>6.1358775695817496</v>
      </c>
      <c r="G165" s="186">
        <f t="shared" si="26"/>
        <v>64.026492870758929</v>
      </c>
      <c r="H165" s="186">
        <f t="shared" si="27"/>
        <v>0</v>
      </c>
      <c r="I165" s="186">
        <f t="shared" si="28"/>
        <v>55.773507129241068</v>
      </c>
      <c r="J165" s="186">
        <f t="shared" si="29"/>
        <v>54.917269626636212</v>
      </c>
      <c r="K165" s="186">
        <f t="shared" si="30"/>
        <v>9.1092232441227168</v>
      </c>
      <c r="L165" s="186">
        <f t="shared" si="31"/>
        <v>17.781708920683354</v>
      </c>
      <c r="M165" s="186">
        <f t="shared" si="32"/>
        <v>43.362479434877201</v>
      </c>
      <c r="N165" s="186">
        <f t="shared" si="33"/>
        <v>52.471702678999918</v>
      </c>
      <c r="O165" s="186">
        <f t="shared" si="34"/>
        <v>1.380005780457698</v>
      </c>
    </row>
    <row r="166" spans="1:15">
      <c r="A166" s="41">
        <v>1993</v>
      </c>
      <c r="B166" s="41">
        <v>5</v>
      </c>
      <c r="C166" s="180">
        <f t="shared" si="35"/>
        <v>44.483999999999995</v>
      </c>
      <c r="D166" s="180">
        <f>+HLOOKUP('Info Gral'!$C$8,'Precip 1981-2010'!$D$5:$AL$373,158,FALSE)</f>
        <v>367.4</v>
      </c>
      <c r="E166" s="185">
        <f t="shared" si="24"/>
        <v>64.936925231939156</v>
      </c>
      <c r="F166" s="185">
        <f t="shared" si="25"/>
        <v>6.1358775695817496</v>
      </c>
      <c r="G166" s="186">
        <f t="shared" si="26"/>
        <v>310.69409093497416</v>
      </c>
      <c r="H166" s="186">
        <f t="shared" si="27"/>
        <v>12.221909065025827</v>
      </c>
      <c r="I166" s="186">
        <f t="shared" si="28"/>
        <v>44.483999999999995</v>
      </c>
      <c r="J166" s="186">
        <f t="shared" si="29"/>
        <v>172.13856219155659</v>
      </c>
      <c r="K166" s="186">
        <f t="shared" si="30"/>
        <v>138.55552874341757</v>
      </c>
      <c r="L166" s="186">
        <f t="shared" si="31"/>
        <v>55.567078026449671</v>
      </c>
      <c r="M166" s="186">
        <f t="shared" si="32"/>
        <v>134.35319308579028</v>
      </c>
      <c r="N166" s="186">
        <f t="shared" si="33"/>
        <v>272.90872182920782</v>
      </c>
      <c r="O166" s="186">
        <f t="shared" si="34"/>
        <v>7.1774993841081658</v>
      </c>
    </row>
    <row r="167" spans="1:15">
      <c r="A167" s="41">
        <v>1993</v>
      </c>
      <c r="B167" s="41">
        <v>6</v>
      </c>
      <c r="C167" s="180">
        <f t="shared" si="35"/>
        <v>29.318999999999996</v>
      </c>
      <c r="D167" s="180">
        <f>+HLOOKUP('Info Gral'!$C$8,'Precip 1981-2010'!$D$5:$AL$373,159,FALSE)</f>
        <v>72.8</v>
      </c>
      <c r="E167" s="185">
        <f t="shared" si="24"/>
        <v>37.550016166913338</v>
      </c>
      <c r="F167" s="185">
        <f t="shared" si="25"/>
        <v>2.4693048500740016</v>
      </c>
      <c r="G167" s="186">
        <f t="shared" si="26"/>
        <v>46.924776417164622</v>
      </c>
      <c r="H167" s="186">
        <f t="shared" si="27"/>
        <v>8.7781326478612058</v>
      </c>
      <c r="I167" s="186">
        <f t="shared" si="28"/>
        <v>29.318999999999996</v>
      </c>
      <c r="J167" s="186">
        <f t="shared" si="29"/>
        <v>41.838593408597077</v>
      </c>
      <c r="K167" s="186">
        <f t="shared" si="30"/>
        <v>5.086183008567545</v>
      </c>
      <c r="L167" s="186">
        <f t="shared" si="31"/>
        <v>18.516612527110425</v>
      </c>
      <c r="M167" s="186">
        <f t="shared" si="32"/>
        <v>78.889058907936317</v>
      </c>
      <c r="N167" s="186">
        <f t="shared" si="33"/>
        <v>83.975241916503862</v>
      </c>
      <c r="O167" s="186">
        <f t="shared" si="34"/>
        <v>2.2085488624040517</v>
      </c>
    </row>
    <row r="168" spans="1:15">
      <c r="A168" s="41">
        <v>1993</v>
      </c>
      <c r="B168" s="41">
        <v>7</v>
      </c>
      <c r="C168" s="180">
        <f t="shared" si="35"/>
        <v>35.384999999999998</v>
      </c>
      <c r="D168" s="180">
        <f>+HLOOKUP('Info Gral'!$C$8,'Precip 1981-2010'!$D$5:$AL$373,160,FALSE)</f>
        <v>51</v>
      </c>
      <c r="E168" s="185">
        <f t="shared" si="24"/>
        <v>47.059792584077954</v>
      </c>
      <c r="F168" s="185">
        <f t="shared" si="25"/>
        <v>3.5024377752233877</v>
      </c>
      <c r="G168" s="186">
        <f t="shared" si="26"/>
        <v>24.776458985331509</v>
      </c>
      <c r="H168" s="186">
        <f t="shared" si="27"/>
        <v>0</v>
      </c>
      <c r="I168" s="186">
        <f t="shared" si="28"/>
        <v>35.001673662529697</v>
      </c>
      <c r="J168" s="186">
        <f t="shared" si="29"/>
        <v>23.282038099168375</v>
      </c>
      <c r="K168" s="186">
        <f t="shared" si="30"/>
        <v>1.4944208861631338</v>
      </c>
      <c r="L168" s="186">
        <f t="shared" si="31"/>
        <v>9.0909916480410367</v>
      </c>
      <c r="M168" s="186">
        <f t="shared" si="32"/>
        <v>32.70765897823776</v>
      </c>
      <c r="N168" s="186">
        <f t="shared" si="33"/>
        <v>34.202079864400893</v>
      </c>
      <c r="O168" s="186">
        <f t="shared" si="34"/>
        <v>0.8995147004337436</v>
      </c>
    </row>
    <row r="169" spans="1:15">
      <c r="A169" s="41">
        <v>1993</v>
      </c>
      <c r="B169" s="41">
        <v>8</v>
      </c>
      <c r="C169" s="180">
        <f t="shared" si="35"/>
        <v>55.605000000000004</v>
      </c>
      <c r="D169" s="180">
        <f>+HLOOKUP('Info Gral'!$C$8,'Precip 1981-2010'!$D$5:$AL$373,161,FALSE)</f>
        <v>9.5</v>
      </c>
      <c r="E169" s="185">
        <f t="shared" si="24"/>
        <v>76.057925231939166</v>
      </c>
      <c r="F169" s="185">
        <f t="shared" si="25"/>
        <v>6.1358775695817496</v>
      </c>
      <c r="G169" s="186">
        <f t="shared" si="26"/>
        <v>0.15442640422491971</v>
      </c>
      <c r="H169" s="186">
        <f t="shared" si="27"/>
        <v>0</v>
      </c>
      <c r="I169" s="186">
        <f t="shared" si="28"/>
        <v>9.3455735957750807</v>
      </c>
      <c r="J169" s="186">
        <f t="shared" si="29"/>
        <v>0.1543646478065254</v>
      </c>
      <c r="K169" s="186">
        <f t="shared" si="30"/>
        <v>6.1756418394315338E-5</v>
      </c>
      <c r="L169" s="186">
        <f t="shared" si="31"/>
        <v>0.93721883022841668</v>
      </c>
      <c r="M169" s="186">
        <f t="shared" si="32"/>
        <v>8.3081374656191453</v>
      </c>
      <c r="N169" s="186">
        <f t="shared" si="33"/>
        <v>8.3081992220375405</v>
      </c>
      <c r="O169" s="186">
        <f t="shared" si="34"/>
        <v>0.21850563953958732</v>
      </c>
    </row>
    <row r="170" spans="1:15">
      <c r="A170" s="41">
        <v>1993</v>
      </c>
      <c r="B170" s="41">
        <v>9</v>
      </c>
      <c r="C170" s="180">
        <f t="shared" si="35"/>
        <v>78.858000000000004</v>
      </c>
      <c r="D170" s="180">
        <f>+HLOOKUP('Info Gral'!$C$8,'Precip 1981-2010'!$D$5:$AL$373,162,FALSE)</f>
        <v>41.9</v>
      </c>
      <c r="E170" s="185">
        <f t="shared" si="24"/>
        <v>99.310925231939166</v>
      </c>
      <c r="F170" s="185">
        <f t="shared" si="25"/>
        <v>6.1358775695817496</v>
      </c>
      <c r="G170" s="186">
        <f t="shared" si="26"/>
        <v>9.9199680926875367</v>
      </c>
      <c r="H170" s="186">
        <f t="shared" si="27"/>
        <v>0</v>
      </c>
      <c r="I170" s="186">
        <f t="shared" si="28"/>
        <v>31.980031907312462</v>
      </c>
      <c r="J170" s="186">
        <f t="shared" si="29"/>
        <v>9.6714184490966844</v>
      </c>
      <c r="K170" s="186">
        <f t="shared" si="30"/>
        <v>0.2485496435908523</v>
      </c>
      <c r="L170" s="186">
        <f t="shared" si="31"/>
        <v>3.1159303449506668</v>
      </c>
      <c r="M170" s="186">
        <f t="shared" si="32"/>
        <v>7.4927069343744339</v>
      </c>
      <c r="N170" s="186">
        <f t="shared" si="33"/>
        <v>7.7412565779652862</v>
      </c>
      <c r="O170" s="186">
        <f t="shared" si="34"/>
        <v>0.20359504800048703</v>
      </c>
    </row>
    <row r="171" spans="1:15">
      <c r="A171" s="41">
        <v>1993</v>
      </c>
      <c r="B171" s="41">
        <v>10</v>
      </c>
      <c r="C171" s="180">
        <f t="shared" si="35"/>
        <v>113.232</v>
      </c>
      <c r="D171" s="180">
        <f>+HLOOKUP('Info Gral'!$C$8,'Precip 1981-2010'!$D$5:$AL$373,163,FALSE)</f>
        <v>284.3</v>
      </c>
      <c r="E171" s="185">
        <f t="shared" si="24"/>
        <v>133.68492523193916</v>
      </c>
      <c r="F171" s="185">
        <f t="shared" si="25"/>
        <v>6.1358775695817496</v>
      </c>
      <c r="G171" s="186">
        <f t="shared" si="26"/>
        <v>190.71424028406835</v>
      </c>
      <c r="H171" s="186">
        <f t="shared" si="27"/>
        <v>0</v>
      </c>
      <c r="I171" s="186">
        <f t="shared" si="28"/>
        <v>93.585759715931658</v>
      </c>
      <c r="J171" s="186">
        <f t="shared" si="29"/>
        <v>127.64674704996008</v>
      </c>
      <c r="K171" s="186">
        <f t="shared" si="30"/>
        <v>63.067493234108269</v>
      </c>
      <c r="L171" s="186">
        <f t="shared" si="31"/>
        <v>40.220263851514581</v>
      </c>
      <c r="M171" s="186">
        <f t="shared" si="32"/>
        <v>90.542413543396179</v>
      </c>
      <c r="N171" s="186">
        <f t="shared" si="33"/>
        <v>153.60990677750445</v>
      </c>
      <c r="O171" s="186">
        <f t="shared" si="34"/>
        <v>4.0399405482483672</v>
      </c>
    </row>
    <row r="172" spans="1:15">
      <c r="A172" s="41">
        <v>1993</v>
      </c>
      <c r="B172" s="41">
        <v>11</v>
      </c>
      <c r="C172" s="180">
        <f t="shared" si="35"/>
        <v>148.61699999999999</v>
      </c>
      <c r="D172" s="180">
        <f>+HLOOKUP('Info Gral'!$C$8,'Precip 1981-2010'!$D$5:$AL$373,164,FALSE)</f>
        <v>227.5</v>
      </c>
      <c r="E172" s="185">
        <f t="shared" si="24"/>
        <v>169.06992523193915</v>
      </c>
      <c r="F172" s="185">
        <f t="shared" si="25"/>
        <v>6.1358775695817496</v>
      </c>
      <c r="G172" s="186">
        <f t="shared" si="26"/>
        <v>127.51055954172077</v>
      </c>
      <c r="H172" s="186">
        <f t="shared" si="27"/>
        <v>0</v>
      </c>
      <c r="I172" s="186">
        <f t="shared" si="28"/>
        <v>99.989440458279233</v>
      </c>
      <c r="J172" s="186">
        <f t="shared" si="29"/>
        <v>95.848225647062577</v>
      </c>
      <c r="K172" s="186">
        <f t="shared" si="30"/>
        <v>31.66233389465819</v>
      </c>
      <c r="L172" s="186">
        <f t="shared" si="31"/>
        <v>33.904946205991379</v>
      </c>
      <c r="M172" s="186">
        <f t="shared" si="32"/>
        <v>102.16354329258579</v>
      </c>
      <c r="N172" s="186">
        <f t="shared" si="33"/>
        <v>133.82587718724398</v>
      </c>
      <c r="O172" s="186">
        <f t="shared" si="34"/>
        <v>3.5196205700245167</v>
      </c>
    </row>
    <row r="173" spans="1:15">
      <c r="A173" s="41">
        <v>1993</v>
      </c>
      <c r="B173" s="41">
        <v>12</v>
      </c>
      <c r="C173" s="180">
        <f t="shared" si="35"/>
        <v>179.958</v>
      </c>
      <c r="D173" s="180">
        <f>+HLOOKUP('Info Gral'!$C$8,'Precip 1981-2010'!$D$5:$AL$373,165,FALSE)</f>
        <v>134.4</v>
      </c>
      <c r="E173" s="185">
        <f t="shared" si="24"/>
        <v>200.41092523193916</v>
      </c>
      <c r="F173" s="185">
        <f t="shared" si="25"/>
        <v>6.1358775695817496</v>
      </c>
      <c r="G173" s="186">
        <f t="shared" si="26"/>
        <v>51.006781899119844</v>
      </c>
      <c r="H173" s="186">
        <f t="shared" si="27"/>
        <v>0</v>
      </c>
      <c r="I173" s="186">
        <f t="shared" si="28"/>
        <v>83.393218100880162</v>
      </c>
      <c r="J173" s="186">
        <f t="shared" si="29"/>
        <v>45.053346146022164</v>
      </c>
      <c r="K173" s="186">
        <f t="shared" si="30"/>
        <v>5.9534357530976791</v>
      </c>
      <c r="L173" s="186">
        <f t="shared" si="31"/>
        <v>17.403678925645075</v>
      </c>
      <c r="M173" s="186">
        <f t="shared" si="32"/>
        <v>61.554613426368469</v>
      </c>
      <c r="N173" s="186">
        <f t="shared" si="33"/>
        <v>67.508049179466155</v>
      </c>
      <c r="O173" s="186">
        <f t="shared" si="34"/>
        <v>1.7754616934199599</v>
      </c>
    </row>
    <row r="174" spans="1:15">
      <c r="A174" s="41">
        <v>1994</v>
      </c>
      <c r="B174" s="41">
        <v>1</v>
      </c>
      <c r="C174" s="180">
        <f t="shared" si="35"/>
        <v>190.06799999999998</v>
      </c>
      <c r="D174" s="180">
        <f>+HLOOKUP('Info Gral'!$C$8,'Precip 1981-2010'!$D$5:$AL$373,166,FALSE)</f>
        <v>14.4</v>
      </c>
      <c r="E174" s="185">
        <f t="shared" si="24"/>
        <v>210.52092523193915</v>
      </c>
      <c r="F174" s="185">
        <f t="shared" si="25"/>
        <v>6.1358775695817496</v>
      </c>
      <c r="G174" s="186">
        <f t="shared" si="26"/>
        <v>0.32116617015314786</v>
      </c>
      <c r="H174" s="186">
        <f t="shared" si="27"/>
        <v>0</v>
      </c>
      <c r="I174" s="186">
        <f t="shared" si="28"/>
        <v>14.078833829846852</v>
      </c>
      <c r="J174" s="186">
        <f t="shared" si="29"/>
        <v>0.32089917026320286</v>
      </c>
      <c r="K174" s="186">
        <f t="shared" si="30"/>
        <v>2.6699988994499657E-4</v>
      </c>
      <c r="L174" s="186">
        <f t="shared" si="31"/>
        <v>1.8021379403145867</v>
      </c>
      <c r="M174" s="186">
        <f t="shared" si="32"/>
        <v>15.922440155593691</v>
      </c>
      <c r="N174" s="186">
        <f t="shared" si="33"/>
        <v>15.922707155483636</v>
      </c>
      <c r="O174" s="186">
        <f t="shared" si="34"/>
        <v>0.41876719818921965</v>
      </c>
    </row>
    <row r="175" spans="1:15">
      <c r="A175" s="41">
        <v>1994</v>
      </c>
      <c r="B175" s="41">
        <v>2</v>
      </c>
      <c r="C175" s="180">
        <f t="shared" si="35"/>
        <v>146.595</v>
      </c>
      <c r="D175" s="180">
        <f>+HLOOKUP('Info Gral'!$C$8,'Precip 1981-2010'!$D$5:$AL$373,167,FALSE)</f>
        <v>205.4</v>
      </c>
      <c r="E175" s="185">
        <f t="shared" si="24"/>
        <v>167.04792523193916</v>
      </c>
      <c r="F175" s="185">
        <f t="shared" si="25"/>
        <v>6.1358775695817496</v>
      </c>
      <c r="G175" s="186">
        <f t="shared" si="26"/>
        <v>110.24102587835567</v>
      </c>
      <c r="H175" s="186">
        <f t="shared" si="27"/>
        <v>0</v>
      </c>
      <c r="I175" s="186">
        <f t="shared" si="28"/>
        <v>95.158974121644334</v>
      </c>
      <c r="J175" s="186">
        <f t="shared" si="29"/>
        <v>85.750741615378615</v>
      </c>
      <c r="K175" s="186">
        <f t="shared" si="30"/>
        <v>24.490284262977056</v>
      </c>
      <c r="L175" s="186">
        <f t="shared" si="31"/>
        <v>26.990771505339481</v>
      </c>
      <c r="M175" s="186">
        <f t="shared" si="32"/>
        <v>60.562108050353721</v>
      </c>
      <c r="N175" s="186">
        <f t="shared" si="33"/>
        <v>85.052392313330785</v>
      </c>
      <c r="O175" s="186">
        <f t="shared" si="34"/>
        <v>2.2368779178405997</v>
      </c>
    </row>
    <row r="176" spans="1:15">
      <c r="A176" s="41">
        <v>1994</v>
      </c>
      <c r="B176" s="41">
        <v>3</v>
      </c>
      <c r="C176" s="180">
        <f t="shared" si="35"/>
        <v>120.30899999999998</v>
      </c>
      <c r="D176" s="180">
        <f>+HLOOKUP('Info Gral'!$C$8,'Precip 1981-2010'!$D$5:$AL$373,168,FALSE)</f>
        <v>100.6</v>
      </c>
      <c r="E176" s="185">
        <f t="shared" si="24"/>
        <v>140.76192523193916</v>
      </c>
      <c r="F176" s="185">
        <f t="shared" si="25"/>
        <v>6.1358775695817496</v>
      </c>
      <c r="G176" s="186">
        <f t="shared" si="26"/>
        <v>38.951782273919783</v>
      </c>
      <c r="H176" s="186">
        <f t="shared" si="27"/>
        <v>0</v>
      </c>
      <c r="I176" s="186">
        <f t="shared" si="28"/>
        <v>61.648217726080212</v>
      </c>
      <c r="J176" s="186">
        <f t="shared" si="29"/>
        <v>35.381397572398861</v>
      </c>
      <c r="K176" s="186">
        <f t="shared" si="30"/>
        <v>3.570384701520922</v>
      </c>
      <c r="L176" s="186">
        <f t="shared" si="31"/>
        <v>13.703135478976106</v>
      </c>
      <c r="M176" s="186">
        <f t="shared" si="32"/>
        <v>48.669033598762233</v>
      </c>
      <c r="N176" s="186">
        <f t="shared" si="33"/>
        <v>52.239418300283155</v>
      </c>
      <c r="O176" s="186">
        <f t="shared" si="34"/>
        <v>1.3738967012974468</v>
      </c>
    </row>
    <row r="177" spans="1:15">
      <c r="A177" s="41">
        <v>1994</v>
      </c>
      <c r="B177" s="41">
        <v>4</v>
      </c>
      <c r="C177" s="180">
        <f t="shared" si="35"/>
        <v>73.802999999999997</v>
      </c>
      <c r="D177" s="180">
        <f>+HLOOKUP('Info Gral'!$C$8,'Precip 1981-2010'!$D$5:$AL$373,169,FALSE)</f>
        <v>71.599999999999994</v>
      </c>
      <c r="E177" s="185">
        <f t="shared" si="24"/>
        <v>94.255925231939159</v>
      </c>
      <c r="F177" s="185">
        <f t="shared" si="25"/>
        <v>6.1358775695817496</v>
      </c>
      <c r="G177" s="186">
        <f t="shared" si="26"/>
        <v>27.90360050124967</v>
      </c>
      <c r="H177" s="186">
        <f t="shared" si="27"/>
        <v>0</v>
      </c>
      <c r="I177" s="186">
        <f t="shared" si="28"/>
        <v>43.696399498750324</v>
      </c>
      <c r="J177" s="186">
        <f t="shared" si="29"/>
        <v>26.022459771885586</v>
      </c>
      <c r="K177" s="186">
        <f t="shared" si="30"/>
        <v>1.8811407293640841</v>
      </c>
      <c r="L177" s="186">
        <f t="shared" si="31"/>
        <v>9.4772525801926157</v>
      </c>
      <c r="M177" s="186">
        <f t="shared" si="32"/>
        <v>30.248342670669075</v>
      </c>
      <c r="N177" s="186">
        <f t="shared" si="33"/>
        <v>32.129483400033159</v>
      </c>
      <c r="O177" s="186">
        <f t="shared" si="34"/>
        <v>0.8450054134208721</v>
      </c>
    </row>
    <row r="178" spans="1:15">
      <c r="A178" s="41">
        <v>1994</v>
      </c>
      <c r="B178" s="41">
        <v>5</v>
      </c>
      <c r="C178" s="180">
        <f t="shared" si="35"/>
        <v>44.483999999999995</v>
      </c>
      <c r="D178" s="180">
        <f>+HLOOKUP('Info Gral'!$C$8,'Precip 1981-2010'!$D$5:$AL$373,170,FALSE)</f>
        <v>71.8</v>
      </c>
      <c r="E178" s="185">
        <f t="shared" si="24"/>
        <v>64.936925231939156</v>
      </c>
      <c r="F178" s="185">
        <f t="shared" si="25"/>
        <v>6.1358775695817496</v>
      </c>
      <c r="G178" s="186">
        <f t="shared" si="26"/>
        <v>34.642438292921483</v>
      </c>
      <c r="H178" s="186">
        <f t="shared" si="27"/>
        <v>0</v>
      </c>
      <c r="I178" s="186">
        <f t="shared" si="28"/>
        <v>37.157561707078514</v>
      </c>
      <c r="J178" s="186">
        <f t="shared" si="29"/>
        <v>31.789424850556536</v>
      </c>
      <c r="K178" s="186">
        <f t="shared" si="30"/>
        <v>2.8530134423649471</v>
      </c>
      <c r="L178" s="186">
        <f t="shared" si="31"/>
        <v>10.867381039212802</v>
      </c>
      <c r="M178" s="186">
        <f t="shared" si="32"/>
        <v>30.39929639153635</v>
      </c>
      <c r="N178" s="186">
        <f t="shared" si="33"/>
        <v>33.252309833901293</v>
      </c>
      <c r="O178" s="186">
        <f t="shared" si="34"/>
        <v>0.8745357486316041</v>
      </c>
    </row>
    <row r="179" spans="1:15">
      <c r="A179" s="41">
        <v>1994</v>
      </c>
      <c r="B179" s="41">
        <v>6</v>
      </c>
      <c r="C179" s="180">
        <f t="shared" si="35"/>
        <v>29.318999999999996</v>
      </c>
      <c r="D179" s="180">
        <f>+HLOOKUP('Info Gral'!$C$8,'Precip 1981-2010'!$D$5:$AL$373,171,FALSE)</f>
        <v>129.80000000000001</v>
      </c>
      <c r="E179" s="185">
        <f t="shared" si="24"/>
        <v>49.771925231939164</v>
      </c>
      <c r="F179" s="185">
        <f t="shared" si="25"/>
        <v>6.1358775695817496</v>
      </c>
      <c r="G179" s="186">
        <f t="shared" si="26"/>
        <v>91.409441891212083</v>
      </c>
      <c r="H179" s="186">
        <f t="shared" si="27"/>
        <v>9.0715581087879329</v>
      </c>
      <c r="I179" s="186">
        <f t="shared" si="28"/>
        <v>29.318999999999996</v>
      </c>
      <c r="J179" s="186">
        <f t="shared" si="29"/>
        <v>73.9073036139241</v>
      </c>
      <c r="K179" s="186">
        <f t="shared" si="30"/>
        <v>17.502138277287983</v>
      </c>
      <c r="L179" s="186">
        <f t="shared" si="31"/>
        <v>24.17371834179146</v>
      </c>
      <c r="M179" s="186">
        <f t="shared" si="32"/>
        <v>60.600966311345445</v>
      </c>
      <c r="N179" s="186">
        <f t="shared" si="33"/>
        <v>78.103104588633428</v>
      </c>
      <c r="O179" s="186">
        <f t="shared" si="34"/>
        <v>2.0541116506810591</v>
      </c>
    </row>
    <row r="180" spans="1:15">
      <c r="A180" s="41">
        <v>1994</v>
      </c>
      <c r="B180" s="41">
        <v>7</v>
      </c>
      <c r="C180" s="180">
        <f t="shared" si="35"/>
        <v>35.384999999999998</v>
      </c>
      <c r="D180" s="180">
        <f>+HLOOKUP('Info Gral'!$C$8,'Precip 1981-2010'!$D$5:$AL$373,172,FALSE)</f>
        <v>60.9</v>
      </c>
      <c r="E180" s="185">
        <f t="shared" si="24"/>
        <v>46.766367123151227</v>
      </c>
      <c r="F180" s="185">
        <f t="shared" si="25"/>
        <v>3.4144101369453694</v>
      </c>
      <c r="G180" s="186">
        <f t="shared" si="26"/>
        <v>32.771454137448252</v>
      </c>
      <c r="H180" s="186">
        <f t="shared" si="27"/>
        <v>1.8151039713396813</v>
      </c>
      <c r="I180" s="186">
        <f t="shared" si="28"/>
        <v>35.384999999999998</v>
      </c>
      <c r="J180" s="186">
        <f t="shared" si="29"/>
        <v>30.206885335845129</v>
      </c>
      <c r="K180" s="186">
        <f t="shared" si="30"/>
        <v>2.5645688016031229</v>
      </c>
      <c r="L180" s="186">
        <f t="shared" si="31"/>
        <v>11.809586519838692</v>
      </c>
      <c r="M180" s="186">
        <f t="shared" si="32"/>
        <v>42.571017157797897</v>
      </c>
      <c r="N180" s="186">
        <f t="shared" si="33"/>
        <v>45.13558595940102</v>
      </c>
      <c r="O180" s="186">
        <f t="shared" si="34"/>
        <v>1.1870659107322468</v>
      </c>
    </row>
    <row r="181" spans="1:15">
      <c r="A181" s="41">
        <v>1994</v>
      </c>
      <c r="B181" s="41">
        <v>8</v>
      </c>
      <c r="C181" s="180">
        <f t="shared" si="35"/>
        <v>55.605000000000004</v>
      </c>
      <c r="D181" s="180">
        <f>+HLOOKUP('Info Gral'!$C$8,'Precip 1981-2010'!$D$5:$AL$373,173,FALSE)</f>
        <v>63</v>
      </c>
      <c r="E181" s="185">
        <f t="shared" si="24"/>
        <v>74.242821260599484</v>
      </c>
      <c r="F181" s="185">
        <f t="shared" si="25"/>
        <v>5.5913463781798454</v>
      </c>
      <c r="G181" s="186">
        <f t="shared" si="26"/>
        <v>26.144297564786932</v>
      </c>
      <c r="H181" s="186">
        <f t="shared" si="27"/>
        <v>0</v>
      </c>
      <c r="I181" s="186">
        <f t="shared" si="28"/>
        <v>38.670806406552749</v>
      </c>
      <c r="J181" s="186">
        <f t="shared" si="29"/>
        <v>24.485838866717287</v>
      </c>
      <c r="K181" s="186">
        <f t="shared" si="30"/>
        <v>1.6584586980696443</v>
      </c>
      <c r="L181" s="186">
        <f t="shared" si="31"/>
        <v>8.8115881919220271</v>
      </c>
      <c r="M181" s="186">
        <f t="shared" si="32"/>
        <v>27.483837194633953</v>
      </c>
      <c r="N181" s="186">
        <f t="shared" si="33"/>
        <v>29.142295892703597</v>
      </c>
      <c r="O181" s="186">
        <f t="shared" si="34"/>
        <v>0.76644238197810455</v>
      </c>
    </row>
    <row r="182" spans="1:15">
      <c r="A182" s="41">
        <v>1994</v>
      </c>
      <c r="B182" s="41">
        <v>9</v>
      </c>
      <c r="C182" s="180">
        <f t="shared" si="35"/>
        <v>78.858000000000004</v>
      </c>
      <c r="D182" s="180">
        <f>+HLOOKUP('Info Gral'!$C$8,'Precip 1981-2010'!$D$5:$AL$373,174,FALSE)</f>
        <v>73.099999999999994</v>
      </c>
      <c r="E182" s="185">
        <f t="shared" si="24"/>
        <v>99.310925231939166</v>
      </c>
      <c r="F182" s="185">
        <f t="shared" si="25"/>
        <v>6.1358775695817496</v>
      </c>
      <c r="G182" s="186">
        <f t="shared" si="26"/>
        <v>28.001854201430874</v>
      </c>
      <c r="H182" s="186">
        <f t="shared" si="27"/>
        <v>0</v>
      </c>
      <c r="I182" s="186">
        <f t="shared" si="28"/>
        <v>45.098145798569121</v>
      </c>
      <c r="J182" s="186">
        <f t="shared" si="29"/>
        <v>26.107892059085756</v>
      </c>
      <c r="K182" s="186">
        <f t="shared" si="30"/>
        <v>1.8939621423451172</v>
      </c>
      <c r="L182" s="186">
        <f t="shared" si="31"/>
        <v>9.0256552101828369</v>
      </c>
      <c r="M182" s="186">
        <f t="shared" si="32"/>
        <v>25.893825040824947</v>
      </c>
      <c r="N182" s="186">
        <f t="shared" si="33"/>
        <v>27.787787183170064</v>
      </c>
      <c r="O182" s="186">
        <f t="shared" si="34"/>
        <v>0.73081880291737267</v>
      </c>
    </row>
    <row r="183" spans="1:15">
      <c r="A183" s="41">
        <v>1994</v>
      </c>
      <c r="B183" s="41">
        <v>10</v>
      </c>
      <c r="C183" s="180">
        <f t="shared" si="35"/>
        <v>113.232</v>
      </c>
      <c r="D183" s="180">
        <f>+HLOOKUP('Info Gral'!$C$8,'Precip 1981-2010'!$D$5:$AL$373,175,FALSE)</f>
        <v>181.8</v>
      </c>
      <c r="E183" s="185">
        <f t="shared" si="24"/>
        <v>133.68492523193916</v>
      </c>
      <c r="F183" s="185">
        <f t="shared" si="25"/>
        <v>6.1358775695817496</v>
      </c>
      <c r="G183" s="186">
        <f t="shared" si="26"/>
        <v>101.76960288303846</v>
      </c>
      <c r="H183" s="186">
        <f t="shared" si="27"/>
        <v>0</v>
      </c>
      <c r="I183" s="186">
        <f t="shared" si="28"/>
        <v>80.030397116961552</v>
      </c>
      <c r="J183" s="186">
        <f t="shared" si="29"/>
        <v>80.53611065688419</v>
      </c>
      <c r="K183" s="186">
        <f t="shared" si="30"/>
        <v>21.233492226154269</v>
      </c>
      <c r="L183" s="186">
        <f t="shared" si="31"/>
        <v>26.066478840891548</v>
      </c>
      <c r="M183" s="186">
        <f t="shared" si="32"/>
        <v>63.495287026175475</v>
      </c>
      <c r="N183" s="186">
        <f t="shared" si="33"/>
        <v>84.728779252329744</v>
      </c>
      <c r="O183" s="186">
        <f t="shared" si="34"/>
        <v>2.2283668943362724</v>
      </c>
    </row>
    <row r="184" spans="1:15">
      <c r="A184" s="41">
        <v>1994</v>
      </c>
      <c r="B184" s="41">
        <v>11</v>
      </c>
      <c r="C184" s="180">
        <f t="shared" si="35"/>
        <v>148.61699999999999</v>
      </c>
      <c r="D184" s="180">
        <f>+HLOOKUP('Info Gral'!$C$8,'Precip 1981-2010'!$D$5:$AL$373,176,FALSE)</f>
        <v>47.3</v>
      </c>
      <c r="E184" s="185">
        <f t="shared" si="24"/>
        <v>169.06992523193915</v>
      </c>
      <c r="F184" s="185">
        <f t="shared" si="25"/>
        <v>6.1358775695817496</v>
      </c>
      <c r="G184" s="186">
        <f t="shared" si="26"/>
        <v>8.3023036154425647</v>
      </c>
      <c r="H184" s="186">
        <f t="shared" si="27"/>
        <v>0</v>
      </c>
      <c r="I184" s="186">
        <f t="shared" si="28"/>
        <v>38.997696384557429</v>
      </c>
      <c r="J184" s="186">
        <f t="shared" si="29"/>
        <v>8.1274929569935193</v>
      </c>
      <c r="K184" s="186">
        <f t="shared" si="30"/>
        <v>0.17481065844904542</v>
      </c>
      <c r="L184" s="186">
        <f t="shared" si="31"/>
        <v>5.0903651161954677</v>
      </c>
      <c r="M184" s="186">
        <f t="shared" si="32"/>
        <v>29.103606681689598</v>
      </c>
      <c r="N184" s="186">
        <f t="shared" si="33"/>
        <v>29.278417340138645</v>
      </c>
      <c r="O184" s="186">
        <f t="shared" si="34"/>
        <v>0.77002237604564638</v>
      </c>
    </row>
    <row r="185" spans="1:15">
      <c r="A185" s="41">
        <v>1994</v>
      </c>
      <c r="B185" s="41">
        <v>12</v>
      </c>
      <c r="C185" s="180">
        <f t="shared" si="35"/>
        <v>179.958</v>
      </c>
      <c r="D185" s="180">
        <f>+HLOOKUP('Info Gral'!$C$8,'Precip 1981-2010'!$D$5:$AL$373,177,FALSE)</f>
        <v>143.30000000000001</v>
      </c>
      <c r="E185" s="185">
        <f t="shared" si="24"/>
        <v>200.41092523193916</v>
      </c>
      <c r="F185" s="185">
        <f t="shared" si="25"/>
        <v>6.1358775695817496</v>
      </c>
      <c r="G185" s="186">
        <f t="shared" si="26"/>
        <v>56.764553437785885</v>
      </c>
      <c r="H185" s="186">
        <f t="shared" si="27"/>
        <v>0</v>
      </c>
      <c r="I185" s="186">
        <f t="shared" si="28"/>
        <v>86.535446562214133</v>
      </c>
      <c r="J185" s="186">
        <f t="shared" si="29"/>
        <v>49.487063625259573</v>
      </c>
      <c r="K185" s="186">
        <f t="shared" si="30"/>
        <v>7.2774898125263121</v>
      </c>
      <c r="L185" s="186">
        <f t="shared" si="31"/>
        <v>15.972528674416148</v>
      </c>
      <c r="M185" s="186">
        <f t="shared" si="32"/>
        <v>38.604900067038891</v>
      </c>
      <c r="N185" s="186">
        <f t="shared" si="33"/>
        <v>45.882389879565203</v>
      </c>
      <c r="O185" s="186">
        <f t="shared" si="34"/>
        <v>1.2067068538325647</v>
      </c>
    </row>
    <row r="186" spans="1:15">
      <c r="A186" s="41">
        <v>1995</v>
      </c>
      <c r="B186" s="41">
        <v>1</v>
      </c>
      <c r="C186" s="180">
        <f t="shared" si="35"/>
        <v>190.06799999999998</v>
      </c>
      <c r="D186" s="180">
        <f>+HLOOKUP('Info Gral'!$C$8,'Precip 1981-2010'!$D$5:$AL$373,178,FALSE)</f>
        <v>50.9</v>
      </c>
      <c r="E186" s="185">
        <f t="shared" si="24"/>
        <v>210.52092523193915</v>
      </c>
      <c r="F186" s="185">
        <f t="shared" si="25"/>
        <v>6.1358775695817496</v>
      </c>
      <c r="G186" s="186">
        <f t="shared" si="26"/>
        <v>8.0426784332426617</v>
      </c>
      <c r="H186" s="186">
        <f t="shared" si="27"/>
        <v>0</v>
      </c>
      <c r="I186" s="186">
        <f t="shared" si="28"/>
        <v>42.857321566757335</v>
      </c>
      <c r="J186" s="186">
        <f t="shared" si="29"/>
        <v>7.8785219092901295</v>
      </c>
      <c r="K186" s="186">
        <f t="shared" si="30"/>
        <v>0.16415652395253222</v>
      </c>
      <c r="L186" s="186">
        <f t="shared" si="31"/>
        <v>4.0254898006972191</v>
      </c>
      <c r="M186" s="186">
        <f t="shared" si="32"/>
        <v>19.82556078300906</v>
      </c>
      <c r="N186" s="186">
        <f t="shared" si="33"/>
        <v>19.989717306961591</v>
      </c>
      <c r="O186" s="186">
        <f t="shared" si="34"/>
        <v>0.52572956517308989</v>
      </c>
    </row>
    <row r="187" spans="1:15">
      <c r="A187" s="41">
        <v>1995</v>
      </c>
      <c r="B187" s="41">
        <v>2</v>
      </c>
      <c r="C187" s="180">
        <f t="shared" si="35"/>
        <v>146.595</v>
      </c>
      <c r="D187" s="180">
        <f>+HLOOKUP('Info Gral'!$C$8,'Precip 1981-2010'!$D$5:$AL$373,179,FALSE)</f>
        <v>188.6</v>
      </c>
      <c r="E187" s="185">
        <f t="shared" si="24"/>
        <v>167.04792523193916</v>
      </c>
      <c r="F187" s="185">
        <f t="shared" si="25"/>
        <v>6.1358775695817496</v>
      </c>
      <c r="G187" s="186">
        <f t="shared" si="26"/>
        <v>96.958259990223837</v>
      </c>
      <c r="H187" s="186">
        <f t="shared" si="27"/>
        <v>0</v>
      </c>
      <c r="I187" s="186">
        <f t="shared" si="28"/>
        <v>91.641740009776157</v>
      </c>
      <c r="J187" s="186">
        <f t="shared" si="29"/>
        <v>77.493008105884726</v>
      </c>
      <c r="K187" s="186">
        <f t="shared" si="30"/>
        <v>19.465251884339111</v>
      </c>
      <c r="L187" s="186">
        <f t="shared" si="31"/>
        <v>24.625956797395183</v>
      </c>
      <c r="M187" s="186">
        <f t="shared" si="32"/>
        <v>56.892541109186766</v>
      </c>
      <c r="N187" s="186">
        <f t="shared" si="33"/>
        <v>76.357792993525877</v>
      </c>
      <c r="O187" s="186">
        <f t="shared" si="34"/>
        <v>2.0082099557297304</v>
      </c>
    </row>
    <row r="188" spans="1:15">
      <c r="A188" s="41">
        <v>1995</v>
      </c>
      <c r="B188" s="41">
        <v>3</v>
      </c>
      <c r="C188" s="180">
        <f t="shared" si="35"/>
        <v>120.30899999999998</v>
      </c>
      <c r="D188" s="180">
        <f>+HLOOKUP('Info Gral'!$C$8,'Precip 1981-2010'!$D$5:$AL$373,180,FALSE)</f>
        <v>133.9</v>
      </c>
      <c r="E188" s="185">
        <f t="shared" si="24"/>
        <v>140.76192523193916</v>
      </c>
      <c r="F188" s="185">
        <f t="shared" si="25"/>
        <v>6.1358775695817496</v>
      </c>
      <c r="G188" s="186">
        <f t="shared" si="26"/>
        <v>62.211442504279773</v>
      </c>
      <c r="H188" s="186">
        <f t="shared" si="27"/>
        <v>0</v>
      </c>
      <c r="I188" s="186">
        <f t="shared" si="28"/>
        <v>71.688557495720232</v>
      </c>
      <c r="J188" s="186">
        <f t="shared" si="29"/>
        <v>53.576536717762842</v>
      </c>
      <c r="K188" s="186">
        <f t="shared" si="30"/>
        <v>8.6349057865169314</v>
      </c>
      <c r="L188" s="186">
        <f t="shared" si="31"/>
        <v>19.161578431814437</v>
      </c>
      <c r="M188" s="186">
        <f t="shared" si="32"/>
        <v>59.040915083343592</v>
      </c>
      <c r="N188" s="186">
        <f t="shared" si="33"/>
        <v>67.67582086986053</v>
      </c>
      <c r="O188" s="186">
        <f t="shared" si="34"/>
        <v>1.7798740888773319</v>
      </c>
    </row>
    <row r="189" spans="1:15">
      <c r="A189" s="41">
        <v>1995</v>
      </c>
      <c r="B189" s="41">
        <v>4</v>
      </c>
      <c r="C189" s="180">
        <f t="shared" si="35"/>
        <v>73.802999999999997</v>
      </c>
      <c r="D189" s="180">
        <f>+HLOOKUP('Info Gral'!$C$8,'Precip 1981-2010'!$D$5:$AL$373,181,FALSE)</f>
        <v>62.6</v>
      </c>
      <c r="E189" s="185">
        <f t="shared" si="24"/>
        <v>94.255925231939159</v>
      </c>
      <c r="F189" s="185">
        <f t="shared" si="25"/>
        <v>6.1358775695817496</v>
      </c>
      <c r="G189" s="186">
        <f t="shared" si="26"/>
        <v>22.050803485550901</v>
      </c>
      <c r="H189" s="186">
        <f t="shared" si="27"/>
        <v>0</v>
      </c>
      <c r="I189" s="186">
        <f t="shared" si="28"/>
        <v>40.5491965144491</v>
      </c>
      <c r="J189" s="186">
        <f t="shared" si="29"/>
        <v>20.859192219980631</v>
      </c>
      <c r="K189" s="186">
        <f t="shared" si="30"/>
        <v>1.1916112655702698</v>
      </c>
      <c r="L189" s="186">
        <f t="shared" si="31"/>
        <v>8.3964263841683113</v>
      </c>
      <c r="M189" s="186">
        <f t="shared" si="32"/>
        <v>31.624344267626757</v>
      </c>
      <c r="N189" s="186">
        <f t="shared" si="33"/>
        <v>32.815955533197027</v>
      </c>
      <c r="O189" s="186">
        <f t="shared" si="34"/>
        <v>0.86305963052308188</v>
      </c>
    </row>
    <row r="190" spans="1:15">
      <c r="A190" s="41">
        <v>1995</v>
      </c>
      <c r="B190" s="41">
        <v>5</v>
      </c>
      <c r="C190" s="180">
        <f t="shared" si="35"/>
        <v>44.483999999999995</v>
      </c>
      <c r="D190" s="180">
        <f>+HLOOKUP('Info Gral'!$C$8,'Precip 1981-2010'!$D$5:$AL$373,182,FALSE)</f>
        <v>58.5</v>
      </c>
      <c r="E190" s="185">
        <f t="shared" si="24"/>
        <v>64.936925231939156</v>
      </c>
      <c r="F190" s="185">
        <f t="shared" si="25"/>
        <v>6.1358775695817496</v>
      </c>
      <c r="G190" s="186">
        <f t="shared" si="26"/>
        <v>24.666011086201067</v>
      </c>
      <c r="H190" s="186">
        <f t="shared" si="27"/>
        <v>0</v>
      </c>
      <c r="I190" s="186">
        <f t="shared" si="28"/>
        <v>33.833988913798933</v>
      </c>
      <c r="J190" s="186">
        <f t="shared" si="29"/>
        <v>23.184485743270056</v>
      </c>
      <c r="K190" s="186">
        <f t="shared" si="30"/>
        <v>1.4815253429310111</v>
      </c>
      <c r="L190" s="186">
        <f t="shared" si="31"/>
        <v>8.0709000348584379</v>
      </c>
      <c r="M190" s="186">
        <f t="shared" si="32"/>
        <v>23.510012092579927</v>
      </c>
      <c r="N190" s="186">
        <f t="shared" si="33"/>
        <v>24.991537435510939</v>
      </c>
      <c r="O190" s="186">
        <f t="shared" si="34"/>
        <v>0.65727743455393761</v>
      </c>
    </row>
    <row r="191" spans="1:15">
      <c r="A191" s="41">
        <v>1995</v>
      </c>
      <c r="B191" s="41">
        <v>6</v>
      </c>
      <c r="C191" s="180">
        <f t="shared" si="35"/>
        <v>29.318999999999996</v>
      </c>
      <c r="D191" s="180">
        <f>+HLOOKUP('Info Gral'!$C$8,'Precip 1981-2010'!$D$5:$AL$373,183,FALSE)</f>
        <v>74.599999999999994</v>
      </c>
      <c r="E191" s="185">
        <f t="shared" si="24"/>
        <v>49.771925231939164</v>
      </c>
      <c r="F191" s="185">
        <f t="shared" si="25"/>
        <v>6.1358775695817496</v>
      </c>
      <c r="G191" s="186">
        <f t="shared" si="26"/>
        <v>41.813817555209724</v>
      </c>
      <c r="H191" s="186">
        <f t="shared" si="27"/>
        <v>3.467182444790275</v>
      </c>
      <c r="I191" s="186">
        <f t="shared" si="28"/>
        <v>29.318999999999996</v>
      </c>
      <c r="J191" s="186">
        <f t="shared" si="29"/>
        <v>37.727003930227326</v>
      </c>
      <c r="K191" s="186">
        <f t="shared" si="30"/>
        <v>4.0868136249823976</v>
      </c>
      <c r="L191" s="186">
        <f t="shared" si="31"/>
        <v>12.586564472552014</v>
      </c>
      <c r="M191" s="186">
        <f t="shared" si="32"/>
        <v>33.211339492533753</v>
      </c>
      <c r="N191" s="186">
        <f t="shared" si="33"/>
        <v>37.298153117516151</v>
      </c>
      <c r="O191" s="186">
        <f t="shared" si="34"/>
        <v>0.98094142699067477</v>
      </c>
    </row>
    <row r="192" spans="1:15">
      <c r="A192" s="41">
        <v>1995</v>
      </c>
      <c r="B192" s="41">
        <v>7</v>
      </c>
      <c r="C192" s="180">
        <f t="shared" si="35"/>
        <v>35.384999999999998</v>
      </c>
      <c r="D192" s="180">
        <f>+HLOOKUP('Info Gral'!$C$8,'Precip 1981-2010'!$D$5:$AL$373,184,FALSE)</f>
        <v>111.8</v>
      </c>
      <c r="E192" s="185">
        <f t="shared" si="24"/>
        <v>52.370742787148885</v>
      </c>
      <c r="F192" s="185">
        <f t="shared" si="25"/>
        <v>5.0957228361446667</v>
      </c>
      <c r="G192" s="186">
        <f t="shared" si="26"/>
        <v>73.943724762996638</v>
      </c>
      <c r="H192" s="186">
        <f t="shared" si="27"/>
        <v>5.9384576817936434</v>
      </c>
      <c r="I192" s="186">
        <f t="shared" si="28"/>
        <v>35.384999999999998</v>
      </c>
      <c r="J192" s="186">
        <f t="shared" si="29"/>
        <v>62.056021686618706</v>
      </c>
      <c r="K192" s="186">
        <f t="shared" si="30"/>
        <v>11.887703076377932</v>
      </c>
      <c r="L192" s="186">
        <f t="shared" si="31"/>
        <v>20.635889341308292</v>
      </c>
      <c r="M192" s="186">
        <f t="shared" si="32"/>
        <v>54.006696817862426</v>
      </c>
      <c r="N192" s="186">
        <f t="shared" si="33"/>
        <v>65.894399894240365</v>
      </c>
      <c r="O192" s="186">
        <f t="shared" si="34"/>
        <v>1.7330227172185215</v>
      </c>
    </row>
    <row r="193" spans="1:15">
      <c r="A193" s="41">
        <v>1995</v>
      </c>
      <c r="B193" s="41">
        <v>8</v>
      </c>
      <c r="C193" s="180">
        <f t="shared" si="35"/>
        <v>55.605000000000004</v>
      </c>
      <c r="D193" s="180">
        <f>+HLOOKUP('Info Gral'!$C$8,'Precip 1981-2010'!$D$5:$AL$373,185,FALSE)</f>
        <v>3</v>
      </c>
      <c r="E193" s="185">
        <f t="shared" si="24"/>
        <v>70.119467550145529</v>
      </c>
      <c r="F193" s="185">
        <f t="shared" si="25"/>
        <v>4.354340265043656</v>
      </c>
      <c r="G193" s="186">
        <f t="shared" si="26"/>
        <v>0</v>
      </c>
      <c r="H193" s="186">
        <f t="shared" si="27"/>
        <v>0</v>
      </c>
      <c r="I193" s="186">
        <f t="shared" si="28"/>
        <v>8.9384576817936434</v>
      </c>
      <c r="J193" s="186">
        <f t="shared" si="29"/>
        <v>0</v>
      </c>
      <c r="K193" s="186">
        <f t="shared" si="30"/>
        <v>0</v>
      </c>
      <c r="L193" s="186">
        <f t="shared" si="31"/>
        <v>2.0178483308556703</v>
      </c>
      <c r="M193" s="186">
        <f t="shared" si="32"/>
        <v>18.618041010452622</v>
      </c>
      <c r="N193" s="186">
        <f t="shared" si="33"/>
        <v>18.618041010452622</v>
      </c>
      <c r="O193" s="186">
        <f t="shared" si="34"/>
        <v>0.48965447857490396</v>
      </c>
    </row>
    <row r="194" spans="1:15">
      <c r="A194" s="41">
        <v>1995</v>
      </c>
      <c r="B194" s="41">
        <v>9</v>
      </c>
      <c r="C194" s="180">
        <f t="shared" si="35"/>
        <v>78.858000000000004</v>
      </c>
      <c r="D194" s="180">
        <f>+HLOOKUP('Info Gral'!$C$8,'Precip 1981-2010'!$D$5:$AL$373,186,FALSE)</f>
        <v>96.7</v>
      </c>
      <c r="E194" s="185">
        <f t="shared" si="24"/>
        <v>99.310925231939166</v>
      </c>
      <c r="F194" s="185">
        <f t="shared" si="25"/>
        <v>6.1358775695817496</v>
      </c>
      <c r="G194" s="186">
        <f t="shared" si="26"/>
        <v>44.638605189358429</v>
      </c>
      <c r="H194" s="186">
        <f t="shared" si="27"/>
        <v>0</v>
      </c>
      <c r="I194" s="186">
        <f t="shared" si="28"/>
        <v>52.061394810641573</v>
      </c>
      <c r="J194" s="186">
        <f t="shared" si="29"/>
        <v>40.01151173038896</v>
      </c>
      <c r="K194" s="186">
        <f t="shared" si="30"/>
        <v>4.627093458969469</v>
      </c>
      <c r="L194" s="186">
        <f t="shared" si="31"/>
        <v>12.709049687460491</v>
      </c>
      <c r="M194" s="186">
        <f t="shared" si="32"/>
        <v>29.320310373784139</v>
      </c>
      <c r="N194" s="186">
        <f t="shared" si="33"/>
        <v>33.947403832753608</v>
      </c>
      <c r="O194" s="186">
        <f t="shared" si="34"/>
        <v>0.89281672080141983</v>
      </c>
    </row>
    <row r="195" spans="1:15">
      <c r="A195" s="41">
        <v>1995</v>
      </c>
      <c r="B195" s="41">
        <v>10</v>
      </c>
      <c r="C195" s="180">
        <f t="shared" si="35"/>
        <v>113.232</v>
      </c>
      <c r="D195" s="180">
        <f>+HLOOKUP('Info Gral'!$C$8,'Precip 1981-2010'!$D$5:$AL$373,187,FALSE)</f>
        <v>179.3</v>
      </c>
      <c r="E195" s="185">
        <f t="shared" si="24"/>
        <v>133.68492523193916</v>
      </c>
      <c r="F195" s="185">
        <f t="shared" si="25"/>
        <v>6.1358775695817496</v>
      </c>
      <c r="G195" s="186">
        <f t="shared" si="26"/>
        <v>99.715663560214864</v>
      </c>
      <c r="H195" s="186">
        <f t="shared" si="27"/>
        <v>0</v>
      </c>
      <c r="I195" s="186">
        <f t="shared" si="28"/>
        <v>79.584336439785147</v>
      </c>
      <c r="J195" s="186">
        <f t="shared" si="29"/>
        <v>79.244399598143175</v>
      </c>
      <c r="K195" s="186">
        <f t="shared" si="30"/>
        <v>20.471263962071689</v>
      </c>
      <c r="L195" s="186">
        <f t="shared" si="31"/>
        <v>26.022731341623913</v>
      </c>
      <c r="M195" s="186">
        <f t="shared" si="32"/>
        <v>65.930717943979758</v>
      </c>
      <c r="N195" s="186">
        <f t="shared" si="33"/>
        <v>86.401981906051446</v>
      </c>
      <c r="O195" s="186">
        <f t="shared" si="34"/>
        <v>2.272372124129153</v>
      </c>
    </row>
    <row r="196" spans="1:15">
      <c r="A196" s="41">
        <v>1995</v>
      </c>
      <c r="B196" s="41">
        <v>11</v>
      </c>
      <c r="C196" s="180">
        <f t="shared" si="35"/>
        <v>148.61699999999999</v>
      </c>
      <c r="D196" s="180">
        <f>+HLOOKUP('Info Gral'!$C$8,'Precip 1981-2010'!$D$5:$AL$373,188,FALSE)</f>
        <v>54.2</v>
      </c>
      <c r="E196" s="185">
        <f t="shared" si="24"/>
        <v>169.06992523193915</v>
      </c>
      <c r="F196" s="185">
        <f t="shared" si="25"/>
        <v>6.1358775695817496</v>
      </c>
      <c r="G196" s="186">
        <f t="shared" si="26"/>
        <v>10.94871990591416</v>
      </c>
      <c r="H196" s="186">
        <f t="shared" si="27"/>
        <v>0</v>
      </c>
      <c r="I196" s="186">
        <f t="shared" si="28"/>
        <v>43.251280094085843</v>
      </c>
      <c r="J196" s="186">
        <f t="shared" si="29"/>
        <v>10.646730098246877</v>
      </c>
      <c r="K196" s="186">
        <f t="shared" si="30"/>
        <v>0.30198980766728312</v>
      </c>
      <c r="L196" s="186">
        <f t="shared" si="31"/>
        <v>5.8738614660231985</v>
      </c>
      <c r="M196" s="186">
        <f t="shared" si="32"/>
        <v>30.795599973847594</v>
      </c>
      <c r="N196" s="186">
        <f t="shared" si="33"/>
        <v>31.097589781514877</v>
      </c>
      <c r="O196" s="186">
        <f t="shared" si="34"/>
        <v>0.8178666112538413</v>
      </c>
    </row>
    <row r="197" spans="1:15">
      <c r="A197" s="41">
        <v>1995</v>
      </c>
      <c r="B197" s="41">
        <v>12</v>
      </c>
      <c r="C197" s="180">
        <f t="shared" si="35"/>
        <v>179.958</v>
      </c>
      <c r="D197" s="180">
        <f>+HLOOKUP('Info Gral'!$C$8,'Precip 1981-2010'!$D$5:$AL$373,189,FALSE)</f>
        <v>11</v>
      </c>
      <c r="E197" s="185">
        <f t="shared" si="24"/>
        <v>200.41092523193916</v>
      </c>
      <c r="F197" s="185">
        <f t="shared" si="25"/>
        <v>6.1358775695817496</v>
      </c>
      <c r="G197" s="186">
        <f t="shared" si="26"/>
        <v>0.11880981028029437</v>
      </c>
      <c r="H197" s="186">
        <f t="shared" si="27"/>
        <v>0</v>
      </c>
      <c r="I197" s="186">
        <f t="shared" si="28"/>
        <v>10.881190189719705</v>
      </c>
      <c r="J197" s="186">
        <f t="shared" si="29"/>
        <v>0.11877325217781348</v>
      </c>
      <c r="K197" s="186">
        <f t="shared" si="30"/>
        <v>3.6558102480890864E-5</v>
      </c>
      <c r="L197" s="186">
        <f t="shared" si="31"/>
        <v>0.61150720907008804</v>
      </c>
      <c r="M197" s="186">
        <f t="shared" si="32"/>
        <v>5.3811275091309243</v>
      </c>
      <c r="N197" s="186">
        <f t="shared" si="33"/>
        <v>5.3811640672334056</v>
      </c>
      <c r="O197" s="186">
        <f t="shared" si="34"/>
        <v>0.14152461496823857</v>
      </c>
    </row>
    <row r="198" spans="1:15">
      <c r="A198" s="41">
        <v>1996</v>
      </c>
      <c r="B198" s="41">
        <v>1</v>
      </c>
      <c r="C198" s="180">
        <f t="shared" si="35"/>
        <v>190.06799999999998</v>
      </c>
      <c r="D198" s="180">
        <f>+HLOOKUP('Info Gral'!$C$8,'Precip 1981-2010'!$D$5:$AL$373,190,FALSE)</f>
        <v>358.7</v>
      </c>
      <c r="E198" s="185">
        <f t="shared" si="24"/>
        <v>210.52092523193915</v>
      </c>
      <c r="F198" s="185">
        <f t="shared" si="25"/>
        <v>6.1358775695817496</v>
      </c>
      <c r="G198" s="186">
        <f t="shared" si="26"/>
        <v>223.18277340178997</v>
      </c>
      <c r="H198" s="186">
        <f t="shared" si="27"/>
        <v>0</v>
      </c>
      <c r="I198" s="186">
        <f t="shared" si="28"/>
        <v>135.51722659821002</v>
      </c>
      <c r="J198" s="186">
        <f t="shared" si="29"/>
        <v>141.41659005231122</v>
      </c>
      <c r="K198" s="186">
        <f t="shared" si="30"/>
        <v>81.766183349478752</v>
      </c>
      <c r="L198" s="186">
        <f t="shared" si="31"/>
        <v>44.281250065665176</v>
      </c>
      <c r="M198" s="186">
        <f t="shared" si="32"/>
        <v>97.746847195716128</v>
      </c>
      <c r="N198" s="186">
        <f t="shared" si="33"/>
        <v>179.51303054519488</v>
      </c>
      <c r="O198" s="186">
        <f t="shared" si="34"/>
        <v>4.721192703338625</v>
      </c>
    </row>
    <row r="199" spans="1:15">
      <c r="A199" s="41">
        <v>1996</v>
      </c>
      <c r="B199" s="41">
        <v>2</v>
      </c>
      <c r="C199" s="180">
        <f t="shared" si="35"/>
        <v>146.595</v>
      </c>
      <c r="D199" s="180">
        <f>+HLOOKUP('Info Gral'!$C$8,'Precip 1981-2010'!$D$5:$AL$373,191,FALSE)</f>
        <v>91.1</v>
      </c>
      <c r="E199" s="185">
        <f t="shared" si="24"/>
        <v>167.04792523193916</v>
      </c>
      <c r="F199" s="185">
        <f t="shared" si="25"/>
        <v>6.1358775695817496</v>
      </c>
      <c r="G199" s="186">
        <f t="shared" si="26"/>
        <v>29.35990949284437</v>
      </c>
      <c r="H199" s="186">
        <f t="shared" si="27"/>
        <v>0</v>
      </c>
      <c r="I199" s="186">
        <f t="shared" si="28"/>
        <v>61.740090507155628</v>
      </c>
      <c r="J199" s="186">
        <f t="shared" si="29"/>
        <v>27.284590556838911</v>
      </c>
      <c r="K199" s="186">
        <f t="shared" si="30"/>
        <v>2.0753189360054591</v>
      </c>
      <c r="L199" s="186">
        <f t="shared" si="31"/>
        <v>12.861958580635934</v>
      </c>
      <c r="M199" s="186">
        <f t="shared" si="32"/>
        <v>58.703882041868155</v>
      </c>
      <c r="N199" s="186">
        <f t="shared" si="33"/>
        <v>60.779200977873614</v>
      </c>
      <c r="O199" s="186">
        <f t="shared" si="34"/>
        <v>1.5984929857180759</v>
      </c>
    </row>
    <row r="200" spans="1:15">
      <c r="A200" s="41">
        <v>1996</v>
      </c>
      <c r="B200" s="41">
        <v>3</v>
      </c>
      <c r="C200" s="180">
        <f t="shared" si="35"/>
        <v>120.30899999999998</v>
      </c>
      <c r="D200" s="180">
        <f>+HLOOKUP('Info Gral'!$C$8,'Precip 1981-2010'!$D$5:$AL$373,192,FALSE)</f>
        <v>98.3</v>
      </c>
      <c r="E200" s="185">
        <f t="shared" si="24"/>
        <v>140.76192523193916</v>
      </c>
      <c r="F200" s="185">
        <f t="shared" si="25"/>
        <v>6.1358775695817496</v>
      </c>
      <c r="G200" s="186">
        <f t="shared" si="26"/>
        <v>37.454116551410905</v>
      </c>
      <c r="H200" s="186">
        <f t="shared" si="27"/>
        <v>0</v>
      </c>
      <c r="I200" s="186">
        <f t="shared" si="28"/>
        <v>60.845883448589092</v>
      </c>
      <c r="J200" s="186">
        <f t="shared" si="29"/>
        <v>34.141335327151964</v>
      </c>
      <c r="K200" s="186">
        <f t="shared" si="30"/>
        <v>3.3127812242589414</v>
      </c>
      <c r="L200" s="186">
        <f t="shared" si="31"/>
        <v>11.933799755657294</v>
      </c>
      <c r="M200" s="186">
        <f t="shared" si="32"/>
        <v>35.069494152130602</v>
      </c>
      <c r="N200" s="186">
        <f t="shared" si="33"/>
        <v>38.382275376389543</v>
      </c>
      <c r="O200" s="186">
        <f t="shared" si="34"/>
        <v>1.0094538423990449</v>
      </c>
    </row>
    <row r="201" spans="1:15">
      <c r="A201" s="41">
        <v>1996</v>
      </c>
      <c r="B201" s="41">
        <v>4</v>
      </c>
      <c r="C201" s="180">
        <f t="shared" si="35"/>
        <v>73.802999999999997</v>
      </c>
      <c r="D201" s="180">
        <f>+HLOOKUP('Info Gral'!$C$8,'Precip 1981-2010'!$D$5:$AL$373,193,FALSE)</f>
        <v>300.8</v>
      </c>
      <c r="E201" s="185">
        <f t="shared" si="24"/>
        <v>94.255925231939159</v>
      </c>
      <c r="F201" s="185">
        <f t="shared" si="25"/>
        <v>6.1358775695817496</v>
      </c>
      <c r="G201" s="186">
        <f t="shared" si="26"/>
        <v>226.83003068450876</v>
      </c>
      <c r="H201" s="186">
        <f t="shared" si="27"/>
        <v>0.16696931549125793</v>
      </c>
      <c r="I201" s="186">
        <f t="shared" si="28"/>
        <v>73.802999999999997</v>
      </c>
      <c r="J201" s="186">
        <f t="shared" si="29"/>
        <v>142.87222795923219</v>
      </c>
      <c r="K201" s="186">
        <f t="shared" si="30"/>
        <v>83.957802725276565</v>
      </c>
      <c r="L201" s="186">
        <f t="shared" si="31"/>
        <v>45.84356581251533</v>
      </c>
      <c r="M201" s="186">
        <f t="shared" si="32"/>
        <v>108.96246190237416</v>
      </c>
      <c r="N201" s="186">
        <f t="shared" si="33"/>
        <v>192.92026462765074</v>
      </c>
      <c r="O201" s="186">
        <f t="shared" si="34"/>
        <v>5.0738029597072147</v>
      </c>
    </row>
    <row r="202" spans="1:15">
      <c r="A202" s="41">
        <v>1996</v>
      </c>
      <c r="B202" s="41">
        <v>5</v>
      </c>
      <c r="C202" s="180">
        <f t="shared" si="35"/>
        <v>44.483999999999995</v>
      </c>
      <c r="D202" s="180">
        <f>+HLOOKUP('Info Gral'!$C$8,'Precip 1981-2010'!$D$5:$AL$373,194,FALSE)</f>
        <v>10.7</v>
      </c>
      <c r="E202" s="185">
        <f t="shared" si="24"/>
        <v>64.769955916447898</v>
      </c>
      <c r="F202" s="185">
        <f t="shared" si="25"/>
        <v>6.0857867749343724</v>
      </c>
      <c r="G202" s="186">
        <f t="shared" si="26"/>
        <v>0.33635873288306856</v>
      </c>
      <c r="H202" s="186">
        <f t="shared" si="27"/>
        <v>0</v>
      </c>
      <c r="I202" s="186">
        <f t="shared" si="28"/>
        <v>10.530610582608189</v>
      </c>
      <c r="J202" s="186">
        <f t="shared" si="29"/>
        <v>0.33606588652100783</v>
      </c>
      <c r="K202" s="186">
        <f t="shared" si="30"/>
        <v>2.92846362060728E-4</v>
      </c>
      <c r="L202" s="186">
        <f t="shared" si="31"/>
        <v>4.5878307129555003</v>
      </c>
      <c r="M202" s="186">
        <f t="shared" si="32"/>
        <v>41.591800986080834</v>
      </c>
      <c r="N202" s="186">
        <f t="shared" si="33"/>
        <v>41.592093832442892</v>
      </c>
      <c r="O202" s="186">
        <f t="shared" si="34"/>
        <v>1.0938720677932481</v>
      </c>
    </row>
    <row r="203" spans="1:15">
      <c r="A203" s="41">
        <v>1996</v>
      </c>
      <c r="B203" s="41">
        <v>6</v>
      </c>
      <c r="C203" s="180">
        <f t="shared" si="35"/>
        <v>29.318999999999996</v>
      </c>
      <c r="D203" s="180">
        <f>+HLOOKUP('Info Gral'!$C$8,'Precip 1981-2010'!$D$5:$AL$373,195,FALSE)</f>
        <v>20.2</v>
      </c>
      <c r="E203" s="185">
        <f t="shared" si="24"/>
        <v>49.771925231939164</v>
      </c>
      <c r="F203" s="185">
        <f t="shared" si="25"/>
        <v>6.1358775695817496</v>
      </c>
      <c r="G203" s="186">
        <f t="shared" si="26"/>
        <v>3.4280581741744149</v>
      </c>
      <c r="H203" s="186">
        <f t="shared" si="27"/>
        <v>0</v>
      </c>
      <c r="I203" s="186">
        <f t="shared" si="28"/>
        <v>16.771941825825586</v>
      </c>
      <c r="J203" s="186">
        <f t="shared" si="29"/>
        <v>3.3978816560759992</v>
      </c>
      <c r="K203" s="186">
        <f t="shared" si="30"/>
        <v>3.0176518098415706E-2</v>
      </c>
      <c r="L203" s="186">
        <f t="shared" si="31"/>
        <v>1.5111431848762924</v>
      </c>
      <c r="M203" s="186">
        <f t="shared" si="32"/>
        <v>6.4745691841552073</v>
      </c>
      <c r="N203" s="186">
        <f t="shared" si="33"/>
        <v>6.504745702253623</v>
      </c>
      <c r="O203" s="186">
        <f t="shared" si="34"/>
        <v>0.17107481196927027</v>
      </c>
    </row>
    <row r="204" spans="1:15">
      <c r="A204" s="41">
        <v>1996</v>
      </c>
      <c r="B204" s="41">
        <v>7</v>
      </c>
      <c r="C204" s="180">
        <f t="shared" si="35"/>
        <v>35.384999999999998</v>
      </c>
      <c r="D204" s="180">
        <f>+HLOOKUP('Info Gral'!$C$8,'Precip 1981-2010'!$D$5:$AL$373,196,FALSE)</f>
        <v>23.4</v>
      </c>
      <c r="E204" s="185">
        <f t="shared" si="24"/>
        <v>55.837925231939167</v>
      </c>
      <c r="F204" s="185">
        <f t="shared" si="25"/>
        <v>6.1358775695817496</v>
      </c>
      <c r="G204" s="186">
        <f t="shared" si="26"/>
        <v>4.450753610062347</v>
      </c>
      <c r="H204" s="186">
        <f t="shared" si="27"/>
        <v>0</v>
      </c>
      <c r="I204" s="186">
        <f t="shared" si="28"/>
        <v>18.949246389937652</v>
      </c>
      <c r="J204" s="186">
        <f t="shared" si="29"/>
        <v>4.4000194073125014</v>
      </c>
      <c r="K204" s="186">
        <f t="shared" si="30"/>
        <v>5.0734202749845636E-2</v>
      </c>
      <c r="L204" s="186">
        <f t="shared" si="31"/>
        <v>1.5236660085443492</v>
      </c>
      <c r="M204" s="186">
        <f t="shared" si="32"/>
        <v>4.3874965836444444</v>
      </c>
      <c r="N204" s="186">
        <f t="shared" si="33"/>
        <v>4.43823078639429</v>
      </c>
      <c r="O204" s="186">
        <f t="shared" si="34"/>
        <v>0.11672546968216982</v>
      </c>
    </row>
    <row r="205" spans="1:15">
      <c r="A205" s="41">
        <v>1996</v>
      </c>
      <c r="B205" s="41">
        <v>8</v>
      </c>
      <c r="C205" s="180">
        <f t="shared" si="35"/>
        <v>55.605000000000004</v>
      </c>
      <c r="D205" s="180">
        <f>+HLOOKUP('Info Gral'!$C$8,'Precip 1981-2010'!$D$5:$AL$373,197,FALSE)</f>
        <v>35.9</v>
      </c>
      <c r="E205" s="185">
        <f t="shared" si="24"/>
        <v>76.057925231939166</v>
      </c>
      <c r="F205" s="185">
        <f t="shared" si="25"/>
        <v>6.1358775695817496</v>
      </c>
      <c r="G205" s="186">
        <f t="shared" si="26"/>
        <v>8.8869196522289577</v>
      </c>
      <c r="H205" s="186">
        <f t="shared" si="27"/>
        <v>0</v>
      </c>
      <c r="I205" s="186">
        <f t="shared" si="28"/>
        <v>27.013080347771041</v>
      </c>
      <c r="J205" s="186">
        <f t="shared" si="29"/>
        <v>8.686919761184889</v>
      </c>
      <c r="K205" s="186">
        <f t="shared" si="30"/>
        <v>0.19999989104406879</v>
      </c>
      <c r="L205" s="186">
        <f t="shared" si="31"/>
        <v>2.865419039222254</v>
      </c>
      <c r="M205" s="186">
        <f t="shared" si="32"/>
        <v>7.3451667305069837</v>
      </c>
      <c r="N205" s="186">
        <f t="shared" si="33"/>
        <v>7.5451666215510524</v>
      </c>
      <c r="O205" s="186">
        <f t="shared" si="34"/>
        <v>0.1984378821467927</v>
      </c>
    </row>
    <row r="206" spans="1:15">
      <c r="A206" s="41">
        <v>1996</v>
      </c>
      <c r="B206" s="41">
        <v>9</v>
      </c>
      <c r="C206" s="180">
        <f t="shared" si="35"/>
        <v>78.858000000000004</v>
      </c>
      <c r="D206" s="180">
        <f>+HLOOKUP('Info Gral'!$C$8,'Precip 1981-2010'!$D$5:$AL$373,198,FALSE)</f>
        <v>79.7</v>
      </c>
      <c r="E206" s="185">
        <f t="shared" si="24"/>
        <v>99.310925231939166</v>
      </c>
      <c r="F206" s="185">
        <f t="shared" si="25"/>
        <v>6.1358775695817496</v>
      </c>
      <c r="G206" s="186">
        <f t="shared" si="26"/>
        <v>32.455961643244613</v>
      </c>
      <c r="H206" s="186">
        <f t="shared" si="27"/>
        <v>0</v>
      </c>
      <c r="I206" s="186">
        <f t="shared" si="28"/>
        <v>47.244038356755389</v>
      </c>
      <c r="J206" s="186">
        <f t="shared" si="29"/>
        <v>29.938637139009604</v>
      </c>
      <c r="K206" s="186">
        <f t="shared" si="30"/>
        <v>2.5173245042350096</v>
      </c>
      <c r="L206" s="186">
        <f t="shared" si="31"/>
        <v>9.6421054920897991</v>
      </c>
      <c r="M206" s="186">
        <f t="shared" si="32"/>
        <v>23.16195068614206</v>
      </c>
      <c r="N206" s="186">
        <f t="shared" si="33"/>
        <v>25.679275190377069</v>
      </c>
      <c r="O206" s="186">
        <f t="shared" si="34"/>
        <v>0.67536493750691695</v>
      </c>
    </row>
    <row r="207" spans="1:15">
      <c r="A207" s="41">
        <v>1996</v>
      </c>
      <c r="B207" s="41">
        <v>10</v>
      </c>
      <c r="C207" s="180">
        <f t="shared" si="35"/>
        <v>113.232</v>
      </c>
      <c r="D207" s="180">
        <f>+HLOOKUP('Info Gral'!$C$8,'Precip 1981-2010'!$D$5:$AL$373,199,FALSE)</f>
        <v>120.9</v>
      </c>
      <c r="E207" s="185">
        <f t="shared" si="24"/>
        <v>133.68492523193916</v>
      </c>
      <c r="F207" s="185">
        <f t="shared" si="25"/>
        <v>6.1358775695817496</v>
      </c>
      <c r="G207" s="186">
        <f t="shared" si="26"/>
        <v>54.354469433837451</v>
      </c>
      <c r="H207" s="186">
        <f t="shared" si="27"/>
        <v>0</v>
      </c>
      <c r="I207" s="186">
        <f t="shared" si="28"/>
        <v>66.545530566162554</v>
      </c>
      <c r="J207" s="186">
        <f t="shared" si="29"/>
        <v>47.645309989555109</v>
      </c>
      <c r="K207" s="186">
        <f t="shared" si="30"/>
        <v>6.7091594442823421</v>
      </c>
      <c r="L207" s="186">
        <f t="shared" si="31"/>
        <v>15.84169081943763</v>
      </c>
      <c r="M207" s="186">
        <f t="shared" si="32"/>
        <v>41.445724662207276</v>
      </c>
      <c r="N207" s="186">
        <f t="shared" si="33"/>
        <v>48.154884106489618</v>
      </c>
      <c r="O207" s="186">
        <f t="shared" si="34"/>
        <v>1.2664734520006768</v>
      </c>
    </row>
    <row r="208" spans="1:15">
      <c r="A208" s="41">
        <v>1996</v>
      </c>
      <c r="B208" s="41">
        <v>11</v>
      </c>
      <c r="C208" s="180">
        <f t="shared" si="35"/>
        <v>148.61699999999999</v>
      </c>
      <c r="D208" s="180">
        <f>+HLOOKUP('Info Gral'!$C$8,'Precip 1981-2010'!$D$5:$AL$373,200,FALSE)</f>
        <v>108.6</v>
      </c>
      <c r="E208" s="185">
        <f t="shared" si="24"/>
        <v>169.06992523193915</v>
      </c>
      <c r="F208" s="185">
        <f t="shared" si="25"/>
        <v>6.1358775695817496</v>
      </c>
      <c r="G208" s="186">
        <f t="shared" si="26"/>
        <v>39.559038337625395</v>
      </c>
      <c r="H208" s="186">
        <f t="shared" si="27"/>
        <v>0</v>
      </c>
      <c r="I208" s="186">
        <f t="shared" si="28"/>
        <v>69.040961662374599</v>
      </c>
      <c r="J208" s="186">
        <f t="shared" si="29"/>
        <v>35.881716572093637</v>
      </c>
      <c r="K208" s="186">
        <f t="shared" si="30"/>
        <v>3.677321765531758</v>
      </c>
      <c r="L208" s="186">
        <f t="shared" si="31"/>
        <v>12.769391445934936</v>
      </c>
      <c r="M208" s="186">
        <f t="shared" si="32"/>
        <v>38.954015945596332</v>
      </c>
      <c r="N208" s="186">
        <f t="shared" si="33"/>
        <v>42.63133771112809</v>
      </c>
      <c r="O208" s="186">
        <f t="shared" si="34"/>
        <v>1.1212041818026688</v>
      </c>
    </row>
    <row r="209" spans="1:15">
      <c r="A209" s="41">
        <v>1996</v>
      </c>
      <c r="B209" s="41">
        <v>12</v>
      </c>
      <c r="C209" s="180">
        <f t="shared" si="35"/>
        <v>179.958</v>
      </c>
      <c r="D209" s="180">
        <f>+HLOOKUP('Info Gral'!$C$8,'Precip 1981-2010'!$D$5:$AL$373,201,FALSE)</f>
        <v>93.1</v>
      </c>
      <c r="E209" s="185">
        <f t="shared" si="24"/>
        <v>200.41092523193916</v>
      </c>
      <c r="F209" s="185">
        <f t="shared" si="25"/>
        <v>6.1358775695817496</v>
      </c>
      <c r="G209" s="186">
        <f t="shared" si="26"/>
        <v>26.890843788217541</v>
      </c>
      <c r="H209" s="186">
        <f t="shared" si="27"/>
        <v>0</v>
      </c>
      <c r="I209" s="186">
        <f t="shared" si="28"/>
        <v>66.209156211782457</v>
      </c>
      <c r="J209" s="186">
        <f t="shared" si="29"/>
        <v>25.139491123169773</v>
      </c>
      <c r="K209" s="186">
        <f t="shared" si="30"/>
        <v>1.7513526650477687</v>
      </c>
      <c r="L209" s="186">
        <f t="shared" si="31"/>
        <v>9.1098405351534328</v>
      </c>
      <c r="M209" s="186">
        <f t="shared" si="32"/>
        <v>28.799042033951274</v>
      </c>
      <c r="N209" s="186">
        <f t="shared" si="33"/>
        <v>30.550394698999042</v>
      </c>
      <c r="O209" s="186">
        <f t="shared" si="34"/>
        <v>0.80347538058367485</v>
      </c>
    </row>
    <row r="210" spans="1:15">
      <c r="A210" s="41">
        <v>1997</v>
      </c>
      <c r="B210" s="41">
        <v>1</v>
      </c>
      <c r="C210" s="180">
        <f t="shared" si="35"/>
        <v>190.06799999999998</v>
      </c>
      <c r="D210" s="180">
        <f>+HLOOKUP('Info Gral'!$C$8,'Precip 1981-2010'!$D$5:$AL$373,202,FALSE)</f>
        <v>78.3</v>
      </c>
      <c r="E210" s="185">
        <f t="shared" ref="E210:E273" si="36">+CAD*AD-H209+C210</f>
        <v>210.52092523193915</v>
      </c>
      <c r="F210" s="185">
        <f t="shared" ref="F210:F273" si="37">+CP.o*(CAD*AD-H209)</f>
        <v>6.1358775695817496</v>
      </c>
      <c r="G210" s="186">
        <f t="shared" ref="G210:G273" si="38">+IF(D210&lt;F210,0,(D210-F210)^2/(D210+E210-2*F210))</f>
        <v>18.830866729433133</v>
      </c>
      <c r="H210" s="186">
        <f t="shared" ref="H210:H273" si="39">+MAX(0,H209+D210-G210-C210)</f>
        <v>0</v>
      </c>
      <c r="I210" s="186">
        <f t="shared" ref="I210:I273" si="40">+MIN(H209+D210-G210,C210)</f>
        <v>59.469133270566864</v>
      </c>
      <c r="J210" s="186">
        <f t="shared" ref="J210:J273" si="41">+Imax*G210/(G210+Imax)</f>
        <v>17.954941569263298</v>
      </c>
      <c r="K210" s="186">
        <f t="shared" ref="K210:K273" si="42">+G210-J210</f>
        <v>0.87592516016983524</v>
      </c>
      <c r="L210" s="186">
        <f t="shared" ref="L210:L273" si="43">+L209*EXP(-α)+J210*EXP(-α/2)</f>
        <v>6.5053636524609981</v>
      </c>
      <c r="M210" s="186">
        <f t="shared" ref="M210:M273" si="44">+L209-L210+J210</f>
        <v>20.559418451955732</v>
      </c>
      <c r="N210" s="186">
        <f t="shared" ref="N210:N273" si="45">+M210+K210</f>
        <v>21.435343612125568</v>
      </c>
      <c r="O210" s="186">
        <f t="shared" ref="O210:O273" si="46">+N210*Ac/100000</f>
        <v>0.5637495369989024</v>
      </c>
    </row>
    <row r="211" spans="1:15">
      <c r="A211" s="41">
        <v>1997</v>
      </c>
      <c r="B211" s="41">
        <v>2</v>
      </c>
      <c r="C211" s="180">
        <f t="shared" si="35"/>
        <v>146.595</v>
      </c>
      <c r="D211" s="180">
        <f>+HLOOKUP('Info Gral'!$C$8,'Precip 1981-2010'!$D$5:$AL$373,203,FALSE)</f>
        <v>245.2</v>
      </c>
      <c r="E211" s="185">
        <f t="shared" si="36"/>
        <v>167.04792523193916</v>
      </c>
      <c r="F211" s="185">
        <f t="shared" si="37"/>
        <v>6.1358775695817496</v>
      </c>
      <c r="G211" s="186">
        <f t="shared" si="38"/>
        <v>142.88764908211783</v>
      </c>
      <c r="H211" s="186">
        <f t="shared" si="39"/>
        <v>0</v>
      </c>
      <c r="I211" s="186">
        <f t="shared" si="40"/>
        <v>102.31235091788216</v>
      </c>
      <c r="J211" s="186">
        <f t="shared" si="41"/>
        <v>104.28421355918994</v>
      </c>
      <c r="K211" s="186">
        <f t="shared" si="42"/>
        <v>38.603435522927896</v>
      </c>
      <c r="L211" s="186">
        <f t="shared" si="43"/>
        <v>33.246149624528648</v>
      </c>
      <c r="M211" s="186">
        <f t="shared" si="44"/>
        <v>77.543427587122295</v>
      </c>
      <c r="N211" s="186">
        <f t="shared" si="45"/>
        <v>116.14686311005019</v>
      </c>
      <c r="O211" s="186">
        <f t="shared" si="46"/>
        <v>3.0546624997943197</v>
      </c>
    </row>
    <row r="212" spans="1:15">
      <c r="A212" s="41">
        <v>1997</v>
      </c>
      <c r="B212" s="41">
        <v>3</v>
      </c>
      <c r="C212" s="180">
        <f t="shared" si="35"/>
        <v>120.30899999999998</v>
      </c>
      <c r="D212" s="180">
        <f>+HLOOKUP('Info Gral'!$C$8,'Precip 1981-2010'!$D$5:$AL$373,204,FALSE)</f>
        <v>43.1</v>
      </c>
      <c r="E212" s="185">
        <f t="shared" si="36"/>
        <v>140.76192523193916</v>
      </c>
      <c r="F212" s="185">
        <f t="shared" si="37"/>
        <v>6.1358775695817496</v>
      </c>
      <c r="G212" s="186">
        <f t="shared" si="38"/>
        <v>7.9628474423225484</v>
      </c>
      <c r="H212" s="186">
        <f t="shared" si="39"/>
        <v>0</v>
      </c>
      <c r="I212" s="186">
        <f t="shared" si="40"/>
        <v>35.137152557677453</v>
      </c>
      <c r="J212" s="186">
        <f t="shared" si="41"/>
        <v>7.8019009474909877</v>
      </c>
      <c r="K212" s="186">
        <f t="shared" si="42"/>
        <v>0.16094649483156065</v>
      </c>
      <c r="L212" s="186">
        <f t="shared" si="43"/>
        <v>5.6906043097797561</v>
      </c>
      <c r="M212" s="186">
        <f t="shared" si="44"/>
        <v>35.357446262239876</v>
      </c>
      <c r="N212" s="186">
        <f t="shared" si="45"/>
        <v>35.518392757071439</v>
      </c>
      <c r="O212" s="186">
        <f t="shared" si="46"/>
        <v>0.93413372951097884</v>
      </c>
    </row>
    <row r="213" spans="1:15">
      <c r="A213" s="41">
        <v>1997</v>
      </c>
      <c r="B213" s="41">
        <v>4</v>
      </c>
      <c r="C213" s="180">
        <f t="shared" si="35"/>
        <v>73.802999999999997</v>
      </c>
      <c r="D213" s="180">
        <f>+HLOOKUP('Info Gral'!$C$8,'Precip 1981-2010'!$D$5:$AL$373,205,FALSE)</f>
        <v>96.8</v>
      </c>
      <c r="E213" s="185">
        <f t="shared" si="36"/>
        <v>94.255925231939159</v>
      </c>
      <c r="F213" s="185">
        <f t="shared" si="37"/>
        <v>6.1358775695817496</v>
      </c>
      <c r="G213" s="186">
        <f t="shared" si="38"/>
        <v>45.97713036793084</v>
      </c>
      <c r="H213" s="186">
        <f t="shared" si="39"/>
        <v>0</v>
      </c>
      <c r="I213" s="186">
        <f t="shared" si="40"/>
        <v>50.822869632069157</v>
      </c>
      <c r="J213" s="186">
        <f t="shared" si="41"/>
        <v>41.083592334865926</v>
      </c>
      <c r="K213" s="186">
        <f t="shared" si="42"/>
        <v>4.8935380330649139</v>
      </c>
      <c r="L213" s="186">
        <f t="shared" si="43"/>
        <v>13.403427713782937</v>
      </c>
      <c r="M213" s="186">
        <f t="shared" si="44"/>
        <v>33.370768930862745</v>
      </c>
      <c r="N213" s="186">
        <f t="shared" si="45"/>
        <v>38.264306963927659</v>
      </c>
      <c r="O213" s="186">
        <f t="shared" si="46"/>
        <v>1.0063512731512976</v>
      </c>
    </row>
    <row r="214" spans="1:15">
      <c r="A214" s="41">
        <v>1997</v>
      </c>
      <c r="B214" s="41">
        <v>5</v>
      </c>
      <c r="C214" s="180">
        <f t="shared" si="35"/>
        <v>44.483999999999995</v>
      </c>
      <c r="D214" s="180">
        <f>+HLOOKUP('Info Gral'!$C$8,'Precip 1981-2010'!$D$5:$AL$373,206,FALSE)</f>
        <v>122.7</v>
      </c>
      <c r="E214" s="185">
        <f t="shared" si="36"/>
        <v>64.936925231939156</v>
      </c>
      <c r="F214" s="185">
        <f t="shared" si="37"/>
        <v>6.1358775695817496</v>
      </c>
      <c r="G214" s="186">
        <f t="shared" si="38"/>
        <v>77.479436941699021</v>
      </c>
      <c r="H214" s="186">
        <f t="shared" si="39"/>
        <v>0.73656305830098745</v>
      </c>
      <c r="I214" s="186">
        <f t="shared" si="40"/>
        <v>44.483999999999995</v>
      </c>
      <c r="J214" s="186">
        <f t="shared" si="41"/>
        <v>64.527269768082135</v>
      </c>
      <c r="K214" s="186">
        <f t="shared" si="42"/>
        <v>12.952167173616886</v>
      </c>
      <c r="L214" s="186">
        <f t="shared" si="43"/>
        <v>21.488532829046498</v>
      </c>
      <c r="M214" s="186">
        <f t="shared" si="44"/>
        <v>56.442164652818576</v>
      </c>
      <c r="N214" s="186">
        <f t="shared" si="45"/>
        <v>69.394331826435462</v>
      </c>
      <c r="O214" s="186">
        <f t="shared" si="46"/>
        <v>1.8250709270352528</v>
      </c>
    </row>
    <row r="215" spans="1:15">
      <c r="A215" s="41">
        <v>1997</v>
      </c>
      <c r="B215" s="41">
        <v>6</v>
      </c>
      <c r="C215" s="180">
        <f t="shared" si="35"/>
        <v>29.318999999999996</v>
      </c>
      <c r="D215" s="180">
        <f>+HLOOKUP('Info Gral'!$C$8,'Precip 1981-2010'!$D$5:$AL$373,207,FALSE)</f>
        <v>65</v>
      </c>
      <c r="E215" s="185">
        <f t="shared" si="36"/>
        <v>49.035362173638177</v>
      </c>
      <c r="F215" s="185">
        <f t="shared" si="37"/>
        <v>5.9149086520914533</v>
      </c>
      <c r="G215" s="186">
        <f t="shared" si="38"/>
        <v>34.157129381284847</v>
      </c>
      <c r="H215" s="186">
        <f t="shared" si="39"/>
        <v>2.2604336770161453</v>
      </c>
      <c r="I215" s="186">
        <f t="shared" si="40"/>
        <v>29.318999999999996</v>
      </c>
      <c r="J215" s="186">
        <f t="shared" si="41"/>
        <v>31.38028851394575</v>
      </c>
      <c r="K215" s="186">
        <f t="shared" si="42"/>
        <v>2.7768408673390965</v>
      </c>
      <c r="L215" s="186">
        <f t="shared" si="43"/>
        <v>11.913947047782049</v>
      </c>
      <c r="M215" s="186">
        <f t="shared" si="44"/>
        <v>40.954874295210203</v>
      </c>
      <c r="N215" s="186">
        <f t="shared" si="45"/>
        <v>43.7317151625493</v>
      </c>
      <c r="O215" s="186">
        <f t="shared" si="46"/>
        <v>1.1501441087750466</v>
      </c>
    </row>
    <row r="216" spans="1:15">
      <c r="A216" s="41">
        <v>1997</v>
      </c>
      <c r="B216" s="41">
        <v>7</v>
      </c>
      <c r="C216" s="180">
        <f t="shared" si="35"/>
        <v>35.384999999999998</v>
      </c>
      <c r="D216" s="180">
        <f>+HLOOKUP('Info Gral'!$C$8,'Precip 1981-2010'!$D$5:$AL$373,208,FALSE)</f>
        <v>123.7</v>
      </c>
      <c r="E216" s="185">
        <f t="shared" si="36"/>
        <v>53.577491554923014</v>
      </c>
      <c r="F216" s="185">
        <f t="shared" si="37"/>
        <v>5.4577474664769055</v>
      </c>
      <c r="G216" s="186">
        <f t="shared" si="38"/>
        <v>84.041010375533901</v>
      </c>
      <c r="H216" s="186">
        <f t="shared" si="39"/>
        <v>6.5344233014822422</v>
      </c>
      <c r="I216" s="186">
        <f t="shared" si="40"/>
        <v>35.384999999999998</v>
      </c>
      <c r="J216" s="186">
        <f t="shared" si="41"/>
        <v>69.014892932509554</v>
      </c>
      <c r="K216" s="186">
        <f t="shared" si="42"/>
        <v>15.026117443024347</v>
      </c>
      <c r="L216" s="186">
        <f t="shared" si="43"/>
        <v>22.7461814997293</v>
      </c>
      <c r="M216" s="186">
        <f t="shared" si="44"/>
        <v>58.182658480562303</v>
      </c>
      <c r="N216" s="186">
        <f t="shared" si="45"/>
        <v>73.208775923586643</v>
      </c>
      <c r="O216" s="186">
        <f t="shared" si="46"/>
        <v>1.9253908067903287</v>
      </c>
    </row>
    <row r="217" spans="1:15">
      <c r="A217" s="41">
        <v>1997</v>
      </c>
      <c r="B217" s="41">
        <v>8</v>
      </c>
      <c r="C217" s="180">
        <f t="shared" si="35"/>
        <v>55.605000000000004</v>
      </c>
      <c r="D217" s="180">
        <f>+HLOOKUP('Info Gral'!$C$8,'Precip 1981-2010'!$D$5:$AL$373,209,FALSE)</f>
        <v>46.4</v>
      </c>
      <c r="E217" s="185">
        <f t="shared" si="36"/>
        <v>69.523501930456931</v>
      </c>
      <c r="F217" s="185">
        <f t="shared" si="37"/>
        <v>4.1755505791370764</v>
      </c>
      <c r="G217" s="186">
        <f t="shared" si="38"/>
        <v>16.57399217733229</v>
      </c>
      <c r="H217" s="186">
        <f t="shared" si="39"/>
        <v>0</v>
      </c>
      <c r="I217" s="186">
        <f t="shared" si="40"/>
        <v>36.360431124149954</v>
      </c>
      <c r="J217" s="186">
        <f t="shared" si="41"/>
        <v>15.891640058139084</v>
      </c>
      <c r="K217" s="186">
        <f t="shared" si="42"/>
        <v>0.68235211919320626</v>
      </c>
      <c r="L217" s="186">
        <f t="shared" si="43"/>
        <v>7.193570547162695</v>
      </c>
      <c r="M217" s="186">
        <f t="shared" si="44"/>
        <v>31.444251010705688</v>
      </c>
      <c r="N217" s="186">
        <f t="shared" si="45"/>
        <v>32.126603129898896</v>
      </c>
      <c r="O217" s="186">
        <f t="shared" si="46"/>
        <v>0.84492966231634103</v>
      </c>
    </row>
    <row r="218" spans="1:15">
      <c r="A218" s="41">
        <v>1997</v>
      </c>
      <c r="B218" s="41">
        <v>9</v>
      </c>
      <c r="C218" s="180">
        <f t="shared" si="35"/>
        <v>78.858000000000004</v>
      </c>
      <c r="D218" s="180">
        <f>+HLOOKUP('Info Gral'!$C$8,'Precip 1981-2010'!$D$5:$AL$373,210,FALSE)</f>
        <v>46.6</v>
      </c>
      <c r="E218" s="185">
        <f t="shared" si="36"/>
        <v>99.310925231939166</v>
      </c>
      <c r="F218" s="185">
        <f t="shared" si="37"/>
        <v>6.1358775695817496</v>
      </c>
      <c r="G218" s="186">
        <f t="shared" si="38"/>
        <v>12.251985723401241</v>
      </c>
      <c r="H218" s="186">
        <f t="shared" si="39"/>
        <v>0</v>
      </c>
      <c r="I218" s="186">
        <f t="shared" si="40"/>
        <v>34.348014276598761</v>
      </c>
      <c r="J218" s="186">
        <f t="shared" si="41"/>
        <v>11.875060662013889</v>
      </c>
      <c r="K218" s="186">
        <f t="shared" si="42"/>
        <v>0.37692506138735205</v>
      </c>
      <c r="L218" s="186">
        <f t="shared" si="43"/>
        <v>4.4167844729224894</v>
      </c>
      <c r="M218" s="186">
        <f t="shared" si="44"/>
        <v>14.651846736254093</v>
      </c>
      <c r="N218" s="186">
        <f t="shared" si="45"/>
        <v>15.028771797641445</v>
      </c>
      <c r="O218" s="186">
        <f t="shared" si="46"/>
        <v>0.39525669827797</v>
      </c>
    </row>
    <row r="219" spans="1:15">
      <c r="A219" s="41">
        <v>1997</v>
      </c>
      <c r="B219" s="41">
        <v>10</v>
      </c>
      <c r="C219" s="180">
        <f t="shared" si="35"/>
        <v>113.232</v>
      </c>
      <c r="D219" s="180">
        <f>+HLOOKUP('Info Gral'!$C$8,'Precip 1981-2010'!$D$5:$AL$373,211,FALSE)</f>
        <v>216.2</v>
      </c>
      <c r="E219" s="185">
        <f t="shared" si="36"/>
        <v>133.68492523193916</v>
      </c>
      <c r="F219" s="185">
        <f t="shared" si="37"/>
        <v>6.1358775695817496</v>
      </c>
      <c r="G219" s="186">
        <f t="shared" si="38"/>
        <v>130.70264859731543</v>
      </c>
      <c r="H219" s="186">
        <f t="shared" si="39"/>
        <v>0</v>
      </c>
      <c r="I219" s="186">
        <f t="shared" si="40"/>
        <v>85.497351402684558</v>
      </c>
      <c r="J219" s="186">
        <f t="shared" si="41"/>
        <v>97.640727206494688</v>
      </c>
      <c r="K219" s="186">
        <f t="shared" si="42"/>
        <v>33.061921390820743</v>
      </c>
      <c r="L219" s="186">
        <f t="shared" si="43"/>
        <v>30.964480094804941</v>
      </c>
      <c r="M219" s="186">
        <f t="shared" si="44"/>
        <v>71.093031584612234</v>
      </c>
      <c r="N219" s="186">
        <f t="shared" si="45"/>
        <v>104.15495297543298</v>
      </c>
      <c r="O219" s="186">
        <f t="shared" si="46"/>
        <v>2.7392752632538877</v>
      </c>
    </row>
    <row r="220" spans="1:15">
      <c r="A220" s="41">
        <v>1997</v>
      </c>
      <c r="B220" s="41">
        <v>11</v>
      </c>
      <c r="C220" s="180">
        <f t="shared" si="35"/>
        <v>148.61699999999999</v>
      </c>
      <c r="D220" s="180">
        <f>+HLOOKUP('Info Gral'!$C$8,'Precip 1981-2010'!$D$5:$AL$373,212,FALSE)</f>
        <v>185.7</v>
      </c>
      <c r="E220" s="185">
        <f t="shared" si="36"/>
        <v>169.06992523193915</v>
      </c>
      <c r="F220" s="185">
        <f t="shared" si="37"/>
        <v>6.1358775695817496</v>
      </c>
      <c r="G220" s="186">
        <f t="shared" si="38"/>
        <v>94.141449151311363</v>
      </c>
      <c r="H220" s="186">
        <f t="shared" si="39"/>
        <v>0</v>
      </c>
      <c r="I220" s="186">
        <f t="shared" si="40"/>
        <v>91.558550848688625</v>
      </c>
      <c r="J220" s="186">
        <f t="shared" si="41"/>
        <v>75.683112625743064</v>
      </c>
      <c r="K220" s="186">
        <f t="shared" si="42"/>
        <v>18.458336525568299</v>
      </c>
      <c r="L220" s="186">
        <f t="shared" si="43"/>
        <v>26.694183497230096</v>
      </c>
      <c r="M220" s="186">
        <f t="shared" si="44"/>
        <v>79.953409223317905</v>
      </c>
      <c r="N220" s="186">
        <f t="shared" si="45"/>
        <v>98.411745748886204</v>
      </c>
      <c r="O220" s="186">
        <f t="shared" si="46"/>
        <v>2.588228913195707</v>
      </c>
    </row>
    <row r="221" spans="1:15">
      <c r="A221" s="41">
        <v>1997</v>
      </c>
      <c r="B221" s="41">
        <v>12</v>
      </c>
      <c r="C221" s="180">
        <f t="shared" si="35"/>
        <v>179.958</v>
      </c>
      <c r="D221" s="180">
        <f>+HLOOKUP('Info Gral'!$C$8,'Precip 1981-2010'!$D$5:$AL$373,213,FALSE)</f>
        <v>436.9</v>
      </c>
      <c r="E221" s="185">
        <f t="shared" si="36"/>
        <v>200.41092523193916</v>
      </c>
      <c r="F221" s="185">
        <f t="shared" si="37"/>
        <v>6.1358775695817496</v>
      </c>
      <c r="G221" s="186">
        <f t="shared" si="38"/>
        <v>296.87376096078219</v>
      </c>
      <c r="H221" s="186">
        <f t="shared" si="39"/>
        <v>0</v>
      </c>
      <c r="I221" s="186">
        <f t="shared" si="40"/>
        <v>140.02623903921778</v>
      </c>
      <c r="J221" s="186">
        <f t="shared" si="41"/>
        <v>167.81033081375503</v>
      </c>
      <c r="K221" s="186">
        <f t="shared" si="42"/>
        <v>129.06343014702716</v>
      </c>
      <c r="L221" s="186">
        <f t="shared" si="43"/>
        <v>55.085117626176718</v>
      </c>
      <c r="M221" s="186">
        <f t="shared" si="44"/>
        <v>139.41939668480842</v>
      </c>
      <c r="N221" s="186">
        <f t="shared" si="45"/>
        <v>268.48282683183561</v>
      </c>
      <c r="O221" s="186">
        <f t="shared" si="46"/>
        <v>7.0610983456772765</v>
      </c>
    </row>
    <row r="222" spans="1:15">
      <c r="A222" s="41">
        <v>1998</v>
      </c>
      <c r="B222" s="41">
        <v>1</v>
      </c>
      <c r="C222" s="180">
        <f t="shared" ref="C222:C285" si="47">+C210</f>
        <v>190.06799999999998</v>
      </c>
      <c r="D222" s="180">
        <f>+HLOOKUP('Info Gral'!$C$8,'Precip 1981-2010'!$D$5:$AL$373,214,FALSE)</f>
        <v>449.7</v>
      </c>
      <c r="E222" s="185">
        <f t="shared" si="36"/>
        <v>210.52092523193915</v>
      </c>
      <c r="F222" s="185">
        <f t="shared" si="37"/>
        <v>6.1358775695817496</v>
      </c>
      <c r="G222" s="186">
        <f t="shared" si="38"/>
        <v>303.64902030709573</v>
      </c>
      <c r="H222" s="186">
        <f t="shared" si="39"/>
        <v>0</v>
      </c>
      <c r="I222" s="186">
        <f t="shared" si="40"/>
        <v>146.05097969290426</v>
      </c>
      <c r="J222" s="186">
        <f t="shared" si="41"/>
        <v>169.95387274870171</v>
      </c>
      <c r="K222" s="186">
        <f t="shared" si="42"/>
        <v>133.69514755839401</v>
      </c>
      <c r="L222" s="186">
        <f t="shared" si="43"/>
        <v>58.53157389111125</v>
      </c>
      <c r="M222" s="186">
        <f t="shared" si="44"/>
        <v>166.50741648376717</v>
      </c>
      <c r="N222" s="186">
        <f t="shared" si="45"/>
        <v>300.20256404216116</v>
      </c>
      <c r="O222" s="186">
        <f t="shared" si="46"/>
        <v>7.8953274343088387</v>
      </c>
    </row>
    <row r="223" spans="1:15">
      <c r="A223" s="41">
        <v>1998</v>
      </c>
      <c r="B223" s="41">
        <v>2</v>
      </c>
      <c r="C223" s="180">
        <f t="shared" si="47"/>
        <v>146.595</v>
      </c>
      <c r="D223" s="180">
        <f>+HLOOKUP('Info Gral'!$C$8,'Precip 1981-2010'!$D$5:$AL$373,215,FALSE)</f>
        <v>205.7</v>
      </c>
      <c r="E223" s="185">
        <f t="shared" si="36"/>
        <v>167.04792523193916</v>
      </c>
      <c r="F223" s="185">
        <f t="shared" si="37"/>
        <v>6.1358775695817496</v>
      </c>
      <c r="G223" s="186">
        <f t="shared" si="38"/>
        <v>110.48119755370516</v>
      </c>
      <c r="H223" s="186">
        <f t="shared" si="39"/>
        <v>0</v>
      </c>
      <c r="I223" s="186">
        <f t="shared" si="40"/>
        <v>95.218802446294831</v>
      </c>
      <c r="J223" s="186">
        <f t="shared" si="41"/>
        <v>85.895986526493047</v>
      </c>
      <c r="K223" s="186">
        <f t="shared" si="42"/>
        <v>24.585211027212111</v>
      </c>
      <c r="L223" s="186">
        <f t="shared" si="43"/>
        <v>32.583389715665405</v>
      </c>
      <c r="M223" s="186">
        <f t="shared" si="44"/>
        <v>111.84417070193889</v>
      </c>
      <c r="N223" s="186">
        <f t="shared" si="45"/>
        <v>136.429381729151</v>
      </c>
      <c r="O223" s="186">
        <f t="shared" si="46"/>
        <v>3.5880927394766715</v>
      </c>
    </row>
    <row r="224" spans="1:15">
      <c r="A224" s="41">
        <v>1998</v>
      </c>
      <c r="B224" s="41">
        <v>3</v>
      </c>
      <c r="C224" s="180">
        <f t="shared" si="47"/>
        <v>120.30899999999998</v>
      </c>
      <c r="D224" s="180">
        <f>+HLOOKUP('Info Gral'!$C$8,'Precip 1981-2010'!$D$5:$AL$373,216,FALSE)</f>
        <v>299.2</v>
      </c>
      <c r="E224" s="185">
        <f t="shared" si="36"/>
        <v>140.76192523193916</v>
      </c>
      <c r="F224" s="185">
        <f t="shared" si="37"/>
        <v>6.1358775695817496</v>
      </c>
      <c r="G224" s="186">
        <f t="shared" si="38"/>
        <v>200.81494937627494</v>
      </c>
      <c r="H224" s="186">
        <f t="shared" si="39"/>
        <v>0</v>
      </c>
      <c r="I224" s="186">
        <f t="shared" si="40"/>
        <v>98.38505062372505</v>
      </c>
      <c r="J224" s="186">
        <f t="shared" si="41"/>
        <v>132.09372143915604</v>
      </c>
      <c r="K224" s="186">
        <f t="shared" si="42"/>
        <v>68.721227937118897</v>
      </c>
      <c r="L224" s="186">
        <f t="shared" si="43"/>
        <v>44.492277724258784</v>
      </c>
      <c r="M224" s="186">
        <f t="shared" si="44"/>
        <v>120.18483343056266</v>
      </c>
      <c r="N224" s="186">
        <f t="shared" si="45"/>
        <v>188.90606136768156</v>
      </c>
      <c r="O224" s="186">
        <f t="shared" si="46"/>
        <v>4.9682294139700245</v>
      </c>
    </row>
    <row r="225" spans="1:15">
      <c r="A225" s="41">
        <v>1998</v>
      </c>
      <c r="B225" s="41">
        <v>4</v>
      </c>
      <c r="C225" s="180">
        <f t="shared" si="47"/>
        <v>73.802999999999997</v>
      </c>
      <c r="D225" s="180">
        <f>+HLOOKUP('Info Gral'!$C$8,'Precip 1981-2010'!$D$5:$AL$373,217,FALSE)</f>
        <v>301.2</v>
      </c>
      <c r="E225" s="185">
        <f t="shared" si="36"/>
        <v>94.255925231939159</v>
      </c>
      <c r="F225" s="185">
        <f t="shared" si="37"/>
        <v>6.1358775695817496</v>
      </c>
      <c r="G225" s="186">
        <f t="shared" si="38"/>
        <v>227.20885449039662</v>
      </c>
      <c r="H225" s="186">
        <f t="shared" si="39"/>
        <v>0.18814550960337328</v>
      </c>
      <c r="I225" s="186">
        <f t="shared" si="40"/>
        <v>73.802999999999997</v>
      </c>
      <c r="J225" s="186">
        <f t="shared" si="41"/>
        <v>143.02242570547651</v>
      </c>
      <c r="K225" s="186">
        <f t="shared" si="42"/>
        <v>84.186428784920111</v>
      </c>
      <c r="L225" s="186">
        <f t="shared" si="43"/>
        <v>49.074213273925707</v>
      </c>
      <c r="M225" s="186">
        <f t="shared" si="44"/>
        <v>138.44049015580958</v>
      </c>
      <c r="N225" s="186">
        <f t="shared" si="45"/>
        <v>222.62691894072969</v>
      </c>
      <c r="O225" s="186">
        <f t="shared" si="46"/>
        <v>5.8550879681411914</v>
      </c>
    </row>
    <row r="226" spans="1:15">
      <c r="A226" s="41">
        <v>1998</v>
      </c>
      <c r="B226" s="41">
        <v>5</v>
      </c>
      <c r="C226" s="180">
        <f t="shared" si="47"/>
        <v>44.483999999999995</v>
      </c>
      <c r="D226" s="180">
        <f>+HLOOKUP('Info Gral'!$C$8,'Precip 1981-2010'!$D$5:$AL$373,218,FALSE)</f>
        <v>129.30000000000001</v>
      </c>
      <c r="E226" s="185">
        <f t="shared" si="36"/>
        <v>64.748779722335783</v>
      </c>
      <c r="F226" s="185">
        <f t="shared" si="37"/>
        <v>6.0794339167007374</v>
      </c>
      <c r="G226" s="186">
        <f t="shared" si="38"/>
        <v>83.475261207229352</v>
      </c>
      <c r="H226" s="186">
        <f t="shared" si="39"/>
        <v>1.5288843023740384</v>
      </c>
      <c r="I226" s="186">
        <f t="shared" si="40"/>
        <v>44.483999999999995</v>
      </c>
      <c r="J226" s="186">
        <f t="shared" si="41"/>
        <v>68.632904624484098</v>
      </c>
      <c r="K226" s="186">
        <f t="shared" si="42"/>
        <v>14.842356582745253</v>
      </c>
      <c r="L226" s="186">
        <f t="shared" si="43"/>
        <v>26.26039125360052</v>
      </c>
      <c r="M226" s="186">
        <f t="shared" si="44"/>
        <v>91.446726644809289</v>
      </c>
      <c r="N226" s="186">
        <f t="shared" si="45"/>
        <v>106.28908322755454</v>
      </c>
      <c r="O226" s="186">
        <f t="shared" si="46"/>
        <v>2.7954028888846847</v>
      </c>
    </row>
    <row r="227" spans="1:15">
      <c r="A227" s="41">
        <v>1998</v>
      </c>
      <c r="B227" s="41">
        <v>6</v>
      </c>
      <c r="C227" s="180">
        <f t="shared" si="47"/>
        <v>29.318999999999996</v>
      </c>
      <c r="D227" s="180">
        <f>+HLOOKUP('Info Gral'!$C$8,'Precip 1981-2010'!$D$5:$AL$373,219,FALSE)</f>
        <v>219.1</v>
      </c>
      <c r="E227" s="185">
        <f t="shared" si="36"/>
        <v>48.243040929565126</v>
      </c>
      <c r="F227" s="185">
        <f t="shared" si="37"/>
        <v>5.6772122788695381</v>
      </c>
      <c r="G227" s="186">
        <f t="shared" si="38"/>
        <v>177.93481196248942</v>
      </c>
      <c r="H227" s="186">
        <f t="shared" si="39"/>
        <v>13.375072339884632</v>
      </c>
      <c r="I227" s="186">
        <f t="shared" si="40"/>
        <v>29.318999999999996</v>
      </c>
      <c r="J227" s="186">
        <f t="shared" si="41"/>
        <v>121.79215746320943</v>
      </c>
      <c r="K227" s="186">
        <f t="shared" si="42"/>
        <v>56.142654499279985</v>
      </c>
      <c r="L227" s="186">
        <f t="shared" si="43"/>
        <v>40.652658621375252</v>
      </c>
      <c r="M227" s="186">
        <f t="shared" si="44"/>
        <v>107.3998900954347</v>
      </c>
      <c r="N227" s="186">
        <f t="shared" si="45"/>
        <v>163.54254459471468</v>
      </c>
      <c r="O227" s="186">
        <f t="shared" si="46"/>
        <v>4.3011689228409962</v>
      </c>
    </row>
    <row r="228" spans="1:15">
      <c r="A228" s="41">
        <v>1998</v>
      </c>
      <c r="B228" s="41">
        <v>7</v>
      </c>
      <c r="C228" s="180">
        <f t="shared" si="47"/>
        <v>35.384999999999998</v>
      </c>
      <c r="D228" s="180">
        <f>+HLOOKUP('Info Gral'!$C$8,'Precip 1981-2010'!$D$5:$AL$373,220,FALSE)</f>
        <v>129.1</v>
      </c>
      <c r="E228" s="185">
        <f t="shared" si="36"/>
        <v>42.462852892054528</v>
      </c>
      <c r="F228" s="185">
        <f t="shared" si="37"/>
        <v>2.1233558676163597</v>
      </c>
      <c r="G228" s="186">
        <f t="shared" si="38"/>
        <v>96.362897468512557</v>
      </c>
      <c r="H228" s="186">
        <f t="shared" si="39"/>
        <v>10.727174871372078</v>
      </c>
      <c r="I228" s="186">
        <f t="shared" si="40"/>
        <v>35.384999999999998</v>
      </c>
      <c r="J228" s="186">
        <f t="shared" si="41"/>
        <v>77.112229439814911</v>
      </c>
      <c r="K228" s="186">
        <f t="shared" si="42"/>
        <v>19.250668028697646</v>
      </c>
      <c r="L228" s="186">
        <f t="shared" si="43"/>
        <v>28.08841671015098</v>
      </c>
      <c r="M228" s="186">
        <f t="shared" si="44"/>
        <v>89.676471351039183</v>
      </c>
      <c r="N228" s="186">
        <f t="shared" si="45"/>
        <v>108.92713937973683</v>
      </c>
      <c r="O228" s="186">
        <f t="shared" si="46"/>
        <v>2.8647837656870787</v>
      </c>
    </row>
    <row r="229" spans="1:15">
      <c r="A229" s="41">
        <v>1998</v>
      </c>
      <c r="B229" s="41">
        <v>8</v>
      </c>
      <c r="C229" s="180">
        <f t="shared" si="47"/>
        <v>55.605000000000004</v>
      </c>
      <c r="D229" s="180">
        <f>+HLOOKUP('Info Gral'!$C$8,'Precip 1981-2010'!$D$5:$AL$373,221,FALSE)</f>
        <v>46.4</v>
      </c>
      <c r="E229" s="185">
        <f t="shared" si="36"/>
        <v>65.330750360567095</v>
      </c>
      <c r="F229" s="185">
        <f t="shared" si="37"/>
        <v>2.9177251081701261</v>
      </c>
      <c r="G229" s="186">
        <f t="shared" si="38"/>
        <v>17.854505603115147</v>
      </c>
      <c r="H229" s="186">
        <f t="shared" si="39"/>
        <v>0</v>
      </c>
      <c r="I229" s="186">
        <f t="shared" si="40"/>
        <v>39.272669268256934</v>
      </c>
      <c r="J229" s="186">
        <f t="shared" si="41"/>
        <v>17.065153581758839</v>
      </c>
      <c r="K229" s="186">
        <f t="shared" si="42"/>
        <v>0.78935202135630789</v>
      </c>
      <c r="L229" s="186">
        <f t="shared" si="43"/>
        <v>8.0829144256903565</v>
      </c>
      <c r="M229" s="186">
        <f t="shared" si="44"/>
        <v>37.070655866219468</v>
      </c>
      <c r="N229" s="186">
        <f t="shared" si="45"/>
        <v>37.860007887575776</v>
      </c>
      <c r="O229" s="186">
        <f t="shared" si="46"/>
        <v>0.99571820744324291</v>
      </c>
    </row>
    <row r="230" spans="1:15">
      <c r="A230" s="41">
        <v>1998</v>
      </c>
      <c r="B230" s="41">
        <v>9</v>
      </c>
      <c r="C230" s="180">
        <f t="shared" si="47"/>
        <v>78.858000000000004</v>
      </c>
      <c r="D230" s="180">
        <f>+HLOOKUP('Info Gral'!$C$8,'Precip 1981-2010'!$D$5:$AL$373,222,FALSE)</f>
        <v>195.2</v>
      </c>
      <c r="E230" s="185">
        <f t="shared" si="36"/>
        <v>99.310925231939166</v>
      </c>
      <c r="F230" s="185">
        <f t="shared" si="37"/>
        <v>6.1358775695817496</v>
      </c>
      <c r="G230" s="186">
        <f t="shared" si="38"/>
        <v>126.64876522501912</v>
      </c>
      <c r="H230" s="186">
        <f t="shared" si="39"/>
        <v>0</v>
      </c>
      <c r="I230" s="186">
        <f t="shared" si="40"/>
        <v>68.55123477498087</v>
      </c>
      <c r="J230" s="186">
        <f t="shared" si="41"/>
        <v>95.360462548660294</v>
      </c>
      <c r="K230" s="186">
        <f t="shared" si="42"/>
        <v>31.288302676358825</v>
      </c>
      <c r="L230" s="186">
        <f t="shared" si="43"/>
        <v>30.609920295599846</v>
      </c>
      <c r="M230" s="186">
        <f t="shared" si="44"/>
        <v>72.833456678750807</v>
      </c>
      <c r="N230" s="186">
        <f t="shared" si="45"/>
        <v>104.12175935510963</v>
      </c>
      <c r="O230" s="186">
        <f t="shared" si="46"/>
        <v>2.7384022710393836</v>
      </c>
    </row>
    <row r="231" spans="1:15">
      <c r="A231" s="41">
        <v>1998</v>
      </c>
      <c r="B231" s="41">
        <v>10</v>
      </c>
      <c r="C231" s="180">
        <f t="shared" si="47"/>
        <v>113.232</v>
      </c>
      <c r="D231" s="180">
        <f>+HLOOKUP('Info Gral'!$C$8,'Precip 1981-2010'!$D$5:$AL$373,223,FALSE)</f>
        <v>33.5</v>
      </c>
      <c r="E231" s="185">
        <f t="shared" si="36"/>
        <v>133.68492523193916</v>
      </c>
      <c r="F231" s="185">
        <f t="shared" si="37"/>
        <v>6.1358775695817496</v>
      </c>
      <c r="G231" s="186">
        <f t="shared" si="38"/>
        <v>4.833644524467962</v>
      </c>
      <c r="H231" s="186">
        <f t="shared" si="39"/>
        <v>0</v>
      </c>
      <c r="I231" s="186">
        <f t="shared" si="40"/>
        <v>28.666355475532036</v>
      </c>
      <c r="J231" s="186">
        <f t="shared" si="41"/>
        <v>4.773864309237652</v>
      </c>
      <c r="K231" s="186">
        <f t="shared" si="42"/>
        <v>5.9780215230309963E-2</v>
      </c>
      <c r="L231" s="186">
        <f t="shared" si="43"/>
        <v>4.4859472405640997</v>
      </c>
      <c r="M231" s="186">
        <f t="shared" si="44"/>
        <v>30.8978373642734</v>
      </c>
      <c r="N231" s="186">
        <f t="shared" si="45"/>
        <v>30.957617579503712</v>
      </c>
      <c r="O231" s="186">
        <f t="shared" si="46"/>
        <v>0.81418534234094764</v>
      </c>
    </row>
    <row r="232" spans="1:15">
      <c r="A232" s="41">
        <v>1998</v>
      </c>
      <c r="B232" s="41">
        <v>11</v>
      </c>
      <c r="C232" s="180">
        <f t="shared" si="47"/>
        <v>148.61699999999999</v>
      </c>
      <c r="D232" s="180">
        <f>+HLOOKUP('Info Gral'!$C$8,'Precip 1981-2010'!$D$5:$AL$373,224,FALSE)</f>
        <v>114.4</v>
      </c>
      <c r="E232" s="185">
        <f t="shared" si="36"/>
        <v>169.06992523193915</v>
      </c>
      <c r="F232" s="185">
        <f t="shared" si="37"/>
        <v>6.1358775695817496</v>
      </c>
      <c r="G232" s="186">
        <f t="shared" si="38"/>
        <v>43.219761407751569</v>
      </c>
      <c r="H232" s="186">
        <f t="shared" si="39"/>
        <v>0</v>
      </c>
      <c r="I232" s="186">
        <f t="shared" si="40"/>
        <v>71.180238592248429</v>
      </c>
      <c r="J232" s="186">
        <f t="shared" si="41"/>
        <v>38.867800141996959</v>
      </c>
      <c r="K232" s="186">
        <f t="shared" si="42"/>
        <v>4.3519612657546105</v>
      </c>
      <c r="L232" s="186">
        <f t="shared" si="43"/>
        <v>12.592746346182221</v>
      </c>
      <c r="M232" s="186">
        <f t="shared" si="44"/>
        <v>30.761001036378836</v>
      </c>
      <c r="N232" s="186">
        <f t="shared" si="45"/>
        <v>35.112962302133447</v>
      </c>
      <c r="O232" s="186">
        <f t="shared" si="46"/>
        <v>0.92347090854610969</v>
      </c>
    </row>
    <row r="233" spans="1:15">
      <c r="A233" s="41">
        <v>1998</v>
      </c>
      <c r="B233" s="41">
        <v>12</v>
      </c>
      <c r="C233" s="180">
        <f t="shared" si="47"/>
        <v>179.958</v>
      </c>
      <c r="D233" s="180">
        <f>+HLOOKUP('Info Gral'!$C$8,'Precip 1981-2010'!$D$5:$AL$373,225,FALSE)</f>
        <v>91.2</v>
      </c>
      <c r="E233" s="185">
        <f t="shared" si="36"/>
        <v>200.41092523193916</v>
      </c>
      <c r="F233" s="185">
        <f t="shared" si="37"/>
        <v>6.1358775695817496</v>
      </c>
      <c r="G233" s="186">
        <f t="shared" si="38"/>
        <v>25.903652976608885</v>
      </c>
      <c r="H233" s="186">
        <f t="shared" si="39"/>
        <v>0</v>
      </c>
      <c r="I233" s="186">
        <f t="shared" si="40"/>
        <v>65.296347023391121</v>
      </c>
      <c r="J233" s="186">
        <f t="shared" si="41"/>
        <v>24.274633101005396</v>
      </c>
      <c r="K233" s="186">
        <f t="shared" si="42"/>
        <v>1.6290198756034897</v>
      </c>
      <c r="L233" s="186">
        <f t="shared" si="43"/>
        <v>8.8221234865991178</v>
      </c>
      <c r="M233" s="186">
        <f t="shared" si="44"/>
        <v>28.045255960588499</v>
      </c>
      <c r="N233" s="186">
        <f t="shared" si="45"/>
        <v>29.674275836191988</v>
      </c>
      <c r="O233" s="186">
        <f t="shared" si="46"/>
        <v>0.78043345449184931</v>
      </c>
    </row>
    <row r="234" spans="1:15">
      <c r="A234" s="41">
        <v>1999</v>
      </c>
      <c r="B234" s="41">
        <v>1</v>
      </c>
      <c r="C234" s="180">
        <f t="shared" si="47"/>
        <v>190.06799999999998</v>
      </c>
      <c r="D234" s="180">
        <f>+HLOOKUP('Info Gral'!$C$8,'Precip 1981-2010'!$D$5:$AL$373,226,FALSE)</f>
        <v>16.7</v>
      </c>
      <c r="E234" s="185">
        <f t="shared" si="36"/>
        <v>210.52092523193915</v>
      </c>
      <c r="F234" s="185">
        <f t="shared" si="37"/>
        <v>6.1358775695817496</v>
      </c>
      <c r="G234" s="186">
        <f t="shared" si="38"/>
        <v>0.51919569020293166</v>
      </c>
      <c r="H234" s="186">
        <f t="shared" si="39"/>
        <v>0</v>
      </c>
      <c r="I234" s="186">
        <f t="shared" si="40"/>
        <v>16.180804309797068</v>
      </c>
      <c r="J234" s="186">
        <f t="shared" si="41"/>
        <v>0.51849827551374927</v>
      </c>
      <c r="K234" s="186">
        <f t="shared" si="42"/>
        <v>6.9741468918238514E-4</v>
      </c>
      <c r="L234" s="186">
        <f t="shared" si="43"/>
        <v>1.0247938149613915</v>
      </c>
      <c r="M234" s="186">
        <f t="shared" si="44"/>
        <v>8.315827947151476</v>
      </c>
      <c r="N234" s="186">
        <f t="shared" si="45"/>
        <v>8.3165253618406592</v>
      </c>
      <c r="O234" s="186">
        <f t="shared" si="46"/>
        <v>0.21872461701640933</v>
      </c>
    </row>
    <row r="235" spans="1:15">
      <c r="A235" s="41">
        <v>1999</v>
      </c>
      <c r="B235" s="41">
        <v>2</v>
      </c>
      <c r="C235" s="180">
        <f t="shared" si="47"/>
        <v>146.595</v>
      </c>
      <c r="D235" s="180">
        <f>+HLOOKUP('Info Gral'!$C$8,'Precip 1981-2010'!$D$5:$AL$373,227,FALSE)</f>
        <v>168.2</v>
      </c>
      <c r="E235" s="185">
        <f t="shared" si="36"/>
        <v>167.04792523193916</v>
      </c>
      <c r="F235" s="185">
        <f t="shared" si="37"/>
        <v>6.1358775695817496</v>
      </c>
      <c r="G235" s="186">
        <f t="shared" si="38"/>
        <v>81.32110728663659</v>
      </c>
      <c r="H235" s="186">
        <f t="shared" si="39"/>
        <v>0</v>
      </c>
      <c r="I235" s="186">
        <f t="shared" si="40"/>
        <v>86.878892713363399</v>
      </c>
      <c r="J235" s="186">
        <f t="shared" si="41"/>
        <v>67.169975683097817</v>
      </c>
      <c r="K235" s="186">
        <f t="shared" si="42"/>
        <v>14.151131603538772</v>
      </c>
      <c r="L235" s="186">
        <f t="shared" si="43"/>
        <v>21.104490615557584</v>
      </c>
      <c r="M235" s="186">
        <f t="shared" si="44"/>
        <v>47.090278882501622</v>
      </c>
      <c r="N235" s="186">
        <f t="shared" si="45"/>
        <v>61.241410486040394</v>
      </c>
      <c r="O235" s="186">
        <f t="shared" si="46"/>
        <v>1.6106490957828623</v>
      </c>
    </row>
    <row r="236" spans="1:15">
      <c r="A236" s="41">
        <v>1999</v>
      </c>
      <c r="B236" s="41">
        <v>3</v>
      </c>
      <c r="C236" s="180">
        <f t="shared" si="47"/>
        <v>120.30899999999998</v>
      </c>
      <c r="D236" s="180">
        <f>+HLOOKUP('Info Gral'!$C$8,'Precip 1981-2010'!$D$5:$AL$373,228,FALSE)</f>
        <v>55.6</v>
      </c>
      <c r="E236" s="185">
        <f t="shared" si="36"/>
        <v>140.76192523193916</v>
      </c>
      <c r="F236" s="185">
        <f t="shared" si="37"/>
        <v>6.1358775695817496</v>
      </c>
      <c r="G236" s="186">
        <f t="shared" si="38"/>
        <v>13.290766185822667</v>
      </c>
      <c r="H236" s="186">
        <f t="shared" si="39"/>
        <v>0</v>
      </c>
      <c r="I236" s="186">
        <f t="shared" si="40"/>
        <v>42.309233814177333</v>
      </c>
      <c r="J236" s="186">
        <f t="shared" si="41"/>
        <v>12.848370616564747</v>
      </c>
      <c r="K236" s="186">
        <f t="shared" si="42"/>
        <v>0.44239556925792023</v>
      </c>
      <c r="L236" s="186">
        <f t="shared" si="43"/>
        <v>6.0813995222526653</v>
      </c>
      <c r="M236" s="186">
        <f t="shared" si="44"/>
        <v>27.871461709869664</v>
      </c>
      <c r="N236" s="186">
        <f t="shared" si="45"/>
        <v>28.313857279127582</v>
      </c>
      <c r="O236" s="186">
        <f t="shared" si="46"/>
        <v>0.74465444644105538</v>
      </c>
    </row>
    <row r="237" spans="1:15">
      <c r="A237" s="41">
        <v>1999</v>
      </c>
      <c r="B237" s="41">
        <v>4</v>
      </c>
      <c r="C237" s="180">
        <f t="shared" si="47"/>
        <v>73.802999999999997</v>
      </c>
      <c r="D237" s="180">
        <f>+HLOOKUP('Info Gral'!$C$8,'Precip 1981-2010'!$D$5:$AL$373,229,FALSE)</f>
        <v>151</v>
      </c>
      <c r="E237" s="185">
        <f t="shared" si="36"/>
        <v>94.255925231939159</v>
      </c>
      <c r="F237" s="185">
        <f t="shared" si="37"/>
        <v>6.1358775695817496</v>
      </c>
      <c r="G237" s="186">
        <f t="shared" si="38"/>
        <v>90.073132261211654</v>
      </c>
      <c r="H237" s="186">
        <f t="shared" si="39"/>
        <v>0</v>
      </c>
      <c r="I237" s="186">
        <f t="shared" si="40"/>
        <v>60.926867738788346</v>
      </c>
      <c r="J237" s="186">
        <f t="shared" si="41"/>
        <v>73.031277542776934</v>
      </c>
      <c r="K237" s="186">
        <f t="shared" si="42"/>
        <v>17.04185471843472</v>
      </c>
      <c r="L237" s="186">
        <f t="shared" si="43"/>
        <v>23.431792216188722</v>
      </c>
      <c r="M237" s="186">
        <f t="shared" si="44"/>
        <v>55.680884848840876</v>
      </c>
      <c r="N237" s="186">
        <f t="shared" si="45"/>
        <v>72.722739567275596</v>
      </c>
      <c r="O237" s="186">
        <f t="shared" si="46"/>
        <v>1.9126080506193481</v>
      </c>
    </row>
    <row r="238" spans="1:15">
      <c r="A238" s="41">
        <v>1999</v>
      </c>
      <c r="B238" s="41">
        <v>5</v>
      </c>
      <c r="C238" s="180">
        <f t="shared" si="47"/>
        <v>44.483999999999995</v>
      </c>
      <c r="D238" s="180">
        <f>+HLOOKUP('Info Gral'!$C$8,'Precip 1981-2010'!$D$5:$AL$373,230,FALSE)</f>
        <v>59.8</v>
      </c>
      <c r="E238" s="185">
        <f t="shared" si="36"/>
        <v>64.936925231939156</v>
      </c>
      <c r="F238" s="185">
        <f t="shared" si="37"/>
        <v>6.1358775695817496</v>
      </c>
      <c r="G238" s="186">
        <f t="shared" si="38"/>
        <v>25.606488069606439</v>
      </c>
      <c r="H238" s="186">
        <f t="shared" si="39"/>
        <v>0</v>
      </c>
      <c r="I238" s="186">
        <f t="shared" si="40"/>
        <v>34.193511930393555</v>
      </c>
      <c r="J238" s="186">
        <f t="shared" si="41"/>
        <v>24.013480548432444</v>
      </c>
      <c r="K238" s="186">
        <f t="shared" si="42"/>
        <v>1.5930075211739947</v>
      </c>
      <c r="L238" s="186">
        <f t="shared" si="43"/>
        <v>9.8003394193323619</v>
      </c>
      <c r="M238" s="186">
        <f t="shared" si="44"/>
        <v>37.644933345288806</v>
      </c>
      <c r="N238" s="186">
        <f t="shared" si="45"/>
        <v>39.2379408664628</v>
      </c>
      <c r="O238" s="186">
        <f t="shared" si="46"/>
        <v>1.0319578447879716</v>
      </c>
    </row>
    <row r="239" spans="1:15">
      <c r="A239" s="41">
        <v>1999</v>
      </c>
      <c r="B239" s="41">
        <v>6</v>
      </c>
      <c r="C239" s="180">
        <f t="shared" si="47"/>
        <v>29.318999999999996</v>
      </c>
      <c r="D239" s="180">
        <f>+HLOOKUP('Info Gral'!$C$8,'Precip 1981-2010'!$D$5:$AL$373,231,FALSE)</f>
        <v>71.400000000000006</v>
      </c>
      <c r="E239" s="185">
        <f t="shared" si="36"/>
        <v>49.771925231939164</v>
      </c>
      <c r="F239" s="185">
        <f t="shared" si="37"/>
        <v>6.1358775695817496</v>
      </c>
      <c r="G239" s="186">
        <f t="shared" si="38"/>
        <v>39.112938694070856</v>
      </c>
      <c r="H239" s="186">
        <f t="shared" si="39"/>
        <v>2.9680613059291545</v>
      </c>
      <c r="I239" s="186">
        <f t="shared" si="40"/>
        <v>29.318999999999996</v>
      </c>
      <c r="J239" s="186">
        <f t="shared" si="41"/>
        <v>35.514313872192474</v>
      </c>
      <c r="K239" s="186">
        <f t="shared" si="42"/>
        <v>3.5986248218783814</v>
      </c>
      <c r="L239" s="186">
        <f t="shared" si="43"/>
        <v>12.0637592096191</v>
      </c>
      <c r="M239" s="186">
        <f t="shared" si="44"/>
        <v>33.250894081905734</v>
      </c>
      <c r="N239" s="186">
        <f t="shared" si="45"/>
        <v>36.849518903784116</v>
      </c>
      <c r="O239" s="186">
        <f t="shared" si="46"/>
        <v>0.9691423471695223</v>
      </c>
    </row>
    <row r="240" spans="1:15">
      <c r="A240" s="41">
        <v>1999</v>
      </c>
      <c r="B240" s="41">
        <v>7</v>
      </c>
      <c r="C240" s="180">
        <f t="shared" si="47"/>
        <v>35.384999999999998</v>
      </c>
      <c r="D240" s="180">
        <f>+HLOOKUP('Info Gral'!$C$8,'Precip 1981-2010'!$D$5:$AL$373,232,FALSE)</f>
        <v>98.3</v>
      </c>
      <c r="E240" s="185">
        <f t="shared" si="36"/>
        <v>52.869863926010012</v>
      </c>
      <c r="F240" s="185">
        <f t="shared" si="37"/>
        <v>5.2454591778030029</v>
      </c>
      <c r="G240" s="186">
        <f t="shared" si="38"/>
        <v>61.552548126658941</v>
      </c>
      <c r="H240" s="186">
        <f t="shared" si="39"/>
        <v>4.3305131792702127</v>
      </c>
      <c r="I240" s="186">
        <f t="shared" si="40"/>
        <v>35.384999999999998</v>
      </c>
      <c r="J240" s="186">
        <f t="shared" si="41"/>
        <v>53.087137312346144</v>
      </c>
      <c r="K240" s="186">
        <f t="shared" si="42"/>
        <v>8.4654108143127971</v>
      </c>
      <c r="L240" s="186">
        <f t="shared" si="43"/>
        <v>17.780166607136096</v>
      </c>
      <c r="M240" s="186">
        <f t="shared" si="44"/>
        <v>47.370729914829148</v>
      </c>
      <c r="N240" s="186">
        <f t="shared" si="45"/>
        <v>55.836140729141945</v>
      </c>
      <c r="O240" s="186">
        <f t="shared" si="46"/>
        <v>1.4684905011764331</v>
      </c>
    </row>
    <row r="241" spans="1:15">
      <c r="A241" s="41">
        <v>1999</v>
      </c>
      <c r="B241" s="41">
        <v>8</v>
      </c>
      <c r="C241" s="180">
        <f t="shared" si="47"/>
        <v>55.605000000000004</v>
      </c>
      <c r="D241" s="180">
        <f>+HLOOKUP('Info Gral'!$C$8,'Precip 1981-2010'!$D$5:$AL$373,233,FALSE)</f>
        <v>17.899999999999999</v>
      </c>
      <c r="E241" s="185">
        <f t="shared" si="36"/>
        <v>71.727412052668953</v>
      </c>
      <c r="F241" s="185">
        <f t="shared" si="37"/>
        <v>4.8367236158006852</v>
      </c>
      <c r="G241" s="186">
        <f t="shared" si="38"/>
        <v>2.1343430594327955</v>
      </c>
      <c r="H241" s="186">
        <f t="shared" si="39"/>
        <v>0</v>
      </c>
      <c r="I241" s="186">
        <f t="shared" si="40"/>
        <v>20.096170119837417</v>
      </c>
      <c r="J241" s="186">
        <f t="shared" si="41"/>
        <v>2.1226063492529095</v>
      </c>
      <c r="K241" s="186">
        <f t="shared" si="42"/>
        <v>1.1736710179885979E-2</v>
      </c>
      <c r="L241" s="186">
        <f t="shared" si="43"/>
        <v>2.4023522428696711</v>
      </c>
      <c r="M241" s="186">
        <f t="shared" si="44"/>
        <v>17.500420713519333</v>
      </c>
      <c r="N241" s="186">
        <f t="shared" si="45"/>
        <v>17.512157423699218</v>
      </c>
      <c r="O241" s="186">
        <f t="shared" si="46"/>
        <v>0.46056974024328939</v>
      </c>
    </row>
    <row r="242" spans="1:15">
      <c r="A242" s="41">
        <v>1999</v>
      </c>
      <c r="B242" s="41">
        <v>9</v>
      </c>
      <c r="C242" s="180">
        <f t="shared" si="47"/>
        <v>78.858000000000004</v>
      </c>
      <c r="D242" s="180">
        <f>+HLOOKUP('Info Gral'!$C$8,'Precip 1981-2010'!$D$5:$AL$373,234,FALSE)</f>
        <v>40.700000000000003</v>
      </c>
      <c r="E242" s="185">
        <f t="shared" si="36"/>
        <v>99.310925231939166</v>
      </c>
      <c r="F242" s="185">
        <f t="shared" si="37"/>
        <v>6.1358775695817496</v>
      </c>
      <c r="G242" s="186">
        <f t="shared" si="38"/>
        <v>9.3524841167925175</v>
      </c>
      <c r="H242" s="186">
        <f t="shared" si="39"/>
        <v>0</v>
      </c>
      <c r="I242" s="186">
        <f t="shared" si="40"/>
        <v>31.347515883207485</v>
      </c>
      <c r="J242" s="186">
        <f t="shared" si="41"/>
        <v>9.1312411433222493</v>
      </c>
      <c r="K242" s="186">
        <f t="shared" si="42"/>
        <v>0.22124297347026811</v>
      </c>
      <c r="L242" s="186">
        <f t="shared" si="43"/>
        <v>3.0902808320073025</v>
      </c>
      <c r="M242" s="186">
        <f t="shared" si="44"/>
        <v>8.4433125541846188</v>
      </c>
      <c r="N242" s="186">
        <f t="shared" si="45"/>
        <v>8.6645555276548869</v>
      </c>
      <c r="O242" s="186">
        <f t="shared" si="46"/>
        <v>0.22787781037732352</v>
      </c>
    </row>
    <row r="243" spans="1:15">
      <c r="A243" s="41">
        <v>1999</v>
      </c>
      <c r="B243" s="41">
        <v>10</v>
      </c>
      <c r="C243" s="180">
        <f t="shared" si="47"/>
        <v>113.232</v>
      </c>
      <c r="D243" s="180">
        <f>+HLOOKUP('Info Gral'!$C$8,'Precip 1981-2010'!$D$5:$AL$373,235,FALSE)</f>
        <v>82.9</v>
      </c>
      <c r="E243" s="185">
        <f t="shared" si="36"/>
        <v>133.68492523193916</v>
      </c>
      <c r="F243" s="185">
        <f t="shared" si="37"/>
        <v>6.1358775695817496</v>
      </c>
      <c r="G243" s="186">
        <f t="shared" si="38"/>
        <v>28.841657587890388</v>
      </c>
      <c r="H243" s="186">
        <f t="shared" si="39"/>
        <v>0</v>
      </c>
      <c r="I243" s="186">
        <f t="shared" si="40"/>
        <v>54.058342412109617</v>
      </c>
      <c r="J243" s="186">
        <f t="shared" si="41"/>
        <v>26.836455850789342</v>
      </c>
      <c r="K243" s="186">
        <f t="shared" si="42"/>
        <v>2.0052017371010464</v>
      </c>
      <c r="L243" s="186">
        <f t="shared" si="43"/>
        <v>8.6940304790820395</v>
      </c>
      <c r="M243" s="186">
        <f t="shared" si="44"/>
        <v>21.232706203714606</v>
      </c>
      <c r="N243" s="186">
        <f t="shared" si="45"/>
        <v>23.237907940815653</v>
      </c>
      <c r="O243" s="186">
        <f t="shared" si="46"/>
        <v>0.61115697884345166</v>
      </c>
    </row>
    <row r="244" spans="1:15">
      <c r="A244" s="41">
        <v>1999</v>
      </c>
      <c r="B244" s="41">
        <v>11</v>
      </c>
      <c r="C244" s="180">
        <f t="shared" si="47"/>
        <v>148.61699999999999</v>
      </c>
      <c r="D244" s="180">
        <f>+HLOOKUP('Info Gral'!$C$8,'Precip 1981-2010'!$D$5:$AL$373,236,FALSE)</f>
        <v>3.5</v>
      </c>
      <c r="E244" s="185">
        <f t="shared" si="36"/>
        <v>169.06992523193915</v>
      </c>
      <c r="F244" s="185">
        <f t="shared" si="37"/>
        <v>6.1358775695817496</v>
      </c>
      <c r="G244" s="186">
        <f t="shared" si="38"/>
        <v>0</v>
      </c>
      <c r="H244" s="186">
        <f t="shared" si="39"/>
        <v>0</v>
      </c>
      <c r="I244" s="186">
        <f t="shared" si="40"/>
        <v>3.5</v>
      </c>
      <c r="J244" s="186">
        <f t="shared" si="41"/>
        <v>0</v>
      </c>
      <c r="K244" s="186">
        <f t="shared" si="42"/>
        <v>0</v>
      </c>
      <c r="L244" s="186">
        <f t="shared" si="43"/>
        <v>0.8501322429320507</v>
      </c>
      <c r="M244" s="186">
        <f t="shared" si="44"/>
        <v>7.8438982361499887</v>
      </c>
      <c r="N244" s="186">
        <f t="shared" si="45"/>
        <v>7.8438982361499887</v>
      </c>
      <c r="O244" s="186">
        <f t="shared" si="46"/>
        <v>0.20629452361074468</v>
      </c>
    </row>
    <row r="245" spans="1:15">
      <c r="A245" s="41">
        <v>1999</v>
      </c>
      <c r="B245" s="41">
        <v>12</v>
      </c>
      <c r="C245" s="180">
        <f t="shared" si="47"/>
        <v>179.958</v>
      </c>
      <c r="D245" s="180">
        <f>+HLOOKUP('Info Gral'!$C$8,'Precip 1981-2010'!$D$5:$AL$373,237,FALSE)</f>
        <v>37.799999999999997</v>
      </c>
      <c r="E245" s="185">
        <f t="shared" si="36"/>
        <v>200.41092523193916</v>
      </c>
      <c r="F245" s="185">
        <f t="shared" si="37"/>
        <v>6.1358775695817496</v>
      </c>
      <c r="G245" s="186">
        <f t="shared" si="38"/>
        <v>4.4375512615931942</v>
      </c>
      <c r="H245" s="186">
        <f t="shared" si="39"/>
        <v>0</v>
      </c>
      <c r="I245" s="186">
        <f t="shared" si="40"/>
        <v>33.362448738406805</v>
      </c>
      <c r="J245" s="186">
        <f t="shared" si="41"/>
        <v>4.3871158945655138</v>
      </c>
      <c r="K245" s="186">
        <f t="shared" si="42"/>
        <v>5.0435367027680478E-2</v>
      </c>
      <c r="L245" s="186">
        <f t="shared" si="43"/>
        <v>1.4549951092063931</v>
      </c>
      <c r="M245" s="186">
        <f t="shared" si="44"/>
        <v>3.7822530282911715</v>
      </c>
      <c r="N245" s="186">
        <f t="shared" si="45"/>
        <v>3.832688395318852</v>
      </c>
      <c r="O245" s="186">
        <f t="shared" si="46"/>
        <v>0.1007997047968858</v>
      </c>
    </row>
    <row r="246" spans="1:15">
      <c r="A246" s="41">
        <v>2000</v>
      </c>
      <c r="B246" s="41">
        <v>1</v>
      </c>
      <c r="C246" s="180">
        <f t="shared" si="47"/>
        <v>190.06799999999998</v>
      </c>
      <c r="D246" s="180">
        <f>+HLOOKUP('Info Gral'!$C$8,'Precip 1981-2010'!$D$5:$AL$373,238,FALSE)</f>
        <v>130.4</v>
      </c>
      <c r="E246" s="185">
        <f t="shared" si="36"/>
        <v>210.52092523193915</v>
      </c>
      <c r="F246" s="185">
        <f t="shared" si="37"/>
        <v>6.1358775695817496</v>
      </c>
      <c r="G246" s="186">
        <f t="shared" si="38"/>
        <v>46.984972209249506</v>
      </c>
      <c r="H246" s="186">
        <f t="shared" si="39"/>
        <v>0</v>
      </c>
      <c r="I246" s="186">
        <f t="shared" si="40"/>
        <v>83.4150277907505</v>
      </c>
      <c r="J246" s="186">
        <f t="shared" si="41"/>
        <v>41.8864404929176</v>
      </c>
      <c r="K246" s="186">
        <f t="shared" si="42"/>
        <v>5.0985317163319053</v>
      </c>
      <c r="L246" s="186">
        <f t="shared" si="43"/>
        <v>13.240308642734924</v>
      </c>
      <c r="M246" s="186">
        <f t="shared" si="44"/>
        <v>30.10112695938907</v>
      </c>
      <c r="N246" s="186">
        <f t="shared" si="45"/>
        <v>35.199658675720976</v>
      </c>
      <c r="O246" s="186">
        <f t="shared" si="46"/>
        <v>0.92575102317146174</v>
      </c>
    </row>
    <row r="247" spans="1:15">
      <c r="A247" s="41">
        <v>2000</v>
      </c>
      <c r="B247" s="41">
        <v>2</v>
      </c>
      <c r="C247" s="180">
        <f t="shared" si="47"/>
        <v>146.595</v>
      </c>
      <c r="D247" s="180">
        <f>+HLOOKUP('Info Gral'!$C$8,'Precip 1981-2010'!$D$5:$AL$373,239,FALSE)</f>
        <v>99.6</v>
      </c>
      <c r="E247" s="185">
        <f t="shared" si="36"/>
        <v>167.04792523193916</v>
      </c>
      <c r="F247" s="185">
        <f t="shared" si="37"/>
        <v>6.1358775695817496</v>
      </c>
      <c r="G247" s="186">
        <f t="shared" si="38"/>
        <v>34.341039801417708</v>
      </c>
      <c r="H247" s="186">
        <f t="shared" si="39"/>
        <v>0</v>
      </c>
      <c r="I247" s="186">
        <f t="shared" si="40"/>
        <v>65.258960198582287</v>
      </c>
      <c r="J247" s="186">
        <f t="shared" si="41"/>
        <v>31.535444099414171</v>
      </c>
      <c r="K247" s="186">
        <f t="shared" si="42"/>
        <v>2.8055957020035365</v>
      </c>
      <c r="L247" s="186">
        <f t="shared" si="43"/>
        <v>11.155924965508834</v>
      </c>
      <c r="M247" s="186">
        <f t="shared" si="44"/>
        <v>33.619827776640264</v>
      </c>
      <c r="N247" s="186">
        <f t="shared" si="45"/>
        <v>36.4254234786438</v>
      </c>
      <c r="O247" s="186">
        <f t="shared" si="46"/>
        <v>0.95798863748833207</v>
      </c>
    </row>
    <row r="248" spans="1:15">
      <c r="A248" s="41">
        <v>2000</v>
      </c>
      <c r="B248" s="41">
        <v>3</v>
      </c>
      <c r="C248" s="180">
        <f t="shared" si="47"/>
        <v>120.30899999999998</v>
      </c>
      <c r="D248" s="180">
        <f>+HLOOKUP('Info Gral'!$C$8,'Precip 1981-2010'!$D$5:$AL$373,240,FALSE)</f>
        <v>172.6</v>
      </c>
      <c r="E248" s="185">
        <f t="shared" si="36"/>
        <v>140.76192523193916</v>
      </c>
      <c r="F248" s="185">
        <f t="shared" si="37"/>
        <v>6.1358775695817496</v>
      </c>
      <c r="G248" s="186">
        <f t="shared" si="38"/>
        <v>92.033240567072752</v>
      </c>
      <c r="H248" s="186">
        <f t="shared" si="39"/>
        <v>0</v>
      </c>
      <c r="I248" s="186">
        <f t="shared" si="40"/>
        <v>80.566759432927242</v>
      </c>
      <c r="J248" s="186">
        <f t="shared" si="41"/>
        <v>74.314561926171322</v>
      </c>
      <c r="K248" s="186">
        <f t="shared" si="42"/>
        <v>17.71867864090143</v>
      </c>
      <c r="L248" s="186">
        <f t="shared" si="43"/>
        <v>24.329284237607538</v>
      </c>
      <c r="M248" s="186">
        <f t="shared" si="44"/>
        <v>61.141202654072615</v>
      </c>
      <c r="N248" s="186">
        <f t="shared" si="45"/>
        <v>78.859881294974045</v>
      </c>
      <c r="O248" s="186">
        <f t="shared" si="46"/>
        <v>2.0740148780578176</v>
      </c>
    </row>
    <row r="249" spans="1:15">
      <c r="A249" s="41">
        <v>2000</v>
      </c>
      <c r="B249" s="41">
        <v>4</v>
      </c>
      <c r="C249" s="180">
        <f t="shared" si="47"/>
        <v>73.802999999999997</v>
      </c>
      <c r="D249" s="180">
        <f>+HLOOKUP('Info Gral'!$C$8,'Precip 1981-2010'!$D$5:$AL$373,241,FALSE)</f>
        <v>114.7</v>
      </c>
      <c r="E249" s="185">
        <f t="shared" si="36"/>
        <v>94.255925231939159</v>
      </c>
      <c r="F249" s="185">
        <f t="shared" si="37"/>
        <v>6.1358775695817496</v>
      </c>
      <c r="G249" s="186">
        <f t="shared" si="38"/>
        <v>59.92433795524736</v>
      </c>
      <c r="H249" s="186">
        <f t="shared" si="39"/>
        <v>0</v>
      </c>
      <c r="I249" s="186">
        <f t="shared" si="40"/>
        <v>54.775662044752643</v>
      </c>
      <c r="J249" s="186">
        <f t="shared" si="41"/>
        <v>51.871567622413259</v>
      </c>
      <c r="K249" s="186">
        <f t="shared" si="42"/>
        <v>8.0527703328341005</v>
      </c>
      <c r="L249" s="186">
        <f t="shared" si="43"/>
        <v>18.599419058692153</v>
      </c>
      <c r="M249" s="186">
        <f t="shared" si="44"/>
        <v>57.601432801328642</v>
      </c>
      <c r="N249" s="186">
        <f t="shared" si="45"/>
        <v>65.654203134162742</v>
      </c>
      <c r="O249" s="186">
        <f t="shared" si="46"/>
        <v>1.7267055424284801</v>
      </c>
    </row>
    <row r="250" spans="1:15">
      <c r="A250" s="41">
        <v>2000</v>
      </c>
      <c r="B250" s="41">
        <v>5</v>
      </c>
      <c r="C250" s="180">
        <f t="shared" si="47"/>
        <v>44.483999999999995</v>
      </c>
      <c r="D250" s="180">
        <f>+HLOOKUP('Info Gral'!$C$8,'Precip 1981-2010'!$D$5:$AL$373,242,FALSE)</f>
        <v>252.9</v>
      </c>
      <c r="E250" s="185">
        <f t="shared" si="36"/>
        <v>64.936925231939156</v>
      </c>
      <c r="F250" s="185">
        <f t="shared" si="37"/>
        <v>6.1358775695817496</v>
      </c>
      <c r="G250" s="186">
        <f t="shared" si="38"/>
        <v>199.27838012547787</v>
      </c>
      <c r="H250" s="186">
        <f t="shared" si="39"/>
        <v>9.1376198745221444</v>
      </c>
      <c r="I250" s="186">
        <f t="shared" si="40"/>
        <v>44.483999999999995</v>
      </c>
      <c r="J250" s="186">
        <f t="shared" si="41"/>
        <v>131.42712483578032</v>
      </c>
      <c r="K250" s="186">
        <f t="shared" si="42"/>
        <v>67.851255289697548</v>
      </c>
      <c r="L250" s="186">
        <f t="shared" si="43"/>
        <v>42.916429858100074</v>
      </c>
      <c r="M250" s="186">
        <f t="shared" si="44"/>
        <v>107.11011403637239</v>
      </c>
      <c r="N250" s="186">
        <f t="shared" si="45"/>
        <v>174.96136932606993</v>
      </c>
      <c r="O250" s="186">
        <f t="shared" si="46"/>
        <v>4.6014840132756394</v>
      </c>
    </row>
    <row r="251" spans="1:15">
      <c r="A251" s="41">
        <v>2000</v>
      </c>
      <c r="B251" s="41">
        <v>6</v>
      </c>
      <c r="C251" s="180">
        <f t="shared" si="47"/>
        <v>29.318999999999996</v>
      </c>
      <c r="D251" s="180">
        <f>+HLOOKUP('Info Gral'!$C$8,'Precip 1981-2010'!$D$5:$AL$373,243,FALSE)</f>
        <v>110.7</v>
      </c>
      <c r="E251" s="185">
        <f t="shared" si="36"/>
        <v>40.63430535741702</v>
      </c>
      <c r="F251" s="185">
        <f t="shared" si="37"/>
        <v>3.3945916072251063</v>
      </c>
      <c r="G251" s="186">
        <f t="shared" si="38"/>
        <v>79.659904807797545</v>
      </c>
      <c r="H251" s="186">
        <f t="shared" si="39"/>
        <v>10.858715066724606</v>
      </c>
      <c r="I251" s="186">
        <f t="shared" si="40"/>
        <v>29.318999999999996</v>
      </c>
      <c r="J251" s="186">
        <f t="shared" si="41"/>
        <v>66.032576432582218</v>
      </c>
      <c r="K251" s="186">
        <f t="shared" si="42"/>
        <v>13.627328375215328</v>
      </c>
      <c r="L251" s="186">
        <f t="shared" si="43"/>
        <v>24.845130401667689</v>
      </c>
      <c r="M251" s="186">
        <f t="shared" si="44"/>
        <v>84.103875889014603</v>
      </c>
      <c r="N251" s="186">
        <f t="shared" si="45"/>
        <v>97.73120426422993</v>
      </c>
      <c r="O251" s="186">
        <f t="shared" si="46"/>
        <v>2.5703306721492472</v>
      </c>
    </row>
    <row r="252" spans="1:15">
      <c r="A252" s="41">
        <v>2000</v>
      </c>
      <c r="B252" s="41">
        <v>7</v>
      </c>
      <c r="C252" s="180">
        <f t="shared" si="47"/>
        <v>35.384999999999998</v>
      </c>
      <c r="D252" s="180">
        <f>+HLOOKUP('Info Gral'!$C$8,'Precip 1981-2010'!$D$5:$AL$373,244,FALSE)</f>
        <v>82.8</v>
      </c>
      <c r="E252" s="185">
        <f t="shared" si="36"/>
        <v>44.979210165214553</v>
      </c>
      <c r="F252" s="185">
        <f t="shared" si="37"/>
        <v>2.8782630495643677</v>
      </c>
      <c r="G252" s="186">
        <f t="shared" si="38"/>
        <v>52.346693453450456</v>
      </c>
      <c r="H252" s="186">
        <f t="shared" si="39"/>
        <v>5.9270216132741425</v>
      </c>
      <c r="I252" s="186">
        <f t="shared" si="40"/>
        <v>35.384999999999998</v>
      </c>
      <c r="J252" s="186">
        <f t="shared" si="41"/>
        <v>46.095531173836946</v>
      </c>
      <c r="K252" s="186">
        <f t="shared" si="42"/>
        <v>6.25116227961351</v>
      </c>
      <c r="L252" s="186">
        <f t="shared" si="43"/>
        <v>16.843673781580144</v>
      </c>
      <c r="M252" s="186">
        <f t="shared" si="44"/>
        <v>54.096987793924491</v>
      </c>
      <c r="N252" s="186">
        <f t="shared" si="45"/>
        <v>60.348150073538001</v>
      </c>
      <c r="O252" s="186">
        <f t="shared" si="46"/>
        <v>1.5871563469340495</v>
      </c>
    </row>
    <row r="253" spans="1:15">
      <c r="A253" s="41">
        <v>2000</v>
      </c>
      <c r="B253" s="41">
        <v>8</v>
      </c>
      <c r="C253" s="180">
        <f t="shared" si="47"/>
        <v>55.605000000000004</v>
      </c>
      <c r="D253" s="180">
        <f>+HLOOKUP('Info Gral'!$C$8,'Precip 1981-2010'!$D$5:$AL$373,245,FALSE)</f>
        <v>98.6</v>
      </c>
      <c r="E253" s="185">
        <f t="shared" si="36"/>
        <v>70.13090361866503</v>
      </c>
      <c r="F253" s="185">
        <f t="shared" si="37"/>
        <v>4.3577710855995067</v>
      </c>
      <c r="G253" s="186">
        <f t="shared" si="38"/>
        <v>55.504656743034907</v>
      </c>
      <c r="H253" s="186">
        <f t="shared" si="39"/>
        <v>0</v>
      </c>
      <c r="I253" s="186">
        <f t="shared" si="40"/>
        <v>49.022364870239237</v>
      </c>
      <c r="J253" s="186">
        <f t="shared" si="41"/>
        <v>48.526775823524694</v>
      </c>
      <c r="K253" s="186">
        <f t="shared" si="42"/>
        <v>6.9778809195102127</v>
      </c>
      <c r="L253" s="186">
        <f t="shared" si="43"/>
        <v>16.821522371633776</v>
      </c>
      <c r="M253" s="186">
        <f t="shared" si="44"/>
        <v>48.548927233471062</v>
      </c>
      <c r="N253" s="186">
        <f t="shared" si="45"/>
        <v>55.526808152981275</v>
      </c>
      <c r="O253" s="186">
        <f t="shared" si="46"/>
        <v>1.4603550544234074</v>
      </c>
    </row>
    <row r="254" spans="1:15">
      <c r="A254" s="41">
        <v>2000</v>
      </c>
      <c r="B254" s="41">
        <v>9</v>
      </c>
      <c r="C254" s="180">
        <f t="shared" si="47"/>
        <v>78.858000000000004</v>
      </c>
      <c r="D254" s="180">
        <f>+HLOOKUP('Info Gral'!$C$8,'Precip 1981-2010'!$D$5:$AL$373,246,FALSE)</f>
        <v>180.9</v>
      </c>
      <c r="E254" s="185">
        <f t="shared" si="36"/>
        <v>99.310925231939166</v>
      </c>
      <c r="F254" s="185">
        <f t="shared" si="37"/>
        <v>6.1358775695817496</v>
      </c>
      <c r="G254" s="186">
        <f t="shared" si="38"/>
        <v>113.99041983409398</v>
      </c>
      <c r="H254" s="186">
        <f t="shared" si="39"/>
        <v>0</v>
      </c>
      <c r="I254" s="186">
        <f t="shared" si="40"/>
        <v>66.909580165906021</v>
      </c>
      <c r="J254" s="186">
        <f t="shared" si="41"/>
        <v>88.002290265002259</v>
      </c>
      <c r="K254" s="186">
        <f t="shared" si="42"/>
        <v>25.988129569091726</v>
      </c>
      <c r="L254" s="186">
        <f t="shared" si="43"/>
        <v>29.163485660218782</v>
      </c>
      <c r="M254" s="186">
        <f t="shared" si="44"/>
        <v>75.660326976417252</v>
      </c>
      <c r="N254" s="186">
        <f t="shared" si="45"/>
        <v>101.64845654550898</v>
      </c>
      <c r="O254" s="186">
        <f t="shared" si="46"/>
        <v>2.6733544071468862</v>
      </c>
    </row>
    <row r="255" spans="1:15">
      <c r="A255" s="41">
        <v>2000</v>
      </c>
      <c r="B255" s="41">
        <v>10</v>
      </c>
      <c r="C255" s="180">
        <f t="shared" si="47"/>
        <v>113.232</v>
      </c>
      <c r="D255" s="180">
        <f>+HLOOKUP('Info Gral'!$C$8,'Precip 1981-2010'!$D$5:$AL$373,247,FALSE)</f>
        <v>162</v>
      </c>
      <c r="E255" s="185">
        <f t="shared" si="36"/>
        <v>133.68492523193916</v>
      </c>
      <c r="F255" s="185">
        <f t="shared" si="37"/>
        <v>6.1358775695817496</v>
      </c>
      <c r="G255" s="186">
        <f t="shared" si="38"/>
        <v>85.718051327861247</v>
      </c>
      <c r="H255" s="186">
        <f t="shared" si="39"/>
        <v>0</v>
      </c>
      <c r="I255" s="186">
        <f t="shared" si="40"/>
        <v>76.281948672138753</v>
      </c>
      <c r="J255" s="186">
        <f t="shared" si="41"/>
        <v>70.141830950534583</v>
      </c>
      <c r="K255" s="186">
        <f t="shared" si="42"/>
        <v>15.576220377326663</v>
      </c>
      <c r="L255" s="186">
        <f t="shared" si="43"/>
        <v>24.785298193252785</v>
      </c>
      <c r="M255" s="186">
        <f t="shared" si="44"/>
        <v>74.52001841750058</v>
      </c>
      <c r="N255" s="186">
        <f t="shared" si="45"/>
        <v>90.096238794827244</v>
      </c>
      <c r="O255" s="186">
        <f t="shared" si="46"/>
        <v>2.3695310803039562</v>
      </c>
    </row>
    <row r="256" spans="1:15">
      <c r="A256" s="41">
        <v>2000</v>
      </c>
      <c r="B256" s="41">
        <v>11</v>
      </c>
      <c r="C256" s="180">
        <f t="shared" si="47"/>
        <v>148.61699999999999</v>
      </c>
      <c r="D256" s="180">
        <f>+HLOOKUP('Info Gral'!$C$8,'Precip 1981-2010'!$D$5:$AL$373,248,FALSE)</f>
        <v>143.4</v>
      </c>
      <c r="E256" s="185">
        <f t="shared" si="36"/>
        <v>169.06992523193915</v>
      </c>
      <c r="F256" s="185">
        <f t="shared" si="37"/>
        <v>6.1358775695817496</v>
      </c>
      <c r="G256" s="186">
        <f t="shared" si="38"/>
        <v>62.763338300063403</v>
      </c>
      <c r="H256" s="186">
        <f t="shared" si="39"/>
        <v>0</v>
      </c>
      <c r="I256" s="186">
        <f t="shared" si="40"/>
        <v>80.63666169993661</v>
      </c>
      <c r="J256" s="186">
        <f t="shared" si="41"/>
        <v>53.985356013252229</v>
      </c>
      <c r="K256" s="186">
        <f t="shared" si="42"/>
        <v>8.7779822868111737</v>
      </c>
      <c r="L256" s="186">
        <f t="shared" si="43"/>
        <v>19.304998584060353</v>
      </c>
      <c r="M256" s="186">
        <f t="shared" si="44"/>
        <v>59.465655622444658</v>
      </c>
      <c r="N256" s="186">
        <f t="shared" si="45"/>
        <v>68.243637909255824</v>
      </c>
      <c r="O256" s="186">
        <f t="shared" si="46"/>
        <v>1.7948076770134282</v>
      </c>
    </row>
    <row r="257" spans="1:15">
      <c r="A257" s="41">
        <v>2000</v>
      </c>
      <c r="B257" s="41">
        <v>12</v>
      </c>
      <c r="C257" s="180">
        <f t="shared" si="47"/>
        <v>179.958</v>
      </c>
      <c r="D257" s="180">
        <f>+HLOOKUP('Info Gral'!$C$8,'Precip 1981-2010'!$D$5:$AL$373,249,FALSE)</f>
        <v>93</v>
      </c>
      <c r="E257" s="185">
        <f t="shared" si="36"/>
        <v>200.41092523193916</v>
      </c>
      <c r="F257" s="185">
        <f t="shared" si="37"/>
        <v>6.1358775695817496</v>
      </c>
      <c r="G257" s="186">
        <f t="shared" si="38"/>
        <v>26.838578783300541</v>
      </c>
      <c r="H257" s="186">
        <f t="shared" si="39"/>
        <v>0</v>
      </c>
      <c r="I257" s="186">
        <f t="shared" si="40"/>
        <v>66.161421216699466</v>
      </c>
      <c r="J257" s="186">
        <f t="shared" si="41"/>
        <v>25.093806496683595</v>
      </c>
      <c r="K257" s="186">
        <f t="shared" si="42"/>
        <v>1.7447722866169464</v>
      </c>
      <c r="L257" s="186">
        <f t="shared" si="43"/>
        <v>9.7346289700340165</v>
      </c>
      <c r="M257" s="186">
        <f t="shared" si="44"/>
        <v>34.664176110709931</v>
      </c>
      <c r="N257" s="186">
        <f t="shared" si="45"/>
        <v>36.408948397326881</v>
      </c>
      <c r="O257" s="186">
        <f t="shared" si="46"/>
        <v>0.95755534284969701</v>
      </c>
    </row>
    <row r="258" spans="1:15">
      <c r="A258" s="41">
        <v>2001</v>
      </c>
      <c r="B258" s="41">
        <v>1</v>
      </c>
      <c r="C258" s="180">
        <f t="shared" si="47"/>
        <v>190.06799999999998</v>
      </c>
      <c r="D258" s="180">
        <f>+HLOOKUP('Info Gral'!$C$8,'Precip 1981-2010'!$D$5:$AL$373,250,FALSE)</f>
        <v>143.19999999999999</v>
      </c>
      <c r="E258" s="185">
        <f t="shared" si="36"/>
        <v>210.52092523193915</v>
      </c>
      <c r="F258" s="185">
        <f t="shared" si="37"/>
        <v>6.1358775695817496</v>
      </c>
      <c r="G258" s="186">
        <f t="shared" si="38"/>
        <v>55.020118082337575</v>
      </c>
      <c r="H258" s="186">
        <f t="shared" si="39"/>
        <v>0</v>
      </c>
      <c r="I258" s="186">
        <f t="shared" si="40"/>
        <v>88.179881917662414</v>
      </c>
      <c r="J258" s="186">
        <f t="shared" si="41"/>
        <v>48.156001753682474</v>
      </c>
      <c r="K258" s="186">
        <f t="shared" si="42"/>
        <v>6.8641163286551006</v>
      </c>
      <c r="L258" s="186">
        <f t="shared" si="43"/>
        <v>16.010433157363881</v>
      </c>
      <c r="M258" s="186">
        <f t="shared" si="44"/>
        <v>41.880197566352606</v>
      </c>
      <c r="N258" s="186">
        <f t="shared" si="45"/>
        <v>48.744313895007707</v>
      </c>
      <c r="O258" s="186">
        <f t="shared" si="46"/>
        <v>1.2819754554387026</v>
      </c>
    </row>
    <row r="259" spans="1:15">
      <c r="A259" s="41">
        <v>2001</v>
      </c>
      <c r="B259" s="41">
        <v>2</v>
      </c>
      <c r="C259" s="180">
        <f t="shared" si="47"/>
        <v>146.595</v>
      </c>
      <c r="D259" s="180">
        <f>+HLOOKUP('Info Gral'!$C$8,'Precip 1981-2010'!$D$5:$AL$373,251,FALSE)</f>
        <v>89.1</v>
      </c>
      <c r="E259" s="185">
        <f t="shared" si="36"/>
        <v>167.04792523193916</v>
      </c>
      <c r="F259" s="185">
        <f t="shared" si="37"/>
        <v>6.1358775695817496</v>
      </c>
      <c r="G259" s="186">
        <f t="shared" si="38"/>
        <v>28.223526751428693</v>
      </c>
      <c r="H259" s="186">
        <f t="shared" si="39"/>
        <v>0</v>
      </c>
      <c r="I259" s="186">
        <f t="shared" si="40"/>
        <v>60.876473248571301</v>
      </c>
      <c r="J259" s="186">
        <f t="shared" si="41"/>
        <v>26.300489041485619</v>
      </c>
      <c r="K259" s="186">
        <f t="shared" si="42"/>
        <v>1.923037709943074</v>
      </c>
      <c r="L259" s="186">
        <f t="shared" si="43"/>
        <v>9.7898088038457622</v>
      </c>
      <c r="M259" s="186">
        <f t="shared" si="44"/>
        <v>32.521113395003738</v>
      </c>
      <c r="N259" s="186">
        <f t="shared" si="45"/>
        <v>34.444151104946812</v>
      </c>
      <c r="O259" s="186">
        <f t="shared" si="46"/>
        <v>0.90588117406010116</v>
      </c>
    </row>
    <row r="260" spans="1:15">
      <c r="A260" s="41">
        <v>2001</v>
      </c>
      <c r="B260" s="41">
        <v>3</v>
      </c>
      <c r="C260" s="180">
        <f t="shared" si="47"/>
        <v>120.30899999999998</v>
      </c>
      <c r="D260" s="180">
        <f>+HLOOKUP('Info Gral'!$C$8,'Precip 1981-2010'!$D$5:$AL$373,252,FALSE)</f>
        <v>99.9</v>
      </c>
      <c r="E260" s="185">
        <f t="shared" si="36"/>
        <v>140.76192523193916</v>
      </c>
      <c r="F260" s="185">
        <f t="shared" si="37"/>
        <v>6.1358775695817496</v>
      </c>
      <c r="G260" s="186">
        <f t="shared" si="38"/>
        <v>38.494260289640017</v>
      </c>
      <c r="H260" s="186">
        <f t="shared" si="39"/>
        <v>0</v>
      </c>
      <c r="I260" s="186">
        <f t="shared" si="40"/>
        <v>61.405739710359988</v>
      </c>
      <c r="J260" s="186">
        <f t="shared" si="41"/>
        <v>35.003499132503308</v>
      </c>
      <c r="K260" s="186">
        <f t="shared" si="42"/>
        <v>3.4907611571367099</v>
      </c>
      <c r="L260" s="186">
        <f t="shared" si="43"/>
        <v>11.902995961289848</v>
      </c>
      <c r="M260" s="186">
        <f t="shared" si="44"/>
        <v>32.89031197505922</v>
      </c>
      <c r="N260" s="186">
        <f t="shared" si="45"/>
        <v>36.38107313219593</v>
      </c>
      <c r="O260" s="186">
        <f t="shared" si="46"/>
        <v>0.95682222337675293</v>
      </c>
    </row>
    <row r="261" spans="1:15">
      <c r="A261" s="41">
        <v>2001</v>
      </c>
      <c r="B261" s="41">
        <v>4</v>
      </c>
      <c r="C261" s="180">
        <f t="shared" si="47"/>
        <v>73.802999999999997</v>
      </c>
      <c r="D261" s="180">
        <f>+HLOOKUP('Info Gral'!$C$8,'Precip 1981-2010'!$D$5:$AL$373,253,FALSE)</f>
        <v>417.4</v>
      </c>
      <c r="E261" s="185">
        <f t="shared" si="36"/>
        <v>94.255925231939159</v>
      </c>
      <c r="F261" s="185">
        <f t="shared" si="37"/>
        <v>6.1358775695817496</v>
      </c>
      <c r="G261" s="186">
        <f t="shared" si="38"/>
        <v>338.69351198505058</v>
      </c>
      <c r="H261" s="186">
        <f t="shared" si="39"/>
        <v>4.9034880149494029</v>
      </c>
      <c r="I261" s="186">
        <f t="shared" si="40"/>
        <v>73.802999999999997</v>
      </c>
      <c r="J261" s="186">
        <f t="shared" si="41"/>
        <v>180.40136066366</v>
      </c>
      <c r="K261" s="186">
        <f t="shared" si="42"/>
        <v>158.29215132139058</v>
      </c>
      <c r="L261" s="186">
        <f t="shared" si="43"/>
        <v>57.5760427681344</v>
      </c>
      <c r="M261" s="186">
        <f t="shared" si="44"/>
        <v>134.72831385681545</v>
      </c>
      <c r="N261" s="186">
        <f t="shared" si="45"/>
        <v>293.020465178206</v>
      </c>
      <c r="O261" s="186">
        <f t="shared" si="46"/>
        <v>7.7064382341868178</v>
      </c>
    </row>
    <row r="262" spans="1:15">
      <c r="A262" s="41">
        <v>2001</v>
      </c>
      <c r="B262" s="41">
        <v>5</v>
      </c>
      <c r="C262" s="180">
        <f t="shared" si="47"/>
        <v>44.483999999999995</v>
      </c>
      <c r="D262" s="180">
        <f>+HLOOKUP('Info Gral'!$C$8,'Precip 1981-2010'!$D$5:$AL$373,254,FALSE)</f>
        <v>219.9</v>
      </c>
      <c r="E262" s="185">
        <f t="shared" si="36"/>
        <v>60.033437216989753</v>
      </c>
      <c r="F262" s="185">
        <f t="shared" si="37"/>
        <v>4.6648311650969285</v>
      </c>
      <c r="G262" s="186">
        <f t="shared" si="38"/>
        <v>171.19560849721802</v>
      </c>
      <c r="H262" s="186">
        <f t="shared" si="39"/>
        <v>9.123879517731396</v>
      </c>
      <c r="I262" s="186">
        <f t="shared" si="40"/>
        <v>44.483999999999995</v>
      </c>
      <c r="J262" s="186">
        <f t="shared" si="41"/>
        <v>118.59660031806602</v>
      </c>
      <c r="K262" s="186">
        <f t="shared" si="42"/>
        <v>52.599008179151994</v>
      </c>
      <c r="L262" s="186">
        <f t="shared" si="43"/>
        <v>42.715549153565917</v>
      </c>
      <c r="M262" s="186">
        <f t="shared" si="44"/>
        <v>133.45709393263451</v>
      </c>
      <c r="N262" s="186">
        <f t="shared" si="45"/>
        <v>186.05610211178652</v>
      </c>
      <c r="O262" s="186">
        <f t="shared" si="46"/>
        <v>4.8932754855399851</v>
      </c>
    </row>
    <row r="263" spans="1:15">
      <c r="A263" s="41">
        <v>2001</v>
      </c>
      <c r="B263" s="41">
        <v>6</v>
      </c>
      <c r="C263" s="180">
        <f t="shared" si="47"/>
        <v>29.318999999999996</v>
      </c>
      <c r="D263" s="180">
        <f>+HLOOKUP('Info Gral'!$C$8,'Precip 1981-2010'!$D$5:$AL$373,255,FALSE)</f>
        <v>93.3</v>
      </c>
      <c r="E263" s="185">
        <f t="shared" si="36"/>
        <v>40.648045714207768</v>
      </c>
      <c r="F263" s="185">
        <f t="shared" si="37"/>
        <v>3.3987137142623305</v>
      </c>
      <c r="G263" s="186">
        <f t="shared" si="38"/>
        <v>63.564309673043937</v>
      </c>
      <c r="H263" s="186">
        <f t="shared" si="39"/>
        <v>9.5405698446874609</v>
      </c>
      <c r="I263" s="186">
        <f t="shared" si="40"/>
        <v>29.318999999999996</v>
      </c>
      <c r="J263" s="186">
        <f t="shared" si="41"/>
        <v>54.576893685442258</v>
      </c>
      <c r="K263" s="186">
        <f t="shared" si="42"/>
        <v>8.987415987601679</v>
      </c>
      <c r="L263" s="186">
        <f t="shared" si="43"/>
        <v>21.243256143167486</v>
      </c>
      <c r="M263" s="186">
        <f t="shared" si="44"/>
        <v>76.049186695840689</v>
      </c>
      <c r="N263" s="186">
        <f t="shared" si="45"/>
        <v>85.036602683442368</v>
      </c>
      <c r="O263" s="186">
        <f t="shared" si="46"/>
        <v>2.2364626505745342</v>
      </c>
    </row>
    <row r="264" spans="1:15">
      <c r="A264" s="41">
        <v>2001</v>
      </c>
      <c r="B264" s="41">
        <v>7</v>
      </c>
      <c r="C264" s="180">
        <f t="shared" si="47"/>
        <v>35.384999999999998</v>
      </c>
      <c r="D264" s="180">
        <f>+HLOOKUP('Info Gral'!$C$8,'Precip 1981-2010'!$D$5:$AL$373,256,FALSE)</f>
        <v>34</v>
      </c>
      <c r="E264" s="185">
        <f t="shared" si="36"/>
        <v>46.297355387251699</v>
      </c>
      <c r="F264" s="185">
        <f t="shared" si="37"/>
        <v>3.2737066161755113</v>
      </c>
      <c r="G264" s="186">
        <f t="shared" si="38"/>
        <v>12.801435194700296</v>
      </c>
      <c r="H264" s="186">
        <f t="shared" si="39"/>
        <v>0</v>
      </c>
      <c r="I264" s="186">
        <f t="shared" si="40"/>
        <v>30.739134649987164</v>
      </c>
      <c r="J264" s="186">
        <f t="shared" si="41"/>
        <v>12.390512042018802</v>
      </c>
      <c r="K264" s="186">
        <f t="shared" si="42"/>
        <v>0.41092315268149449</v>
      </c>
      <c r="L264" s="186">
        <f t="shared" si="43"/>
        <v>5.9517945402139985</v>
      </c>
      <c r="M264" s="186">
        <f t="shared" si="44"/>
        <v>27.681973644972288</v>
      </c>
      <c r="N264" s="186">
        <f t="shared" si="45"/>
        <v>28.092896797653783</v>
      </c>
      <c r="O264" s="186">
        <f t="shared" si="46"/>
        <v>0.73884318577829444</v>
      </c>
    </row>
    <row r="265" spans="1:15">
      <c r="A265" s="41">
        <v>2001</v>
      </c>
      <c r="B265" s="41">
        <v>8</v>
      </c>
      <c r="C265" s="180">
        <f t="shared" si="47"/>
        <v>55.605000000000004</v>
      </c>
      <c r="D265" s="180">
        <f>+HLOOKUP('Info Gral'!$C$8,'Precip 1981-2010'!$D$5:$AL$373,257,FALSE)</f>
        <v>184.9</v>
      </c>
      <c r="E265" s="185">
        <f t="shared" si="36"/>
        <v>76.057925231939166</v>
      </c>
      <c r="F265" s="185">
        <f t="shared" si="37"/>
        <v>6.1358775695817496</v>
      </c>
      <c r="G265" s="186">
        <f t="shared" si="38"/>
        <v>128.50176371446688</v>
      </c>
      <c r="H265" s="186">
        <f t="shared" si="39"/>
        <v>0.79323628553312631</v>
      </c>
      <c r="I265" s="186">
        <f t="shared" si="40"/>
        <v>55.605000000000004</v>
      </c>
      <c r="J265" s="186">
        <f t="shared" si="41"/>
        <v>96.407212359551153</v>
      </c>
      <c r="K265" s="186">
        <f t="shared" si="42"/>
        <v>32.094551354915723</v>
      </c>
      <c r="L265" s="186">
        <f t="shared" si="43"/>
        <v>30.728854324654524</v>
      </c>
      <c r="M265" s="186">
        <f t="shared" si="44"/>
        <v>71.630152575110628</v>
      </c>
      <c r="N265" s="186">
        <f t="shared" si="45"/>
        <v>103.72470393002635</v>
      </c>
      <c r="O265" s="186">
        <f t="shared" si="46"/>
        <v>2.7279597133596929</v>
      </c>
    </row>
    <row r="266" spans="1:15">
      <c r="A266" s="41">
        <v>2001</v>
      </c>
      <c r="B266" s="41">
        <v>9</v>
      </c>
      <c r="C266" s="180">
        <f t="shared" si="47"/>
        <v>78.858000000000004</v>
      </c>
      <c r="D266" s="180">
        <f>+HLOOKUP('Info Gral'!$C$8,'Precip 1981-2010'!$D$5:$AL$373,258,FALSE)</f>
        <v>229.8</v>
      </c>
      <c r="E266" s="185">
        <f t="shared" si="36"/>
        <v>98.517688946406039</v>
      </c>
      <c r="F266" s="185">
        <f t="shared" si="37"/>
        <v>5.8979066839218115</v>
      </c>
      <c r="G266" s="186">
        <f t="shared" si="38"/>
        <v>158.38446331611831</v>
      </c>
      <c r="H266" s="186">
        <f t="shared" si="39"/>
        <v>0</v>
      </c>
      <c r="I266" s="186">
        <f t="shared" si="40"/>
        <v>72.208772969414809</v>
      </c>
      <c r="J266" s="186">
        <f t="shared" si="41"/>
        <v>112.30372459127366</v>
      </c>
      <c r="K266" s="186">
        <f t="shared" si="42"/>
        <v>46.08073872484465</v>
      </c>
      <c r="L266" s="186">
        <f t="shared" si="43"/>
        <v>38.122534690405942</v>
      </c>
      <c r="M266" s="186">
        <f t="shared" si="44"/>
        <v>104.91004422552224</v>
      </c>
      <c r="N266" s="186">
        <f t="shared" si="45"/>
        <v>150.99078295036691</v>
      </c>
      <c r="O266" s="186">
        <f t="shared" si="46"/>
        <v>3.9710575915946498</v>
      </c>
    </row>
    <row r="267" spans="1:15">
      <c r="A267" s="41">
        <v>2001</v>
      </c>
      <c r="B267" s="41">
        <v>10</v>
      </c>
      <c r="C267" s="180">
        <f t="shared" si="47"/>
        <v>113.232</v>
      </c>
      <c r="D267" s="180">
        <f>+HLOOKUP('Info Gral'!$C$8,'Precip 1981-2010'!$D$5:$AL$373,259,FALSE)</f>
        <v>126.5</v>
      </c>
      <c r="E267" s="185">
        <f t="shared" si="36"/>
        <v>133.68492523193916</v>
      </c>
      <c r="F267" s="185">
        <f t="shared" si="37"/>
        <v>6.1358775695817496</v>
      </c>
      <c r="G267" s="186">
        <f t="shared" si="38"/>
        <v>58.437887600013752</v>
      </c>
      <c r="H267" s="186">
        <f t="shared" si="39"/>
        <v>0</v>
      </c>
      <c r="I267" s="186">
        <f t="shared" si="40"/>
        <v>68.062112399986248</v>
      </c>
      <c r="J267" s="186">
        <f t="shared" si="41"/>
        <v>50.754054150095847</v>
      </c>
      <c r="K267" s="186">
        <f t="shared" si="42"/>
        <v>7.6838334499179055</v>
      </c>
      <c r="L267" s="186">
        <f t="shared" si="43"/>
        <v>19.5987202808303</v>
      </c>
      <c r="M267" s="186">
        <f t="shared" si="44"/>
        <v>69.277868559671489</v>
      </c>
      <c r="N267" s="186">
        <f t="shared" si="45"/>
        <v>76.961702009589402</v>
      </c>
      <c r="O267" s="186">
        <f t="shared" si="46"/>
        <v>2.0240927628522014</v>
      </c>
    </row>
    <row r="268" spans="1:15">
      <c r="A268" s="41">
        <v>2001</v>
      </c>
      <c r="B268" s="41">
        <v>11</v>
      </c>
      <c r="C268" s="180">
        <f t="shared" si="47"/>
        <v>148.61699999999999</v>
      </c>
      <c r="D268" s="180">
        <f>+HLOOKUP('Info Gral'!$C$8,'Precip 1981-2010'!$D$5:$AL$373,260,FALSE)</f>
        <v>171.4</v>
      </c>
      <c r="E268" s="185">
        <f t="shared" si="36"/>
        <v>169.06992523193915</v>
      </c>
      <c r="F268" s="185">
        <f t="shared" si="37"/>
        <v>6.1358775695817496</v>
      </c>
      <c r="G268" s="186">
        <f t="shared" si="38"/>
        <v>83.2187155552257</v>
      </c>
      <c r="H268" s="186">
        <f t="shared" si="39"/>
        <v>0</v>
      </c>
      <c r="I268" s="186">
        <f t="shared" si="40"/>
        <v>88.181284444774306</v>
      </c>
      <c r="J268" s="186">
        <f t="shared" si="41"/>
        <v>68.45938394913918</v>
      </c>
      <c r="K268" s="186">
        <f t="shared" si="42"/>
        <v>14.759331606086519</v>
      </c>
      <c r="L268" s="186">
        <f t="shared" si="43"/>
        <v>23.32391552079374</v>
      </c>
      <c r="M268" s="186">
        <f t="shared" si="44"/>
        <v>64.73418870917574</v>
      </c>
      <c r="N268" s="186">
        <f t="shared" si="45"/>
        <v>79.493520315262259</v>
      </c>
      <c r="O268" s="186">
        <f t="shared" si="46"/>
        <v>2.0906795842913977</v>
      </c>
    </row>
    <row r="269" spans="1:15">
      <c r="A269" s="41">
        <v>2001</v>
      </c>
      <c r="B269" s="41">
        <v>12</v>
      </c>
      <c r="C269" s="180">
        <f t="shared" si="47"/>
        <v>179.958</v>
      </c>
      <c r="D269" s="180">
        <f>+HLOOKUP('Info Gral'!$C$8,'Precip 1981-2010'!$D$5:$AL$373,261,FALSE)</f>
        <v>70.900000000000006</v>
      </c>
      <c r="E269" s="185">
        <f t="shared" si="36"/>
        <v>200.41092523193916</v>
      </c>
      <c r="F269" s="185">
        <f t="shared" si="37"/>
        <v>6.1358775695817496</v>
      </c>
      <c r="G269" s="186">
        <f t="shared" si="38"/>
        <v>16.192113156786174</v>
      </c>
      <c r="H269" s="186">
        <f t="shared" si="39"/>
        <v>0</v>
      </c>
      <c r="I269" s="186">
        <f t="shared" si="40"/>
        <v>54.707886843213828</v>
      </c>
      <c r="J269" s="186">
        <f t="shared" si="41"/>
        <v>15.540224370543466</v>
      </c>
      <c r="K269" s="186">
        <f t="shared" si="42"/>
        <v>0.65188878624270785</v>
      </c>
      <c r="L269" s="186">
        <f t="shared" si="43"/>
        <v>7.1401744736102684</v>
      </c>
      <c r="M269" s="186">
        <f t="shared" si="44"/>
        <v>31.723965417726937</v>
      </c>
      <c r="N269" s="186">
        <f t="shared" si="45"/>
        <v>32.375854203969645</v>
      </c>
      <c r="O269" s="186">
        <f t="shared" si="46"/>
        <v>0.85148496556440167</v>
      </c>
    </row>
    <row r="270" spans="1:15">
      <c r="A270" s="41">
        <v>2002</v>
      </c>
      <c r="B270" s="41">
        <v>1</v>
      </c>
      <c r="C270" s="180">
        <f t="shared" si="47"/>
        <v>190.06799999999998</v>
      </c>
      <c r="D270" s="180">
        <f>+HLOOKUP('Info Gral'!$C$8,'Precip 1981-2010'!$D$5:$AL$373,262,FALSE)</f>
        <v>115.3</v>
      </c>
      <c r="E270" s="185">
        <f t="shared" si="36"/>
        <v>210.52092523193915</v>
      </c>
      <c r="F270" s="185">
        <f t="shared" si="37"/>
        <v>6.1358775695817496</v>
      </c>
      <c r="G270" s="186">
        <f t="shared" si="38"/>
        <v>38.006178177659649</v>
      </c>
      <c r="H270" s="186">
        <f t="shared" si="39"/>
        <v>0</v>
      </c>
      <c r="I270" s="186">
        <f t="shared" si="40"/>
        <v>77.293821822340348</v>
      </c>
      <c r="J270" s="186">
        <f t="shared" si="41"/>
        <v>34.599459940957971</v>
      </c>
      <c r="K270" s="186">
        <f t="shared" si="42"/>
        <v>3.4067182367016784</v>
      </c>
      <c r="L270" s="186">
        <f t="shared" si="43"/>
        <v>11.517561144190939</v>
      </c>
      <c r="M270" s="186">
        <f t="shared" si="44"/>
        <v>30.222073270377301</v>
      </c>
      <c r="N270" s="186">
        <f t="shared" si="45"/>
        <v>33.628791507078979</v>
      </c>
      <c r="O270" s="186">
        <f t="shared" si="46"/>
        <v>0.88443721663617714</v>
      </c>
    </row>
    <row r="271" spans="1:15">
      <c r="A271" s="41">
        <v>2002</v>
      </c>
      <c r="B271" s="41">
        <v>2</v>
      </c>
      <c r="C271" s="180">
        <f t="shared" si="47"/>
        <v>146.595</v>
      </c>
      <c r="D271" s="180">
        <f>+HLOOKUP('Info Gral'!$C$8,'Precip 1981-2010'!$D$5:$AL$373,263,FALSE)</f>
        <v>115.2</v>
      </c>
      <c r="E271" s="185">
        <f t="shared" si="36"/>
        <v>167.04792523193916</v>
      </c>
      <c r="F271" s="185">
        <f t="shared" si="37"/>
        <v>6.1358775695817496</v>
      </c>
      <c r="G271" s="186">
        <f t="shared" si="38"/>
        <v>44.05938049061745</v>
      </c>
      <c r="H271" s="186">
        <f t="shared" si="39"/>
        <v>0</v>
      </c>
      <c r="I271" s="186">
        <f t="shared" si="40"/>
        <v>71.14061950938256</v>
      </c>
      <c r="J271" s="186">
        <f t="shared" si="41"/>
        <v>39.54551776077205</v>
      </c>
      <c r="K271" s="186">
        <f t="shared" si="42"/>
        <v>4.5138627298453997</v>
      </c>
      <c r="L271" s="186">
        <f t="shared" si="43"/>
        <v>13.49224640454409</v>
      </c>
      <c r="M271" s="186">
        <f t="shared" si="44"/>
        <v>37.570832500418902</v>
      </c>
      <c r="N271" s="186">
        <f t="shared" si="45"/>
        <v>42.084695230264302</v>
      </c>
      <c r="O271" s="186">
        <f t="shared" si="46"/>
        <v>1.1068274845559511</v>
      </c>
    </row>
    <row r="272" spans="1:15">
      <c r="A272" s="41">
        <v>2002</v>
      </c>
      <c r="B272" s="41">
        <v>3</v>
      </c>
      <c r="C272" s="180">
        <f t="shared" si="47"/>
        <v>120.30899999999998</v>
      </c>
      <c r="D272" s="180">
        <f>+HLOOKUP('Info Gral'!$C$8,'Precip 1981-2010'!$D$5:$AL$373,264,FALSE)</f>
        <v>363.7</v>
      </c>
      <c r="E272" s="185">
        <f t="shared" si="36"/>
        <v>140.76192523193916</v>
      </c>
      <c r="F272" s="185">
        <f t="shared" si="37"/>
        <v>6.1358775695817496</v>
      </c>
      <c r="G272" s="186">
        <f t="shared" si="38"/>
        <v>259.76159098288286</v>
      </c>
      <c r="H272" s="186">
        <f t="shared" si="39"/>
        <v>0</v>
      </c>
      <c r="I272" s="186">
        <f t="shared" si="40"/>
        <v>103.93840901711712</v>
      </c>
      <c r="J272" s="186">
        <f t="shared" si="41"/>
        <v>155.27088560157273</v>
      </c>
      <c r="K272" s="186">
        <f t="shared" si="42"/>
        <v>104.49070538131014</v>
      </c>
      <c r="L272" s="186">
        <f t="shared" si="43"/>
        <v>49.873059042160016</v>
      </c>
      <c r="M272" s="186">
        <f t="shared" si="44"/>
        <v>118.89007296395681</v>
      </c>
      <c r="N272" s="186">
        <f t="shared" si="45"/>
        <v>223.38077834526695</v>
      </c>
      <c r="O272" s="186">
        <f t="shared" si="46"/>
        <v>5.8749144704805207</v>
      </c>
    </row>
    <row r="273" spans="1:15">
      <c r="A273" s="41">
        <v>2002</v>
      </c>
      <c r="B273" s="41">
        <v>4</v>
      </c>
      <c r="C273" s="180">
        <f t="shared" si="47"/>
        <v>73.802999999999997</v>
      </c>
      <c r="D273" s="180">
        <f>+HLOOKUP('Info Gral'!$C$8,'Precip 1981-2010'!$D$5:$AL$373,265,FALSE)</f>
        <v>382.9</v>
      </c>
      <c r="E273" s="185">
        <f t="shared" si="36"/>
        <v>94.255925231939159</v>
      </c>
      <c r="F273" s="185">
        <f t="shared" si="37"/>
        <v>6.1358775695817496</v>
      </c>
      <c r="G273" s="186">
        <f t="shared" si="38"/>
        <v>305.34746735393111</v>
      </c>
      <c r="H273" s="186">
        <f t="shared" si="39"/>
        <v>3.7495326460688716</v>
      </c>
      <c r="I273" s="186">
        <f t="shared" si="40"/>
        <v>73.802999999999997</v>
      </c>
      <c r="J273" s="186">
        <f t="shared" si="41"/>
        <v>170.48463755820427</v>
      </c>
      <c r="K273" s="186">
        <f t="shared" si="42"/>
        <v>134.86282979572684</v>
      </c>
      <c r="L273" s="186">
        <f t="shared" si="43"/>
        <v>58.187892836191537</v>
      </c>
      <c r="M273" s="186">
        <f t="shared" si="44"/>
        <v>162.16980376417274</v>
      </c>
      <c r="N273" s="186">
        <f t="shared" si="45"/>
        <v>297.03263355989958</v>
      </c>
      <c r="O273" s="186">
        <f t="shared" si="46"/>
        <v>7.8119582626253585</v>
      </c>
    </row>
    <row r="274" spans="1:15">
      <c r="A274" s="41">
        <v>2002</v>
      </c>
      <c r="B274" s="41">
        <v>5</v>
      </c>
      <c r="C274" s="180">
        <f t="shared" si="47"/>
        <v>44.483999999999995</v>
      </c>
      <c r="D274" s="180">
        <f>+HLOOKUP('Info Gral'!$C$8,'Precip 1981-2010'!$D$5:$AL$373,266,FALSE)</f>
        <v>128.6</v>
      </c>
      <c r="E274" s="185">
        <f t="shared" ref="E274:E337" si="48">+CAD*AD-H273+C274</f>
        <v>61.187392585870285</v>
      </c>
      <c r="F274" s="185">
        <f t="shared" ref="F274:F337" si="49">+CP.o*(CAD*AD-H273)</f>
        <v>5.0110177757610881</v>
      </c>
      <c r="G274" s="186">
        <f t="shared" ref="G274:G337" si="50">+IF(D274&lt;F274,0,(D274-F274)^2/(D274+E274-2*F274))</f>
        <v>84.967631023060591</v>
      </c>
      <c r="H274" s="186">
        <f t="shared" ref="H274:H337" si="51">+MAX(0,H273+D274-G274-C274)</f>
        <v>2.8979016230082806</v>
      </c>
      <c r="I274" s="186">
        <f t="shared" ref="I274:I337" si="52">+MIN(H273+D274-G274,C274)</f>
        <v>44.483999999999995</v>
      </c>
      <c r="J274" s="186">
        <f t="shared" ref="J274:J337" si="53">+Imax*G274/(G274+Imax)</f>
        <v>69.638555634188549</v>
      </c>
      <c r="K274" s="186">
        <f t="shared" ref="K274:K337" si="54">+G274-J274</f>
        <v>15.329075388872042</v>
      </c>
      <c r="L274" s="186">
        <f t="shared" ref="L274:L337" si="55">+L273*EXP(-α)+J274*EXP(-α/2)</f>
        <v>27.466028763636253</v>
      </c>
      <c r="M274" s="186">
        <f t="shared" ref="M274:M337" si="56">+L273-L274+J274</f>
        <v>100.36041970674384</v>
      </c>
      <c r="N274" s="186">
        <f t="shared" ref="N274:N337" si="57">+M274+K274</f>
        <v>115.68949509561588</v>
      </c>
      <c r="O274" s="186">
        <f t="shared" ref="O274:O337" si="58">+N274*Ac/100000</f>
        <v>3.0426337210146976</v>
      </c>
    </row>
    <row r="275" spans="1:15">
      <c r="A275" s="41">
        <v>2002</v>
      </c>
      <c r="B275" s="41">
        <v>6</v>
      </c>
      <c r="C275" s="180">
        <f t="shared" si="47"/>
        <v>29.318999999999996</v>
      </c>
      <c r="D275" s="180">
        <f>+HLOOKUP('Info Gral'!$C$8,'Precip 1981-2010'!$D$5:$AL$373,267,FALSE)</f>
        <v>71.7</v>
      </c>
      <c r="E275" s="185">
        <f t="shared" si="48"/>
        <v>46.874023608930884</v>
      </c>
      <c r="F275" s="185">
        <f t="shared" si="49"/>
        <v>5.266507082679265</v>
      </c>
      <c r="G275" s="186">
        <f t="shared" si="50"/>
        <v>40.849386764576074</v>
      </c>
      <c r="H275" s="186">
        <f t="shared" si="51"/>
        <v>4.4295148584322135</v>
      </c>
      <c r="I275" s="186">
        <f t="shared" si="52"/>
        <v>29.318999999999996</v>
      </c>
      <c r="J275" s="186">
        <f t="shared" si="53"/>
        <v>36.940109978002496</v>
      </c>
      <c r="K275" s="186">
        <f t="shared" si="54"/>
        <v>3.909276786573578</v>
      </c>
      <c r="L275" s="186">
        <f t="shared" si="55"/>
        <v>14.237022508344026</v>
      </c>
      <c r="M275" s="186">
        <f t="shared" si="56"/>
        <v>50.169116233294723</v>
      </c>
      <c r="N275" s="186">
        <f t="shared" si="57"/>
        <v>54.078393019868301</v>
      </c>
      <c r="O275" s="186">
        <f t="shared" si="58"/>
        <v>1.4222617364225363</v>
      </c>
    </row>
    <row r="276" spans="1:15">
      <c r="A276" s="41">
        <v>2002</v>
      </c>
      <c r="B276" s="41">
        <v>7</v>
      </c>
      <c r="C276" s="180">
        <f t="shared" si="47"/>
        <v>35.384999999999998</v>
      </c>
      <c r="D276" s="180">
        <f>+HLOOKUP('Info Gral'!$C$8,'Precip 1981-2010'!$D$5:$AL$373,268,FALSE)</f>
        <v>193.5</v>
      </c>
      <c r="E276" s="185">
        <f t="shared" si="48"/>
        <v>51.408410373506953</v>
      </c>
      <c r="F276" s="185">
        <f t="shared" si="49"/>
        <v>4.807023112052085</v>
      </c>
      <c r="G276" s="186">
        <f t="shared" si="50"/>
        <v>151.32125945960959</v>
      </c>
      <c r="H276" s="186">
        <f t="shared" si="51"/>
        <v>11.223255398822623</v>
      </c>
      <c r="I276" s="186">
        <f t="shared" si="52"/>
        <v>35.384999999999998</v>
      </c>
      <c r="J276" s="186">
        <f t="shared" si="53"/>
        <v>108.70592801437439</v>
      </c>
      <c r="K276" s="186">
        <f t="shared" si="54"/>
        <v>42.615331445235199</v>
      </c>
      <c r="L276" s="186">
        <f t="shared" si="55"/>
        <v>35.384863195352359</v>
      </c>
      <c r="M276" s="186">
        <f t="shared" si="56"/>
        <v>87.558087327366053</v>
      </c>
      <c r="N276" s="186">
        <f t="shared" si="57"/>
        <v>130.17341877260125</v>
      </c>
      <c r="O276" s="186">
        <f t="shared" si="58"/>
        <v>3.4235609137194132</v>
      </c>
    </row>
    <row r="277" spans="1:15">
      <c r="A277" s="41">
        <v>2002</v>
      </c>
      <c r="B277" s="41">
        <v>8</v>
      </c>
      <c r="C277" s="180">
        <f t="shared" si="47"/>
        <v>55.605000000000004</v>
      </c>
      <c r="D277" s="180">
        <f>+HLOOKUP('Info Gral'!$C$8,'Precip 1981-2010'!$D$5:$AL$373,269,FALSE)</f>
        <v>74.8</v>
      </c>
      <c r="E277" s="185">
        <f t="shared" si="48"/>
        <v>64.83466983311655</v>
      </c>
      <c r="F277" s="185">
        <f t="shared" si="49"/>
        <v>2.7689009499349626</v>
      </c>
      <c r="G277" s="186">
        <f t="shared" si="50"/>
        <v>38.692023984804052</v>
      </c>
      <c r="H277" s="186">
        <f t="shared" si="51"/>
        <v>0</v>
      </c>
      <c r="I277" s="186">
        <f t="shared" si="52"/>
        <v>47.331231414018561</v>
      </c>
      <c r="J277" s="186">
        <f t="shared" si="53"/>
        <v>35.166945491466919</v>
      </c>
      <c r="K277" s="186">
        <f t="shared" si="54"/>
        <v>3.5250784933371335</v>
      </c>
      <c r="L277" s="186">
        <f t="shared" si="55"/>
        <v>14.456878769772485</v>
      </c>
      <c r="M277" s="186">
        <f t="shared" si="56"/>
        <v>56.094929917046791</v>
      </c>
      <c r="N277" s="186">
        <f t="shared" si="57"/>
        <v>59.620008410383925</v>
      </c>
      <c r="O277" s="186">
        <f t="shared" si="58"/>
        <v>1.5680062211930974</v>
      </c>
    </row>
    <row r="278" spans="1:15">
      <c r="A278" s="41">
        <v>2002</v>
      </c>
      <c r="B278" s="41">
        <v>9</v>
      </c>
      <c r="C278" s="180">
        <f t="shared" si="47"/>
        <v>78.858000000000004</v>
      </c>
      <c r="D278" s="180">
        <f>+HLOOKUP('Info Gral'!$C$8,'Precip 1981-2010'!$D$5:$AL$373,270,FALSE)</f>
        <v>283.39999999999998</v>
      </c>
      <c r="E278" s="185">
        <f t="shared" si="48"/>
        <v>99.310925231939166</v>
      </c>
      <c r="F278" s="185">
        <f t="shared" si="49"/>
        <v>6.1358775695817496</v>
      </c>
      <c r="G278" s="186">
        <f t="shared" si="50"/>
        <v>207.52501299432421</v>
      </c>
      <c r="H278" s="186">
        <f t="shared" si="51"/>
        <v>0</v>
      </c>
      <c r="I278" s="186">
        <f t="shared" si="52"/>
        <v>75.874987005675763</v>
      </c>
      <c r="J278" s="186">
        <f t="shared" si="53"/>
        <v>134.96424457611724</v>
      </c>
      <c r="K278" s="186">
        <f t="shared" si="54"/>
        <v>72.560768418206976</v>
      </c>
      <c r="L278" s="186">
        <f t="shared" si="55"/>
        <v>43.617427527087379</v>
      </c>
      <c r="M278" s="186">
        <f t="shared" si="56"/>
        <v>105.80369581880234</v>
      </c>
      <c r="N278" s="186">
        <f t="shared" si="57"/>
        <v>178.36446423700932</v>
      </c>
      <c r="O278" s="186">
        <f t="shared" si="58"/>
        <v>4.6909854094333454</v>
      </c>
    </row>
    <row r="279" spans="1:15">
      <c r="A279" s="41">
        <v>2002</v>
      </c>
      <c r="B279" s="41">
        <v>10</v>
      </c>
      <c r="C279" s="180">
        <f t="shared" si="47"/>
        <v>113.232</v>
      </c>
      <c r="D279" s="180">
        <f>+HLOOKUP('Info Gral'!$C$8,'Precip 1981-2010'!$D$5:$AL$373,271,FALSE)</f>
        <v>211.9</v>
      </c>
      <c r="E279" s="185">
        <f t="shared" si="48"/>
        <v>133.68492523193916</v>
      </c>
      <c r="F279" s="185">
        <f t="shared" si="49"/>
        <v>6.1358775695817496</v>
      </c>
      <c r="G279" s="186">
        <f t="shared" si="50"/>
        <v>127.02430590359027</v>
      </c>
      <c r="H279" s="186">
        <f t="shared" si="51"/>
        <v>0</v>
      </c>
      <c r="I279" s="186">
        <f t="shared" si="52"/>
        <v>84.875694096409731</v>
      </c>
      <c r="J279" s="186">
        <f t="shared" si="53"/>
        <v>95.573214591513008</v>
      </c>
      <c r="K279" s="186">
        <f t="shared" si="54"/>
        <v>31.451091312077267</v>
      </c>
      <c r="L279" s="186">
        <f t="shared" si="55"/>
        <v>34.151135665915419</v>
      </c>
      <c r="M279" s="186">
        <f t="shared" si="56"/>
        <v>105.03950645268498</v>
      </c>
      <c r="N279" s="186">
        <f t="shared" si="57"/>
        <v>136.49059776476224</v>
      </c>
      <c r="O279" s="186">
        <f t="shared" si="58"/>
        <v>3.5897027212132468</v>
      </c>
    </row>
    <row r="280" spans="1:15">
      <c r="A280" s="41">
        <v>2002</v>
      </c>
      <c r="B280" s="41">
        <v>11</v>
      </c>
      <c r="C280" s="180">
        <f t="shared" si="47"/>
        <v>148.61699999999999</v>
      </c>
      <c r="D280" s="180">
        <f>+HLOOKUP('Info Gral'!$C$8,'Precip 1981-2010'!$D$5:$AL$373,272,FALSE)</f>
        <v>434.5</v>
      </c>
      <c r="E280" s="185">
        <f t="shared" si="48"/>
        <v>169.06992523193915</v>
      </c>
      <c r="F280" s="185">
        <f t="shared" si="49"/>
        <v>6.1358775695817496</v>
      </c>
      <c r="G280" s="186">
        <f t="shared" si="50"/>
        <v>310.32705776307671</v>
      </c>
      <c r="H280" s="186">
        <f t="shared" si="51"/>
        <v>0</v>
      </c>
      <c r="I280" s="186">
        <f t="shared" si="52"/>
        <v>124.17294223692329</v>
      </c>
      <c r="J280" s="186">
        <f t="shared" si="53"/>
        <v>172.02583607960921</v>
      </c>
      <c r="K280" s="186">
        <f t="shared" si="54"/>
        <v>138.3012216834675</v>
      </c>
      <c r="L280" s="186">
        <f t="shared" si="55"/>
        <v>57.132487107280888</v>
      </c>
      <c r="M280" s="186">
        <f t="shared" si="56"/>
        <v>149.04448463824374</v>
      </c>
      <c r="N280" s="186">
        <f t="shared" si="57"/>
        <v>287.34570632171125</v>
      </c>
      <c r="O280" s="186">
        <f t="shared" si="58"/>
        <v>7.5571920762610061</v>
      </c>
    </row>
    <row r="281" spans="1:15">
      <c r="A281" s="41">
        <v>2002</v>
      </c>
      <c r="B281" s="41">
        <v>12</v>
      </c>
      <c r="C281" s="180">
        <f t="shared" si="47"/>
        <v>179.958</v>
      </c>
      <c r="D281" s="180">
        <f>+HLOOKUP('Info Gral'!$C$8,'Precip 1981-2010'!$D$5:$AL$373,273,FALSE)</f>
        <v>288.3</v>
      </c>
      <c r="E281" s="185">
        <f t="shared" si="48"/>
        <v>200.41092523193916</v>
      </c>
      <c r="F281" s="185">
        <f t="shared" si="49"/>
        <v>6.1358775695817496</v>
      </c>
      <c r="G281" s="186">
        <f t="shared" si="50"/>
        <v>167.10757004178424</v>
      </c>
      <c r="H281" s="186">
        <f t="shared" si="51"/>
        <v>0</v>
      </c>
      <c r="I281" s="186">
        <f t="shared" si="52"/>
        <v>121.19242995821577</v>
      </c>
      <c r="J281" s="186">
        <f t="shared" si="53"/>
        <v>116.62021192596556</v>
      </c>
      <c r="K281" s="186">
        <f t="shared" si="54"/>
        <v>50.487358115818679</v>
      </c>
      <c r="L281" s="186">
        <f t="shared" si="55"/>
        <v>42.05415329601616</v>
      </c>
      <c r="M281" s="186">
        <f t="shared" si="56"/>
        <v>131.69854573723029</v>
      </c>
      <c r="N281" s="186">
        <f t="shared" si="57"/>
        <v>182.18590385304896</v>
      </c>
      <c r="O281" s="186">
        <f t="shared" si="58"/>
        <v>4.7914892713351875</v>
      </c>
    </row>
    <row r="282" spans="1:15">
      <c r="A282" s="41">
        <v>2003</v>
      </c>
      <c r="B282" s="41">
        <v>1</v>
      </c>
      <c r="C282" s="180">
        <f t="shared" si="47"/>
        <v>190.06799999999998</v>
      </c>
      <c r="D282" s="180">
        <f>+HLOOKUP('Info Gral'!$C$8,'Precip 1981-2010'!$D$5:$AL$373,274,FALSE)</f>
        <v>118.3</v>
      </c>
      <c r="E282" s="185">
        <f t="shared" si="48"/>
        <v>210.52092523193915</v>
      </c>
      <c r="F282" s="185">
        <f t="shared" si="49"/>
        <v>6.1358775695817496</v>
      </c>
      <c r="G282" s="186">
        <f t="shared" si="50"/>
        <v>39.743558186864362</v>
      </c>
      <c r="H282" s="186">
        <f t="shared" si="51"/>
        <v>0</v>
      </c>
      <c r="I282" s="186">
        <f t="shared" si="52"/>
        <v>78.556441813135635</v>
      </c>
      <c r="J282" s="186">
        <f t="shared" si="53"/>
        <v>36.033459966988566</v>
      </c>
      <c r="K282" s="186">
        <f t="shared" si="54"/>
        <v>3.7100982198757961</v>
      </c>
      <c r="L282" s="186">
        <f t="shared" si="55"/>
        <v>15.37998698618874</v>
      </c>
      <c r="M282" s="186">
        <f t="shared" si="56"/>
        <v>62.707626276815986</v>
      </c>
      <c r="N282" s="186">
        <f t="shared" si="57"/>
        <v>66.41772449669179</v>
      </c>
      <c r="O282" s="186">
        <f t="shared" si="58"/>
        <v>1.7467861542629939</v>
      </c>
    </row>
    <row r="283" spans="1:15">
      <c r="A283" s="41">
        <v>2003</v>
      </c>
      <c r="B283" s="41">
        <v>2</v>
      </c>
      <c r="C283" s="180">
        <f t="shared" si="47"/>
        <v>146.595</v>
      </c>
      <c r="D283" s="180">
        <f>+HLOOKUP('Info Gral'!$C$8,'Precip 1981-2010'!$D$5:$AL$373,275,FALSE)</f>
        <v>217.7</v>
      </c>
      <c r="E283" s="185">
        <f t="shared" si="48"/>
        <v>167.04792523193916</v>
      </c>
      <c r="F283" s="185">
        <f t="shared" si="49"/>
        <v>6.1358775695817496</v>
      </c>
      <c r="G283" s="186">
        <f t="shared" si="50"/>
        <v>120.16709119567145</v>
      </c>
      <c r="H283" s="186">
        <f t="shared" si="51"/>
        <v>0</v>
      </c>
      <c r="I283" s="186">
        <f t="shared" si="52"/>
        <v>97.532908804328542</v>
      </c>
      <c r="J283" s="186">
        <f t="shared" si="53"/>
        <v>91.638705890498329</v>
      </c>
      <c r="K283" s="186">
        <f t="shared" si="54"/>
        <v>28.528385305173117</v>
      </c>
      <c r="L283" s="186">
        <f t="shared" si="55"/>
        <v>30.159647056357411</v>
      </c>
      <c r="M283" s="186">
        <f t="shared" si="56"/>
        <v>76.859045820329655</v>
      </c>
      <c r="N283" s="186">
        <f t="shared" si="57"/>
        <v>105.38743112550277</v>
      </c>
      <c r="O283" s="186">
        <f t="shared" si="58"/>
        <v>2.7716894386007231</v>
      </c>
    </row>
    <row r="284" spans="1:15">
      <c r="A284" s="41">
        <v>2003</v>
      </c>
      <c r="B284" s="41">
        <v>3</v>
      </c>
      <c r="C284" s="180">
        <f t="shared" si="47"/>
        <v>120.30899999999998</v>
      </c>
      <c r="D284" s="180">
        <f>+HLOOKUP('Info Gral'!$C$8,'Precip 1981-2010'!$D$5:$AL$373,276,FALSE)</f>
        <v>195.4</v>
      </c>
      <c r="E284" s="185">
        <f t="shared" si="48"/>
        <v>140.76192523193916</v>
      </c>
      <c r="F284" s="185">
        <f t="shared" si="49"/>
        <v>6.1358775695817496</v>
      </c>
      <c r="G284" s="186">
        <f t="shared" si="50"/>
        <v>110.59584805891377</v>
      </c>
      <c r="H284" s="186">
        <f t="shared" si="51"/>
        <v>0</v>
      </c>
      <c r="I284" s="186">
        <f t="shared" si="52"/>
        <v>84.804151941086232</v>
      </c>
      <c r="J284" s="186">
        <f t="shared" si="53"/>
        <v>85.965272399289532</v>
      </c>
      <c r="K284" s="186">
        <f t="shared" si="54"/>
        <v>24.630575659624242</v>
      </c>
      <c r="L284" s="186">
        <f t="shared" si="55"/>
        <v>29.8307509264522</v>
      </c>
      <c r="M284" s="186">
        <f t="shared" si="56"/>
        <v>86.294168529194735</v>
      </c>
      <c r="N284" s="186">
        <f t="shared" si="57"/>
        <v>110.92474418881898</v>
      </c>
      <c r="O284" s="186">
        <f t="shared" si="58"/>
        <v>2.9173207721659389</v>
      </c>
    </row>
    <row r="285" spans="1:15">
      <c r="A285" s="41">
        <v>2003</v>
      </c>
      <c r="B285" s="41">
        <v>4</v>
      </c>
      <c r="C285" s="180">
        <f t="shared" si="47"/>
        <v>73.802999999999997</v>
      </c>
      <c r="D285" s="180">
        <f>+HLOOKUP('Info Gral'!$C$8,'Precip 1981-2010'!$D$5:$AL$373,277,FALSE)</f>
        <v>170.5</v>
      </c>
      <c r="E285" s="185">
        <f t="shared" si="48"/>
        <v>94.255925231939159</v>
      </c>
      <c r="F285" s="185">
        <f t="shared" si="49"/>
        <v>6.1358775695817496</v>
      </c>
      <c r="G285" s="186">
        <f t="shared" si="50"/>
        <v>106.99904367230079</v>
      </c>
      <c r="H285" s="186">
        <f t="shared" si="51"/>
        <v>0</v>
      </c>
      <c r="I285" s="186">
        <f t="shared" si="52"/>
        <v>63.500956327699214</v>
      </c>
      <c r="J285" s="186">
        <f t="shared" si="53"/>
        <v>83.776290010334236</v>
      </c>
      <c r="K285" s="186">
        <f t="shared" si="54"/>
        <v>23.22275366196655</v>
      </c>
      <c r="L285" s="186">
        <f t="shared" si="55"/>
        <v>29.11408799768661</v>
      </c>
      <c r="M285" s="186">
        <f t="shared" si="56"/>
        <v>84.492952939099823</v>
      </c>
      <c r="N285" s="186">
        <f t="shared" si="57"/>
        <v>107.71570660106637</v>
      </c>
      <c r="O285" s="186">
        <f t="shared" si="58"/>
        <v>2.8329230836080459</v>
      </c>
    </row>
    <row r="286" spans="1:15">
      <c r="A286" s="41">
        <v>2003</v>
      </c>
      <c r="B286" s="41">
        <v>5</v>
      </c>
      <c r="C286" s="180">
        <f t="shared" ref="C286:C349" si="59">+C274</f>
        <v>44.483999999999995</v>
      </c>
      <c r="D286" s="180">
        <f>+HLOOKUP('Info Gral'!$C$8,'Precip 1981-2010'!$D$5:$AL$373,278,FALSE)</f>
        <v>180.9</v>
      </c>
      <c r="E286" s="185">
        <f t="shared" si="48"/>
        <v>64.936925231939156</v>
      </c>
      <c r="F286" s="185">
        <f t="shared" si="49"/>
        <v>6.1358775695817496</v>
      </c>
      <c r="G286" s="186">
        <f t="shared" si="50"/>
        <v>130.76649432251511</v>
      </c>
      <c r="H286" s="186">
        <f t="shared" si="51"/>
        <v>5.6495056774848962</v>
      </c>
      <c r="I286" s="186">
        <f t="shared" si="52"/>
        <v>44.483999999999995</v>
      </c>
      <c r="J286" s="186">
        <f t="shared" si="53"/>
        <v>97.676353562095954</v>
      </c>
      <c r="K286" s="186">
        <f t="shared" si="54"/>
        <v>33.09014076041916</v>
      </c>
      <c r="L286" s="186">
        <f t="shared" si="55"/>
        <v>33.390607976340831</v>
      </c>
      <c r="M286" s="186">
        <f t="shared" si="56"/>
        <v>93.399833583441733</v>
      </c>
      <c r="N286" s="186">
        <f t="shared" si="57"/>
        <v>126.48997434386089</v>
      </c>
      <c r="O286" s="186">
        <f t="shared" si="58"/>
        <v>3.3266863252435415</v>
      </c>
    </row>
    <row r="287" spans="1:15">
      <c r="A287" s="41">
        <v>2003</v>
      </c>
      <c r="B287" s="41">
        <v>6</v>
      </c>
      <c r="C287" s="180">
        <f t="shared" si="59"/>
        <v>29.318999999999996</v>
      </c>
      <c r="D287" s="180">
        <f>+HLOOKUP('Info Gral'!$C$8,'Precip 1981-2010'!$D$5:$AL$373,279,FALSE)</f>
        <v>93.7</v>
      </c>
      <c r="E287" s="185">
        <f t="shared" si="48"/>
        <v>44.122419554454268</v>
      </c>
      <c r="F287" s="185">
        <f t="shared" si="49"/>
        <v>4.4410258663362807</v>
      </c>
      <c r="G287" s="186">
        <f t="shared" si="50"/>
        <v>61.789527965408588</v>
      </c>
      <c r="H287" s="186">
        <f t="shared" si="51"/>
        <v>8.2409777120763152</v>
      </c>
      <c r="I287" s="186">
        <f t="shared" si="52"/>
        <v>29.318999999999996</v>
      </c>
      <c r="J287" s="186">
        <f t="shared" si="53"/>
        <v>53.263321951758925</v>
      </c>
      <c r="K287" s="186">
        <f t="shared" si="54"/>
        <v>8.5262060136496629</v>
      </c>
      <c r="L287" s="186">
        <f t="shared" si="55"/>
        <v>19.920672873878313</v>
      </c>
      <c r="M287" s="186">
        <f t="shared" si="56"/>
        <v>66.73325705422144</v>
      </c>
      <c r="N287" s="186">
        <f t="shared" si="57"/>
        <v>75.25946306787111</v>
      </c>
      <c r="O287" s="186">
        <f t="shared" si="58"/>
        <v>1.97932387868501</v>
      </c>
    </row>
    <row r="288" spans="1:15">
      <c r="A288" s="41">
        <v>2003</v>
      </c>
      <c r="B288" s="41">
        <v>7</v>
      </c>
      <c r="C288" s="180">
        <f t="shared" si="59"/>
        <v>35.384999999999998</v>
      </c>
      <c r="D288" s="180">
        <f>+HLOOKUP('Info Gral'!$C$8,'Precip 1981-2010'!$D$5:$AL$373,280,FALSE)</f>
        <v>38</v>
      </c>
      <c r="E288" s="185">
        <f t="shared" si="48"/>
        <v>47.596947519862852</v>
      </c>
      <c r="F288" s="185">
        <f t="shared" si="49"/>
        <v>3.6635842559588547</v>
      </c>
      <c r="G288" s="186">
        <f t="shared" si="50"/>
        <v>15.063150312816877</v>
      </c>
      <c r="H288" s="186">
        <f t="shared" si="51"/>
        <v>0</v>
      </c>
      <c r="I288" s="186">
        <f t="shared" si="52"/>
        <v>31.177827399259439</v>
      </c>
      <c r="J288" s="186">
        <f t="shared" si="53"/>
        <v>14.49740774292597</v>
      </c>
      <c r="K288" s="186">
        <f t="shared" si="54"/>
        <v>0.56574256989090621</v>
      </c>
      <c r="L288" s="186">
        <f t="shared" si="55"/>
        <v>6.4813013354660516</v>
      </c>
      <c r="M288" s="186">
        <f t="shared" si="56"/>
        <v>27.936779281338232</v>
      </c>
      <c r="N288" s="186">
        <f t="shared" si="57"/>
        <v>28.50252185122914</v>
      </c>
      <c r="O288" s="186">
        <f t="shared" si="58"/>
        <v>0.74961632468732642</v>
      </c>
    </row>
    <row r="289" spans="1:15">
      <c r="A289" s="41">
        <v>2003</v>
      </c>
      <c r="B289" s="41">
        <v>8</v>
      </c>
      <c r="C289" s="180">
        <f t="shared" si="59"/>
        <v>55.605000000000004</v>
      </c>
      <c r="D289" s="180">
        <f>+HLOOKUP('Info Gral'!$C$8,'Precip 1981-2010'!$D$5:$AL$373,281,FALSE)</f>
        <v>140.4</v>
      </c>
      <c r="E289" s="185">
        <f t="shared" si="48"/>
        <v>76.057925231939166</v>
      </c>
      <c r="F289" s="185">
        <f t="shared" si="49"/>
        <v>6.1358775695817496</v>
      </c>
      <c r="G289" s="186">
        <f t="shared" si="50"/>
        <v>88.286364173535958</v>
      </c>
      <c r="H289" s="186">
        <f t="shared" si="51"/>
        <v>0</v>
      </c>
      <c r="I289" s="186">
        <f t="shared" si="52"/>
        <v>52.113635826464048</v>
      </c>
      <c r="J289" s="186">
        <f t="shared" si="53"/>
        <v>71.852237688444134</v>
      </c>
      <c r="K289" s="186">
        <f t="shared" si="54"/>
        <v>16.434126485091824</v>
      </c>
      <c r="L289" s="186">
        <f t="shared" si="55"/>
        <v>23.102206169398784</v>
      </c>
      <c r="M289" s="186">
        <f t="shared" si="56"/>
        <v>55.2313328545114</v>
      </c>
      <c r="N289" s="186">
        <f t="shared" si="57"/>
        <v>71.665459339603217</v>
      </c>
      <c r="O289" s="186">
        <f t="shared" si="58"/>
        <v>1.8848015806315648</v>
      </c>
    </row>
    <row r="290" spans="1:15">
      <c r="A290" s="41">
        <v>2003</v>
      </c>
      <c r="B290" s="41">
        <v>9</v>
      </c>
      <c r="C290" s="180">
        <f t="shared" si="59"/>
        <v>78.858000000000004</v>
      </c>
      <c r="D290" s="180">
        <f>+HLOOKUP('Info Gral'!$C$8,'Precip 1981-2010'!$D$5:$AL$373,282,FALSE)</f>
        <v>71.5</v>
      </c>
      <c r="E290" s="185">
        <f t="shared" si="48"/>
        <v>99.310925231939166</v>
      </c>
      <c r="F290" s="185">
        <f t="shared" si="49"/>
        <v>6.1358775695817496</v>
      </c>
      <c r="G290" s="186">
        <f t="shared" si="50"/>
        <v>26.948977332216995</v>
      </c>
      <c r="H290" s="186">
        <f t="shared" si="51"/>
        <v>0</v>
      </c>
      <c r="I290" s="186">
        <f t="shared" si="52"/>
        <v>44.551022667783002</v>
      </c>
      <c r="J290" s="186">
        <f t="shared" si="53"/>
        <v>25.190291830816467</v>
      </c>
      <c r="K290" s="186">
        <f t="shared" si="54"/>
        <v>1.758685501400528</v>
      </c>
      <c r="L290" s="186">
        <f t="shared" si="55"/>
        <v>10.136104301810136</v>
      </c>
      <c r="M290" s="186">
        <f t="shared" si="56"/>
        <v>38.156393698405111</v>
      </c>
      <c r="N290" s="186">
        <f t="shared" si="57"/>
        <v>39.915079199805639</v>
      </c>
      <c r="O290" s="186">
        <f t="shared" si="58"/>
        <v>1.0497665829548883</v>
      </c>
    </row>
    <row r="291" spans="1:15">
      <c r="A291" s="41">
        <v>2003</v>
      </c>
      <c r="B291" s="41">
        <v>10</v>
      </c>
      <c r="C291" s="180">
        <f t="shared" si="59"/>
        <v>113.232</v>
      </c>
      <c r="D291" s="180">
        <f>+HLOOKUP('Info Gral'!$C$8,'Precip 1981-2010'!$D$5:$AL$373,283,FALSE)</f>
        <v>146.1</v>
      </c>
      <c r="E291" s="185">
        <f t="shared" si="48"/>
        <v>133.68492523193916</v>
      </c>
      <c r="F291" s="185">
        <f t="shared" si="49"/>
        <v>6.1358775695817496</v>
      </c>
      <c r="G291" s="186">
        <f t="shared" si="50"/>
        <v>73.229873358844955</v>
      </c>
      <c r="H291" s="186">
        <f t="shared" si="51"/>
        <v>0</v>
      </c>
      <c r="I291" s="186">
        <f t="shared" si="52"/>
        <v>72.870126641155039</v>
      </c>
      <c r="J291" s="186">
        <f t="shared" si="53"/>
        <v>61.552465892013871</v>
      </c>
      <c r="K291" s="186">
        <f t="shared" si="54"/>
        <v>11.677407466831085</v>
      </c>
      <c r="L291" s="186">
        <f t="shared" si="55"/>
        <v>20.238811274953054</v>
      </c>
      <c r="M291" s="186">
        <f t="shared" si="56"/>
        <v>51.449758918870955</v>
      </c>
      <c r="N291" s="186">
        <f t="shared" si="57"/>
        <v>63.12716638570204</v>
      </c>
      <c r="O291" s="186">
        <f t="shared" si="58"/>
        <v>1.6602444759439636</v>
      </c>
    </row>
    <row r="292" spans="1:15">
      <c r="A292" s="41">
        <v>2003</v>
      </c>
      <c r="B292" s="41">
        <v>11</v>
      </c>
      <c r="C292" s="180">
        <f t="shared" si="59"/>
        <v>148.61699999999999</v>
      </c>
      <c r="D292" s="180">
        <f>+HLOOKUP('Info Gral'!$C$8,'Precip 1981-2010'!$D$5:$AL$373,284,FALSE)</f>
        <v>156.6</v>
      </c>
      <c r="E292" s="185">
        <f t="shared" si="48"/>
        <v>169.06992523193915</v>
      </c>
      <c r="F292" s="185">
        <f t="shared" si="49"/>
        <v>6.1358775695817496</v>
      </c>
      <c r="G292" s="186">
        <f t="shared" si="50"/>
        <v>72.238622618804413</v>
      </c>
      <c r="H292" s="186">
        <f t="shared" si="51"/>
        <v>0</v>
      </c>
      <c r="I292" s="186">
        <f t="shared" si="52"/>
        <v>84.361377381195581</v>
      </c>
      <c r="J292" s="186">
        <f t="shared" si="53"/>
        <v>60.85062880885642</v>
      </c>
      <c r="K292" s="186">
        <f t="shared" si="54"/>
        <v>11.387993809947993</v>
      </c>
      <c r="L292" s="186">
        <f t="shared" si="55"/>
        <v>21.007221883816637</v>
      </c>
      <c r="M292" s="186">
        <f t="shared" si="56"/>
        <v>60.082218199992838</v>
      </c>
      <c r="N292" s="186">
        <f t="shared" si="57"/>
        <v>71.470212009940838</v>
      </c>
      <c r="O292" s="186">
        <f t="shared" si="58"/>
        <v>1.8796665758614439</v>
      </c>
    </row>
    <row r="293" spans="1:15">
      <c r="A293" s="41">
        <v>2003</v>
      </c>
      <c r="B293" s="41">
        <v>12</v>
      </c>
      <c r="C293" s="180">
        <f t="shared" si="59"/>
        <v>179.958</v>
      </c>
      <c r="D293" s="180">
        <f>+HLOOKUP('Info Gral'!$C$8,'Precip 1981-2010'!$D$5:$AL$373,285,FALSE)</f>
        <v>173.9</v>
      </c>
      <c r="E293" s="185">
        <f t="shared" si="48"/>
        <v>200.41092523193916</v>
      </c>
      <c r="F293" s="185">
        <f t="shared" si="49"/>
        <v>6.1358775695817496</v>
      </c>
      <c r="G293" s="186">
        <f t="shared" si="50"/>
        <v>77.739656644434405</v>
      </c>
      <c r="H293" s="186">
        <f t="shared" si="51"/>
        <v>0</v>
      </c>
      <c r="I293" s="186">
        <f t="shared" si="52"/>
        <v>96.160343355565601</v>
      </c>
      <c r="J293" s="186">
        <f t="shared" si="53"/>
        <v>64.707658779674958</v>
      </c>
      <c r="K293" s="186">
        <f t="shared" si="54"/>
        <v>13.031997864759447</v>
      </c>
      <c r="L293" s="186">
        <f t="shared" si="55"/>
        <v>22.288466276081493</v>
      </c>
      <c r="M293" s="186">
        <f t="shared" si="56"/>
        <v>63.426414387410105</v>
      </c>
      <c r="N293" s="186">
        <f t="shared" si="57"/>
        <v>76.458412252169552</v>
      </c>
      <c r="O293" s="186">
        <f t="shared" si="58"/>
        <v>2.0108562422320593</v>
      </c>
    </row>
    <row r="294" spans="1:15">
      <c r="A294" s="41">
        <v>2004</v>
      </c>
      <c r="B294" s="41">
        <v>1</v>
      </c>
      <c r="C294" s="180">
        <f t="shared" si="59"/>
        <v>190.06799999999998</v>
      </c>
      <c r="D294" s="180">
        <f>+HLOOKUP('Info Gral'!$C$8,'Precip 1981-2010'!$D$5:$AL$373,286,FALSE)</f>
        <v>48.2</v>
      </c>
      <c r="E294" s="185">
        <f t="shared" si="48"/>
        <v>210.52092523193915</v>
      </c>
      <c r="F294" s="185">
        <f t="shared" si="49"/>
        <v>6.1358775695817496</v>
      </c>
      <c r="G294" s="186">
        <f t="shared" si="50"/>
        <v>7.1795348110733341</v>
      </c>
      <c r="H294" s="186">
        <f t="shared" si="51"/>
        <v>0</v>
      </c>
      <c r="I294" s="186">
        <f t="shared" si="52"/>
        <v>41.020465188926671</v>
      </c>
      <c r="J294" s="186">
        <f t="shared" si="53"/>
        <v>7.0484351084192225</v>
      </c>
      <c r="K294" s="186">
        <f t="shared" si="54"/>
        <v>0.13109970265411164</v>
      </c>
      <c r="L294" s="186">
        <f t="shared" si="55"/>
        <v>4.3835129301353355</v>
      </c>
      <c r="M294" s="186">
        <f t="shared" si="56"/>
        <v>24.953388454365381</v>
      </c>
      <c r="N294" s="186">
        <f t="shared" si="57"/>
        <v>25.084488157019493</v>
      </c>
      <c r="O294" s="186">
        <f t="shared" si="58"/>
        <v>0.65972203852961264</v>
      </c>
    </row>
    <row r="295" spans="1:15">
      <c r="A295" s="41">
        <v>2004</v>
      </c>
      <c r="B295" s="41">
        <v>2</v>
      </c>
      <c r="C295" s="180">
        <f t="shared" si="59"/>
        <v>146.595</v>
      </c>
      <c r="D295" s="180">
        <f>+HLOOKUP('Info Gral'!$C$8,'Precip 1981-2010'!$D$5:$AL$373,287,FALSE)</f>
        <v>61.3</v>
      </c>
      <c r="E295" s="185">
        <f t="shared" si="48"/>
        <v>167.04792523193916</v>
      </c>
      <c r="F295" s="185">
        <f t="shared" si="49"/>
        <v>6.1358775695817496</v>
      </c>
      <c r="G295" s="186">
        <f t="shared" si="50"/>
        <v>14.083368851880243</v>
      </c>
      <c r="H295" s="186">
        <f t="shared" si="51"/>
        <v>0</v>
      </c>
      <c r="I295" s="186">
        <f t="shared" si="52"/>
        <v>47.216631148119752</v>
      </c>
      <c r="J295" s="186">
        <f t="shared" si="53"/>
        <v>13.587618981578734</v>
      </c>
      <c r="K295" s="186">
        <f t="shared" si="54"/>
        <v>0.49574987030150908</v>
      </c>
      <c r="L295" s="186">
        <f t="shared" si="55"/>
        <v>4.6775302461689057</v>
      </c>
      <c r="M295" s="186">
        <f t="shared" si="56"/>
        <v>13.293601665545165</v>
      </c>
      <c r="N295" s="186">
        <f t="shared" si="57"/>
        <v>13.789351535846674</v>
      </c>
      <c r="O295" s="186">
        <f t="shared" si="58"/>
        <v>0.36265994539276752</v>
      </c>
    </row>
    <row r="296" spans="1:15">
      <c r="A296" s="41">
        <v>2004</v>
      </c>
      <c r="B296" s="41">
        <v>3</v>
      </c>
      <c r="C296" s="180">
        <f t="shared" si="59"/>
        <v>120.30899999999998</v>
      </c>
      <c r="D296" s="180">
        <f>+HLOOKUP('Info Gral'!$C$8,'Precip 1981-2010'!$D$5:$AL$373,288,FALSE)</f>
        <v>53.3</v>
      </c>
      <c r="E296" s="185">
        <f t="shared" si="48"/>
        <v>140.76192523193916</v>
      </c>
      <c r="F296" s="185">
        <f t="shared" si="49"/>
        <v>6.1358775695817496</v>
      </c>
      <c r="G296" s="186">
        <f t="shared" si="50"/>
        <v>12.236384637828564</v>
      </c>
      <c r="H296" s="186">
        <f t="shared" si="51"/>
        <v>0</v>
      </c>
      <c r="I296" s="186">
        <f t="shared" si="52"/>
        <v>41.063615362171433</v>
      </c>
      <c r="J296" s="186">
        <f t="shared" si="53"/>
        <v>11.860404152918687</v>
      </c>
      <c r="K296" s="186">
        <f t="shared" si="54"/>
        <v>0.37598048490987779</v>
      </c>
      <c r="L296" s="186">
        <f t="shared" si="55"/>
        <v>4.1661742460444406</v>
      </c>
      <c r="M296" s="186">
        <f t="shared" si="56"/>
        <v>12.371760153043152</v>
      </c>
      <c r="N296" s="186">
        <f t="shared" si="57"/>
        <v>12.747740637953029</v>
      </c>
      <c r="O296" s="186">
        <f t="shared" si="58"/>
        <v>0.33526557877816465</v>
      </c>
    </row>
    <row r="297" spans="1:15">
      <c r="A297" s="41">
        <v>2004</v>
      </c>
      <c r="B297" s="41">
        <v>4</v>
      </c>
      <c r="C297" s="180">
        <f t="shared" si="59"/>
        <v>73.802999999999997</v>
      </c>
      <c r="D297" s="180">
        <f>+HLOOKUP('Info Gral'!$C$8,'Precip 1981-2010'!$D$5:$AL$373,289,FALSE)</f>
        <v>125</v>
      </c>
      <c r="E297" s="185">
        <f t="shared" si="48"/>
        <v>94.255925231939159</v>
      </c>
      <c r="F297" s="185">
        <f t="shared" si="49"/>
        <v>6.1358775695817496</v>
      </c>
      <c r="G297" s="186">
        <f t="shared" si="50"/>
        <v>68.259710850451114</v>
      </c>
      <c r="H297" s="186">
        <f t="shared" si="51"/>
        <v>0</v>
      </c>
      <c r="I297" s="186">
        <f t="shared" si="52"/>
        <v>56.740289149548886</v>
      </c>
      <c r="J297" s="186">
        <f t="shared" si="53"/>
        <v>58.002608989790758</v>
      </c>
      <c r="K297" s="186">
        <f t="shared" si="54"/>
        <v>10.257101860660356</v>
      </c>
      <c r="L297" s="186">
        <f t="shared" si="55"/>
        <v>18.544998473403385</v>
      </c>
      <c r="M297" s="186">
        <f t="shared" si="56"/>
        <v>43.623784762431811</v>
      </c>
      <c r="N297" s="186">
        <f t="shared" si="57"/>
        <v>53.880886623092167</v>
      </c>
      <c r="O297" s="186">
        <f t="shared" si="58"/>
        <v>1.4170673181873239</v>
      </c>
    </row>
    <row r="298" spans="1:15">
      <c r="A298" s="41">
        <v>2004</v>
      </c>
      <c r="B298" s="41">
        <v>5</v>
      </c>
      <c r="C298" s="180">
        <f t="shared" si="59"/>
        <v>44.483999999999995</v>
      </c>
      <c r="D298" s="180">
        <f>+HLOOKUP('Info Gral'!$C$8,'Precip 1981-2010'!$D$5:$AL$373,290,FALSE)</f>
        <v>29.2</v>
      </c>
      <c r="E298" s="185">
        <f t="shared" si="48"/>
        <v>64.936925231939156</v>
      </c>
      <c r="F298" s="185">
        <f t="shared" si="49"/>
        <v>6.1358775695817496</v>
      </c>
      <c r="G298" s="186">
        <f t="shared" si="50"/>
        <v>6.4979250990680537</v>
      </c>
      <c r="H298" s="186">
        <f t="shared" si="51"/>
        <v>0</v>
      </c>
      <c r="I298" s="186">
        <f t="shared" si="52"/>
        <v>22.702074900931947</v>
      </c>
      <c r="J298" s="186">
        <f t="shared" si="53"/>
        <v>6.3903499301485214</v>
      </c>
      <c r="K298" s="186">
        <f t="shared" si="54"/>
        <v>0.10757516891953234</v>
      </c>
      <c r="L298" s="186">
        <f t="shared" si="55"/>
        <v>3.8116782538331799</v>
      </c>
      <c r="M298" s="186">
        <f t="shared" si="56"/>
        <v>21.123670149718727</v>
      </c>
      <c r="N298" s="186">
        <f t="shared" si="57"/>
        <v>21.231245318638258</v>
      </c>
      <c r="O298" s="186">
        <f t="shared" si="58"/>
        <v>0.55838175188018624</v>
      </c>
    </row>
    <row r="299" spans="1:15">
      <c r="A299" s="41">
        <v>2004</v>
      </c>
      <c r="B299" s="41">
        <v>6</v>
      </c>
      <c r="C299" s="180">
        <f t="shared" si="59"/>
        <v>29.318999999999996</v>
      </c>
      <c r="D299" s="180">
        <f>+HLOOKUP('Info Gral'!$C$8,'Precip 1981-2010'!$D$5:$AL$373,291,FALSE)</f>
        <v>82.1</v>
      </c>
      <c r="E299" s="185">
        <f t="shared" si="48"/>
        <v>49.771925231939164</v>
      </c>
      <c r="F299" s="185">
        <f t="shared" si="49"/>
        <v>6.1358775695817496</v>
      </c>
      <c r="G299" s="186">
        <f t="shared" si="50"/>
        <v>48.248659614340617</v>
      </c>
      <c r="H299" s="186">
        <f t="shared" si="51"/>
        <v>4.5323403856593814</v>
      </c>
      <c r="I299" s="186">
        <f t="shared" si="52"/>
        <v>29.318999999999996</v>
      </c>
      <c r="J299" s="186">
        <f t="shared" si="53"/>
        <v>42.887829815469253</v>
      </c>
      <c r="K299" s="186">
        <f t="shared" si="54"/>
        <v>5.3608297988713645</v>
      </c>
      <c r="L299" s="186">
        <f t="shared" si="55"/>
        <v>13.783891127360238</v>
      </c>
      <c r="M299" s="186">
        <f t="shared" si="56"/>
        <v>32.91561694194219</v>
      </c>
      <c r="N299" s="186">
        <f t="shared" si="57"/>
        <v>38.276446740813554</v>
      </c>
      <c r="O299" s="186">
        <f t="shared" si="58"/>
        <v>1.0066705492833965</v>
      </c>
    </row>
    <row r="300" spans="1:15">
      <c r="A300" s="41">
        <v>2004</v>
      </c>
      <c r="B300" s="41">
        <v>7</v>
      </c>
      <c r="C300" s="180">
        <f t="shared" si="59"/>
        <v>35.384999999999998</v>
      </c>
      <c r="D300" s="180">
        <f>+HLOOKUP('Info Gral'!$C$8,'Precip 1981-2010'!$D$5:$AL$373,292,FALSE)</f>
        <v>30.5</v>
      </c>
      <c r="E300" s="185">
        <f t="shared" si="48"/>
        <v>51.305584846279785</v>
      </c>
      <c r="F300" s="185">
        <f t="shared" si="49"/>
        <v>4.7761754538839352</v>
      </c>
      <c r="G300" s="186">
        <f t="shared" si="50"/>
        <v>9.158277259153385</v>
      </c>
      <c r="H300" s="186">
        <f t="shared" si="51"/>
        <v>0</v>
      </c>
      <c r="I300" s="186">
        <f t="shared" si="52"/>
        <v>25.874063126505995</v>
      </c>
      <c r="J300" s="186">
        <f t="shared" si="53"/>
        <v>8.9460229621226279</v>
      </c>
      <c r="K300" s="186">
        <f t="shared" si="54"/>
        <v>0.21225429703075704</v>
      </c>
      <c r="L300" s="186">
        <f t="shared" si="55"/>
        <v>4.1452885395366685</v>
      </c>
      <c r="M300" s="186">
        <f t="shared" si="56"/>
        <v>18.584625549946196</v>
      </c>
      <c r="N300" s="186">
        <f t="shared" si="57"/>
        <v>18.796879846976953</v>
      </c>
      <c r="O300" s="186">
        <f t="shared" si="58"/>
        <v>0.49435793997549388</v>
      </c>
    </row>
    <row r="301" spans="1:15">
      <c r="A301" s="41">
        <v>2004</v>
      </c>
      <c r="B301" s="41">
        <v>8</v>
      </c>
      <c r="C301" s="180">
        <f t="shared" si="59"/>
        <v>55.605000000000004</v>
      </c>
      <c r="D301" s="180">
        <f>+HLOOKUP('Info Gral'!$C$8,'Precip 1981-2010'!$D$5:$AL$373,293,FALSE)</f>
        <v>18.399999999999999</v>
      </c>
      <c r="E301" s="185">
        <f t="shared" si="48"/>
        <v>76.057925231939166</v>
      </c>
      <c r="F301" s="185">
        <f t="shared" si="49"/>
        <v>6.1358775695817496</v>
      </c>
      <c r="G301" s="186">
        <f t="shared" si="50"/>
        <v>1.8300974338930691</v>
      </c>
      <c r="H301" s="186">
        <f t="shared" si="51"/>
        <v>0</v>
      </c>
      <c r="I301" s="186">
        <f t="shared" si="52"/>
        <v>16.569902566106929</v>
      </c>
      <c r="J301" s="186">
        <f t="shared" si="53"/>
        <v>1.8214615476127041</v>
      </c>
      <c r="K301" s="186">
        <f t="shared" si="54"/>
        <v>8.635886280365046E-3</v>
      </c>
      <c r="L301" s="186">
        <f t="shared" si="55"/>
        <v>0.97491788950604108</v>
      </c>
      <c r="M301" s="186">
        <f t="shared" si="56"/>
        <v>4.9918321976433315</v>
      </c>
      <c r="N301" s="186">
        <f t="shared" si="57"/>
        <v>5.0004680839236961</v>
      </c>
      <c r="O301" s="186">
        <f t="shared" si="58"/>
        <v>0.13151231060719321</v>
      </c>
    </row>
    <row r="302" spans="1:15">
      <c r="A302" s="41">
        <v>2004</v>
      </c>
      <c r="B302" s="41">
        <v>9</v>
      </c>
      <c r="C302" s="180">
        <f t="shared" si="59"/>
        <v>78.858000000000004</v>
      </c>
      <c r="D302" s="180">
        <f>+HLOOKUP('Info Gral'!$C$8,'Precip 1981-2010'!$D$5:$AL$373,294,FALSE)</f>
        <v>109.2</v>
      </c>
      <c r="E302" s="185">
        <f t="shared" si="48"/>
        <v>99.310925231939166</v>
      </c>
      <c r="F302" s="185">
        <f t="shared" si="49"/>
        <v>6.1358775695817496</v>
      </c>
      <c r="G302" s="186">
        <f t="shared" si="50"/>
        <v>54.128914871227785</v>
      </c>
      <c r="H302" s="186">
        <f t="shared" si="51"/>
        <v>0</v>
      </c>
      <c r="I302" s="186">
        <f t="shared" si="52"/>
        <v>55.071085128772218</v>
      </c>
      <c r="J302" s="186">
        <f t="shared" si="53"/>
        <v>47.471912056509602</v>
      </c>
      <c r="K302" s="186">
        <f t="shared" si="54"/>
        <v>6.657002814718183</v>
      </c>
      <c r="L302" s="186">
        <f t="shared" si="55"/>
        <v>14.93996123452713</v>
      </c>
      <c r="M302" s="186">
        <f t="shared" si="56"/>
        <v>33.506868711488515</v>
      </c>
      <c r="N302" s="186">
        <f t="shared" si="57"/>
        <v>40.163871526206698</v>
      </c>
      <c r="O302" s="186">
        <f t="shared" si="58"/>
        <v>1.0563098211392361</v>
      </c>
    </row>
    <row r="303" spans="1:15">
      <c r="A303" s="41">
        <v>2004</v>
      </c>
      <c r="B303" s="41">
        <v>10</v>
      </c>
      <c r="C303" s="180">
        <f t="shared" si="59"/>
        <v>113.232</v>
      </c>
      <c r="D303" s="180">
        <f>+HLOOKUP('Info Gral'!$C$8,'Precip 1981-2010'!$D$5:$AL$373,295,FALSE)</f>
        <v>191.5</v>
      </c>
      <c r="E303" s="185">
        <f t="shared" si="48"/>
        <v>133.68492523193916</v>
      </c>
      <c r="F303" s="185">
        <f t="shared" si="49"/>
        <v>6.1358775695817496</v>
      </c>
      <c r="G303" s="186">
        <f t="shared" si="50"/>
        <v>109.80636537034134</v>
      </c>
      <c r="H303" s="186">
        <f t="shared" si="51"/>
        <v>0</v>
      </c>
      <c r="I303" s="186">
        <f t="shared" si="52"/>
        <v>81.693634629658661</v>
      </c>
      <c r="J303" s="186">
        <f t="shared" si="53"/>
        <v>85.487520922189432</v>
      </c>
      <c r="K303" s="186">
        <f t="shared" si="54"/>
        <v>24.318844448151907</v>
      </c>
      <c r="L303" s="186">
        <f t="shared" si="55"/>
        <v>28.193123097025175</v>
      </c>
      <c r="M303" s="186">
        <f t="shared" si="56"/>
        <v>72.234359059691386</v>
      </c>
      <c r="N303" s="186">
        <f t="shared" si="57"/>
        <v>96.553203507843293</v>
      </c>
      <c r="O303" s="186">
        <f t="shared" si="58"/>
        <v>2.5393492522562786</v>
      </c>
    </row>
    <row r="304" spans="1:15">
      <c r="A304" s="41">
        <v>2004</v>
      </c>
      <c r="B304" s="41">
        <v>11</v>
      </c>
      <c r="C304" s="180">
        <f t="shared" si="59"/>
        <v>148.61699999999999</v>
      </c>
      <c r="D304" s="180">
        <f>+HLOOKUP('Info Gral'!$C$8,'Precip 1981-2010'!$D$5:$AL$373,296,FALSE)</f>
        <v>192.4</v>
      </c>
      <c r="E304" s="185">
        <f t="shared" si="48"/>
        <v>169.06992523193915</v>
      </c>
      <c r="F304" s="185">
        <f t="shared" si="49"/>
        <v>6.1358775695817496</v>
      </c>
      <c r="G304" s="186">
        <f t="shared" si="50"/>
        <v>99.354252903319022</v>
      </c>
      <c r="H304" s="186">
        <f t="shared" si="51"/>
        <v>0</v>
      </c>
      <c r="I304" s="186">
        <f t="shared" si="52"/>
        <v>93.045747096680984</v>
      </c>
      <c r="J304" s="186">
        <f t="shared" si="53"/>
        <v>79.015979341424412</v>
      </c>
      <c r="K304" s="186">
        <f t="shared" si="54"/>
        <v>20.33827356189461</v>
      </c>
      <c r="L304" s="186">
        <f t="shared" si="55"/>
        <v>27.46538956654063</v>
      </c>
      <c r="M304" s="186">
        <f t="shared" si="56"/>
        <v>79.743712871908954</v>
      </c>
      <c r="N304" s="186">
        <f t="shared" si="57"/>
        <v>100.08198643380356</v>
      </c>
      <c r="O304" s="186">
        <f t="shared" si="58"/>
        <v>2.632156243209034</v>
      </c>
    </row>
    <row r="305" spans="1:15">
      <c r="A305" s="41">
        <v>2004</v>
      </c>
      <c r="B305" s="41">
        <v>12</v>
      </c>
      <c r="C305" s="180">
        <f t="shared" si="59"/>
        <v>179.958</v>
      </c>
      <c r="D305" s="180">
        <f>+HLOOKUP('Info Gral'!$C$8,'Precip 1981-2010'!$D$5:$AL$373,297,FALSE)</f>
        <v>85.4</v>
      </c>
      <c r="E305" s="185">
        <f t="shared" si="48"/>
        <v>200.41092523193916</v>
      </c>
      <c r="F305" s="185">
        <f t="shared" si="49"/>
        <v>6.1358775695817496</v>
      </c>
      <c r="G305" s="186">
        <f t="shared" si="50"/>
        <v>22.968560965266548</v>
      </c>
      <c r="H305" s="186">
        <f t="shared" si="51"/>
        <v>0</v>
      </c>
      <c r="I305" s="186">
        <f t="shared" si="52"/>
        <v>62.431439034733458</v>
      </c>
      <c r="J305" s="186">
        <f t="shared" si="53"/>
        <v>21.678596789120572</v>
      </c>
      <c r="K305" s="186">
        <f t="shared" si="54"/>
        <v>1.2899641761459755</v>
      </c>
      <c r="L305" s="186">
        <f t="shared" si="55"/>
        <v>9.4646322666852889</v>
      </c>
      <c r="M305" s="186">
        <f t="shared" si="56"/>
        <v>39.679354088975913</v>
      </c>
      <c r="N305" s="186">
        <f t="shared" si="57"/>
        <v>40.969318265121885</v>
      </c>
      <c r="O305" s="186">
        <f t="shared" si="58"/>
        <v>1.0774930703727055</v>
      </c>
    </row>
    <row r="306" spans="1:15">
      <c r="A306" s="41">
        <v>2005</v>
      </c>
      <c r="B306" s="41">
        <v>1</v>
      </c>
      <c r="C306" s="180">
        <f t="shared" si="59"/>
        <v>190.06799999999998</v>
      </c>
      <c r="D306" s="180">
        <f>+HLOOKUP('Info Gral'!$C$8,'Precip 1981-2010'!$D$5:$AL$373,298,FALSE)</f>
        <v>81.3</v>
      </c>
      <c r="E306" s="185">
        <f t="shared" si="48"/>
        <v>210.52092523193915</v>
      </c>
      <c r="F306" s="185">
        <f t="shared" si="49"/>
        <v>6.1358775695817496</v>
      </c>
      <c r="G306" s="186">
        <f t="shared" si="50"/>
        <v>20.209844654018902</v>
      </c>
      <c r="H306" s="186">
        <f t="shared" si="51"/>
        <v>0</v>
      </c>
      <c r="I306" s="186">
        <f t="shared" si="52"/>
        <v>61.090155345981096</v>
      </c>
      <c r="J306" s="186">
        <f t="shared" si="53"/>
        <v>19.204359862562271</v>
      </c>
      <c r="K306" s="186">
        <f t="shared" si="54"/>
        <v>1.0054847914566309</v>
      </c>
      <c r="L306" s="186">
        <f t="shared" si="55"/>
        <v>6.9307538135257323</v>
      </c>
      <c r="M306" s="186">
        <f t="shared" si="56"/>
        <v>21.738238315721826</v>
      </c>
      <c r="N306" s="186">
        <f t="shared" si="57"/>
        <v>22.743723107178457</v>
      </c>
      <c r="O306" s="186">
        <f t="shared" si="58"/>
        <v>0.5981599177187934</v>
      </c>
    </row>
    <row r="307" spans="1:15">
      <c r="A307" s="41">
        <v>2005</v>
      </c>
      <c r="B307" s="41">
        <v>2</v>
      </c>
      <c r="C307" s="180">
        <f t="shared" si="59"/>
        <v>146.595</v>
      </c>
      <c r="D307" s="180">
        <f>+HLOOKUP('Info Gral'!$C$8,'Precip 1981-2010'!$D$5:$AL$373,299,FALSE)</f>
        <v>26.7</v>
      </c>
      <c r="E307" s="185">
        <f t="shared" si="48"/>
        <v>167.04792523193916</v>
      </c>
      <c r="F307" s="185">
        <f t="shared" si="49"/>
        <v>6.1358775695817496</v>
      </c>
      <c r="G307" s="186">
        <f t="shared" si="50"/>
        <v>2.330240555093495</v>
      </c>
      <c r="H307" s="186">
        <f t="shared" si="51"/>
        <v>0</v>
      </c>
      <c r="I307" s="186">
        <f t="shared" si="52"/>
        <v>24.369759444906503</v>
      </c>
      <c r="J307" s="186">
        <f t="shared" si="53"/>
        <v>2.316257556919465</v>
      </c>
      <c r="K307" s="186">
        <f t="shared" si="54"/>
        <v>1.3982998174030037E-2</v>
      </c>
      <c r="L307" s="186">
        <f t="shared" si="55"/>
        <v>1.402014693597889</v>
      </c>
      <c r="M307" s="186">
        <f t="shared" si="56"/>
        <v>7.8449966768473089</v>
      </c>
      <c r="N307" s="186">
        <f t="shared" si="57"/>
        <v>7.858979675021339</v>
      </c>
      <c r="O307" s="186">
        <f t="shared" si="58"/>
        <v>0.20669116545306121</v>
      </c>
    </row>
    <row r="308" spans="1:15">
      <c r="A308" s="41">
        <v>2005</v>
      </c>
      <c r="B308" s="41">
        <v>3</v>
      </c>
      <c r="C308" s="180">
        <f t="shared" si="59"/>
        <v>120.30899999999998</v>
      </c>
      <c r="D308" s="180">
        <f>+HLOOKUP('Info Gral'!$C$8,'Precip 1981-2010'!$D$5:$AL$373,300,FALSE)</f>
        <v>82.3</v>
      </c>
      <c r="E308" s="185">
        <f t="shared" si="48"/>
        <v>140.76192523193916</v>
      </c>
      <c r="F308" s="185">
        <f t="shared" si="49"/>
        <v>6.1358775695817496</v>
      </c>
      <c r="G308" s="186">
        <f t="shared" si="50"/>
        <v>27.520133140186481</v>
      </c>
      <c r="H308" s="186">
        <f t="shared" si="51"/>
        <v>0</v>
      </c>
      <c r="I308" s="186">
        <f t="shared" si="52"/>
        <v>54.779866859813517</v>
      </c>
      <c r="J308" s="186">
        <f t="shared" si="53"/>
        <v>25.688643770364575</v>
      </c>
      <c r="K308" s="186">
        <f t="shared" si="54"/>
        <v>1.8314893698219059</v>
      </c>
      <c r="L308" s="186">
        <f t="shared" si="55"/>
        <v>8.1700212106823482</v>
      </c>
      <c r="M308" s="186">
        <f t="shared" si="56"/>
        <v>18.920637253280116</v>
      </c>
      <c r="N308" s="186">
        <f t="shared" si="57"/>
        <v>20.752126623102022</v>
      </c>
      <c r="O308" s="186">
        <f t="shared" si="58"/>
        <v>0.54578093018758311</v>
      </c>
    </row>
    <row r="309" spans="1:15">
      <c r="A309" s="41">
        <v>2005</v>
      </c>
      <c r="B309" s="41">
        <v>4</v>
      </c>
      <c r="C309" s="180">
        <f t="shared" si="59"/>
        <v>73.802999999999997</v>
      </c>
      <c r="D309" s="180">
        <f>+HLOOKUP('Info Gral'!$C$8,'Precip 1981-2010'!$D$5:$AL$373,301,FALSE)</f>
        <v>120.2</v>
      </c>
      <c r="E309" s="185">
        <f t="shared" si="48"/>
        <v>94.255925231939159</v>
      </c>
      <c r="F309" s="185">
        <f t="shared" si="49"/>
        <v>6.1358775695817496</v>
      </c>
      <c r="G309" s="186">
        <f t="shared" si="50"/>
        <v>64.350359475973306</v>
      </c>
      <c r="H309" s="186">
        <f t="shared" si="51"/>
        <v>0</v>
      </c>
      <c r="I309" s="186">
        <f t="shared" si="52"/>
        <v>55.849640524026697</v>
      </c>
      <c r="J309" s="186">
        <f t="shared" si="53"/>
        <v>55.155365672692213</v>
      </c>
      <c r="K309" s="186">
        <f t="shared" si="54"/>
        <v>9.1949938032810934</v>
      </c>
      <c r="L309" s="186">
        <f t="shared" si="55"/>
        <v>18.046165627160502</v>
      </c>
      <c r="M309" s="186">
        <f t="shared" si="56"/>
        <v>45.279221256214058</v>
      </c>
      <c r="N309" s="186">
        <f t="shared" si="57"/>
        <v>54.474215059495151</v>
      </c>
      <c r="O309" s="186">
        <f t="shared" si="58"/>
        <v>1.4326718560647225</v>
      </c>
    </row>
    <row r="310" spans="1:15">
      <c r="A310" s="41">
        <v>2005</v>
      </c>
      <c r="B310" s="41">
        <v>5</v>
      </c>
      <c r="C310" s="180">
        <f t="shared" si="59"/>
        <v>44.483999999999995</v>
      </c>
      <c r="D310" s="180">
        <f>+HLOOKUP('Info Gral'!$C$8,'Precip 1981-2010'!$D$5:$AL$373,302,FALSE)</f>
        <v>169.4</v>
      </c>
      <c r="E310" s="185">
        <f t="shared" si="48"/>
        <v>64.936925231939156</v>
      </c>
      <c r="F310" s="185">
        <f t="shared" si="49"/>
        <v>6.1358775695817496</v>
      </c>
      <c r="G310" s="186">
        <f t="shared" si="50"/>
        <v>120.03311308044594</v>
      </c>
      <c r="H310" s="186">
        <f t="shared" si="51"/>
        <v>4.8828869195540676</v>
      </c>
      <c r="I310" s="186">
        <f t="shared" si="52"/>
        <v>44.483999999999995</v>
      </c>
      <c r="J310" s="186">
        <f t="shared" si="53"/>
        <v>91.560770335767415</v>
      </c>
      <c r="K310" s="186">
        <f t="shared" si="54"/>
        <v>28.472342744678528</v>
      </c>
      <c r="L310" s="186">
        <f t="shared" si="55"/>
        <v>30.395984469933197</v>
      </c>
      <c r="M310" s="186">
        <f t="shared" si="56"/>
        <v>79.210951492994724</v>
      </c>
      <c r="N310" s="186">
        <f t="shared" si="57"/>
        <v>107.68329423767325</v>
      </c>
      <c r="O310" s="186">
        <f t="shared" si="58"/>
        <v>2.8320706384508068</v>
      </c>
    </row>
    <row r="311" spans="1:15">
      <c r="A311" s="41">
        <v>2005</v>
      </c>
      <c r="B311" s="41">
        <v>6</v>
      </c>
      <c r="C311" s="180">
        <f t="shared" si="59"/>
        <v>29.318999999999996</v>
      </c>
      <c r="D311" s="180">
        <f>+HLOOKUP('Info Gral'!$C$8,'Precip 1981-2010'!$D$5:$AL$373,303,FALSE)</f>
        <v>175.3</v>
      </c>
      <c r="E311" s="185">
        <f t="shared" si="48"/>
        <v>44.889038312385097</v>
      </c>
      <c r="F311" s="185">
        <f t="shared" si="49"/>
        <v>4.6710114937155289</v>
      </c>
      <c r="G311" s="186">
        <f t="shared" si="50"/>
        <v>138.08235167003593</v>
      </c>
      <c r="H311" s="186">
        <f t="shared" si="51"/>
        <v>12.78153524951815</v>
      </c>
      <c r="I311" s="186">
        <f t="shared" si="52"/>
        <v>29.318999999999996</v>
      </c>
      <c r="J311" s="186">
        <f t="shared" si="53"/>
        <v>101.70116886170516</v>
      </c>
      <c r="K311" s="186">
        <f t="shared" si="54"/>
        <v>36.381182808330777</v>
      </c>
      <c r="L311" s="186">
        <f t="shared" si="55"/>
        <v>34.774529835007904</v>
      </c>
      <c r="M311" s="186">
        <f t="shared" si="56"/>
        <v>97.322623496630456</v>
      </c>
      <c r="N311" s="186">
        <f t="shared" si="57"/>
        <v>133.70380630496123</v>
      </c>
      <c r="O311" s="186">
        <f t="shared" si="58"/>
        <v>3.5164101058204804</v>
      </c>
    </row>
    <row r="312" spans="1:15">
      <c r="A312" s="41">
        <v>2005</v>
      </c>
      <c r="B312" s="41">
        <v>7</v>
      </c>
      <c r="C312" s="180">
        <f t="shared" si="59"/>
        <v>35.384999999999998</v>
      </c>
      <c r="D312" s="180">
        <f>+HLOOKUP('Info Gral'!$C$8,'Precip 1981-2010'!$D$5:$AL$373,304,FALSE)</f>
        <v>23.5</v>
      </c>
      <c r="E312" s="185">
        <f t="shared" si="48"/>
        <v>43.05638998242101</v>
      </c>
      <c r="F312" s="185">
        <f t="shared" si="49"/>
        <v>2.3014169947263046</v>
      </c>
      <c r="G312" s="186">
        <f t="shared" si="50"/>
        <v>7.2534968207875341</v>
      </c>
      <c r="H312" s="186">
        <f t="shared" si="51"/>
        <v>0</v>
      </c>
      <c r="I312" s="186">
        <f t="shared" si="52"/>
        <v>29.028038428730618</v>
      </c>
      <c r="J312" s="186">
        <f t="shared" si="53"/>
        <v>7.1197072510710022</v>
      </c>
      <c r="K312" s="186">
        <f t="shared" si="54"/>
        <v>0.13378956971653189</v>
      </c>
      <c r="L312" s="186">
        <f t="shared" si="55"/>
        <v>5.6267302720581363</v>
      </c>
      <c r="M312" s="186">
        <f t="shared" si="56"/>
        <v>36.26750681402077</v>
      </c>
      <c r="N312" s="186">
        <f t="shared" si="57"/>
        <v>36.401296383737304</v>
      </c>
      <c r="O312" s="186">
        <f t="shared" si="58"/>
        <v>0.95735409489229106</v>
      </c>
    </row>
    <row r="313" spans="1:15">
      <c r="A313" s="41">
        <v>2005</v>
      </c>
      <c r="B313" s="41">
        <v>8</v>
      </c>
      <c r="C313" s="180">
        <f t="shared" si="59"/>
        <v>55.605000000000004</v>
      </c>
      <c r="D313" s="180">
        <f>+HLOOKUP('Info Gral'!$C$8,'Precip 1981-2010'!$D$5:$AL$373,305,FALSE)</f>
        <v>91.3</v>
      </c>
      <c r="E313" s="185">
        <f t="shared" si="48"/>
        <v>76.057925231939166</v>
      </c>
      <c r="F313" s="185">
        <f t="shared" si="49"/>
        <v>6.1358775695817496</v>
      </c>
      <c r="G313" s="186">
        <f t="shared" si="50"/>
        <v>46.767082745059867</v>
      </c>
      <c r="H313" s="186">
        <f t="shared" si="51"/>
        <v>0</v>
      </c>
      <c r="I313" s="186">
        <f t="shared" si="52"/>
        <v>44.532917254940131</v>
      </c>
      <c r="J313" s="186">
        <f t="shared" si="53"/>
        <v>41.713186282764198</v>
      </c>
      <c r="K313" s="186">
        <f t="shared" si="54"/>
        <v>5.0538964622956684</v>
      </c>
      <c r="L313" s="186">
        <f t="shared" si="55"/>
        <v>13.594058086381372</v>
      </c>
      <c r="M313" s="186">
        <f t="shared" si="56"/>
        <v>33.745858468440964</v>
      </c>
      <c r="N313" s="186">
        <f t="shared" si="57"/>
        <v>38.799754930736633</v>
      </c>
      <c r="O313" s="186">
        <f t="shared" si="58"/>
        <v>1.0204335546783734</v>
      </c>
    </row>
    <row r="314" spans="1:15">
      <c r="A314" s="41">
        <v>2005</v>
      </c>
      <c r="B314" s="41">
        <v>9</v>
      </c>
      <c r="C314" s="180">
        <f t="shared" si="59"/>
        <v>78.858000000000004</v>
      </c>
      <c r="D314" s="180">
        <f>+HLOOKUP('Info Gral'!$C$8,'Precip 1981-2010'!$D$5:$AL$373,306,FALSE)</f>
        <v>112.8</v>
      </c>
      <c r="E314" s="185">
        <f t="shared" si="48"/>
        <v>99.310925231939166</v>
      </c>
      <c r="F314" s="185">
        <f t="shared" si="49"/>
        <v>6.1358775695817496</v>
      </c>
      <c r="G314" s="186">
        <f t="shared" si="50"/>
        <v>56.931956875968567</v>
      </c>
      <c r="H314" s="186">
        <f t="shared" si="51"/>
        <v>0</v>
      </c>
      <c r="I314" s="186">
        <f t="shared" si="52"/>
        <v>55.868043124031431</v>
      </c>
      <c r="J314" s="186">
        <f t="shared" si="53"/>
        <v>49.614246642126098</v>
      </c>
      <c r="K314" s="186">
        <f t="shared" si="54"/>
        <v>7.3177102338424689</v>
      </c>
      <c r="L314" s="186">
        <f t="shared" si="55"/>
        <v>16.843819627621574</v>
      </c>
      <c r="M314" s="186">
        <f t="shared" si="56"/>
        <v>46.364485100885894</v>
      </c>
      <c r="N314" s="186">
        <f t="shared" si="57"/>
        <v>53.682195334728362</v>
      </c>
      <c r="O314" s="186">
        <f t="shared" si="58"/>
        <v>1.411841737303356</v>
      </c>
    </row>
    <row r="315" spans="1:15">
      <c r="A315" s="41">
        <v>2005</v>
      </c>
      <c r="B315" s="41">
        <v>10</v>
      </c>
      <c r="C315" s="180">
        <f t="shared" si="59"/>
        <v>113.232</v>
      </c>
      <c r="D315" s="180">
        <f>+HLOOKUP('Info Gral'!$C$8,'Precip 1981-2010'!$D$5:$AL$373,307,FALSE)</f>
        <v>108.5</v>
      </c>
      <c r="E315" s="185">
        <f t="shared" si="48"/>
        <v>133.68492523193916</v>
      </c>
      <c r="F315" s="185">
        <f t="shared" si="49"/>
        <v>6.1358775695817496</v>
      </c>
      <c r="G315" s="186">
        <f t="shared" si="50"/>
        <v>45.575525563504506</v>
      </c>
      <c r="H315" s="186">
        <f t="shared" si="51"/>
        <v>0</v>
      </c>
      <c r="I315" s="186">
        <f t="shared" si="52"/>
        <v>62.924474436495494</v>
      </c>
      <c r="J315" s="186">
        <f t="shared" si="53"/>
        <v>40.762628614175505</v>
      </c>
      <c r="K315" s="186">
        <f t="shared" si="54"/>
        <v>4.8128969493290015</v>
      </c>
      <c r="L315" s="186">
        <f t="shared" si="55"/>
        <v>14.393661058865751</v>
      </c>
      <c r="M315" s="186">
        <f t="shared" si="56"/>
        <v>43.212787182931329</v>
      </c>
      <c r="N315" s="186">
        <f t="shared" si="57"/>
        <v>48.025684132260331</v>
      </c>
      <c r="O315" s="186">
        <f t="shared" si="58"/>
        <v>1.2630754926784467</v>
      </c>
    </row>
    <row r="316" spans="1:15">
      <c r="A316" s="41">
        <v>2005</v>
      </c>
      <c r="B316" s="41">
        <v>11</v>
      </c>
      <c r="C316" s="180">
        <f t="shared" si="59"/>
        <v>148.61699999999999</v>
      </c>
      <c r="D316" s="180">
        <f>+HLOOKUP('Info Gral'!$C$8,'Precip 1981-2010'!$D$5:$AL$373,308,FALSE)</f>
        <v>109.8</v>
      </c>
      <c r="E316" s="185">
        <f t="shared" si="48"/>
        <v>169.06992523193915</v>
      </c>
      <c r="F316" s="185">
        <f t="shared" si="49"/>
        <v>6.1358775695817496</v>
      </c>
      <c r="G316" s="186">
        <f t="shared" si="50"/>
        <v>40.308792350409114</v>
      </c>
      <c r="H316" s="186">
        <f t="shared" si="51"/>
        <v>0</v>
      </c>
      <c r="I316" s="186">
        <f t="shared" si="52"/>
        <v>69.491207649590876</v>
      </c>
      <c r="J316" s="186">
        <f t="shared" si="53"/>
        <v>36.497473489753574</v>
      </c>
      <c r="K316" s="186">
        <f t="shared" si="54"/>
        <v>3.8113188606555397</v>
      </c>
      <c r="L316" s="186">
        <f t="shared" si="55"/>
        <v>12.820347417835842</v>
      </c>
      <c r="M316" s="186">
        <f t="shared" si="56"/>
        <v>38.070787130783486</v>
      </c>
      <c r="N316" s="186">
        <f t="shared" si="57"/>
        <v>41.882105991439026</v>
      </c>
      <c r="O316" s="186">
        <f t="shared" si="58"/>
        <v>1.1014993875748462</v>
      </c>
    </row>
    <row r="317" spans="1:15">
      <c r="A317" s="41">
        <v>2005</v>
      </c>
      <c r="B317" s="41">
        <v>12</v>
      </c>
      <c r="C317" s="180">
        <f t="shared" si="59"/>
        <v>179.958</v>
      </c>
      <c r="D317" s="180">
        <f>+HLOOKUP('Info Gral'!$C$8,'Precip 1981-2010'!$D$5:$AL$373,309,FALSE)</f>
        <v>145</v>
      </c>
      <c r="E317" s="185">
        <f t="shared" si="48"/>
        <v>200.41092523193916</v>
      </c>
      <c r="F317" s="185">
        <f t="shared" si="49"/>
        <v>6.1358775695817496</v>
      </c>
      <c r="G317" s="186">
        <f t="shared" si="50"/>
        <v>57.883450009796263</v>
      </c>
      <c r="H317" s="186">
        <f t="shared" si="51"/>
        <v>0</v>
      </c>
      <c r="I317" s="186">
        <f t="shared" si="52"/>
        <v>87.116549990203737</v>
      </c>
      <c r="J317" s="186">
        <f t="shared" si="53"/>
        <v>50.335311450085065</v>
      </c>
      <c r="K317" s="186">
        <f t="shared" si="54"/>
        <v>7.5481385597111981</v>
      </c>
      <c r="L317" s="186">
        <f t="shared" si="55"/>
        <v>16.993642982734535</v>
      </c>
      <c r="M317" s="186">
        <f t="shared" si="56"/>
        <v>46.162015885186371</v>
      </c>
      <c r="N317" s="186">
        <f t="shared" si="57"/>
        <v>53.710154444897569</v>
      </c>
      <c r="O317" s="186">
        <f t="shared" si="58"/>
        <v>1.4125770619008062</v>
      </c>
    </row>
    <row r="318" spans="1:15">
      <c r="A318" s="41">
        <v>2006</v>
      </c>
      <c r="B318" s="41">
        <v>1</v>
      </c>
      <c r="C318" s="180">
        <f t="shared" si="59"/>
        <v>190.06799999999998</v>
      </c>
      <c r="D318" s="180">
        <f>+HLOOKUP('Info Gral'!$C$8,'Precip 1981-2010'!$D$5:$AL$373,310,FALSE)</f>
        <v>54.6</v>
      </c>
      <c r="E318" s="185">
        <f t="shared" si="48"/>
        <v>210.52092523193915</v>
      </c>
      <c r="F318" s="185">
        <f t="shared" si="49"/>
        <v>6.1358775695817496</v>
      </c>
      <c r="G318" s="186">
        <f t="shared" si="50"/>
        <v>9.2892183988136328</v>
      </c>
      <c r="H318" s="186">
        <f t="shared" si="51"/>
        <v>0</v>
      </c>
      <c r="I318" s="186">
        <f t="shared" si="52"/>
        <v>45.31078160118637</v>
      </c>
      <c r="J318" s="186">
        <f t="shared" si="53"/>
        <v>9.0709236049146522</v>
      </c>
      <c r="K318" s="186">
        <f t="shared" si="54"/>
        <v>0.21829479389898054</v>
      </c>
      <c r="L318" s="186">
        <f t="shared" si="55"/>
        <v>4.4982059916965884</v>
      </c>
      <c r="M318" s="186">
        <f t="shared" si="56"/>
        <v>21.566360595952599</v>
      </c>
      <c r="N318" s="186">
        <f t="shared" si="57"/>
        <v>21.784655389851579</v>
      </c>
      <c r="O318" s="186">
        <f t="shared" si="58"/>
        <v>0.57293643675309658</v>
      </c>
    </row>
    <row r="319" spans="1:15">
      <c r="A319" s="41">
        <v>2006</v>
      </c>
      <c r="B319" s="41">
        <v>2</v>
      </c>
      <c r="C319" s="180">
        <f t="shared" si="59"/>
        <v>146.595</v>
      </c>
      <c r="D319" s="180">
        <f>+HLOOKUP('Info Gral'!$C$8,'Precip 1981-2010'!$D$5:$AL$373,311,FALSE)</f>
        <v>9.1999999999999993</v>
      </c>
      <c r="E319" s="185">
        <f t="shared" si="48"/>
        <v>167.04792523193916</v>
      </c>
      <c r="F319" s="185">
        <f t="shared" si="49"/>
        <v>6.1358775695817496</v>
      </c>
      <c r="G319" s="186">
        <f t="shared" si="50"/>
        <v>5.7257382357937439E-2</v>
      </c>
      <c r="H319" s="186">
        <f t="shared" si="51"/>
        <v>0</v>
      </c>
      <c r="I319" s="186">
        <f t="shared" si="52"/>
        <v>9.1427426176420621</v>
      </c>
      <c r="J319" s="186">
        <f t="shared" si="53"/>
        <v>5.7248890333058251E-2</v>
      </c>
      <c r="K319" s="186">
        <f t="shared" si="54"/>
        <v>8.4920248791878206E-6</v>
      </c>
      <c r="L319" s="186">
        <f t="shared" si="55"/>
        <v>0.45775199910765563</v>
      </c>
      <c r="M319" s="186">
        <f t="shared" si="56"/>
        <v>4.0977028829219915</v>
      </c>
      <c r="N319" s="186">
        <f t="shared" si="57"/>
        <v>4.0977113749468703</v>
      </c>
      <c r="O319" s="186">
        <f t="shared" si="58"/>
        <v>0.10776980916110269</v>
      </c>
    </row>
    <row r="320" spans="1:15">
      <c r="A320" s="41">
        <v>2006</v>
      </c>
      <c r="B320" s="41">
        <v>3</v>
      </c>
      <c r="C320" s="180">
        <f t="shared" si="59"/>
        <v>120.30899999999998</v>
      </c>
      <c r="D320" s="180">
        <f>+HLOOKUP('Info Gral'!$C$8,'Precip 1981-2010'!$D$5:$AL$373,312,FALSE)</f>
        <v>68.3</v>
      </c>
      <c r="E320" s="185">
        <f t="shared" si="48"/>
        <v>140.76192523193916</v>
      </c>
      <c r="F320" s="185">
        <f t="shared" si="49"/>
        <v>6.1358775695817496</v>
      </c>
      <c r="G320" s="186">
        <f t="shared" si="50"/>
        <v>19.63704851579827</v>
      </c>
      <c r="H320" s="186">
        <f t="shared" si="51"/>
        <v>0</v>
      </c>
      <c r="I320" s="186">
        <f t="shared" si="52"/>
        <v>48.662951484201727</v>
      </c>
      <c r="J320" s="186">
        <f t="shared" si="53"/>
        <v>18.686411300034194</v>
      </c>
      <c r="K320" s="186">
        <f t="shared" si="54"/>
        <v>0.95063721576407545</v>
      </c>
      <c r="L320" s="186">
        <f t="shared" si="55"/>
        <v>5.8880657413523938</v>
      </c>
      <c r="M320" s="186">
        <f t="shared" si="56"/>
        <v>13.256097557789456</v>
      </c>
      <c r="N320" s="186">
        <f t="shared" si="57"/>
        <v>14.206734773553531</v>
      </c>
      <c r="O320" s="186">
        <f t="shared" si="58"/>
        <v>0.37363712454445791</v>
      </c>
    </row>
    <row r="321" spans="1:15">
      <c r="A321" s="41">
        <v>2006</v>
      </c>
      <c r="B321" s="41">
        <v>4</v>
      </c>
      <c r="C321" s="180">
        <f t="shared" si="59"/>
        <v>73.802999999999997</v>
      </c>
      <c r="D321" s="180">
        <f>+HLOOKUP('Info Gral'!$C$8,'Precip 1981-2010'!$D$5:$AL$373,313,FALSE)</f>
        <v>125.8</v>
      </c>
      <c r="E321" s="185">
        <f t="shared" si="48"/>
        <v>94.255925231939159</v>
      </c>
      <c r="F321" s="185">
        <f t="shared" si="49"/>
        <v>6.1358775695817496</v>
      </c>
      <c r="G321" s="186">
        <f t="shared" si="50"/>
        <v>68.915270064357969</v>
      </c>
      <c r="H321" s="186">
        <f t="shared" si="51"/>
        <v>0</v>
      </c>
      <c r="I321" s="186">
        <f t="shared" si="52"/>
        <v>56.884729935642028</v>
      </c>
      <c r="J321" s="186">
        <f t="shared" si="53"/>
        <v>58.475272199763317</v>
      </c>
      <c r="K321" s="186">
        <f t="shared" si="54"/>
        <v>10.439997864594652</v>
      </c>
      <c r="L321" s="186">
        <f t="shared" si="55"/>
        <v>18.861174367830188</v>
      </c>
      <c r="M321" s="186">
        <f t="shared" si="56"/>
        <v>45.502163573285522</v>
      </c>
      <c r="N321" s="186">
        <f t="shared" si="57"/>
        <v>55.942161437880173</v>
      </c>
      <c r="O321" s="186">
        <f t="shared" si="58"/>
        <v>1.4712788458162485</v>
      </c>
    </row>
    <row r="322" spans="1:15">
      <c r="A322" s="41">
        <v>2006</v>
      </c>
      <c r="B322" s="41">
        <v>5</v>
      </c>
      <c r="C322" s="180">
        <f t="shared" si="59"/>
        <v>44.483999999999995</v>
      </c>
      <c r="D322" s="180">
        <f>+HLOOKUP('Info Gral'!$C$8,'Precip 1981-2010'!$D$5:$AL$373,314,FALSE)</f>
        <v>82</v>
      </c>
      <c r="E322" s="185">
        <f t="shared" si="48"/>
        <v>64.936925231939156</v>
      </c>
      <c r="F322" s="185">
        <f t="shared" si="49"/>
        <v>6.1358775695817496</v>
      </c>
      <c r="G322" s="186">
        <f t="shared" si="50"/>
        <v>42.738334405046331</v>
      </c>
      <c r="H322" s="186">
        <f t="shared" si="51"/>
        <v>0</v>
      </c>
      <c r="I322" s="186">
        <f t="shared" si="52"/>
        <v>39.261665594953669</v>
      </c>
      <c r="J322" s="186">
        <f t="shared" si="53"/>
        <v>38.478008044791508</v>
      </c>
      <c r="K322" s="186">
        <f t="shared" si="54"/>
        <v>4.2603263602548225</v>
      </c>
      <c r="L322" s="186">
        <f t="shared" si="55"/>
        <v>13.876516232365667</v>
      </c>
      <c r="M322" s="186">
        <f t="shared" si="56"/>
        <v>43.462666180256029</v>
      </c>
      <c r="N322" s="186">
        <f t="shared" si="57"/>
        <v>47.722992540510852</v>
      </c>
      <c r="O322" s="186">
        <f t="shared" si="58"/>
        <v>1.2551147038154353</v>
      </c>
    </row>
    <row r="323" spans="1:15">
      <c r="A323" s="41">
        <v>2006</v>
      </c>
      <c r="B323" s="41">
        <v>6</v>
      </c>
      <c r="C323" s="180">
        <f t="shared" si="59"/>
        <v>29.318999999999996</v>
      </c>
      <c r="D323" s="180">
        <f>+HLOOKUP('Info Gral'!$C$8,'Precip 1981-2010'!$D$5:$AL$373,315,FALSE)</f>
        <v>139.4</v>
      </c>
      <c r="E323" s="185">
        <f t="shared" si="48"/>
        <v>49.771925231939164</v>
      </c>
      <c r="F323" s="185">
        <f t="shared" si="49"/>
        <v>6.1358775695817496</v>
      </c>
      <c r="G323" s="186">
        <f t="shared" si="50"/>
        <v>100.39179904595679</v>
      </c>
      <c r="H323" s="186">
        <f t="shared" si="51"/>
        <v>9.6892009540432227</v>
      </c>
      <c r="I323" s="186">
        <f t="shared" si="52"/>
        <v>29.318999999999996</v>
      </c>
      <c r="J323" s="186">
        <f t="shared" si="53"/>
        <v>79.670821974689403</v>
      </c>
      <c r="K323" s="186">
        <f t="shared" si="54"/>
        <v>20.720977071267384</v>
      </c>
      <c r="L323" s="186">
        <f t="shared" si="55"/>
        <v>26.270233987054525</v>
      </c>
      <c r="M323" s="186">
        <f t="shared" si="56"/>
        <v>67.277104220000552</v>
      </c>
      <c r="N323" s="186">
        <f t="shared" si="57"/>
        <v>87.998081291267937</v>
      </c>
      <c r="O323" s="186">
        <f t="shared" si="58"/>
        <v>2.3143495379603469</v>
      </c>
    </row>
    <row r="324" spans="1:15">
      <c r="A324" s="41">
        <v>2006</v>
      </c>
      <c r="B324" s="41">
        <v>7</v>
      </c>
      <c r="C324" s="180">
        <f t="shared" si="59"/>
        <v>35.384999999999998</v>
      </c>
      <c r="D324" s="180">
        <f>+HLOOKUP('Info Gral'!$C$8,'Precip 1981-2010'!$D$5:$AL$373,316,FALSE)</f>
        <v>52.6</v>
      </c>
      <c r="E324" s="185">
        <f t="shared" si="48"/>
        <v>46.148724277895937</v>
      </c>
      <c r="F324" s="185">
        <f t="shared" si="49"/>
        <v>3.2291172833687827</v>
      </c>
      <c r="G324" s="186">
        <f t="shared" si="50"/>
        <v>26.410999311499495</v>
      </c>
      <c r="H324" s="186">
        <f t="shared" si="51"/>
        <v>0.49320164254373111</v>
      </c>
      <c r="I324" s="186">
        <f t="shared" si="52"/>
        <v>35.384999999999998</v>
      </c>
      <c r="J324" s="186">
        <f t="shared" si="53"/>
        <v>24.719626176940675</v>
      </c>
      <c r="K324" s="186">
        <f t="shared" si="54"/>
        <v>1.6913731345588197</v>
      </c>
      <c r="L324" s="186">
        <f t="shared" si="55"/>
        <v>10.29870620160969</v>
      </c>
      <c r="M324" s="186">
        <f t="shared" si="56"/>
        <v>40.691153962385513</v>
      </c>
      <c r="N324" s="186">
        <f t="shared" si="57"/>
        <v>42.38252709694433</v>
      </c>
      <c r="O324" s="186">
        <f t="shared" si="58"/>
        <v>1.1146604626496359</v>
      </c>
    </row>
    <row r="325" spans="1:15">
      <c r="A325" s="41">
        <v>2006</v>
      </c>
      <c r="B325" s="41">
        <v>8</v>
      </c>
      <c r="C325" s="180">
        <f t="shared" si="59"/>
        <v>55.605000000000004</v>
      </c>
      <c r="D325" s="180">
        <f>+HLOOKUP('Info Gral'!$C$8,'Precip 1981-2010'!$D$5:$AL$373,317,FALSE)</f>
        <v>26.8</v>
      </c>
      <c r="E325" s="185">
        <f t="shared" si="48"/>
        <v>75.564723589395442</v>
      </c>
      <c r="F325" s="185">
        <f t="shared" si="49"/>
        <v>5.9879170768186301</v>
      </c>
      <c r="G325" s="186">
        <f t="shared" si="50"/>
        <v>4.7919915634014281</v>
      </c>
      <c r="H325" s="186">
        <f t="shared" si="51"/>
        <v>0</v>
      </c>
      <c r="I325" s="186">
        <f t="shared" si="52"/>
        <v>22.501210079142304</v>
      </c>
      <c r="J325" s="186">
        <f t="shared" si="53"/>
        <v>4.7332309346284482</v>
      </c>
      <c r="K325" s="186">
        <f t="shared" si="54"/>
        <v>5.8760628772979828E-2</v>
      </c>
      <c r="L325" s="186">
        <f t="shared" si="55"/>
        <v>2.4871405773972617</v>
      </c>
      <c r="M325" s="186">
        <f t="shared" si="56"/>
        <v>12.544796558840876</v>
      </c>
      <c r="N325" s="186">
        <f t="shared" si="57"/>
        <v>12.603557187613855</v>
      </c>
      <c r="O325" s="186">
        <f t="shared" si="58"/>
        <v>0.33147355403424439</v>
      </c>
    </row>
    <row r="326" spans="1:15">
      <c r="A326" s="41">
        <v>2006</v>
      </c>
      <c r="B326" s="41">
        <v>9</v>
      </c>
      <c r="C326" s="180">
        <f t="shared" si="59"/>
        <v>78.858000000000004</v>
      </c>
      <c r="D326" s="180">
        <f>+HLOOKUP('Info Gral'!$C$8,'Precip 1981-2010'!$D$5:$AL$373,318,FALSE)</f>
        <v>52.3</v>
      </c>
      <c r="E326" s="185">
        <f t="shared" si="48"/>
        <v>99.310925231939166</v>
      </c>
      <c r="F326" s="185">
        <f t="shared" si="49"/>
        <v>6.1358775695817496</v>
      </c>
      <c r="G326" s="186">
        <f t="shared" si="50"/>
        <v>15.29452341614842</v>
      </c>
      <c r="H326" s="186">
        <f t="shared" si="51"/>
        <v>0</v>
      </c>
      <c r="I326" s="186">
        <f t="shared" si="52"/>
        <v>37.005476583851575</v>
      </c>
      <c r="J326" s="186">
        <f t="shared" si="53"/>
        <v>14.711603807538333</v>
      </c>
      <c r="K326" s="186">
        <f t="shared" si="54"/>
        <v>0.58291960861008718</v>
      </c>
      <c r="L326" s="186">
        <f t="shared" si="55"/>
        <v>4.8435703526866716</v>
      </c>
      <c r="M326" s="186">
        <f t="shared" si="56"/>
        <v>12.355174032248923</v>
      </c>
      <c r="N326" s="186">
        <f t="shared" si="57"/>
        <v>12.938093640859011</v>
      </c>
      <c r="O326" s="186">
        <f t="shared" si="58"/>
        <v>0.34027186275459198</v>
      </c>
    </row>
    <row r="327" spans="1:15">
      <c r="A327" s="41">
        <v>2006</v>
      </c>
      <c r="B327" s="41">
        <v>10</v>
      </c>
      <c r="C327" s="180">
        <f t="shared" si="59"/>
        <v>113.232</v>
      </c>
      <c r="D327" s="180">
        <f>+HLOOKUP('Info Gral'!$C$8,'Precip 1981-2010'!$D$5:$AL$373,319,FALSE)</f>
        <v>114.3</v>
      </c>
      <c r="E327" s="185">
        <f t="shared" si="48"/>
        <v>133.68492523193916</v>
      </c>
      <c r="F327" s="185">
        <f t="shared" si="49"/>
        <v>6.1358775695817496</v>
      </c>
      <c r="G327" s="186">
        <f t="shared" si="50"/>
        <v>49.634381381989158</v>
      </c>
      <c r="H327" s="186">
        <f t="shared" si="51"/>
        <v>0</v>
      </c>
      <c r="I327" s="186">
        <f t="shared" si="52"/>
        <v>64.665618618010839</v>
      </c>
      <c r="J327" s="186">
        <f t="shared" si="53"/>
        <v>43.979245055610569</v>
      </c>
      <c r="K327" s="186">
        <f t="shared" si="54"/>
        <v>5.6551363263785888</v>
      </c>
      <c r="L327" s="186">
        <f t="shared" si="55"/>
        <v>14.226082395384303</v>
      </c>
      <c r="M327" s="186">
        <f t="shared" si="56"/>
        <v>34.596733012912935</v>
      </c>
      <c r="N327" s="186">
        <f t="shared" si="57"/>
        <v>40.251869339291524</v>
      </c>
      <c r="O327" s="186">
        <f t="shared" si="58"/>
        <v>1.0586241636233671</v>
      </c>
    </row>
    <row r="328" spans="1:15">
      <c r="A328" s="41">
        <v>2006</v>
      </c>
      <c r="B328" s="41">
        <v>11</v>
      </c>
      <c r="C328" s="180">
        <f t="shared" si="59"/>
        <v>148.61699999999999</v>
      </c>
      <c r="D328" s="180">
        <f>+HLOOKUP('Info Gral'!$C$8,'Precip 1981-2010'!$D$5:$AL$373,320,FALSE)</f>
        <v>252.3</v>
      </c>
      <c r="E328" s="185">
        <f t="shared" si="48"/>
        <v>169.06992523193915</v>
      </c>
      <c r="F328" s="185">
        <f t="shared" si="49"/>
        <v>6.1358775695817496</v>
      </c>
      <c r="G328" s="186">
        <f t="shared" si="50"/>
        <v>148.12282137120232</v>
      </c>
      <c r="H328" s="186">
        <f t="shared" si="51"/>
        <v>0</v>
      </c>
      <c r="I328" s="186">
        <f t="shared" si="52"/>
        <v>104.17717862879769</v>
      </c>
      <c r="J328" s="186">
        <f t="shared" si="53"/>
        <v>107.04543367479253</v>
      </c>
      <c r="K328" s="186">
        <f t="shared" si="54"/>
        <v>41.077387696409787</v>
      </c>
      <c r="L328" s="186">
        <f t="shared" si="55"/>
        <v>34.864551134269263</v>
      </c>
      <c r="M328" s="186">
        <f t="shared" si="56"/>
        <v>86.406964935907581</v>
      </c>
      <c r="N328" s="186">
        <f t="shared" si="57"/>
        <v>127.48435263231737</v>
      </c>
      <c r="O328" s="186">
        <f t="shared" si="58"/>
        <v>3.3528384742299466</v>
      </c>
    </row>
    <row r="329" spans="1:15">
      <c r="A329" s="41">
        <v>2006</v>
      </c>
      <c r="B329" s="41">
        <v>12</v>
      </c>
      <c r="C329" s="180">
        <f t="shared" si="59"/>
        <v>179.958</v>
      </c>
      <c r="D329" s="180">
        <f>+HLOOKUP('Info Gral'!$C$8,'Precip 1981-2010'!$D$5:$AL$373,321,FALSE)</f>
        <v>173.5</v>
      </c>
      <c r="E329" s="185">
        <f t="shared" si="48"/>
        <v>200.41092523193916</v>
      </c>
      <c r="F329" s="185">
        <f t="shared" si="49"/>
        <v>6.1358775695817496</v>
      </c>
      <c r="G329" s="186">
        <f t="shared" si="50"/>
        <v>77.454965593793673</v>
      </c>
      <c r="H329" s="186">
        <f t="shared" si="51"/>
        <v>0</v>
      </c>
      <c r="I329" s="186">
        <f t="shared" si="52"/>
        <v>96.045034406206327</v>
      </c>
      <c r="J329" s="186">
        <f t="shared" si="53"/>
        <v>64.510295365804424</v>
      </c>
      <c r="K329" s="186">
        <f t="shared" si="54"/>
        <v>12.944670227989249</v>
      </c>
      <c r="L329" s="186">
        <f t="shared" si="55"/>
        <v>23.581767436256264</v>
      </c>
      <c r="M329" s="186">
        <f t="shared" si="56"/>
        <v>75.79307906381743</v>
      </c>
      <c r="N329" s="186">
        <f t="shared" si="57"/>
        <v>88.737749291806679</v>
      </c>
      <c r="O329" s="186">
        <f t="shared" si="58"/>
        <v>2.3338028063745155</v>
      </c>
    </row>
    <row r="330" spans="1:15">
      <c r="A330" s="41">
        <v>2007</v>
      </c>
      <c r="B330" s="41">
        <v>1</v>
      </c>
      <c r="C330" s="180">
        <f t="shared" si="59"/>
        <v>190.06799999999998</v>
      </c>
      <c r="D330" s="180">
        <f>+HLOOKUP('Info Gral'!$C$8,'Precip 1981-2010'!$D$5:$AL$373,322,FALSE)</f>
        <v>50.1</v>
      </c>
      <c r="E330" s="185">
        <f t="shared" si="48"/>
        <v>210.52092523193915</v>
      </c>
      <c r="F330" s="185">
        <f t="shared" si="49"/>
        <v>6.1358775695817496</v>
      </c>
      <c r="G330" s="186">
        <f t="shared" si="50"/>
        <v>7.78276835132871</v>
      </c>
      <c r="H330" s="186">
        <f t="shared" si="51"/>
        <v>0</v>
      </c>
      <c r="I330" s="186">
        <f t="shared" si="52"/>
        <v>42.317231648671289</v>
      </c>
      <c r="J330" s="186">
        <f t="shared" si="53"/>
        <v>7.6289488140644428</v>
      </c>
      <c r="K330" s="186">
        <f t="shared" si="54"/>
        <v>0.15381953726426723</v>
      </c>
      <c r="L330" s="186">
        <f t="shared" si="55"/>
        <v>4.6915050069675619</v>
      </c>
      <c r="M330" s="186">
        <f t="shared" si="56"/>
        <v>26.519211243353148</v>
      </c>
      <c r="N330" s="186">
        <f t="shared" si="57"/>
        <v>26.673030780617417</v>
      </c>
      <c r="O330" s="186">
        <f t="shared" si="58"/>
        <v>0.70150070953023813</v>
      </c>
    </row>
    <row r="331" spans="1:15">
      <c r="A331" s="41">
        <v>2007</v>
      </c>
      <c r="B331" s="41">
        <v>2</v>
      </c>
      <c r="C331" s="180">
        <f t="shared" si="59"/>
        <v>146.595</v>
      </c>
      <c r="D331" s="180">
        <f>+HLOOKUP('Info Gral'!$C$8,'Precip 1981-2010'!$D$5:$AL$373,323,FALSE)</f>
        <v>213.5</v>
      </c>
      <c r="E331" s="185">
        <f t="shared" si="48"/>
        <v>167.04792523193916</v>
      </c>
      <c r="F331" s="185">
        <f t="shared" si="49"/>
        <v>6.1358775695817496</v>
      </c>
      <c r="G331" s="186">
        <f t="shared" si="50"/>
        <v>116.75987414690724</v>
      </c>
      <c r="H331" s="186">
        <f t="shared" si="51"/>
        <v>0</v>
      </c>
      <c r="I331" s="186">
        <f t="shared" si="52"/>
        <v>96.740125853092763</v>
      </c>
      <c r="J331" s="186">
        <f t="shared" si="53"/>
        <v>89.643811565472845</v>
      </c>
      <c r="K331" s="186">
        <f t="shared" si="54"/>
        <v>27.116062581434392</v>
      </c>
      <c r="L331" s="186">
        <f t="shared" si="55"/>
        <v>28.490680150380467</v>
      </c>
      <c r="M331" s="186">
        <f t="shared" si="56"/>
        <v>65.844636422059949</v>
      </c>
      <c r="N331" s="186">
        <f t="shared" si="57"/>
        <v>92.960699003494341</v>
      </c>
      <c r="O331" s="186">
        <f t="shared" si="58"/>
        <v>2.4448663837919011</v>
      </c>
    </row>
    <row r="332" spans="1:15">
      <c r="A332" s="41">
        <v>2007</v>
      </c>
      <c r="B332" s="41">
        <v>3</v>
      </c>
      <c r="C332" s="180">
        <f t="shared" si="59"/>
        <v>120.30899999999998</v>
      </c>
      <c r="D332" s="180">
        <f>+HLOOKUP('Info Gral'!$C$8,'Precip 1981-2010'!$D$5:$AL$373,324,FALSE)</f>
        <v>277.7</v>
      </c>
      <c r="E332" s="185">
        <f t="shared" si="48"/>
        <v>140.76192523193916</v>
      </c>
      <c r="F332" s="185">
        <f t="shared" si="49"/>
        <v>6.1358775695817496</v>
      </c>
      <c r="G332" s="186">
        <f t="shared" si="50"/>
        <v>181.55799431226762</v>
      </c>
      <c r="H332" s="186">
        <f t="shared" si="51"/>
        <v>0</v>
      </c>
      <c r="I332" s="186">
        <f t="shared" si="52"/>
        <v>96.142005687732365</v>
      </c>
      <c r="J332" s="186">
        <f t="shared" si="53"/>
        <v>123.47881010724846</v>
      </c>
      <c r="K332" s="186">
        <f t="shared" si="54"/>
        <v>58.07918420501916</v>
      </c>
      <c r="L332" s="186">
        <f t="shared" si="55"/>
        <v>41.398166041991189</v>
      </c>
      <c r="M332" s="186">
        <f t="shared" si="56"/>
        <v>110.57132421563774</v>
      </c>
      <c r="N332" s="186">
        <f t="shared" si="57"/>
        <v>168.65050842065691</v>
      </c>
      <c r="O332" s="186">
        <f t="shared" si="58"/>
        <v>4.4355083714632766</v>
      </c>
    </row>
    <row r="333" spans="1:15">
      <c r="A333" s="41">
        <v>2007</v>
      </c>
      <c r="B333" s="41">
        <v>4</v>
      </c>
      <c r="C333" s="180">
        <f t="shared" si="59"/>
        <v>73.802999999999997</v>
      </c>
      <c r="D333" s="180">
        <f>+HLOOKUP('Info Gral'!$C$8,'Precip 1981-2010'!$D$5:$AL$373,325,FALSE)</f>
        <v>116.2</v>
      </c>
      <c r="E333" s="185">
        <f t="shared" si="48"/>
        <v>94.255925231939159</v>
      </c>
      <c r="F333" s="185">
        <f t="shared" si="49"/>
        <v>6.1358775695817496</v>
      </c>
      <c r="G333" s="186">
        <f t="shared" si="50"/>
        <v>61.125522995641575</v>
      </c>
      <c r="H333" s="186">
        <f t="shared" si="51"/>
        <v>0</v>
      </c>
      <c r="I333" s="186">
        <f t="shared" si="52"/>
        <v>55.074477004358428</v>
      </c>
      <c r="J333" s="186">
        <f t="shared" si="53"/>
        <v>52.769190446208633</v>
      </c>
      <c r="K333" s="186">
        <f t="shared" si="54"/>
        <v>8.3563325494329419</v>
      </c>
      <c r="L333" s="186">
        <f t="shared" si="55"/>
        <v>20.549162856276382</v>
      </c>
      <c r="M333" s="186">
        <f t="shared" si="56"/>
        <v>73.618193631923447</v>
      </c>
      <c r="N333" s="186">
        <f t="shared" si="57"/>
        <v>81.974526181356396</v>
      </c>
      <c r="O333" s="186">
        <f t="shared" si="58"/>
        <v>2.1559300385696734</v>
      </c>
    </row>
    <row r="334" spans="1:15">
      <c r="A334" s="41">
        <v>2007</v>
      </c>
      <c r="B334" s="41">
        <v>5</v>
      </c>
      <c r="C334" s="180">
        <f t="shared" si="59"/>
        <v>44.483999999999995</v>
      </c>
      <c r="D334" s="180">
        <f>+HLOOKUP('Info Gral'!$C$8,'Precip 1981-2010'!$D$5:$AL$373,326,FALSE)</f>
        <v>24.2</v>
      </c>
      <c r="E334" s="185">
        <f t="shared" si="48"/>
        <v>64.936925231939156</v>
      </c>
      <c r="F334" s="185">
        <f t="shared" si="49"/>
        <v>6.1358775695817496</v>
      </c>
      <c r="G334" s="186">
        <f t="shared" si="50"/>
        <v>4.2452585324052903</v>
      </c>
      <c r="H334" s="186">
        <f t="shared" si="51"/>
        <v>0</v>
      </c>
      <c r="I334" s="186">
        <f t="shared" si="52"/>
        <v>19.954741467594708</v>
      </c>
      <c r="J334" s="186">
        <f t="shared" si="53"/>
        <v>4.1990767541186411</v>
      </c>
      <c r="K334" s="186">
        <f t="shared" si="54"/>
        <v>4.6181778286649156E-2</v>
      </c>
      <c r="L334" s="186">
        <f t="shared" si="55"/>
        <v>3.3224336801789693</v>
      </c>
      <c r="M334" s="186">
        <f t="shared" si="56"/>
        <v>21.425805930216058</v>
      </c>
      <c r="N334" s="186">
        <f t="shared" si="57"/>
        <v>21.471987708502706</v>
      </c>
      <c r="O334" s="186">
        <f t="shared" si="58"/>
        <v>0.56471327673362115</v>
      </c>
    </row>
    <row r="335" spans="1:15">
      <c r="A335" s="41">
        <v>2007</v>
      </c>
      <c r="B335" s="41">
        <v>6</v>
      </c>
      <c r="C335" s="180">
        <f t="shared" si="59"/>
        <v>29.318999999999996</v>
      </c>
      <c r="D335" s="180">
        <f>+HLOOKUP('Info Gral'!$C$8,'Precip 1981-2010'!$D$5:$AL$373,327,FALSE)</f>
        <v>67.599999999999994</v>
      </c>
      <c r="E335" s="185">
        <f t="shared" si="48"/>
        <v>49.771925231939164</v>
      </c>
      <c r="F335" s="185">
        <f t="shared" si="49"/>
        <v>6.1358775695817496</v>
      </c>
      <c r="G335" s="186">
        <f t="shared" si="50"/>
        <v>35.945121143063901</v>
      </c>
      <c r="H335" s="186">
        <f t="shared" si="51"/>
        <v>2.3358788569360982</v>
      </c>
      <c r="I335" s="186">
        <f t="shared" si="52"/>
        <v>29.318999999999996</v>
      </c>
      <c r="J335" s="186">
        <f t="shared" si="53"/>
        <v>32.882988962250138</v>
      </c>
      <c r="K335" s="186">
        <f t="shared" si="54"/>
        <v>3.0621321808137623</v>
      </c>
      <c r="L335" s="186">
        <f t="shared" si="55"/>
        <v>10.607502913901589</v>
      </c>
      <c r="M335" s="186">
        <f t="shared" si="56"/>
        <v>25.597919728527518</v>
      </c>
      <c r="N335" s="186">
        <f t="shared" si="57"/>
        <v>28.660051909341281</v>
      </c>
      <c r="O335" s="186">
        <f t="shared" si="58"/>
        <v>0.75375936521567566</v>
      </c>
    </row>
    <row r="336" spans="1:15">
      <c r="A336" s="41">
        <v>2007</v>
      </c>
      <c r="B336" s="41">
        <v>7</v>
      </c>
      <c r="C336" s="180">
        <f t="shared" si="59"/>
        <v>35.384999999999998</v>
      </c>
      <c r="D336" s="180">
        <f>+HLOOKUP('Info Gral'!$C$8,'Precip 1981-2010'!$D$5:$AL$373,328,FALSE)</f>
        <v>40.6</v>
      </c>
      <c r="E336" s="185">
        <f t="shared" si="48"/>
        <v>53.502046375003061</v>
      </c>
      <c r="F336" s="185">
        <f t="shared" si="49"/>
        <v>5.4351139125009196</v>
      </c>
      <c r="G336" s="186">
        <f t="shared" si="50"/>
        <v>14.856928937626444</v>
      </c>
      <c r="H336" s="186">
        <f t="shared" si="51"/>
        <v>0</v>
      </c>
      <c r="I336" s="186">
        <f t="shared" si="52"/>
        <v>28.078949919309657</v>
      </c>
      <c r="J336" s="186">
        <f t="shared" si="53"/>
        <v>14.306287744912954</v>
      </c>
      <c r="K336" s="186">
        <f t="shared" si="54"/>
        <v>0.55064119271349021</v>
      </c>
      <c r="L336" s="186">
        <f t="shared" si="55"/>
        <v>5.5108636200985384</v>
      </c>
      <c r="M336" s="186">
        <f t="shared" si="56"/>
        <v>19.402927038716005</v>
      </c>
      <c r="N336" s="186">
        <f t="shared" si="57"/>
        <v>19.953568231429493</v>
      </c>
      <c r="O336" s="186">
        <f t="shared" si="58"/>
        <v>0.52477884448659573</v>
      </c>
    </row>
    <row r="337" spans="1:15">
      <c r="A337" s="41">
        <v>2007</v>
      </c>
      <c r="B337" s="41">
        <v>8</v>
      </c>
      <c r="C337" s="180">
        <f t="shared" si="59"/>
        <v>55.605000000000004</v>
      </c>
      <c r="D337" s="180">
        <f>+HLOOKUP('Info Gral'!$C$8,'Precip 1981-2010'!$D$5:$AL$373,329,FALSE)</f>
        <v>109.3</v>
      </c>
      <c r="E337" s="185">
        <f t="shared" si="48"/>
        <v>76.057925231939166</v>
      </c>
      <c r="F337" s="185">
        <f t="shared" si="49"/>
        <v>6.1358775695817496</v>
      </c>
      <c r="G337" s="186">
        <f t="shared" si="50"/>
        <v>61.488657072564919</v>
      </c>
      <c r="H337" s="186">
        <f t="shared" si="51"/>
        <v>0</v>
      </c>
      <c r="I337" s="186">
        <f t="shared" si="52"/>
        <v>47.811342927435078</v>
      </c>
      <c r="J337" s="186">
        <f t="shared" si="53"/>
        <v>53.03960503776802</v>
      </c>
      <c r="K337" s="186">
        <f t="shared" si="54"/>
        <v>8.4490520347968996</v>
      </c>
      <c r="L337" s="186">
        <f t="shared" si="55"/>
        <v>17.124538401909835</v>
      </c>
      <c r="M337" s="186">
        <f t="shared" si="56"/>
        <v>41.425930255956722</v>
      </c>
      <c r="N337" s="186">
        <f t="shared" si="57"/>
        <v>49.874982290753621</v>
      </c>
      <c r="O337" s="186">
        <f t="shared" si="58"/>
        <v>1.3117120342468203</v>
      </c>
    </row>
    <row r="338" spans="1:15">
      <c r="A338" s="41">
        <v>2007</v>
      </c>
      <c r="B338" s="41">
        <v>9</v>
      </c>
      <c r="C338" s="180">
        <f t="shared" si="59"/>
        <v>78.858000000000004</v>
      </c>
      <c r="D338" s="180">
        <f>+HLOOKUP('Info Gral'!$C$8,'Precip 1981-2010'!$D$5:$AL$373,330,FALSE)</f>
        <v>116.6</v>
      </c>
      <c r="E338" s="185">
        <f t="shared" ref="E338:E377" si="60">+CAD*AD-H337+C338</f>
        <v>99.310925231939166</v>
      </c>
      <c r="F338" s="185">
        <f t="shared" ref="F338:F377" si="61">+CP.o*(CAD*AD-H337)</f>
        <v>6.1358775695817496</v>
      </c>
      <c r="G338" s="186">
        <f t="shared" ref="G338:G377" si="62">+IF(D338&lt;F338,0,(D338-F338)^2/(D338+E338-2*F338))</f>
        <v>59.921292837538047</v>
      </c>
      <c r="H338" s="186">
        <f t="shared" ref="H338:H377" si="63">+MAX(0,H337+D338-G338-C338)</f>
        <v>0</v>
      </c>
      <c r="I338" s="186">
        <f t="shared" ref="I338:I377" si="64">+MIN(H337+D338-G338,C338)</f>
        <v>56.678707162461947</v>
      </c>
      <c r="J338" s="186">
        <f t="shared" ref="J338:J377" si="65">+Imax*G338/(G338+Imax)</f>
        <v>51.86928591839294</v>
      </c>
      <c r="K338" s="186">
        <f t="shared" ref="K338:K377" si="66">+G338-J338</f>
        <v>8.0520069191451071</v>
      </c>
      <c r="L338" s="186">
        <f t="shared" ref="L338:L377" si="67">+L337*EXP(-α)+J338*EXP(-α/2)</f>
        <v>17.89420070065708</v>
      </c>
      <c r="M338" s="186">
        <f t="shared" ref="M338:M377" si="68">+L337-L338+J338</f>
        <v>51.099623619645698</v>
      </c>
      <c r="N338" s="186">
        <f t="shared" ref="N338:N377" si="69">+M338+K338</f>
        <v>59.151630538790805</v>
      </c>
      <c r="O338" s="186">
        <f t="shared" ref="O338:O377" si="70">+N338*Ac/100000</f>
        <v>1.5556878831701981</v>
      </c>
    </row>
    <row r="339" spans="1:15">
      <c r="A339" s="41">
        <v>2007</v>
      </c>
      <c r="B339" s="41">
        <v>10</v>
      </c>
      <c r="C339" s="180">
        <f t="shared" si="59"/>
        <v>113.232</v>
      </c>
      <c r="D339" s="180">
        <f>+HLOOKUP('Info Gral'!$C$8,'Precip 1981-2010'!$D$5:$AL$373,331,FALSE)</f>
        <v>238.6</v>
      </c>
      <c r="E339" s="185">
        <f t="shared" si="60"/>
        <v>133.68492523193916</v>
      </c>
      <c r="F339" s="185">
        <f t="shared" si="61"/>
        <v>6.1358775695817496</v>
      </c>
      <c r="G339" s="186">
        <f t="shared" si="62"/>
        <v>150.10442035611766</v>
      </c>
      <c r="H339" s="186">
        <f t="shared" si="63"/>
        <v>0</v>
      </c>
      <c r="I339" s="186">
        <f t="shared" si="64"/>
        <v>88.495579643882337</v>
      </c>
      <c r="J339" s="186">
        <f t="shared" si="65"/>
        <v>108.07653146932356</v>
      </c>
      <c r="K339" s="186">
        <f t="shared" si="66"/>
        <v>42.027888886794102</v>
      </c>
      <c r="L339" s="186">
        <f t="shared" si="67"/>
        <v>35.545660207064202</v>
      </c>
      <c r="M339" s="186">
        <f t="shared" si="68"/>
        <v>90.425071962916434</v>
      </c>
      <c r="N339" s="186">
        <f t="shared" si="69"/>
        <v>132.45296084971054</v>
      </c>
      <c r="O339" s="186">
        <f t="shared" si="70"/>
        <v>3.4835128703473868</v>
      </c>
    </row>
    <row r="340" spans="1:15">
      <c r="A340" s="41">
        <v>2007</v>
      </c>
      <c r="B340" s="41">
        <v>11</v>
      </c>
      <c r="C340" s="180">
        <f t="shared" si="59"/>
        <v>148.61699999999999</v>
      </c>
      <c r="D340" s="180">
        <f>+HLOOKUP('Info Gral'!$C$8,'Precip 1981-2010'!$D$5:$AL$373,332,FALSE)</f>
        <v>29.7</v>
      </c>
      <c r="E340" s="185">
        <f t="shared" si="60"/>
        <v>169.06992523193915</v>
      </c>
      <c r="F340" s="185">
        <f t="shared" si="61"/>
        <v>6.1358775695817496</v>
      </c>
      <c r="G340" s="186">
        <f t="shared" si="62"/>
        <v>2.977336805178926</v>
      </c>
      <c r="H340" s="186">
        <f t="shared" si="63"/>
        <v>0</v>
      </c>
      <c r="I340" s="186">
        <f t="shared" si="64"/>
        <v>26.722663194821074</v>
      </c>
      <c r="J340" s="186">
        <f t="shared" si="65"/>
        <v>2.9545474711671273</v>
      </c>
      <c r="K340" s="186">
        <f t="shared" si="66"/>
        <v>2.2789334011798612E-2</v>
      </c>
      <c r="L340" s="186">
        <f t="shared" si="67"/>
        <v>4.3996742465860095</v>
      </c>
      <c r="M340" s="186">
        <f t="shared" si="68"/>
        <v>34.100533431645317</v>
      </c>
      <c r="N340" s="186">
        <f t="shared" si="69"/>
        <v>34.123322765657115</v>
      </c>
      <c r="O340" s="186">
        <f t="shared" si="70"/>
        <v>0.89744338873678209</v>
      </c>
    </row>
    <row r="341" spans="1:15">
      <c r="A341" s="41">
        <v>2007</v>
      </c>
      <c r="B341" s="41">
        <v>12</v>
      </c>
      <c r="C341" s="180">
        <f t="shared" si="59"/>
        <v>179.958</v>
      </c>
      <c r="D341" s="180">
        <f>+HLOOKUP('Info Gral'!$C$8,'Precip 1981-2010'!$D$5:$AL$373,333,FALSE)</f>
        <v>68.8</v>
      </c>
      <c r="E341" s="185">
        <f t="shared" si="60"/>
        <v>200.41092523193916</v>
      </c>
      <c r="F341" s="185">
        <f t="shared" si="61"/>
        <v>6.1358775695817496</v>
      </c>
      <c r="G341" s="186">
        <f t="shared" si="62"/>
        <v>15.282964596470674</v>
      </c>
      <c r="H341" s="186">
        <f t="shared" si="63"/>
        <v>0</v>
      </c>
      <c r="I341" s="186">
        <f t="shared" si="64"/>
        <v>53.51703540352932</v>
      </c>
      <c r="J341" s="186">
        <f t="shared" si="65"/>
        <v>14.700908971229136</v>
      </c>
      <c r="K341" s="186">
        <f t="shared" si="66"/>
        <v>0.5820556252415372</v>
      </c>
      <c r="L341" s="186">
        <f t="shared" si="67"/>
        <v>5.0272401695744415</v>
      </c>
      <c r="M341" s="186">
        <f t="shared" si="68"/>
        <v>14.073343048240705</v>
      </c>
      <c r="N341" s="186">
        <f t="shared" si="69"/>
        <v>14.655398673482242</v>
      </c>
      <c r="O341" s="186">
        <f t="shared" si="70"/>
        <v>0.38543698511258301</v>
      </c>
    </row>
    <row r="342" spans="1:15">
      <c r="A342" s="41">
        <v>2008</v>
      </c>
      <c r="B342" s="41">
        <v>1</v>
      </c>
      <c r="C342" s="180">
        <f t="shared" si="59"/>
        <v>190.06799999999998</v>
      </c>
      <c r="D342" s="180">
        <f>+HLOOKUP('Info Gral'!$C$8,'Precip 1981-2010'!$D$5:$AL$373,334,FALSE)</f>
        <v>61.8</v>
      </c>
      <c r="E342" s="185">
        <f t="shared" si="60"/>
        <v>210.52092523193915</v>
      </c>
      <c r="F342" s="185">
        <f t="shared" si="61"/>
        <v>6.1358775695817496</v>
      </c>
      <c r="G342" s="186">
        <f t="shared" si="62"/>
        <v>11.915033317903557</v>
      </c>
      <c r="H342" s="186">
        <f t="shared" si="63"/>
        <v>0</v>
      </c>
      <c r="I342" s="186">
        <f t="shared" si="64"/>
        <v>49.88496668209644</v>
      </c>
      <c r="J342" s="186">
        <f t="shared" si="65"/>
        <v>11.558253585851237</v>
      </c>
      <c r="K342" s="186">
        <f t="shared" si="66"/>
        <v>0.3567797320523205</v>
      </c>
      <c r="L342" s="186">
        <f t="shared" si="67"/>
        <v>4.1058865637672097</v>
      </c>
      <c r="M342" s="186">
        <f t="shared" si="68"/>
        <v>12.479607191658468</v>
      </c>
      <c r="N342" s="186">
        <f t="shared" si="69"/>
        <v>12.836386923710789</v>
      </c>
      <c r="O342" s="186">
        <f t="shared" si="70"/>
        <v>0.33759697609359379</v>
      </c>
    </row>
    <row r="343" spans="1:15">
      <c r="A343" s="41">
        <v>2008</v>
      </c>
      <c r="B343" s="41">
        <v>2</v>
      </c>
      <c r="C343" s="180">
        <f t="shared" si="59"/>
        <v>146.595</v>
      </c>
      <c r="D343" s="180">
        <f>+HLOOKUP('Info Gral'!$C$8,'Precip 1981-2010'!$D$5:$AL$373,335,FALSE)</f>
        <v>82.8</v>
      </c>
      <c r="E343" s="185">
        <f t="shared" si="60"/>
        <v>167.04792523193916</v>
      </c>
      <c r="F343" s="185">
        <f t="shared" si="61"/>
        <v>6.1358775695817496</v>
      </c>
      <c r="G343" s="186">
        <f t="shared" si="62"/>
        <v>24.738961259165787</v>
      </c>
      <c r="H343" s="186">
        <f t="shared" si="63"/>
        <v>0</v>
      </c>
      <c r="I343" s="186">
        <f t="shared" si="64"/>
        <v>58.061038740834206</v>
      </c>
      <c r="J343" s="186">
        <f t="shared" si="65"/>
        <v>23.248924369784021</v>
      </c>
      <c r="K343" s="186">
        <f t="shared" si="66"/>
        <v>1.4900368893817664</v>
      </c>
      <c r="L343" s="186">
        <f t="shared" si="67"/>
        <v>7.6715064548343843</v>
      </c>
      <c r="M343" s="186">
        <f t="shared" si="68"/>
        <v>19.683304478716845</v>
      </c>
      <c r="N343" s="186">
        <f t="shared" si="69"/>
        <v>21.173341368098612</v>
      </c>
      <c r="O343" s="186">
        <f t="shared" si="70"/>
        <v>0.55685887798099354</v>
      </c>
    </row>
    <row r="344" spans="1:15">
      <c r="A344" s="41">
        <v>2008</v>
      </c>
      <c r="B344" s="41">
        <v>3</v>
      </c>
      <c r="C344" s="180">
        <f t="shared" si="59"/>
        <v>120.30899999999998</v>
      </c>
      <c r="D344" s="180">
        <f>+HLOOKUP('Info Gral'!$C$8,'Precip 1981-2010'!$D$5:$AL$373,336,FALSE)</f>
        <v>75.3</v>
      </c>
      <c r="E344" s="185">
        <f t="shared" si="60"/>
        <v>140.76192523193916</v>
      </c>
      <c r="F344" s="185">
        <f t="shared" si="61"/>
        <v>6.1358775695817496</v>
      </c>
      <c r="G344" s="186">
        <f t="shared" si="62"/>
        <v>23.473535693071515</v>
      </c>
      <c r="H344" s="186">
        <f t="shared" si="63"/>
        <v>0</v>
      </c>
      <c r="I344" s="186">
        <f t="shared" si="64"/>
        <v>51.826464306928486</v>
      </c>
      <c r="J344" s="186">
        <f t="shared" si="65"/>
        <v>22.127888587938646</v>
      </c>
      <c r="K344" s="186">
        <f t="shared" si="66"/>
        <v>1.3456471051328691</v>
      </c>
      <c r="L344" s="186">
        <f t="shared" si="67"/>
        <v>7.669613297840467</v>
      </c>
      <c r="M344" s="186">
        <f t="shared" si="68"/>
        <v>22.129781744932565</v>
      </c>
      <c r="N344" s="186">
        <f t="shared" si="69"/>
        <v>23.475428850065434</v>
      </c>
      <c r="O344" s="186">
        <f t="shared" si="70"/>
        <v>0.61740377875672092</v>
      </c>
    </row>
    <row r="345" spans="1:15">
      <c r="A345" s="41">
        <v>2008</v>
      </c>
      <c r="B345" s="41">
        <v>4</v>
      </c>
      <c r="C345" s="180">
        <f t="shared" si="59"/>
        <v>73.802999999999997</v>
      </c>
      <c r="D345" s="180">
        <f>+HLOOKUP('Info Gral'!$C$8,'Precip 1981-2010'!$D$5:$AL$373,337,FALSE)</f>
        <v>128.1</v>
      </c>
      <c r="E345" s="185">
        <f t="shared" si="60"/>
        <v>94.255925231939159</v>
      </c>
      <c r="F345" s="185">
        <f t="shared" si="61"/>
        <v>6.1358775695817496</v>
      </c>
      <c r="G345" s="186">
        <f t="shared" si="62"/>
        <v>70.806130484048211</v>
      </c>
      <c r="H345" s="186">
        <f t="shared" si="63"/>
        <v>0</v>
      </c>
      <c r="I345" s="186">
        <f t="shared" si="64"/>
        <v>57.293869515951783</v>
      </c>
      <c r="J345" s="186">
        <f t="shared" si="65"/>
        <v>59.830997315823062</v>
      </c>
      <c r="K345" s="186">
        <f t="shared" si="66"/>
        <v>10.975133168225149</v>
      </c>
      <c r="L345" s="186">
        <f t="shared" si="67"/>
        <v>19.459320136904974</v>
      </c>
      <c r="M345" s="186">
        <f t="shared" si="68"/>
        <v>48.041290476758554</v>
      </c>
      <c r="N345" s="186">
        <f t="shared" si="69"/>
        <v>59.016423644983703</v>
      </c>
      <c r="O345" s="186">
        <f t="shared" si="70"/>
        <v>1.5521319418630715</v>
      </c>
    </row>
    <row r="346" spans="1:15">
      <c r="A346" s="41">
        <v>2008</v>
      </c>
      <c r="B346" s="41">
        <v>5</v>
      </c>
      <c r="C346" s="180">
        <f t="shared" si="59"/>
        <v>44.483999999999995</v>
      </c>
      <c r="D346" s="180">
        <f>+HLOOKUP('Info Gral'!$C$8,'Precip 1981-2010'!$D$5:$AL$373,338,FALSE)</f>
        <v>52.5</v>
      </c>
      <c r="E346" s="185">
        <f t="shared" si="60"/>
        <v>64.936925231939156</v>
      </c>
      <c r="F346" s="185">
        <f t="shared" si="61"/>
        <v>6.1358775695817496</v>
      </c>
      <c r="G346" s="186">
        <f t="shared" si="62"/>
        <v>20.440530328115564</v>
      </c>
      <c r="H346" s="186">
        <f t="shared" si="63"/>
        <v>0</v>
      </c>
      <c r="I346" s="186">
        <f t="shared" si="64"/>
        <v>32.059469671884436</v>
      </c>
      <c r="J346" s="186">
        <f t="shared" si="65"/>
        <v>19.412544069566707</v>
      </c>
      <c r="K346" s="186">
        <f t="shared" si="66"/>
        <v>1.0279862585488573</v>
      </c>
      <c r="L346" s="186">
        <f t="shared" si="67"/>
        <v>7.9731687342646511</v>
      </c>
      <c r="M346" s="186">
        <f t="shared" si="68"/>
        <v>30.898695472207031</v>
      </c>
      <c r="N346" s="186">
        <f t="shared" si="69"/>
        <v>31.926681730755888</v>
      </c>
      <c r="O346" s="186">
        <f t="shared" si="70"/>
        <v>0.83967172951887992</v>
      </c>
    </row>
    <row r="347" spans="1:15">
      <c r="A347" s="41">
        <v>2008</v>
      </c>
      <c r="B347" s="41">
        <v>6</v>
      </c>
      <c r="C347" s="180">
        <f t="shared" si="59"/>
        <v>29.318999999999996</v>
      </c>
      <c r="D347" s="180">
        <f>+HLOOKUP('Info Gral'!$C$8,'Precip 1981-2010'!$D$5:$AL$373,339,FALSE)</f>
        <v>107.1</v>
      </c>
      <c r="E347" s="185">
        <f t="shared" si="60"/>
        <v>49.771925231939164</v>
      </c>
      <c r="F347" s="185">
        <f t="shared" si="61"/>
        <v>6.1358775695817496</v>
      </c>
      <c r="G347" s="186">
        <f t="shared" si="62"/>
        <v>70.496141267359221</v>
      </c>
      <c r="H347" s="186">
        <f t="shared" si="63"/>
        <v>7.2848587326407781</v>
      </c>
      <c r="I347" s="186">
        <f t="shared" si="64"/>
        <v>29.318999999999996</v>
      </c>
      <c r="J347" s="186">
        <f t="shared" si="65"/>
        <v>59.609508316223653</v>
      </c>
      <c r="K347" s="186">
        <f t="shared" si="66"/>
        <v>10.886632951135567</v>
      </c>
      <c r="L347" s="186">
        <f t="shared" si="67"/>
        <v>19.41974245989886</v>
      </c>
      <c r="M347" s="186">
        <f t="shared" si="68"/>
        <v>48.162934590589444</v>
      </c>
      <c r="N347" s="186">
        <f t="shared" si="69"/>
        <v>59.049567541725011</v>
      </c>
      <c r="O347" s="186">
        <f t="shared" si="70"/>
        <v>1.5530036263473679</v>
      </c>
    </row>
    <row r="348" spans="1:15">
      <c r="A348" s="41">
        <v>2008</v>
      </c>
      <c r="B348" s="41">
        <v>7</v>
      </c>
      <c r="C348" s="180">
        <f t="shared" si="59"/>
        <v>35.384999999999998</v>
      </c>
      <c r="D348" s="180">
        <f>+HLOOKUP('Info Gral'!$C$8,'Precip 1981-2010'!$D$5:$AL$373,340,FALSE)</f>
        <v>127.3</v>
      </c>
      <c r="E348" s="185">
        <f t="shared" si="60"/>
        <v>48.553066499298382</v>
      </c>
      <c r="F348" s="185">
        <f t="shared" si="61"/>
        <v>3.950419949789516</v>
      </c>
      <c r="G348" s="186">
        <f t="shared" si="62"/>
        <v>90.591945141790148</v>
      </c>
      <c r="H348" s="186">
        <f t="shared" si="63"/>
        <v>8.6079135908506359</v>
      </c>
      <c r="I348" s="186">
        <f t="shared" si="64"/>
        <v>35.384999999999998</v>
      </c>
      <c r="J348" s="186">
        <f t="shared" si="65"/>
        <v>73.371971937812702</v>
      </c>
      <c r="K348" s="186">
        <f t="shared" si="66"/>
        <v>17.219973203977446</v>
      </c>
      <c r="L348" s="186">
        <f t="shared" si="67"/>
        <v>24.842597637337139</v>
      </c>
      <c r="M348" s="186">
        <f t="shared" si="68"/>
        <v>67.949116760374423</v>
      </c>
      <c r="N348" s="186">
        <f t="shared" si="69"/>
        <v>85.169089964351869</v>
      </c>
      <c r="O348" s="186">
        <f t="shared" si="70"/>
        <v>2.2399470660624541</v>
      </c>
    </row>
    <row r="349" spans="1:15">
      <c r="A349" s="41">
        <v>2008</v>
      </c>
      <c r="B349" s="41">
        <v>8</v>
      </c>
      <c r="C349" s="180">
        <f t="shared" si="59"/>
        <v>55.605000000000004</v>
      </c>
      <c r="D349" s="180">
        <f>+HLOOKUP('Info Gral'!$C$8,'Precip 1981-2010'!$D$5:$AL$373,341,FALSE)</f>
        <v>83.8</v>
      </c>
      <c r="E349" s="185">
        <f t="shared" si="60"/>
        <v>67.450011641088537</v>
      </c>
      <c r="F349" s="185">
        <f t="shared" si="61"/>
        <v>3.5535034923265587</v>
      </c>
      <c r="G349" s="186">
        <f t="shared" si="62"/>
        <v>44.674385809457647</v>
      </c>
      <c r="H349" s="186">
        <f t="shared" si="63"/>
        <v>0</v>
      </c>
      <c r="I349" s="186">
        <f t="shared" si="64"/>
        <v>47.733527781392979</v>
      </c>
      <c r="J349" s="186">
        <f t="shared" si="65"/>
        <v>40.040256608341728</v>
      </c>
      <c r="K349" s="186">
        <f t="shared" si="66"/>
        <v>4.6341292011159183</v>
      </c>
      <c r="L349" s="186">
        <f t="shared" si="67"/>
        <v>14.949920906597544</v>
      </c>
      <c r="M349" s="186">
        <f t="shared" si="68"/>
        <v>49.932933339081323</v>
      </c>
      <c r="N349" s="186">
        <f t="shared" si="69"/>
        <v>54.567062540197242</v>
      </c>
      <c r="O349" s="186">
        <f t="shared" si="70"/>
        <v>1.4351137448071876</v>
      </c>
    </row>
    <row r="350" spans="1:15">
      <c r="A350" s="41">
        <v>2008</v>
      </c>
      <c r="B350" s="41">
        <v>9</v>
      </c>
      <c r="C350" s="180">
        <f t="shared" ref="C350:C377" si="71">+C338</f>
        <v>78.858000000000004</v>
      </c>
      <c r="D350" s="180">
        <f>+HLOOKUP('Info Gral'!$C$8,'Precip 1981-2010'!$D$5:$AL$373,342,FALSE)</f>
        <v>70.7</v>
      </c>
      <c r="E350" s="185">
        <f t="shared" si="60"/>
        <v>99.310925231939166</v>
      </c>
      <c r="F350" s="185">
        <f t="shared" si="61"/>
        <v>6.1358775695817496</v>
      </c>
      <c r="G350" s="186">
        <f t="shared" si="62"/>
        <v>26.42670113427301</v>
      </c>
      <c r="H350" s="186">
        <f t="shared" si="63"/>
        <v>0</v>
      </c>
      <c r="I350" s="186">
        <f t="shared" si="64"/>
        <v>44.273298865726993</v>
      </c>
      <c r="J350" s="186">
        <f t="shared" si="65"/>
        <v>24.73338076747935</v>
      </c>
      <c r="K350" s="186">
        <f t="shared" si="66"/>
        <v>1.6933203667936603</v>
      </c>
      <c r="L350" s="186">
        <f t="shared" si="67"/>
        <v>9.1960681086988725</v>
      </c>
      <c r="M350" s="186">
        <f t="shared" si="68"/>
        <v>30.48723356537802</v>
      </c>
      <c r="N350" s="186">
        <f t="shared" si="69"/>
        <v>32.180553932171676</v>
      </c>
      <c r="O350" s="186">
        <f t="shared" si="70"/>
        <v>0.84634856841611517</v>
      </c>
    </row>
    <row r="351" spans="1:15">
      <c r="A351" s="41">
        <v>2008</v>
      </c>
      <c r="B351" s="41">
        <v>10</v>
      </c>
      <c r="C351" s="180">
        <f t="shared" si="71"/>
        <v>113.232</v>
      </c>
      <c r="D351" s="180">
        <f>+HLOOKUP('Info Gral'!$C$8,'Precip 1981-2010'!$D$5:$AL$373,343,FALSE)</f>
        <v>205.2</v>
      </c>
      <c r="E351" s="185">
        <f t="shared" si="60"/>
        <v>133.68492523193916</v>
      </c>
      <c r="F351" s="185">
        <f t="shared" si="61"/>
        <v>6.1358775695817496</v>
      </c>
      <c r="G351" s="186">
        <f t="shared" si="62"/>
        <v>121.32555716518254</v>
      </c>
      <c r="H351" s="186">
        <f t="shared" si="63"/>
        <v>0</v>
      </c>
      <c r="I351" s="186">
        <f t="shared" si="64"/>
        <v>83.874442834817444</v>
      </c>
      <c r="J351" s="186">
        <f t="shared" si="65"/>
        <v>92.310872977590435</v>
      </c>
      <c r="K351" s="186">
        <f t="shared" si="66"/>
        <v>29.01468418759211</v>
      </c>
      <c r="L351" s="186">
        <f t="shared" si="67"/>
        <v>29.765151134033434</v>
      </c>
      <c r="M351" s="186">
        <f t="shared" si="68"/>
        <v>71.741789952255871</v>
      </c>
      <c r="N351" s="186">
        <f t="shared" si="69"/>
        <v>100.75647413984798</v>
      </c>
      <c r="O351" s="186">
        <f t="shared" si="70"/>
        <v>2.6498952698780021</v>
      </c>
    </row>
    <row r="352" spans="1:15">
      <c r="A352" s="41">
        <v>2008</v>
      </c>
      <c r="B352" s="41">
        <v>11</v>
      </c>
      <c r="C352" s="180">
        <f t="shared" si="71"/>
        <v>148.61699999999999</v>
      </c>
      <c r="D352" s="180">
        <f>+HLOOKUP('Info Gral'!$C$8,'Precip 1981-2010'!$D$5:$AL$373,344,FALSE)</f>
        <v>18</v>
      </c>
      <c r="E352" s="185">
        <f t="shared" si="60"/>
        <v>169.06992523193915</v>
      </c>
      <c r="F352" s="185">
        <f t="shared" si="61"/>
        <v>6.1358775695817496</v>
      </c>
      <c r="G352" s="186">
        <f t="shared" si="62"/>
        <v>0.80525671961694589</v>
      </c>
      <c r="H352" s="186">
        <f t="shared" si="63"/>
        <v>0</v>
      </c>
      <c r="I352" s="186">
        <f t="shared" si="64"/>
        <v>17.194743280383054</v>
      </c>
      <c r="J352" s="186">
        <f t="shared" si="65"/>
        <v>0.80358032465275264</v>
      </c>
      <c r="K352" s="186">
        <f t="shared" si="66"/>
        <v>1.6763949641932507E-3</v>
      </c>
      <c r="L352" s="186">
        <f t="shared" si="67"/>
        <v>3.1618213258523005</v>
      </c>
      <c r="M352" s="186">
        <f t="shared" si="68"/>
        <v>27.406910132833886</v>
      </c>
      <c r="N352" s="186">
        <f t="shared" si="69"/>
        <v>27.408586527798079</v>
      </c>
      <c r="O352" s="186">
        <f t="shared" si="70"/>
        <v>0.72084582568108946</v>
      </c>
    </row>
    <row r="353" spans="1:15">
      <c r="A353" s="41">
        <v>2008</v>
      </c>
      <c r="B353" s="41">
        <v>12</v>
      </c>
      <c r="C353" s="180">
        <f t="shared" si="71"/>
        <v>179.958</v>
      </c>
      <c r="D353" s="180">
        <f>+HLOOKUP('Info Gral'!$C$8,'Precip 1981-2010'!$D$5:$AL$373,345,FALSE)</f>
        <v>65.2</v>
      </c>
      <c r="E353" s="185">
        <f t="shared" si="60"/>
        <v>200.41092523193916</v>
      </c>
      <c r="F353" s="185">
        <f t="shared" si="61"/>
        <v>6.1358775695817496</v>
      </c>
      <c r="G353" s="186">
        <f t="shared" si="62"/>
        <v>13.770355990342443</v>
      </c>
      <c r="H353" s="186">
        <f t="shared" si="63"/>
        <v>0</v>
      </c>
      <c r="I353" s="186">
        <f t="shared" si="64"/>
        <v>51.429644009657558</v>
      </c>
      <c r="J353" s="186">
        <f t="shared" si="65"/>
        <v>13.296026913012504</v>
      </c>
      <c r="K353" s="186">
        <f t="shared" si="66"/>
        <v>0.4743290773299389</v>
      </c>
      <c r="L353" s="186">
        <f t="shared" si="67"/>
        <v>4.466887189374269</v>
      </c>
      <c r="M353" s="186">
        <f t="shared" si="68"/>
        <v>11.990961049490537</v>
      </c>
      <c r="N353" s="186">
        <f t="shared" si="69"/>
        <v>12.465290126820475</v>
      </c>
      <c r="O353" s="186">
        <f t="shared" si="70"/>
        <v>0.32783713033537853</v>
      </c>
    </row>
    <row r="354" spans="1:15">
      <c r="A354" s="41">
        <v>2009</v>
      </c>
      <c r="B354" s="41">
        <v>1</v>
      </c>
      <c r="C354" s="180">
        <f t="shared" si="71"/>
        <v>190.06799999999998</v>
      </c>
      <c r="D354" s="180">
        <f>+HLOOKUP('Info Gral'!$C$8,'Precip 1981-2010'!$D$5:$AL$373,346,FALSE)</f>
        <v>54.9</v>
      </c>
      <c r="E354" s="185">
        <f t="shared" si="60"/>
        <v>210.52092523193915</v>
      </c>
      <c r="F354" s="185">
        <f t="shared" si="61"/>
        <v>6.1358775695817496</v>
      </c>
      <c r="G354" s="186">
        <f t="shared" si="62"/>
        <v>9.3934324791084194</v>
      </c>
      <c r="H354" s="186">
        <f t="shared" si="63"/>
        <v>0</v>
      </c>
      <c r="I354" s="186">
        <f t="shared" si="64"/>
        <v>45.506567520891579</v>
      </c>
      <c r="J354" s="186">
        <f t="shared" si="65"/>
        <v>9.1702710239817442</v>
      </c>
      <c r="K354" s="186">
        <f t="shared" si="66"/>
        <v>0.22316145512667518</v>
      </c>
      <c r="L354" s="186">
        <f t="shared" si="67"/>
        <v>3.3043629475521281</v>
      </c>
      <c r="M354" s="186">
        <f t="shared" si="68"/>
        <v>10.332795265803885</v>
      </c>
      <c r="N354" s="186">
        <f t="shared" si="69"/>
        <v>10.55595672093056</v>
      </c>
      <c r="O354" s="186">
        <f t="shared" si="70"/>
        <v>0.2776216617604737</v>
      </c>
    </row>
    <row r="355" spans="1:15">
      <c r="A355" s="41">
        <v>2009</v>
      </c>
      <c r="B355" s="41">
        <v>2</v>
      </c>
      <c r="C355" s="180">
        <f t="shared" si="71"/>
        <v>146.595</v>
      </c>
      <c r="D355" s="180">
        <f>+HLOOKUP('Info Gral'!$C$8,'Precip 1981-2010'!$D$5:$AL$373,347,FALSE)</f>
        <v>262.60000000000002</v>
      </c>
      <c r="E355" s="185">
        <f t="shared" si="60"/>
        <v>167.04792523193916</v>
      </c>
      <c r="F355" s="185">
        <f t="shared" si="61"/>
        <v>6.1358775695817496</v>
      </c>
      <c r="G355" s="186">
        <f t="shared" si="62"/>
        <v>157.58888697307313</v>
      </c>
      <c r="H355" s="186">
        <f t="shared" si="63"/>
        <v>0</v>
      </c>
      <c r="I355" s="186">
        <f t="shared" si="64"/>
        <v>105.01111302692689</v>
      </c>
      <c r="J355" s="186">
        <f t="shared" si="65"/>
        <v>111.90315296975419</v>
      </c>
      <c r="K355" s="186">
        <f t="shared" si="66"/>
        <v>45.685734003318942</v>
      </c>
      <c r="L355" s="186">
        <f t="shared" si="67"/>
        <v>35.315613346474827</v>
      </c>
      <c r="M355" s="186">
        <f t="shared" si="68"/>
        <v>79.89190257083149</v>
      </c>
      <c r="N355" s="186">
        <f t="shared" si="69"/>
        <v>125.57763657415043</v>
      </c>
      <c r="O355" s="186">
        <f t="shared" si="70"/>
        <v>3.3026918419001565</v>
      </c>
    </row>
    <row r="356" spans="1:15">
      <c r="A356" s="41">
        <v>2009</v>
      </c>
      <c r="B356" s="41">
        <v>3</v>
      </c>
      <c r="C356" s="180">
        <f t="shared" si="71"/>
        <v>120.30899999999998</v>
      </c>
      <c r="D356" s="180">
        <f>+HLOOKUP('Info Gral'!$C$8,'Precip 1981-2010'!$D$5:$AL$373,348,FALSE)</f>
        <v>43.7</v>
      </c>
      <c r="E356" s="185">
        <f t="shared" si="60"/>
        <v>140.76192523193916</v>
      </c>
      <c r="F356" s="185">
        <f t="shared" si="61"/>
        <v>6.1358775695817496</v>
      </c>
      <c r="G356" s="186">
        <f t="shared" si="62"/>
        <v>8.1947958655663893</v>
      </c>
      <c r="H356" s="186">
        <f t="shared" si="63"/>
        <v>0</v>
      </c>
      <c r="I356" s="186">
        <f t="shared" si="64"/>
        <v>35.505204134433612</v>
      </c>
      <c r="J356" s="186">
        <f t="shared" si="65"/>
        <v>8.0244367436737551</v>
      </c>
      <c r="K356" s="186">
        <f t="shared" si="66"/>
        <v>0.17035912189263414</v>
      </c>
      <c r="L356" s="186">
        <f t="shared" si="67"/>
        <v>5.9625513097882159</v>
      </c>
      <c r="M356" s="186">
        <f t="shared" si="68"/>
        <v>37.377498780360362</v>
      </c>
      <c r="N356" s="186">
        <f t="shared" si="69"/>
        <v>37.547857902253</v>
      </c>
      <c r="O356" s="186">
        <f t="shared" si="70"/>
        <v>0.98750866282925387</v>
      </c>
    </row>
    <row r="357" spans="1:15">
      <c r="A357" s="41">
        <v>2009</v>
      </c>
      <c r="B357" s="41">
        <v>4</v>
      </c>
      <c r="C357" s="180">
        <f t="shared" si="71"/>
        <v>73.802999999999997</v>
      </c>
      <c r="D357" s="180">
        <f>+HLOOKUP('Info Gral'!$C$8,'Precip 1981-2010'!$D$5:$AL$373,349,FALSE)</f>
        <v>17.5</v>
      </c>
      <c r="E357" s="185">
        <f t="shared" si="60"/>
        <v>94.255925231939159</v>
      </c>
      <c r="F357" s="185">
        <f t="shared" si="61"/>
        <v>6.1358775695817496</v>
      </c>
      <c r="G357" s="186">
        <f t="shared" si="62"/>
        <v>1.2981289233563535</v>
      </c>
      <c r="H357" s="186">
        <f t="shared" si="63"/>
        <v>0</v>
      </c>
      <c r="I357" s="186">
        <f t="shared" si="64"/>
        <v>16.201871076643645</v>
      </c>
      <c r="J357" s="186">
        <f t="shared" si="65"/>
        <v>1.2937779116271237</v>
      </c>
      <c r="K357" s="186">
        <f t="shared" si="66"/>
        <v>4.3510117292298034E-3</v>
      </c>
      <c r="L357" s="186">
        <f t="shared" si="67"/>
        <v>0.98760761147580844</v>
      </c>
      <c r="M357" s="186">
        <f t="shared" si="68"/>
        <v>6.2687216099395311</v>
      </c>
      <c r="N357" s="186">
        <f t="shared" si="69"/>
        <v>6.2730726216687609</v>
      </c>
      <c r="O357" s="186">
        <f t="shared" si="70"/>
        <v>0.16498180994988842</v>
      </c>
    </row>
    <row r="358" spans="1:15">
      <c r="A358" s="41">
        <v>2009</v>
      </c>
      <c r="B358" s="41">
        <v>5</v>
      </c>
      <c r="C358" s="180">
        <f t="shared" si="71"/>
        <v>44.483999999999995</v>
      </c>
      <c r="D358" s="180">
        <f>+HLOOKUP('Info Gral'!$C$8,'Precip 1981-2010'!$D$5:$AL$373,350,FALSE)</f>
        <v>146</v>
      </c>
      <c r="E358" s="185">
        <f t="shared" si="60"/>
        <v>64.936925231939156</v>
      </c>
      <c r="F358" s="185">
        <f t="shared" si="61"/>
        <v>6.1358775695817496</v>
      </c>
      <c r="G358" s="186">
        <f t="shared" si="62"/>
        <v>98.46704751565504</v>
      </c>
      <c r="H358" s="186">
        <f t="shared" si="63"/>
        <v>3.0489524843449658</v>
      </c>
      <c r="I358" s="186">
        <f t="shared" si="64"/>
        <v>44.483999999999995</v>
      </c>
      <c r="J358" s="186">
        <f t="shared" si="65"/>
        <v>78.45379894452914</v>
      </c>
      <c r="K358" s="186">
        <f t="shared" si="66"/>
        <v>20.013248571125899</v>
      </c>
      <c r="L358" s="186">
        <f t="shared" si="67"/>
        <v>24.629344818767319</v>
      </c>
      <c r="M358" s="186">
        <f t="shared" si="68"/>
        <v>54.812061737237627</v>
      </c>
      <c r="N358" s="186">
        <f t="shared" si="69"/>
        <v>74.825310308363527</v>
      </c>
      <c r="O358" s="186">
        <f t="shared" si="70"/>
        <v>1.9679056611099606</v>
      </c>
    </row>
    <row r="359" spans="1:15">
      <c r="A359" s="41">
        <v>2009</v>
      </c>
      <c r="B359" s="41">
        <v>6</v>
      </c>
      <c r="C359" s="180">
        <f t="shared" si="71"/>
        <v>29.318999999999996</v>
      </c>
      <c r="D359" s="180">
        <f>+HLOOKUP('Info Gral'!$C$8,'Precip 1981-2010'!$D$5:$AL$373,351,FALSE)</f>
        <v>14</v>
      </c>
      <c r="E359" s="185">
        <f t="shared" si="60"/>
        <v>46.722972747594198</v>
      </c>
      <c r="F359" s="185">
        <f t="shared" si="61"/>
        <v>5.22119182427826</v>
      </c>
      <c r="G359" s="186">
        <f t="shared" si="62"/>
        <v>1.5327480120473338</v>
      </c>
      <c r="H359" s="186">
        <f t="shared" si="63"/>
        <v>0</v>
      </c>
      <c r="I359" s="186">
        <f t="shared" si="64"/>
        <v>15.516204472297632</v>
      </c>
      <c r="J359" s="186">
        <f t="shared" si="65"/>
        <v>1.5266857721966722</v>
      </c>
      <c r="K359" s="186">
        <f t="shared" si="66"/>
        <v>6.062239850661566E-3</v>
      </c>
      <c r="L359" s="186">
        <f t="shared" si="67"/>
        <v>2.8857420603742296</v>
      </c>
      <c r="M359" s="186">
        <f t="shared" si="68"/>
        <v>23.27028853058976</v>
      </c>
      <c r="N359" s="186">
        <f t="shared" si="69"/>
        <v>23.27635077044042</v>
      </c>
      <c r="O359" s="186">
        <f t="shared" si="70"/>
        <v>0.61216802526258307</v>
      </c>
    </row>
    <row r="360" spans="1:15">
      <c r="A360" s="41">
        <v>2009</v>
      </c>
      <c r="B360" s="41">
        <v>7</v>
      </c>
      <c r="C360" s="180">
        <f t="shared" si="71"/>
        <v>35.384999999999998</v>
      </c>
      <c r="D360" s="180">
        <f>+HLOOKUP('Info Gral'!$C$8,'Precip 1981-2010'!$D$5:$AL$373,352,FALSE)</f>
        <v>21.2</v>
      </c>
      <c r="E360" s="185">
        <f t="shared" si="60"/>
        <v>55.837925231939167</v>
      </c>
      <c r="F360" s="185">
        <f t="shared" si="61"/>
        <v>6.1358775695817496</v>
      </c>
      <c r="G360" s="186">
        <f t="shared" si="62"/>
        <v>3.5038012016699884</v>
      </c>
      <c r="H360" s="186">
        <f t="shared" si="63"/>
        <v>0</v>
      </c>
      <c r="I360" s="186">
        <f t="shared" si="64"/>
        <v>17.696198798330009</v>
      </c>
      <c r="J360" s="186">
        <f t="shared" si="65"/>
        <v>3.4722825802266311</v>
      </c>
      <c r="K360" s="186">
        <f t="shared" si="66"/>
        <v>3.1518621443357375E-2</v>
      </c>
      <c r="L360" s="186">
        <f t="shared" si="67"/>
        <v>1.3679725195841181</v>
      </c>
      <c r="M360" s="186">
        <f t="shared" si="68"/>
        <v>4.9900521210167428</v>
      </c>
      <c r="N360" s="186">
        <f t="shared" si="69"/>
        <v>5.0215707424601002</v>
      </c>
      <c r="O360" s="186">
        <f t="shared" si="70"/>
        <v>0.13206731052670065</v>
      </c>
    </row>
    <row r="361" spans="1:15">
      <c r="A361" s="41">
        <v>2009</v>
      </c>
      <c r="B361" s="41">
        <v>8</v>
      </c>
      <c r="C361" s="180">
        <f t="shared" si="71"/>
        <v>55.605000000000004</v>
      </c>
      <c r="D361" s="180">
        <f>+HLOOKUP('Info Gral'!$C$8,'Precip 1981-2010'!$D$5:$AL$373,353,FALSE)</f>
        <v>21.8</v>
      </c>
      <c r="E361" s="185">
        <f t="shared" si="60"/>
        <v>76.057925231939166</v>
      </c>
      <c r="F361" s="185">
        <f t="shared" si="61"/>
        <v>6.1358775695817496</v>
      </c>
      <c r="G361" s="186">
        <f t="shared" si="62"/>
        <v>2.8668735994279926</v>
      </c>
      <c r="H361" s="186">
        <f t="shared" si="63"/>
        <v>0</v>
      </c>
      <c r="I361" s="186">
        <f t="shared" si="64"/>
        <v>18.933126400572007</v>
      </c>
      <c r="J361" s="186">
        <f t="shared" si="65"/>
        <v>2.8457379234599651</v>
      </c>
      <c r="K361" s="186">
        <f t="shared" si="66"/>
        <v>2.1135675968027456E-2</v>
      </c>
      <c r="L361" s="186">
        <f t="shared" si="67"/>
        <v>1.0236371144565073</v>
      </c>
      <c r="M361" s="186">
        <f t="shared" si="68"/>
        <v>3.1900733285875758</v>
      </c>
      <c r="N361" s="186">
        <f t="shared" si="69"/>
        <v>3.2112090045556032</v>
      </c>
      <c r="O361" s="186">
        <f t="shared" si="70"/>
        <v>8.4454796819812369E-2</v>
      </c>
    </row>
    <row r="362" spans="1:15">
      <c r="A362" s="41">
        <v>2009</v>
      </c>
      <c r="B362" s="41">
        <v>9</v>
      </c>
      <c r="C362" s="180">
        <f t="shared" si="71"/>
        <v>78.858000000000004</v>
      </c>
      <c r="D362" s="180">
        <f>+HLOOKUP('Info Gral'!$C$8,'Precip 1981-2010'!$D$5:$AL$373,354,FALSE)</f>
        <v>195.7</v>
      </c>
      <c r="E362" s="185">
        <f t="shared" si="60"/>
        <v>99.310925231939166</v>
      </c>
      <c r="F362" s="185">
        <f t="shared" si="61"/>
        <v>6.1358775695817496</v>
      </c>
      <c r="G362" s="186">
        <f t="shared" si="62"/>
        <v>127.09436934763347</v>
      </c>
      <c r="H362" s="186">
        <f t="shared" si="63"/>
        <v>0</v>
      </c>
      <c r="I362" s="186">
        <f t="shared" si="64"/>
        <v>68.605630652366514</v>
      </c>
      <c r="J362" s="186">
        <f t="shared" si="65"/>
        <v>95.612872599949128</v>
      </c>
      <c r="K362" s="186">
        <f t="shared" si="66"/>
        <v>31.481496747684346</v>
      </c>
      <c r="L362" s="186">
        <f t="shared" si="67"/>
        <v>29.99856933999742</v>
      </c>
      <c r="M362" s="186">
        <f t="shared" si="68"/>
        <v>66.637940374408217</v>
      </c>
      <c r="N362" s="186">
        <f t="shared" si="69"/>
        <v>98.119437122092563</v>
      </c>
      <c r="O362" s="186">
        <f t="shared" si="70"/>
        <v>2.5805411963110343</v>
      </c>
    </row>
    <row r="363" spans="1:15">
      <c r="A363" s="41">
        <v>2009</v>
      </c>
      <c r="B363" s="41">
        <v>10</v>
      </c>
      <c r="C363" s="180">
        <f t="shared" si="71"/>
        <v>113.232</v>
      </c>
      <c r="D363" s="180">
        <f>+HLOOKUP('Info Gral'!$C$8,'Precip 1981-2010'!$D$5:$AL$373,355,FALSE)</f>
        <v>81.099999999999994</v>
      </c>
      <c r="E363" s="185">
        <f t="shared" si="60"/>
        <v>133.68492523193916</v>
      </c>
      <c r="F363" s="185">
        <f t="shared" si="61"/>
        <v>6.1358775695817496</v>
      </c>
      <c r="G363" s="186">
        <f t="shared" si="62"/>
        <v>27.749403405162571</v>
      </c>
      <c r="H363" s="186">
        <f t="shared" si="63"/>
        <v>0</v>
      </c>
      <c r="I363" s="186">
        <f t="shared" si="64"/>
        <v>53.350596594837427</v>
      </c>
      <c r="J363" s="186">
        <f t="shared" si="65"/>
        <v>25.888302499626281</v>
      </c>
      <c r="K363" s="186">
        <f t="shared" si="66"/>
        <v>1.8611009055362899</v>
      </c>
      <c r="L363" s="186">
        <f t="shared" si="67"/>
        <v>11.028724784326412</v>
      </c>
      <c r="M363" s="186">
        <f t="shared" si="68"/>
        <v>44.858147055297295</v>
      </c>
      <c r="N363" s="186">
        <f t="shared" si="69"/>
        <v>46.719247960833584</v>
      </c>
      <c r="O363" s="186">
        <f t="shared" si="70"/>
        <v>1.2287162213699232</v>
      </c>
    </row>
    <row r="364" spans="1:15">
      <c r="A364" s="41">
        <v>2009</v>
      </c>
      <c r="B364" s="41">
        <v>11</v>
      </c>
      <c r="C364" s="180">
        <f t="shared" si="71"/>
        <v>148.61699999999999</v>
      </c>
      <c r="D364" s="180">
        <f>+HLOOKUP('Info Gral'!$C$8,'Precip 1981-2010'!$D$5:$AL$373,356,FALSE)</f>
        <v>613.29999999999995</v>
      </c>
      <c r="E364" s="185">
        <f t="shared" si="60"/>
        <v>169.06992523193915</v>
      </c>
      <c r="F364" s="185">
        <f t="shared" si="61"/>
        <v>6.1358775695817496</v>
      </c>
      <c r="G364" s="186">
        <f t="shared" si="62"/>
        <v>478.70295747136743</v>
      </c>
      <c r="H364" s="186">
        <f t="shared" si="63"/>
        <v>0</v>
      </c>
      <c r="I364" s="186">
        <f t="shared" si="64"/>
        <v>134.59704252863253</v>
      </c>
      <c r="J364" s="186">
        <f t="shared" si="65"/>
        <v>213.69111784270305</v>
      </c>
      <c r="K364" s="186">
        <f t="shared" si="66"/>
        <v>265.01183962866435</v>
      </c>
      <c r="L364" s="186">
        <f t="shared" si="67"/>
        <v>67.900375249843762</v>
      </c>
      <c r="M364" s="186">
        <f t="shared" si="68"/>
        <v>156.8194673771857</v>
      </c>
      <c r="N364" s="186">
        <f t="shared" si="69"/>
        <v>421.83130700585002</v>
      </c>
      <c r="O364" s="186">
        <f t="shared" si="70"/>
        <v>11.094163374253856</v>
      </c>
    </row>
    <row r="365" spans="1:15">
      <c r="A365" s="41">
        <v>2009</v>
      </c>
      <c r="B365" s="41">
        <v>12</v>
      </c>
      <c r="C365" s="180">
        <f t="shared" si="71"/>
        <v>179.958</v>
      </c>
      <c r="D365" s="180">
        <f>+HLOOKUP('Info Gral'!$C$8,'Precip 1981-2010'!$D$5:$AL$373,357,FALSE)</f>
        <v>272.39999999999998</v>
      </c>
      <c r="E365" s="185">
        <f t="shared" si="60"/>
        <v>200.41092523193916</v>
      </c>
      <c r="F365" s="185">
        <f t="shared" si="61"/>
        <v>6.1358775695817496</v>
      </c>
      <c r="G365" s="186">
        <f t="shared" si="62"/>
        <v>153.94256883591169</v>
      </c>
      <c r="H365" s="186">
        <f t="shared" si="63"/>
        <v>0</v>
      </c>
      <c r="I365" s="186">
        <f t="shared" si="64"/>
        <v>118.45743116408829</v>
      </c>
      <c r="J365" s="186">
        <f t="shared" si="65"/>
        <v>110.05213331997939</v>
      </c>
      <c r="K365" s="186">
        <f t="shared" si="66"/>
        <v>43.890435515932296</v>
      </c>
      <c r="L365" s="186">
        <f t="shared" si="67"/>
        <v>41.053213681500885</v>
      </c>
      <c r="M365" s="186">
        <f t="shared" si="68"/>
        <v>136.89929488832226</v>
      </c>
      <c r="N365" s="186">
        <f t="shared" si="69"/>
        <v>180.78973040425456</v>
      </c>
      <c r="O365" s="186">
        <f t="shared" si="70"/>
        <v>4.7547699096318947</v>
      </c>
    </row>
    <row r="366" spans="1:15">
      <c r="A366" s="41">
        <v>2010</v>
      </c>
      <c r="B366" s="41">
        <v>1</v>
      </c>
      <c r="C366" s="180">
        <f t="shared" si="71"/>
        <v>190.06799999999998</v>
      </c>
      <c r="D366" s="180">
        <f>+HLOOKUP('Info Gral'!$C$8,'Precip 1981-2010'!$D$5:$AL$373,358,FALSE)</f>
        <v>357.5</v>
      </c>
      <c r="E366" s="185">
        <f t="shared" si="60"/>
        <v>210.52092523193915</v>
      </c>
      <c r="F366" s="185">
        <f t="shared" si="61"/>
        <v>6.1358775695817496</v>
      </c>
      <c r="G366" s="186">
        <f t="shared" si="62"/>
        <v>222.14472494972566</v>
      </c>
      <c r="H366" s="186">
        <f t="shared" si="63"/>
        <v>0</v>
      </c>
      <c r="I366" s="186">
        <f t="shared" si="64"/>
        <v>135.35527505027434</v>
      </c>
      <c r="J366" s="186">
        <f t="shared" si="65"/>
        <v>140.99910812789298</v>
      </c>
      <c r="K366" s="186">
        <f t="shared" si="66"/>
        <v>81.145616821832675</v>
      </c>
      <c r="L366" s="186">
        <f t="shared" si="67"/>
        <v>48.105231372171829</v>
      </c>
      <c r="M366" s="186">
        <f t="shared" si="68"/>
        <v>133.94709043722204</v>
      </c>
      <c r="N366" s="186">
        <f t="shared" si="69"/>
        <v>215.09270725905472</v>
      </c>
      <c r="O366" s="186">
        <f t="shared" si="70"/>
        <v>5.6569382009131388</v>
      </c>
    </row>
    <row r="367" spans="1:15">
      <c r="A367" s="41">
        <v>2010</v>
      </c>
      <c r="B367" s="41">
        <v>2</v>
      </c>
      <c r="C367" s="180">
        <f t="shared" si="71"/>
        <v>146.595</v>
      </c>
      <c r="D367" s="180">
        <f>+HLOOKUP('Info Gral'!$C$8,'Precip 1981-2010'!$D$5:$AL$373,359,FALSE)</f>
        <v>166.2</v>
      </c>
      <c r="E367" s="185">
        <f t="shared" si="60"/>
        <v>167.04792523193916</v>
      </c>
      <c r="F367" s="185">
        <f t="shared" si="61"/>
        <v>6.1358775695817496</v>
      </c>
      <c r="G367" s="186">
        <f t="shared" si="62"/>
        <v>79.820639899885748</v>
      </c>
      <c r="H367" s="186">
        <f t="shared" si="63"/>
        <v>0</v>
      </c>
      <c r="I367" s="186">
        <f t="shared" si="64"/>
        <v>86.379360100114241</v>
      </c>
      <c r="J367" s="186">
        <f t="shared" si="65"/>
        <v>66.14298372003816</v>
      </c>
      <c r="K367" s="186">
        <f t="shared" si="66"/>
        <v>13.677656179847588</v>
      </c>
      <c r="L367" s="186">
        <f t="shared" si="67"/>
        <v>25.387034023271234</v>
      </c>
      <c r="M367" s="186">
        <f t="shared" si="68"/>
        <v>88.861181068938748</v>
      </c>
      <c r="N367" s="186">
        <f t="shared" si="69"/>
        <v>102.53883724878634</v>
      </c>
      <c r="O367" s="186">
        <f t="shared" si="70"/>
        <v>2.6967714196430803</v>
      </c>
    </row>
    <row r="368" spans="1:15">
      <c r="A368" s="41">
        <v>2010</v>
      </c>
      <c r="B368" s="41">
        <v>3</v>
      </c>
      <c r="C368" s="180">
        <f t="shared" si="71"/>
        <v>120.30899999999998</v>
      </c>
      <c r="D368" s="180">
        <f>+HLOOKUP('Info Gral'!$C$8,'Precip 1981-2010'!$D$5:$AL$373,360,FALSE)</f>
        <v>46.7</v>
      </c>
      <c r="E368" s="185">
        <f t="shared" si="60"/>
        <v>140.76192523193916</v>
      </c>
      <c r="F368" s="185">
        <f t="shared" si="61"/>
        <v>6.1358775695817496</v>
      </c>
      <c r="G368" s="186">
        <f t="shared" si="62"/>
        <v>9.392353621659133</v>
      </c>
      <c r="H368" s="186">
        <f t="shared" si="63"/>
        <v>0</v>
      </c>
      <c r="I368" s="186">
        <f t="shared" si="64"/>
        <v>37.30764637834087</v>
      </c>
      <c r="J368" s="186">
        <f t="shared" si="65"/>
        <v>9.1692428160346378</v>
      </c>
      <c r="K368" s="186">
        <f t="shared" si="66"/>
        <v>0.22311080562449526</v>
      </c>
      <c r="L368" s="186">
        <f t="shared" si="67"/>
        <v>5.3496854308640449</v>
      </c>
      <c r="M368" s="186">
        <f t="shared" si="68"/>
        <v>29.206591408441824</v>
      </c>
      <c r="N368" s="186">
        <f t="shared" si="69"/>
        <v>29.429702214066317</v>
      </c>
      <c r="O368" s="186">
        <f t="shared" si="70"/>
        <v>0.77400116822994414</v>
      </c>
    </row>
    <row r="369" spans="1:15">
      <c r="A369" s="41">
        <v>2010</v>
      </c>
      <c r="B369" s="41">
        <v>4</v>
      </c>
      <c r="C369" s="180">
        <f t="shared" si="71"/>
        <v>73.802999999999997</v>
      </c>
      <c r="D369" s="180">
        <f>+HLOOKUP('Info Gral'!$C$8,'Precip 1981-2010'!$D$5:$AL$373,361,FALSE)</f>
        <v>62.9</v>
      </c>
      <c r="E369" s="185">
        <f t="shared" si="60"/>
        <v>94.255925231939159</v>
      </c>
      <c r="F369" s="185">
        <f t="shared" si="61"/>
        <v>6.1358775695817496</v>
      </c>
      <c r="G369" s="186">
        <f t="shared" si="62"/>
        <v>22.239597281277995</v>
      </c>
      <c r="H369" s="186">
        <f t="shared" si="63"/>
        <v>0</v>
      </c>
      <c r="I369" s="186">
        <f t="shared" si="64"/>
        <v>40.660402718722004</v>
      </c>
      <c r="J369" s="186">
        <f t="shared" si="65"/>
        <v>21.028054622194272</v>
      </c>
      <c r="K369" s="186">
        <f t="shared" si="66"/>
        <v>1.2115426590837224</v>
      </c>
      <c r="L369" s="186">
        <f t="shared" si="67"/>
        <v>7.0986557724446744</v>
      </c>
      <c r="M369" s="186">
        <f t="shared" si="68"/>
        <v>19.279084280613642</v>
      </c>
      <c r="N369" s="186">
        <f t="shared" si="69"/>
        <v>20.490626939697364</v>
      </c>
      <c r="O369" s="186">
        <f t="shared" si="70"/>
        <v>0.53890348851404068</v>
      </c>
    </row>
    <row r="370" spans="1:15">
      <c r="A370" s="41">
        <v>2010</v>
      </c>
      <c r="B370" s="41">
        <v>5</v>
      </c>
      <c r="C370" s="180">
        <f t="shared" si="71"/>
        <v>44.483999999999995</v>
      </c>
      <c r="D370" s="180">
        <f>+HLOOKUP('Info Gral'!$C$8,'Precip 1981-2010'!$D$5:$AL$373,362,FALSE)</f>
        <v>126.8</v>
      </c>
      <c r="E370" s="185">
        <f t="shared" si="60"/>
        <v>64.936925231939156</v>
      </c>
      <c r="F370" s="185">
        <f t="shared" si="61"/>
        <v>6.1358775695817496</v>
      </c>
      <c r="G370" s="186">
        <f t="shared" si="62"/>
        <v>81.129003663363576</v>
      </c>
      <c r="H370" s="186">
        <f t="shared" si="63"/>
        <v>1.186996336636426</v>
      </c>
      <c r="I370" s="186">
        <f t="shared" si="64"/>
        <v>44.483999999999995</v>
      </c>
      <c r="J370" s="186">
        <f t="shared" si="65"/>
        <v>67.038859005693553</v>
      </c>
      <c r="K370" s="186">
        <f t="shared" si="66"/>
        <v>14.090144657670024</v>
      </c>
      <c r="L370" s="186">
        <f t="shared" si="67"/>
        <v>21.657413119828682</v>
      </c>
      <c r="M370" s="186">
        <f t="shared" si="68"/>
        <v>52.480101658309543</v>
      </c>
      <c r="N370" s="186">
        <f t="shared" si="69"/>
        <v>66.570246315979574</v>
      </c>
      <c r="O370" s="186">
        <f t="shared" si="70"/>
        <v>1.7507974781102629</v>
      </c>
    </row>
    <row r="371" spans="1:15">
      <c r="A371" s="41">
        <v>2010</v>
      </c>
      <c r="B371" s="41">
        <v>6</v>
      </c>
      <c r="C371" s="180">
        <f t="shared" si="71"/>
        <v>29.318999999999996</v>
      </c>
      <c r="D371" s="180">
        <f>+HLOOKUP('Info Gral'!$C$8,'Precip 1981-2010'!$D$5:$AL$373,363,FALSE)</f>
        <v>22.4</v>
      </c>
      <c r="E371" s="185">
        <f t="shared" si="60"/>
        <v>48.584928895302738</v>
      </c>
      <c r="F371" s="185">
        <f t="shared" si="61"/>
        <v>5.7797786685908212</v>
      </c>
      <c r="G371" s="186">
        <f t="shared" si="62"/>
        <v>4.6483808155050346</v>
      </c>
      <c r="H371" s="186">
        <f t="shared" si="63"/>
        <v>0</v>
      </c>
      <c r="I371" s="186">
        <f t="shared" si="64"/>
        <v>18.938615521131389</v>
      </c>
      <c r="J371" s="186">
        <f t="shared" si="65"/>
        <v>4.5930690690161633</v>
      </c>
      <c r="K371" s="186">
        <f t="shared" si="66"/>
        <v>5.5311746488871272E-2</v>
      </c>
      <c r="L371" s="186">
        <f t="shared" si="67"/>
        <v>3.5540049616999037</v>
      </c>
      <c r="M371" s="186">
        <f t="shared" si="68"/>
        <v>22.696477227144943</v>
      </c>
      <c r="N371" s="186">
        <f t="shared" si="69"/>
        <v>22.751788973633815</v>
      </c>
      <c r="O371" s="186">
        <f t="shared" si="70"/>
        <v>0.59837205000656934</v>
      </c>
    </row>
    <row r="372" spans="1:15">
      <c r="A372" s="41">
        <v>2010</v>
      </c>
      <c r="B372" s="41">
        <v>7</v>
      </c>
      <c r="C372" s="180">
        <f t="shared" si="71"/>
        <v>35.384999999999998</v>
      </c>
      <c r="D372" s="180">
        <f>+HLOOKUP('Info Gral'!$C$8,'Precip 1981-2010'!$D$5:$AL$373,364,FALSE)</f>
        <v>168.5</v>
      </c>
      <c r="E372" s="185">
        <f t="shared" si="60"/>
        <v>55.837925231939167</v>
      </c>
      <c r="F372" s="185">
        <f t="shared" si="61"/>
        <v>6.1358775695817496</v>
      </c>
      <c r="G372" s="186">
        <f t="shared" si="62"/>
        <v>124.31076696988887</v>
      </c>
      <c r="H372" s="186">
        <f t="shared" si="63"/>
        <v>8.8042330301111278</v>
      </c>
      <c r="I372" s="186">
        <f t="shared" si="64"/>
        <v>35.384999999999998</v>
      </c>
      <c r="J372" s="186">
        <f t="shared" si="65"/>
        <v>94.028892110772233</v>
      </c>
      <c r="K372" s="186">
        <f t="shared" si="66"/>
        <v>30.281874859116641</v>
      </c>
      <c r="L372" s="186">
        <f t="shared" si="67"/>
        <v>29.750681268213235</v>
      </c>
      <c r="M372" s="186">
        <f t="shared" si="68"/>
        <v>67.832215804258908</v>
      </c>
      <c r="N372" s="186">
        <f t="shared" si="69"/>
        <v>98.114090663375549</v>
      </c>
      <c r="O372" s="186">
        <f t="shared" si="70"/>
        <v>2.5804005844467772</v>
      </c>
    </row>
    <row r="373" spans="1:15">
      <c r="A373" s="41">
        <v>2010</v>
      </c>
      <c r="B373" s="41">
        <v>8</v>
      </c>
      <c r="C373" s="180">
        <f t="shared" si="71"/>
        <v>55.605000000000004</v>
      </c>
      <c r="D373" s="180">
        <f>+HLOOKUP('Info Gral'!$C$8,'Precip 1981-2010'!$D$5:$AL$373,365,FALSE)</f>
        <v>13.6</v>
      </c>
      <c r="E373" s="185">
        <f t="shared" si="60"/>
        <v>67.253692201828045</v>
      </c>
      <c r="F373" s="185">
        <f t="shared" si="61"/>
        <v>3.4946076605484113</v>
      </c>
      <c r="G373" s="186">
        <f t="shared" si="62"/>
        <v>1.3825178035057104</v>
      </c>
      <c r="H373" s="186">
        <f t="shared" si="63"/>
        <v>0</v>
      </c>
      <c r="I373" s="186">
        <f t="shared" si="64"/>
        <v>21.021715226605419</v>
      </c>
      <c r="J373" s="186">
        <f t="shared" si="65"/>
        <v>1.3775837773450879</v>
      </c>
      <c r="K373" s="186">
        <f t="shared" si="66"/>
        <v>4.9340261606225511E-3</v>
      </c>
      <c r="L373" s="186">
        <f t="shared" si="67"/>
        <v>3.3398992692108074</v>
      </c>
      <c r="M373" s="186">
        <f t="shared" si="68"/>
        <v>27.788365776347515</v>
      </c>
      <c r="N373" s="186">
        <f t="shared" si="69"/>
        <v>27.793299802508137</v>
      </c>
      <c r="O373" s="186">
        <f t="shared" si="70"/>
        <v>0.73096378480596391</v>
      </c>
    </row>
    <row r="374" spans="1:15">
      <c r="A374" s="41">
        <v>2010</v>
      </c>
      <c r="B374" s="41">
        <v>9</v>
      </c>
      <c r="C374" s="180">
        <f t="shared" si="71"/>
        <v>78.858000000000004</v>
      </c>
      <c r="D374" s="180">
        <f>+HLOOKUP('Info Gral'!$C$8,'Precip 1981-2010'!$D$5:$AL$373,366,FALSE)</f>
        <v>143.9</v>
      </c>
      <c r="E374" s="185">
        <f t="shared" si="60"/>
        <v>99.310925231939166</v>
      </c>
      <c r="F374" s="185">
        <f t="shared" si="61"/>
        <v>6.1358775695817496</v>
      </c>
      <c r="G374" s="186">
        <f t="shared" si="62"/>
        <v>82.181612679212535</v>
      </c>
      <c r="H374" s="186">
        <f t="shared" si="63"/>
        <v>0</v>
      </c>
      <c r="I374" s="186">
        <f t="shared" si="64"/>
        <v>61.718387320787471</v>
      </c>
      <c r="J374" s="186">
        <f t="shared" si="65"/>
        <v>67.755976815585242</v>
      </c>
      <c r="K374" s="186">
        <f t="shared" si="66"/>
        <v>14.425635863627292</v>
      </c>
      <c r="L374" s="186">
        <f t="shared" si="67"/>
        <v>21.514114172684565</v>
      </c>
      <c r="M374" s="186">
        <f t="shared" si="68"/>
        <v>49.581761912111489</v>
      </c>
      <c r="N374" s="186">
        <f t="shared" si="69"/>
        <v>64.007397775738781</v>
      </c>
      <c r="O374" s="186">
        <f t="shared" si="70"/>
        <v>1.6833945615019299</v>
      </c>
    </row>
    <row r="375" spans="1:15">
      <c r="A375" s="41">
        <v>2010</v>
      </c>
      <c r="B375" s="41">
        <v>10</v>
      </c>
      <c r="C375" s="180">
        <f t="shared" si="71"/>
        <v>113.232</v>
      </c>
      <c r="D375" s="180">
        <f>+HLOOKUP('Info Gral'!$C$8,'Precip 1981-2010'!$D$5:$AL$373,367,FALSE)</f>
        <v>24.4</v>
      </c>
      <c r="E375" s="185">
        <f t="shared" si="60"/>
        <v>133.68492523193916</v>
      </c>
      <c r="F375" s="185">
        <f t="shared" si="61"/>
        <v>6.1358775695817496</v>
      </c>
      <c r="G375" s="186">
        <f t="shared" si="62"/>
        <v>2.2877094568416774</v>
      </c>
      <c r="H375" s="186">
        <f t="shared" si="63"/>
        <v>0</v>
      </c>
      <c r="I375" s="186">
        <f t="shared" si="64"/>
        <v>22.11229054315832</v>
      </c>
      <c r="J375" s="186">
        <f t="shared" si="65"/>
        <v>2.274230754241886</v>
      </c>
      <c r="K375" s="186">
        <f t="shared" si="66"/>
        <v>1.3478702599791337E-2</v>
      </c>
      <c r="L375" s="186">
        <f t="shared" si="67"/>
        <v>2.814883969409907</v>
      </c>
      <c r="M375" s="186">
        <f t="shared" si="68"/>
        <v>20.973460957516544</v>
      </c>
      <c r="N375" s="186">
        <f t="shared" si="69"/>
        <v>20.986939660116334</v>
      </c>
      <c r="O375" s="186">
        <f t="shared" si="70"/>
        <v>0.55195651306105964</v>
      </c>
    </row>
    <row r="376" spans="1:15">
      <c r="A376" s="41">
        <v>2010</v>
      </c>
      <c r="B376" s="41">
        <v>11</v>
      </c>
      <c r="C376" s="180">
        <f t="shared" si="71"/>
        <v>148.61699999999999</v>
      </c>
      <c r="D376" s="180">
        <f>+HLOOKUP('Info Gral'!$C$8,'Precip 1981-2010'!$D$5:$AL$373,368,FALSE)</f>
        <v>32.700000000000003</v>
      </c>
      <c r="E376" s="185">
        <f t="shared" si="60"/>
        <v>169.06992523193915</v>
      </c>
      <c r="F376" s="185">
        <f t="shared" si="61"/>
        <v>6.1358775695817496</v>
      </c>
      <c r="G376" s="186">
        <f t="shared" si="62"/>
        <v>3.7237963836419761</v>
      </c>
      <c r="H376" s="186">
        <f t="shared" si="63"/>
        <v>0</v>
      </c>
      <c r="I376" s="186">
        <f t="shared" si="64"/>
        <v>28.976203616358028</v>
      </c>
      <c r="J376" s="186">
        <f t="shared" si="65"/>
        <v>3.6882156476553676</v>
      </c>
      <c r="K376" s="186">
        <f t="shared" si="66"/>
        <v>3.5580735986608492E-2</v>
      </c>
      <c r="L376" s="186">
        <f t="shared" si="67"/>
        <v>1.4285667853250681</v>
      </c>
      <c r="M376" s="186">
        <f t="shared" si="68"/>
        <v>5.074532831740207</v>
      </c>
      <c r="N376" s="186">
        <f t="shared" si="69"/>
        <v>5.110113567726815</v>
      </c>
      <c r="O376" s="186">
        <f t="shared" si="70"/>
        <v>0.13439598683121523</v>
      </c>
    </row>
    <row r="377" spans="1:15">
      <c r="A377" s="41">
        <v>2010</v>
      </c>
      <c r="B377" s="41">
        <v>12</v>
      </c>
      <c r="C377" s="180">
        <f t="shared" si="71"/>
        <v>179.958</v>
      </c>
      <c r="D377" s="180">
        <f>+HLOOKUP('Info Gral'!$C$8,'Precip 1981-2010'!$D$5:$AL$373,369,FALSE)</f>
        <v>78.5</v>
      </c>
      <c r="E377" s="185">
        <f t="shared" si="60"/>
        <v>200.41092523193916</v>
      </c>
      <c r="F377" s="185">
        <f t="shared" si="61"/>
        <v>6.1358775695817496</v>
      </c>
      <c r="G377" s="186">
        <f t="shared" si="62"/>
        <v>19.639148341567843</v>
      </c>
      <c r="H377" s="186">
        <f t="shared" si="63"/>
        <v>0</v>
      </c>
      <c r="I377" s="186">
        <f t="shared" si="64"/>
        <v>58.860851658432153</v>
      </c>
      <c r="J377" s="186">
        <f t="shared" si="65"/>
        <v>18.688312730264045</v>
      </c>
      <c r="K377" s="186">
        <f t="shared" si="66"/>
        <v>0.95083561130379834</v>
      </c>
      <c r="L377" s="186">
        <f t="shared" si="67"/>
        <v>5.9835899384665998</v>
      </c>
      <c r="M377" s="186">
        <f t="shared" si="68"/>
        <v>14.133289577122513</v>
      </c>
      <c r="N377" s="186">
        <f t="shared" si="69"/>
        <v>15.084125188426311</v>
      </c>
      <c r="O377" s="186">
        <f t="shared" si="70"/>
        <v>0.39671249245561202</v>
      </c>
    </row>
  </sheetData>
  <sheetProtection sheet="1" objects="1"/>
  <mergeCells count="13">
    <mergeCell ref="M6:N6"/>
    <mergeCell ref="A1:O1"/>
    <mergeCell ref="Q4:S4"/>
    <mergeCell ref="Q5:S5"/>
    <mergeCell ref="Q1:AE1"/>
    <mergeCell ref="D6:K6"/>
    <mergeCell ref="D7:K7"/>
    <mergeCell ref="D8:K8"/>
    <mergeCell ref="A15:B15"/>
    <mergeCell ref="A14:B14"/>
    <mergeCell ref="D11:K11"/>
    <mergeCell ref="D9:K9"/>
    <mergeCell ref="D10:K10"/>
  </mergeCells>
  <phoneticPr fontId="15" type="noConversion"/>
  <pageMargins left="0.3" right="0.17" top="0.87" bottom="0.59" header="0.31496062992125984" footer="0.61"/>
  <pageSetup paperSize="9" pageOrder="overThenDown" orientation="portrait" horizontalDpi="300" verticalDpi="300"/>
  <headerFooter alignWithMargins="0">
    <oddFooter xml:space="preserve">&amp;Lpág &amp;P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33</vt:i4>
      </vt:variant>
    </vt:vector>
  </HeadingPairs>
  <TitlesOfParts>
    <vt:vector size="48" baseType="lpstr">
      <vt:lpstr>Intro</vt:lpstr>
      <vt:lpstr>Info Gral</vt:lpstr>
      <vt:lpstr>Calc Escurrimiento</vt:lpstr>
      <vt:lpstr>Ht - Hv - Volumen</vt:lpstr>
      <vt:lpstr>Avenida Proy</vt:lpstr>
      <vt:lpstr>Diseño Aliv-Canal</vt:lpstr>
      <vt:lpstr>Datos Gr q E sn2</vt:lpstr>
      <vt:lpstr>C de Coronam</vt:lpstr>
      <vt:lpstr>Anexo Escurrimiento</vt:lpstr>
      <vt:lpstr>Anexo Bal Hídrico</vt:lpstr>
      <vt:lpstr>Anexo Geom Emb</vt:lpstr>
      <vt:lpstr>CRSU-AD-GH</vt:lpstr>
      <vt:lpstr>Evap Tanque</vt:lpstr>
      <vt:lpstr>Mapa Est. Pluviom</vt:lpstr>
      <vt:lpstr>Precip 1981-2010</vt:lpstr>
      <vt:lpstr>a_</vt:lpstr>
      <vt:lpstr>Ac</vt:lpstr>
      <vt:lpstr>AD</vt:lpstr>
      <vt:lpstr>Ar</vt:lpstr>
      <vt:lpstr>b_</vt:lpstr>
      <vt:lpstr>c_</vt:lpstr>
      <vt:lpstr>CAD</vt:lpstr>
      <vt:lpstr>CP.o</vt:lpstr>
      <vt:lpstr>CRSU</vt:lpstr>
      <vt:lpstr>CRSU_AD_GH</vt:lpstr>
      <vt:lpstr>d_</vt:lpstr>
      <vt:lpstr>e_</vt:lpstr>
      <vt:lpstr>ETPm</vt:lpstr>
      <vt:lpstr>Evaporacion</vt:lpstr>
      <vt:lpstr>f_</vt:lpstr>
      <vt:lpstr>g_</vt:lpstr>
      <vt:lpstr>h_</vt:lpstr>
      <vt:lpstr>Hast</vt:lpstr>
      <vt:lpstr>Hmáx</vt:lpstr>
      <vt:lpstr>Ht</vt:lpstr>
      <vt:lpstr>Hv</vt:lpstr>
      <vt:lpstr>Imax</vt:lpstr>
      <vt:lpstr>Precipitaciones</vt:lpstr>
      <vt:lpstr>'Anexo Bal Hídrico'!Print_Area</vt:lpstr>
      <vt:lpstr>'Anexo Escurrimiento'!Print_Area</vt:lpstr>
      <vt:lpstr>'Diseño Aliv-Canal'!Print_Area</vt:lpstr>
      <vt:lpstr>'Anexo Bal Hídrico'!Print_Titles</vt:lpstr>
      <vt:lpstr>'Anexo Escurrimiento'!Print_Titles</vt:lpstr>
      <vt:lpstr>'CRSU-AD-GH'!Print_Titles</vt:lpstr>
      <vt:lpstr>'Precip 1981-2010'!Print_Titles</vt:lpstr>
      <vt:lpstr>VolHt</vt:lpstr>
      <vt:lpstr>VolHv</vt:lpstr>
      <vt:lpstr>α</vt:lpstr>
    </vt:vector>
  </TitlesOfParts>
  <Company>DINAGUA / MVOTMA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Planilla Complementaria</dc:title>
  <dc:subject>Manual de Diseño y Construcción de Pequeñas Presas</dc:subject>
  <dc:creator>Ing. Javier Algorta</dc:creator>
  <cp:keywords>Diseño de Presas, Volumen de almacenamiento, Vertedero canal</cp:keywords>
  <dc:description>Esta planilla es complementaria del Manual de Diseño y Construcción de Pequeñas Presas Vol1. Presenta métodos hidráulico-hidrológicos calibrados para pequeñas cuencas del Uruguay, y con las limitaciones establecidas en el Manual</dc:description>
  <cp:lastModifiedBy>Manu</cp:lastModifiedBy>
  <cp:lastPrinted>2011-04-08T13:24:28Z</cp:lastPrinted>
  <dcterms:created xsi:type="dcterms:W3CDTF">2010-12-03T14:18:31Z</dcterms:created>
  <dcterms:modified xsi:type="dcterms:W3CDTF">2022-06-16T17:46:39Z</dcterms:modified>
</cp:coreProperties>
</file>