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chartsheets/sheet1.xml" ContentType="application/vnd.openxmlformats-officedocument.spreadsheetml.chart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trlProps/ctrlProp2.xml" ContentType="application/vnd.ms-excel.controlpropertie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ml.chartshapes+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332"/>
  <workbookPr updateLinks="never" codeName="ThisWorkbook" defaultThemeVersion="124226"/>
  <mc:AlternateContent xmlns:mc="http://schemas.openxmlformats.org/markup-compatibility/2006">
    <mc:Choice Requires="x15">
      <x15ac:absPath xmlns:x15ac="http://schemas.microsoft.com/office/spreadsheetml/2010/11/ac" url="Z:\comunicacion\2024\DINAGUA\"/>
    </mc:Choice>
  </mc:AlternateContent>
  <xr:revisionPtr revIDLastSave="0" documentId="8_{5A486E80-9EBD-4D40-926B-1B63AB244713}" xr6:coauthVersionLast="47" xr6:coauthVersionMax="47" xr10:uidLastSave="{00000000-0000-0000-0000-000000000000}"/>
  <bookViews>
    <workbookView xWindow="-120" yWindow="-120" windowWidth="29040" windowHeight="15840" tabRatio="904" activeTab="6"/>
  </bookViews>
  <sheets>
    <sheet name="Portada" sheetId="50" r:id="rId1"/>
    <sheet name="Notas de la versión" sheetId="49" r:id="rId2"/>
    <sheet name="Intro" sheetId="21" r:id="rId3"/>
    <sheet name="Pasos" sheetId="33" r:id="rId4"/>
    <sheet name="Ingreso Datos" sheetId="8" r:id="rId5"/>
    <sheet name="Resultados" sheetId="44" r:id="rId6"/>
    <sheet name="I-Satisfac-Demanda" sheetId="15" r:id="rId7"/>
    <sheet name="Diseño Aliv-Canal" sheetId="24" r:id="rId8"/>
    <sheet name="ANEXOS" sheetId="48" r:id="rId9"/>
    <sheet name="Esc 1" sheetId="1" r:id="rId10"/>
    <sheet name="Esc 2" sheetId="22" r:id="rId11"/>
    <sheet name="Datos reordenados" sheetId="39" state="hidden" r:id="rId12"/>
    <sheet name="Datos Gr q E sn2" sheetId="30" state="hidden" r:id="rId13"/>
    <sheet name="Av Proy" sheetId="16" r:id="rId14"/>
    <sheet name="Geom Emb" sheetId="6" r:id="rId15"/>
    <sheet name="Bal Híd" sheetId="3" r:id="rId16"/>
    <sheet name="Gr Vol Emb" sheetId="46" r:id="rId17"/>
    <sheet name="Cota Coron" sheetId="26" r:id="rId18"/>
    <sheet name="CRSU-AD-GH" sheetId="31" r:id="rId19"/>
    <sheet name="Evap Tanque" sheetId="14" r:id="rId20"/>
    <sheet name="UbiPluvio" sheetId="47" state="hidden" r:id="rId21"/>
    <sheet name="Precip 1981-2012" sheetId="28" r:id="rId22"/>
  </sheets>
  <definedNames>
    <definedName name="_xlnm._FilterDatabase" localSheetId="4" hidden="1">'Ingreso Datos'!#REF!</definedName>
    <definedName name="a_">'Geom Emb'!$G$4</definedName>
    <definedName name="Ac">'Ingreso Datos'!$H$20</definedName>
    <definedName name="AD">'Esc 2'!$M$11</definedName>
    <definedName name="Ar">'Bal Híd'!$G$4</definedName>
    <definedName name="_xlnm.Print_Area" localSheetId="15">'Bal Híd'!$A$1:$AD$32</definedName>
    <definedName name="_xlnm.Print_Area" localSheetId="10">'Esc 2'!$A$1:$O$48</definedName>
    <definedName name="b_">'Geom Emb'!$G$5</definedName>
    <definedName name="c_">'Geom Emb'!$G$6</definedName>
    <definedName name="CAD">'Esc 2'!$AC$8</definedName>
    <definedName name="CP.o">'Esc 2'!$AC$9</definedName>
    <definedName name="CRSU">'CRSU-AD-GH'!$A$5:$A$104</definedName>
    <definedName name="CRSU_AD_GH">'CRSU-AD-GH'!$A$4:$D$104</definedName>
    <definedName name="d_">'Geom Emb'!$G$7</definedName>
    <definedName name="e_">'Geom Emb'!$G$8</definedName>
    <definedName name="ETPm">'Ingreso Datos'!$I$10</definedName>
    <definedName name="Evaporacion">'Evap Tanque'!$D$6:$D$19</definedName>
    <definedName name="f_">'Geom Emb'!$G$9</definedName>
    <definedName name="g_">'Geom Emb'!$G$10</definedName>
    <definedName name="h_">'Geom Emb'!$G$11</definedName>
    <definedName name="Hast">'Geom Emb'!$B$13</definedName>
    <definedName name="Hmáx">'Esc 2'!$AC$8</definedName>
    <definedName name="Ht">'Bal Híd'!$E$4</definedName>
    <definedName name="Hv">'Bal Híd'!$F$4</definedName>
    <definedName name="Imax">'Esc 2'!$AC$10</definedName>
    <definedName name="Precipitaciones">'Precip 1981-2012'!$D$5:$AL$5</definedName>
    <definedName name="solver_adj" localSheetId="12" hidden="1">'Datos Gr q E sn2'!#REF!</definedName>
    <definedName name="solver_adj" localSheetId="14" hidden="1">'Geom Emb'!$B$13</definedName>
    <definedName name="solver_cvg" localSheetId="12" hidden="1">0.0001</definedName>
    <definedName name="solver_cvg" localSheetId="14" hidden="1">0.0001</definedName>
    <definedName name="solver_drv" localSheetId="12" hidden="1">1</definedName>
    <definedName name="solver_drv" localSheetId="14" hidden="1">1</definedName>
    <definedName name="solver_est" localSheetId="12" hidden="1">1</definedName>
    <definedName name="solver_est" localSheetId="14" hidden="1">1</definedName>
    <definedName name="solver_itr" localSheetId="12" hidden="1">100</definedName>
    <definedName name="solver_itr" localSheetId="14" hidden="1">100</definedName>
    <definedName name="solver_lin" localSheetId="12" hidden="1">2</definedName>
    <definedName name="solver_lin" localSheetId="14" hidden="1">2</definedName>
    <definedName name="solver_neg" localSheetId="12" hidden="1">2</definedName>
    <definedName name="solver_neg" localSheetId="14" hidden="1">2</definedName>
    <definedName name="solver_num" localSheetId="12" hidden="1">0</definedName>
    <definedName name="solver_num" localSheetId="14" hidden="1">0</definedName>
    <definedName name="solver_nwt" localSheetId="12" hidden="1">1</definedName>
    <definedName name="solver_nwt" localSheetId="14" hidden="1">1</definedName>
    <definedName name="solver_opt" localSheetId="12" hidden="1">'Datos Gr q E sn2'!#REF!</definedName>
    <definedName name="solver_opt" localSheetId="14" hidden="1">'Ingreso Datos'!#REF!</definedName>
    <definedName name="solver_pre" localSheetId="12" hidden="1">0.000001</definedName>
    <definedName name="solver_pre" localSheetId="14" hidden="1">0.000001</definedName>
    <definedName name="solver_scl" localSheetId="12" hidden="1">2</definedName>
    <definedName name="solver_scl" localSheetId="14" hidden="1">2</definedName>
    <definedName name="solver_sho" localSheetId="12" hidden="1">2</definedName>
    <definedName name="solver_sho" localSheetId="14" hidden="1">2</definedName>
    <definedName name="solver_tim" localSheetId="12" hidden="1">100</definedName>
    <definedName name="solver_tim" localSheetId="14" hidden="1">100</definedName>
    <definedName name="solver_tol" localSheetId="12" hidden="1">0.05</definedName>
    <definedName name="solver_tol" localSheetId="14" hidden="1">0.05</definedName>
    <definedName name="solver_typ" localSheetId="12" hidden="1">3</definedName>
    <definedName name="solver_typ" localSheetId="14" hidden="1">1</definedName>
    <definedName name="solver_val" localSheetId="12" hidden="1">18</definedName>
    <definedName name="solver_val" localSheetId="14" hidden="1">0</definedName>
    <definedName name="_xlnm.Print_Titles" localSheetId="15">'Bal Híd'!$1:$6</definedName>
    <definedName name="_xlnm.Print_Titles" localSheetId="18">'CRSU-AD-GH'!$1:$3</definedName>
    <definedName name="_xlnm.Print_Titles" localSheetId="10">'Esc 2'!$15:$16</definedName>
    <definedName name="_xlnm.Print_Titles" localSheetId="3">Pasos!$15:$15</definedName>
    <definedName name="_xlnm.Print_Titles" localSheetId="21">'Precip 1981-2012'!$A:$C,'Precip 1981-2012'!$5:$5</definedName>
    <definedName name="VolHt">'Bal Híd'!$I$4</definedName>
    <definedName name="VolHv">'Bal Híd'!$J$4</definedName>
    <definedName name="α">'Esc 2'!$AC$11</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91" i="3" l="1"/>
  <c r="U391" i="3" s="1"/>
  <c r="A391" i="3"/>
  <c r="T391" i="3"/>
  <c r="B390" i="3"/>
  <c r="U390" i="3"/>
  <c r="A390" i="3"/>
  <c r="T390" i="3" s="1"/>
  <c r="B389" i="3"/>
  <c r="U389" i="3"/>
  <c r="A389" i="3"/>
  <c r="T389" i="3"/>
  <c r="B388" i="3"/>
  <c r="U388" i="3" s="1"/>
  <c r="A388" i="3"/>
  <c r="T388" i="3"/>
  <c r="B387" i="3"/>
  <c r="U387" i="3"/>
  <c r="A387" i="3"/>
  <c r="T387" i="3" s="1"/>
  <c r="B386" i="3"/>
  <c r="U386" i="3"/>
  <c r="A386" i="3"/>
  <c r="T386" i="3"/>
  <c r="B385" i="3"/>
  <c r="U385" i="3" s="1"/>
  <c r="A385" i="3"/>
  <c r="T385" i="3"/>
  <c r="B384" i="3"/>
  <c r="U384" i="3"/>
  <c r="A384" i="3"/>
  <c r="T384" i="3" s="1"/>
  <c r="B383" i="3"/>
  <c r="U383" i="3"/>
  <c r="A383" i="3"/>
  <c r="T383" i="3"/>
  <c r="B382" i="3"/>
  <c r="U382" i="3" s="1"/>
  <c r="A382" i="3"/>
  <c r="T382" i="3"/>
  <c r="B381" i="3"/>
  <c r="U381" i="3"/>
  <c r="A381" i="3"/>
  <c r="T381" i="3" s="1"/>
  <c r="B380" i="3"/>
  <c r="U380" i="3"/>
  <c r="A380" i="3"/>
  <c r="T380" i="3"/>
  <c r="B379" i="3"/>
  <c r="U379" i="3" s="1"/>
  <c r="A379" i="3"/>
  <c r="T379" i="3"/>
  <c r="F19" i="3"/>
  <c r="F31" i="3"/>
  <c r="F43" i="3"/>
  <c r="F55" i="3" s="1"/>
  <c r="F67" i="3" s="1"/>
  <c r="F79" i="3" s="1"/>
  <c r="F91" i="3" s="1"/>
  <c r="F103" i="3" s="1"/>
  <c r="F115" i="3" s="1"/>
  <c r="F127" i="3" s="1"/>
  <c r="F139" i="3" s="1"/>
  <c r="F151" i="3" s="1"/>
  <c r="F163" i="3" s="1"/>
  <c r="F175" i="3" s="1"/>
  <c r="F187" i="3" s="1"/>
  <c r="F199" i="3" s="1"/>
  <c r="F211" i="3" s="1"/>
  <c r="F223" i="3" s="1"/>
  <c r="F235" i="3" s="1"/>
  <c r="F247" i="3" s="1"/>
  <c r="F259" i="3" s="1"/>
  <c r="F271" i="3" s="1"/>
  <c r="F283" i="3" s="1"/>
  <c r="F295" i="3" s="1"/>
  <c r="F307" i="3" s="1"/>
  <c r="F319" i="3" s="1"/>
  <c r="F331" i="3" s="1"/>
  <c r="F343" i="3" s="1"/>
  <c r="F355" i="3" s="1"/>
  <c r="F367" i="3" s="1"/>
  <c r="F379" i="3" s="1"/>
  <c r="F391" i="3" s="1"/>
  <c r="A6" i="14"/>
  <c r="A7" i="14"/>
  <c r="A8" i="14"/>
  <c r="A9" i="14"/>
  <c r="A10" i="14"/>
  <c r="A11" i="14"/>
  <c r="A12" i="14"/>
  <c r="A13" i="14"/>
  <c r="A14" i="14"/>
  <c r="A15" i="14"/>
  <c r="A16" i="14"/>
  <c r="A17" i="14"/>
  <c r="A18" i="14"/>
  <c r="A19" i="14"/>
  <c r="B378" i="3"/>
  <c r="U378" i="3"/>
  <c r="A378" i="3"/>
  <c r="T378" i="3"/>
  <c r="F18" i="3"/>
  <c r="F30" i="3" s="1"/>
  <c r="F42" i="3" s="1"/>
  <c r="F54" i="3" s="1"/>
  <c r="F66" i="3" s="1"/>
  <c r="F78" i="3" s="1"/>
  <c r="F90" i="3" s="1"/>
  <c r="F102" i="3" s="1"/>
  <c r="F114" i="3" s="1"/>
  <c r="F126" i="3" s="1"/>
  <c r="F138" i="3" s="1"/>
  <c r="F150" i="3" s="1"/>
  <c r="F162" i="3" s="1"/>
  <c r="F174" i="3" s="1"/>
  <c r="F186" i="3" s="1"/>
  <c r="F198" i="3" s="1"/>
  <c r="F210" i="3" s="1"/>
  <c r="F222" i="3" s="1"/>
  <c r="F234" i="3" s="1"/>
  <c r="F246" i="3" s="1"/>
  <c r="F258" i="3" s="1"/>
  <c r="F270" i="3" s="1"/>
  <c r="F282" i="3" s="1"/>
  <c r="F294" i="3" s="1"/>
  <c r="F306" i="3" s="1"/>
  <c r="F318" i="3" s="1"/>
  <c r="F330" i="3" s="1"/>
  <c r="F342" i="3" s="1"/>
  <c r="F354" i="3" s="1"/>
  <c r="F366" i="3" s="1"/>
  <c r="F378" i="3" s="1"/>
  <c r="B377" i="3"/>
  <c r="U377" i="3"/>
  <c r="A377" i="3"/>
  <c r="T377" i="3" s="1"/>
  <c r="F17" i="3"/>
  <c r="F29" i="3"/>
  <c r="F41" i="3" s="1"/>
  <c r="F53" i="3" s="1"/>
  <c r="F65" i="3" s="1"/>
  <c r="F77" i="3" s="1"/>
  <c r="F89" i="3" s="1"/>
  <c r="F101" i="3" s="1"/>
  <c r="F113" i="3" s="1"/>
  <c r="F125" i="3" s="1"/>
  <c r="F137" i="3" s="1"/>
  <c r="F149" i="3" s="1"/>
  <c r="F161" i="3" s="1"/>
  <c r="F173" i="3" s="1"/>
  <c r="F185" i="3" s="1"/>
  <c r="F197" i="3" s="1"/>
  <c r="F209" i="3" s="1"/>
  <c r="F221" i="3" s="1"/>
  <c r="F233" i="3" s="1"/>
  <c r="F245" i="3" s="1"/>
  <c r="F257" i="3" s="1"/>
  <c r="F269" i="3" s="1"/>
  <c r="F281" i="3" s="1"/>
  <c r="F293" i="3" s="1"/>
  <c r="F305" i="3" s="1"/>
  <c r="F317" i="3" s="1"/>
  <c r="F329" i="3" s="1"/>
  <c r="F341" i="3" s="1"/>
  <c r="F353" i="3" s="1"/>
  <c r="F365" i="3" s="1"/>
  <c r="F377" i="3" s="1"/>
  <c r="B376" i="3"/>
  <c r="U376" i="3" s="1"/>
  <c r="A376" i="3"/>
  <c r="T376" i="3"/>
  <c r="F16" i="3"/>
  <c r="F28" i="3" s="1"/>
  <c r="F40" i="3" s="1"/>
  <c r="F52" i="3" s="1"/>
  <c r="F64" i="3" s="1"/>
  <c r="F76" i="3" s="1"/>
  <c r="F88" i="3" s="1"/>
  <c r="F100" i="3" s="1"/>
  <c r="F112" i="3" s="1"/>
  <c r="F124" i="3" s="1"/>
  <c r="F136" i="3" s="1"/>
  <c r="F148" i="3" s="1"/>
  <c r="F160" i="3" s="1"/>
  <c r="F172" i="3" s="1"/>
  <c r="F184" i="3" s="1"/>
  <c r="F196" i="3" s="1"/>
  <c r="F208" i="3" s="1"/>
  <c r="F220" i="3" s="1"/>
  <c r="F232" i="3" s="1"/>
  <c r="F244" i="3" s="1"/>
  <c r="F256" i="3" s="1"/>
  <c r="F268" i="3" s="1"/>
  <c r="F280" i="3" s="1"/>
  <c r="F292" i="3" s="1"/>
  <c r="F304" i="3" s="1"/>
  <c r="F316" i="3" s="1"/>
  <c r="F328" i="3" s="1"/>
  <c r="F340" i="3" s="1"/>
  <c r="F352" i="3" s="1"/>
  <c r="F364" i="3" s="1"/>
  <c r="F376" i="3" s="1"/>
  <c r="F388" i="3" s="1"/>
  <c r="B375" i="3"/>
  <c r="U375" i="3"/>
  <c r="A375" i="3"/>
  <c r="T375" i="3"/>
  <c r="F15" i="3"/>
  <c r="F27" i="3" s="1"/>
  <c r="F39" i="3" s="1"/>
  <c r="F51" i="3" s="1"/>
  <c r="F63" i="3" s="1"/>
  <c r="F75" i="3" s="1"/>
  <c r="F87" i="3" s="1"/>
  <c r="F99" i="3" s="1"/>
  <c r="F111" i="3" s="1"/>
  <c r="F123" i="3" s="1"/>
  <c r="F135" i="3" s="1"/>
  <c r="F147" i="3" s="1"/>
  <c r="F159" i="3" s="1"/>
  <c r="F171" i="3" s="1"/>
  <c r="F183" i="3" s="1"/>
  <c r="F195" i="3" s="1"/>
  <c r="F207" i="3" s="1"/>
  <c r="F219" i="3" s="1"/>
  <c r="F231" i="3" s="1"/>
  <c r="F243" i="3" s="1"/>
  <c r="F255" i="3" s="1"/>
  <c r="F267" i="3" s="1"/>
  <c r="F279" i="3" s="1"/>
  <c r="F291" i="3" s="1"/>
  <c r="F303" i="3" s="1"/>
  <c r="F315" i="3" s="1"/>
  <c r="F327" i="3" s="1"/>
  <c r="F339" i="3" s="1"/>
  <c r="F351" i="3" s="1"/>
  <c r="F363" i="3" s="1"/>
  <c r="F375" i="3" s="1"/>
  <c r="F387" i="3" s="1"/>
  <c r="B374" i="3"/>
  <c r="U374" i="3" s="1"/>
  <c r="A374" i="3"/>
  <c r="T374" i="3"/>
  <c r="F14" i="3"/>
  <c r="F26" i="3" s="1"/>
  <c r="F38" i="3" s="1"/>
  <c r="F50" i="3" s="1"/>
  <c r="F62" i="3" s="1"/>
  <c r="F74" i="3" s="1"/>
  <c r="F86" i="3" s="1"/>
  <c r="F98" i="3" s="1"/>
  <c r="F110" i="3" s="1"/>
  <c r="F122" i="3" s="1"/>
  <c r="F134" i="3" s="1"/>
  <c r="F146" i="3" s="1"/>
  <c r="F158" i="3" s="1"/>
  <c r="F170" i="3" s="1"/>
  <c r="F182" i="3" s="1"/>
  <c r="F194" i="3" s="1"/>
  <c r="F206" i="3" s="1"/>
  <c r="F218" i="3" s="1"/>
  <c r="F230" i="3" s="1"/>
  <c r="F242" i="3" s="1"/>
  <c r="F254" i="3" s="1"/>
  <c r="F266" i="3" s="1"/>
  <c r="F278" i="3" s="1"/>
  <c r="F290" i="3" s="1"/>
  <c r="F302" i="3" s="1"/>
  <c r="F314" i="3" s="1"/>
  <c r="F326" i="3" s="1"/>
  <c r="F338" i="3" s="1"/>
  <c r="F350" i="3" s="1"/>
  <c r="F362" i="3" s="1"/>
  <c r="F374" i="3" s="1"/>
  <c r="F386" i="3" s="1"/>
  <c r="B373" i="3"/>
  <c r="U373" i="3" s="1"/>
  <c r="A373" i="3"/>
  <c r="T373" i="3"/>
  <c r="F13" i="3"/>
  <c r="F25" i="3"/>
  <c r="F37" i="3"/>
  <c r="F49" i="3" s="1"/>
  <c r="F61" i="3" s="1"/>
  <c r="F73" i="3" s="1"/>
  <c r="F85" i="3" s="1"/>
  <c r="F97" i="3" s="1"/>
  <c r="F109" i="3" s="1"/>
  <c r="F121" i="3" s="1"/>
  <c r="F133" i="3" s="1"/>
  <c r="F145" i="3" s="1"/>
  <c r="F157" i="3" s="1"/>
  <c r="F169" i="3" s="1"/>
  <c r="F181" i="3" s="1"/>
  <c r="F193" i="3" s="1"/>
  <c r="F205" i="3" s="1"/>
  <c r="F217" i="3" s="1"/>
  <c r="F229" i="3" s="1"/>
  <c r="F241" i="3" s="1"/>
  <c r="F253" i="3" s="1"/>
  <c r="F265" i="3" s="1"/>
  <c r="F277" i="3" s="1"/>
  <c r="F289" i="3" s="1"/>
  <c r="F301" i="3" s="1"/>
  <c r="F313" i="3" s="1"/>
  <c r="F325" i="3" s="1"/>
  <c r="F337" i="3" s="1"/>
  <c r="F349" i="3" s="1"/>
  <c r="F361" i="3" s="1"/>
  <c r="F373" i="3" s="1"/>
  <c r="B372" i="3"/>
  <c r="U372" i="3" s="1"/>
  <c r="A372" i="3"/>
  <c r="T372" i="3"/>
  <c r="F12" i="3"/>
  <c r="F24" i="3" s="1"/>
  <c r="F36" i="3" s="1"/>
  <c r="F48" i="3" s="1"/>
  <c r="F60" i="3" s="1"/>
  <c r="F72" i="3" s="1"/>
  <c r="F84" i="3" s="1"/>
  <c r="F96" i="3" s="1"/>
  <c r="F108" i="3" s="1"/>
  <c r="F120" i="3" s="1"/>
  <c r="F132" i="3" s="1"/>
  <c r="F144" i="3" s="1"/>
  <c r="F156" i="3" s="1"/>
  <c r="F168" i="3" s="1"/>
  <c r="F180" i="3" s="1"/>
  <c r="F192" i="3" s="1"/>
  <c r="F204" i="3" s="1"/>
  <c r="F216" i="3" s="1"/>
  <c r="F228" i="3" s="1"/>
  <c r="F240" i="3" s="1"/>
  <c r="F252" i="3" s="1"/>
  <c r="F264" i="3" s="1"/>
  <c r="F276" i="3" s="1"/>
  <c r="F288" i="3" s="1"/>
  <c r="F300" i="3" s="1"/>
  <c r="F312" i="3" s="1"/>
  <c r="F324" i="3" s="1"/>
  <c r="F336" i="3" s="1"/>
  <c r="F348" i="3" s="1"/>
  <c r="F360" i="3" s="1"/>
  <c r="F372" i="3" s="1"/>
  <c r="F384" i="3" s="1"/>
  <c r="B371" i="3"/>
  <c r="U371" i="3" s="1"/>
  <c r="A371" i="3"/>
  <c r="T371" i="3"/>
  <c r="F11" i="3"/>
  <c r="F23" i="3" s="1"/>
  <c r="F35" i="3" s="1"/>
  <c r="F47" i="3" s="1"/>
  <c r="F59" i="3" s="1"/>
  <c r="F71" i="3" s="1"/>
  <c r="F83" i="3" s="1"/>
  <c r="F95" i="3" s="1"/>
  <c r="F107" i="3" s="1"/>
  <c r="F119" i="3" s="1"/>
  <c r="F131" i="3" s="1"/>
  <c r="F143" i="3" s="1"/>
  <c r="F155" i="3" s="1"/>
  <c r="F167" i="3" s="1"/>
  <c r="F179" i="3" s="1"/>
  <c r="F191" i="3" s="1"/>
  <c r="F203" i="3" s="1"/>
  <c r="F215" i="3" s="1"/>
  <c r="F227" i="3" s="1"/>
  <c r="F239" i="3" s="1"/>
  <c r="F251" i="3" s="1"/>
  <c r="F263" i="3" s="1"/>
  <c r="F275" i="3" s="1"/>
  <c r="F287" i="3" s="1"/>
  <c r="F299" i="3" s="1"/>
  <c r="F311" i="3" s="1"/>
  <c r="F323" i="3" s="1"/>
  <c r="F335" i="3" s="1"/>
  <c r="F347" i="3" s="1"/>
  <c r="F359" i="3" s="1"/>
  <c r="F371" i="3" s="1"/>
  <c r="F383" i="3" s="1"/>
  <c r="B370" i="3"/>
  <c r="U370" i="3" s="1"/>
  <c r="A370" i="3"/>
  <c r="T370" i="3"/>
  <c r="F10" i="3"/>
  <c r="F22" i="3" s="1"/>
  <c r="F34" i="3" s="1"/>
  <c r="F46" i="3" s="1"/>
  <c r="F58" i="3" s="1"/>
  <c r="F70" i="3" s="1"/>
  <c r="F82" i="3" s="1"/>
  <c r="F94" i="3" s="1"/>
  <c r="F106" i="3" s="1"/>
  <c r="F118" i="3" s="1"/>
  <c r="F130" i="3" s="1"/>
  <c r="F142" i="3" s="1"/>
  <c r="F154" i="3" s="1"/>
  <c r="F166" i="3" s="1"/>
  <c r="F178" i="3" s="1"/>
  <c r="F190" i="3" s="1"/>
  <c r="F202" i="3" s="1"/>
  <c r="F214" i="3" s="1"/>
  <c r="F226" i="3" s="1"/>
  <c r="F238" i="3" s="1"/>
  <c r="F250" i="3" s="1"/>
  <c r="F262" i="3" s="1"/>
  <c r="F274" i="3" s="1"/>
  <c r="F286" i="3" s="1"/>
  <c r="F298" i="3" s="1"/>
  <c r="F310" i="3" s="1"/>
  <c r="F322" i="3" s="1"/>
  <c r="F334" i="3" s="1"/>
  <c r="F346" i="3" s="1"/>
  <c r="F358" i="3" s="1"/>
  <c r="F370" i="3" s="1"/>
  <c r="F382" i="3" s="1"/>
  <c r="B369" i="3"/>
  <c r="U369" i="3" s="1"/>
  <c r="A369" i="3"/>
  <c r="T369" i="3"/>
  <c r="F9" i="3"/>
  <c r="F21" i="3" s="1"/>
  <c r="F33" i="3" s="1"/>
  <c r="F45" i="3" s="1"/>
  <c r="F57" i="3" s="1"/>
  <c r="F69" i="3" s="1"/>
  <c r="F81" i="3" s="1"/>
  <c r="F93" i="3" s="1"/>
  <c r="F105" i="3" s="1"/>
  <c r="F117" i="3" s="1"/>
  <c r="F129" i="3" s="1"/>
  <c r="F141" i="3" s="1"/>
  <c r="F153" i="3" s="1"/>
  <c r="F165" i="3" s="1"/>
  <c r="F177" i="3" s="1"/>
  <c r="F189" i="3" s="1"/>
  <c r="F201" i="3" s="1"/>
  <c r="F213" i="3" s="1"/>
  <c r="F225" i="3" s="1"/>
  <c r="F237" i="3" s="1"/>
  <c r="F249" i="3" s="1"/>
  <c r="F261" i="3" s="1"/>
  <c r="F273" i="3" s="1"/>
  <c r="F285" i="3" s="1"/>
  <c r="F297" i="3" s="1"/>
  <c r="F309" i="3" s="1"/>
  <c r="F321" i="3" s="1"/>
  <c r="F333" i="3" s="1"/>
  <c r="F345" i="3" s="1"/>
  <c r="F357" i="3" s="1"/>
  <c r="F369" i="3" s="1"/>
  <c r="B368" i="3"/>
  <c r="U368" i="3"/>
  <c r="A368" i="3"/>
  <c r="T368" i="3" s="1"/>
  <c r="F8" i="3"/>
  <c r="F20" i="3"/>
  <c r="F32" i="3" s="1"/>
  <c r="F44" i="3" s="1"/>
  <c r="F56" i="3" s="1"/>
  <c r="F68" i="3" s="1"/>
  <c r="F80" i="3" s="1"/>
  <c r="F92" i="3" s="1"/>
  <c r="F104" i="3" s="1"/>
  <c r="F116" i="3" s="1"/>
  <c r="F128" i="3" s="1"/>
  <c r="F140" i="3" s="1"/>
  <c r="F152" i="3" s="1"/>
  <c r="F164" i="3" s="1"/>
  <c r="F176" i="3" s="1"/>
  <c r="F188" i="3" s="1"/>
  <c r="F200" i="3" s="1"/>
  <c r="F212" i="3" s="1"/>
  <c r="F224" i="3" s="1"/>
  <c r="F236" i="3" s="1"/>
  <c r="F248" i="3" s="1"/>
  <c r="F260" i="3" s="1"/>
  <c r="F272" i="3" s="1"/>
  <c r="F284" i="3" s="1"/>
  <c r="F296" i="3" s="1"/>
  <c r="F308" i="3" s="1"/>
  <c r="F320" i="3" s="1"/>
  <c r="F332" i="3" s="1"/>
  <c r="F344" i="3" s="1"/>
  <c r="F356" i="3" s="1"/>
  <c r="F368" i="3" s="1"/>
  <c r="F380" i="3" s="1"/>
  <c r="D12" i="28"/>
  <c r="D4" i="28"/>
  <c r="E4" i="28"/>
  <c r="F4" i="28"/>
  <c r="G4" i="28"/>
  <c r="H4" i="28"/>
  <c r="I4" i="28"/>
  <c r="J4" i="28"/>
  <c r="K4" i="28"/>
  <c r="L4" i="28"/>
  <c r="M4" i="28"/>
  <c r="N4" i="28"/>
  <c r="O4" i="28"/>
  <c r="P4" i="28"/>
  <c r="Q4" i="28"/>
  <c r="R4" i="28"/>
  <c r="S4" i="28"/>
  <c r="T4" i="28"/>
  <c r="U4" i="28"/>
  <c r="V4" i="28"/>
  <c r="W4" i="28"/>
  <c r="X4" i="28"/>
  <c r="Y4" i="28"/>
  <c r="Z4" i="28"/>
  <c r="AA4" i="28"/>
  <c r="AB4" i="28"/>
  <c r="AC4" i="28"/>
  <c r="AD4" i="28"/>
  <c r="AE4" i="28"/>
  <c r="AF4" i="28"/>
  <c r="AG4" i="28"/>
  <c r="AH4" i="28"/>
  <c r="AI4" i="28"/>
  <c r="AJ4" i="28"/>
  <c r="AK4" i="28"/>
  <c r="AL4" i="28"/>
  <c r="C7" i="22"/>
  <c r="I16" i="8" s="1"/>
  <c r="C8" i="22"/>
  <c r="I17" i="8" s="1"/>
  <c r="C9" i="22"/>
  <c r="I18" i="8"/>
  <c r="C10" i="22"/>
  <c r="I19" i="8" s="1"/>
  <c r="M10" i="22" s="1"/>
  <c r="C18" i="22"/>
  <c r="C30" i="22" s="1"/>
  <c r="C42" i="22" s="1"/>
  <c r="C54" i="22" s="1"/>
  <c r="C66" i="22" s="1"/>
  <c r="C78" i="22" s="1"/>
  <c r="C90" i="22" s="1"/>
  <c r="C102" i="22" s="1"/>
  <c r="C114" i="22" s="1"/>
  <c r="C126" i="22" s="1"/>
  <c r="C138" i="22" s="1"/>
  <c r="C150" i="22" s="1"/>
  <c r="C162" i="22" s="1"/>
  <c r="C174" i="22" s="1"/>
  <c r="C186" i="22" s="1"/>
  <c r="C198" i="22" s="1"/>
  <c r="C210" i="22" s="1"/>
  <c r="C222" i="22" s="1"/>
  <c r="C234" i="22" s="1"/>
  <c r="C246" i="22" s="1"/>
  <c r="C258" i="22" s="1"/>
  <c r="C270" i="22" s="1"/>
  <c r="C282" i="22" s="1"/>
  <c r="C294" i="22" s="1"/>
  <c r="C306" i="22" s="1"/>
  <c r="C318" i="22" s="1"/>
  <c r="C330" i="22" s="1"/>
  <c r="C342" i="22" s="1"/>
  <c r="C354" i="22" s="1"/>
  <c r="C366" i="22" s="1"/>
  <c r="C378" i="22" s="1"/>
  <c r="C390" i="22" s="1"/>
  <c r="C19" i="22"/>
  <c r="C31" i="22" s="1"/>
  <c r="C43" i="22" s="1"/>
  <c r="C55" i="22" s="1"/>
  <c r="C67" i="22" s="1"/>
  <c r="C79" i="22" s="1"/>
  <c r="C91" i="22" s="1"/>
  <c r="C103" i="22" s="1"/>
  <c r="C115" i="22" s="1"/>
  <c r="C127" i="22" s="1"/>
  <c r="C139" i="22" s="1"/>
  <c r="C151" i="22" s="1"/>
  <c r="C163" i="22" s="1"/>
  <c r="C175" i="22" s="1"/>
  <c r="C187" i="22" s="1"/>
  <c r="C199" i="22" s="1"/>
  <c r="C211" i="22" s="1"/>
  <c r="C223" i="22" s="1"/>
  <c r="C235" i="22" s="1"/>
  <c r="C247" i="22" s="1"/>
  <c r="C259" i="22" s="1"/>
  <c r="C271" i="22" s="1"/>
  <c r="C283" i="22" s="1"/>
  <c r="C295" i="22" s="1"/>
  <c r="C307" i="22" s="1"/>
  <c r="C319" i="22" s="1"/>
  <c r="C331" i="22" s="1"/>
  <c r="C343" i="22" s="1"/>
  <c r="C355" i="22" s="1"/>
  <c r="C367" i="22" s="1"/>
  <c r="C379" i="22" s="1"/>
  <c r="C391" i="22" s="1"/>
  <c r="C20" i="22"/>
  <c r="C32" i="22" s="1"/>
  <c r="C44" i="22" s="1"/>
  <c r="C56" i="22" s="1"/>
  <c r="C68" i="22" s="1"/>
  <c r="C80" i="22" s="1"/>
  <c r="C92" i="22" s="1"/>
  <c r="C104" i="22" s="1"/>
  <c r="C116" i="22" s="1"/>
  <c r="C128" i="22" s="1"/>
  <c r="C140" i="22" s="1"/>
  <c r="C152" i="22" s="1"/>
  <c r="C164" i="22" s="1"/>
  <c r="C176" i="22" s="1"/>
  <c r="C188" i="22" s="1"/>
  <c r="C200" i="22" s="1"/>
  <c r="C212" i="22" s="1"/>
  <c r="C224" i="22" s="1"/>
  <c r="C236" i="22" s="1"/>
  <c r="C248" i="22" s="1"/>
  <c r="C260" i="22" s="1"/>
  <c r="C272" i="22" s="1"/>
  <c r="C284" i="22" s="1"/>
  <c r="C296" i="22" s="1"/>
  <c r="C308" i="22" s="1"/>
  <c r="C320" i="22" s="1"/>
  <c r="C332" i="22" s="1"/>
  <c r="C344" i="22" s="1"/>
  <c r="C356" i="22" s="1"/>
  <c r="C368" i="22" s="1"/>
  <c r="C380" i="22" s="1"/>
  <c r="C392" i="22" s="1"/>
  <c r="C21" i="22"/>
  <c r="C33" i="22" s="1"/>
  <c r="C45" i="22" s="1"/>
  <c r="C57" i="22" s="1"/>
  <c r="C69" i="22" s="1"/>
  <c r="C81" i="22" s="1"/>
  <c r="C93" i="22" s="1"/>
  <c r="C105" i="22" s="1"/>
  <c r="C117" i="22" s="1"/>
  <c r="C129" i="22" s="1"/>
  <c r="C141" i="22" s="1"/>
  <c r="C153" i="22" s="1"/>
  <c r="C165" i="22" s="1"/>
  <c r="C177" i="22" s="1"/>
  <c r="C189" i="22" s="1"/>
  <c r="C201" i="22" s="1"/>
  <c r="C213" i="22" s="1"/>
  <c r="C225" i="22" s="1"/>
  <c r="C237" i="22" s="1"/>
  <c r="C249" i="22" s="1"/>
  <c r="C261" i="22" s="1"/>
  <c r="C273" i="22" s="1"/>
  <c r="C285" i="22" s="1"/>
  <c r="C297" i="22" s="1"/>
  <c r="C309" i="22" s="1"/>
  <c r="C321" i="22" s="1"/>
  <c r="C333" i="22" s="1"/>
  <c r="C345" i="22" s="1"/>
  <c r="C357" i="22" s="1"/>
  <c r="C369" i="22" s="1"/>
  <c r="C381" i="22" s="1"/>
  <c r="C393" i="22" s="1"/>
  <c r="C22" i="22"/>
  <c r="C34" i="22" s="1"/>
  <c r="C46" i="22" s="1"/>
  <c r="C58" i="22" s="1"/>
  <c r="C70" i="22" s="1"/>
  <c r="C82" i="22" s="1"/>
  <c r="C94" i="22" s="1"/>
  <c r="C106" i="22" s="1"/>
  <c r="C118" i="22" s="1"/>
  <c r="C130" i="22" s="1"/>
  <c r="C142" i="22" s="1"/>
  <c r="C154" i="22" s="1"/>
  <c r="C166" i="22" s="1"/>
  <c r="C178" i="22" s="1"/>
  <c r="C190" i="22" s="1"/>
  <c r="C202" i="22" s="1"/>
  <c r="C214" i="22" s="1"/>
  <c r="C226" i="22" s="1"/>
  <c r="C238" i="22" s="1"/>
  <c r="C250" i="22" s="1"/>
  <c r="C262" i="22" s="1"/>
  <c r="C274" i="22" s="1"/>
  <c r="C286" i="22" s="1"/>
  <c r="C298" i="22" s="1"/>
  <c r="C310" i="22" s="1"/>
  <c r="C322" i="22" s="1"/>
  <c r="C334" i="22" s="1"/>
  <c r="C346" i="22" s="1"/>
  <c r="C358" i="22" s="1"/>
  <c r="C370" i="22" s="1"/>
  <c r="C382" i="22" s="1"/>
  <c r="C394" i="22" s="1"/>
  <c r="C23" i="22"/>
  <c r="C35" i="22" s="1"/>
  <c r="C47" i="22" s="1"/>
  <c r="C59" i="22" s="1"/>
  <c r="C71" i="22" s="1"/>
  <c r="C83" i="22" s="1"/>
  <c r="C95" i="22" s="1"/>
  <c r="C107" i="22" s="1"/>
  <c r="C119" i="22" s="1"/>
  <c r="C131" i="22" s="1"/>
  <c r="C143" i="22" s="1"/>
  <c r="C155" i="22" s="1"/>
  <c r="C167" i="22" s="1"/>
  <c r="C179" i="22" s="1"/>
  <c r="C191" i="22" s="1"/>
  <c r="C203" i="22" s="1"/>
  <c r="C215" i="22" s="1"/>
  <c r="C227" i="22" s="1"/>
  <c r="C239" i="22" s="1"/>
  <c r="C251" i="22" s="1"/>
  <c r="C263" i="22" s="1"/>
  <c r="C275" i="22" s="1"/>
  <c r="C287" i="22" s="1"/>
  <c r="C299" i="22" s="1"/>
  <c r="C311" i="22" s="1"/>
  <c r="C323" i="22" s="1"/>
  <c r="C335" i="22" s="1"/>
  <c r="C347" i="22" s="1"/>
  <c r="C359" i="22" s="1"/>
  <c r="C371" i="22" s="1"/>
  <c r="C383" i="22" s="1"/>
  <c r="C395" i="22" s="1"/>
  <c r="C24" i="22"/>
  <c r="C36" i="22" s="1"/>
  <c r="C48" i="22" s="1"/>
  <c r="C60" i="22" s="1"/>
  <c r="C72" i="22" s="1"/>
  <c r="C84" i="22" s="1"/>
  <c r="C96" i="22" s="1"/>
  <c r="C108" i="22" s="1"/>
  <c r="C120" i="22" s="1"/>
  <c r="C132" i="22" s="1"/>
  <c r="C144" i="22" s="1"/>
  <c r="C156" i="22" s="1"/>
  <c r="C168" i="22" s="1"/>
  <c r="C180" i="22" s="1"/>
  <c r="C192" i="22" s="1"/>
  <c r="C204" i="22" s="1"/>
  <c r="C216" i="22" s="1"/>
  <c r="C228" i="22" s="1"/>
  <c r="C240" i="22" s="1"/>
  <c r="C252" i="22" s="1"/>
  <c r="C264" i="22" s="1"/>
  <c r="C276" i="22" s="1"/>
  <c r="C288" i="22" s="1"/>
  <c r="C300" i="22" s="1"/>
  <c r="C312" i="22" s="1"/>
  <c r="C324" i="22" s="1"/>
  <c r="C336" i="22" s="1"/>
  <c r="C348" i="22" s="1"/>
  <c r="C360" i="22" s="1"/>
  <c r="C372" i="22" s="1"/>
  <c r="C384" i="22" s="1"/>
  <c r="C396" i="22" s="1"/>
  <c r="C25" i="22"/>
  <c r="C37" i="22" s="1"/>
  <c r="C49" i="22" s="1"/>
  <c r="C61" i="22" s="1"/>
  <c r="C73" i="22" s="1"/>
  <c r="C85" i="22" s="1"/>
  <c r="C97" i="22" s="1"/>
  <c r="C109" i="22" s="1"/>
  <c r="C121" i="22" s="1"/>
  <c r="C133" i="22" s="1"/>
  <c r="C145" i="22" s="1"/>
  <c r="C157" i="22" s="1"/>
  <c r="C169" i="22" s="1"/>
  <c r="C181" i="22" s="1"/>
  <c r="C193" i="22" s="1"/>
  <c r="C205" i="22" s="1"/>
  <c r="C217" i="22" s="1"/>
  <c r="C229" i="22" s="1"/>
  <c r="C241" i="22" s="1"/>
  <c r="C253" i="22" s="1"/>
  <c r="C265" i="22" s="1"/>
  <c r="C277" i="22" s="1"/>
  <c r="C289" i="22" s="1"/>
  <c r="C301" i="22" s="1"/>
  <c r="C313" i="22" s="1"/>
  <c r="C325" i="22" s="1"/>
  <c r="C337" i="22" s="1"/>
  <c r="C349" i="22" s="1"/>
  <c r="C361" i="22" s="1"/>
  <c r="C373" i="22" s="1"/>
  <c r="C385" i="22" s="1"/>
  <c r="C397" i="22" s="1"/>
  <c r="C26" i="22"/>
  <c r="C38" i="22" s="1"/>
  <c r="C50" i="22" s="1"/>
  <c r="C62" i="22" s="1"/>
  <c r="C74" i="22" s="1"/>
  <c r="C86" i="22" s="1"/>
  <c r="C98" i="22" s="1"/>
  <c r="C110" i="22" s="1"/>
  <c r="C122" i="22" s="1"/>
  <c r="C134" i="22" s="1"/>
  <c r="C146" i="22" s="1"/>
  <c r="C158" i="22" s="1"/>
  <c r="C170" i="22" s="1"/>
  <c r="C182" i="22" s="1"/>
  <c r="C194" i="22" s="1"/>
  <c r="C206" i="22" s="1"/>
  <c r="C218" i="22" s="1"/>
  <c r="C230" i="22" s="1"/>
  <c r="C242" i="22" s="1"/>
  <c r="C254" i="22" s="1"/>
  <c r="C266" i="22" s="1"/>
  <c r="C278" i="22" s="1"/>
  <c r="C290" i="22" s="1"/>
  <c r="C302" i="22" s="1"/>
  <c r="C314" i="22" s="1"/>
  <c r="C326" i="22" s="1"/>
  <c r="C338" i="22" s="1"/>
  <c r="C350" i="22" s="1"/>
  <c r="C362" i="22" s="1"/>
  <c r="C374" i="22" s="1"/>
  <c r="C386" i="22" s="1"/>
  <c r="C398" i="22" s="1"/>
  <c r="C27" i="22"/>
  <c r="C39" i="22" s="1"/>
  <c r="C51" i="22" s="1"/>
  <c r="C63" i="22" s="1"/>
  <c r="C75" i="22" s="1"/>
  <c r="C87" i="22" s="1"/>
  <c r="C99" i="22" s="1"/>
  <c r="C111" i="22" s="1"/>
  <c r="C123" i="22" s="1"/>
  <c r="C135" i="22" s="1"/>
  <c r="C147" i="22" s="1"/>
  <c r="C159" i="22" s="1"/>
  <c r="C171" i="22" s="1"/>
  <c r="C183" i="22" s="1"/>
  <c r="C195" i="22" s="1"/>
  <c r="C207" i="22" s="1"/>
  <c r="C219" i="22" s="1"/>
  <c r="C231" i="22" s="1"/>
  <c r="C243" i="22" s="1"/>
  <c r="C255" i="22" s="1"/>
  <c r="C267" i="22" s="1"/>
  <c r="C279" i="22" s="1"/>
  <c r="C291" i="22" s="1"/>
  <c r="C303" i="22" s="1"/>
  <c r="C315" i="22" s="1"/>
  <c r="C327" i="22" s="1"/>
  <c r="C339" i="22" s="1"/>
  <c r="C351" i="22" s="1"/>
  <c r="C363" i="22" s="1"/>
  <c r="C375" i="22" s="1"/>
  <c r="C387" i="22" s="1"/>
  <c r="C399" i="22" s="1"/>
  <c r="C28" i="22"/>
  <c r="C40" i="22" s="1"/>
  <c r="C52" i="22" s="1"/>
  <c r="C64" i="22" s="1"/>
  <c r="C76" i="22" s="1"/>
  <c r="C88" i="22" s="1"/>
  <c r="C100" i="22" s="1"/>
  <c r="C112" i="22" s="1"/>
  <c r="C124" i="22" s="1"/>
  <c r="C136" i="22" s="1"/>
  <c r="C148" i="22" s="1"/>
  <c r="C160" i="22" s="1"/>
  <c r="C172" i="22" s="1"/>
  <c r="C184" i="22" s="1"/>
  <c r="C196" i="22" s="1"/>
  <c r="C208" i="22" s="1"/>
  <c r="C220" i="22" s="1"/>
  <c r="C232" i="22" s="1"/>
  <c r="C244" i="22" s="1"/>
  <c r="C256" i="22" s="1"/>
  <c r="C268" i="22" s="1"/>
  <c r="C280" i="22" s="1"/>
  <c r="C292" i="22" s="1"/>
  <c r="C304" i="22" s="1"/>
  <c r="C316" i="22" s="1"/>
  <c r="C328" i="22" s="1"/>
  <c r="C340" i="22" s="1"/>
  <c r="C352" i="22" s="1"/>
  <c r="C364" i="22" s="1"/>
  <c r="C376" i="22" s="1"/>
  <c r="C388" i="22" s="1"/>
  <c r="C400" i="22" s="1"/>
  <c r="C29" i="22"/>
  <c r="C41" i="22" s="1"/>
  <c r="C53" i="22" s="1"/>
  <c r="C65" i="22" s="1"/>
  <c r="C77" i="22" s="1"/>
  <c r="C89" i="22" s="1"/>
  <c r="C101" i="22" s="1"/>
  <c r="C113" i="22" s="1"/>
  <c r="C125" i="22" s="1"/>
  <c r="C137" i="22" s="1"/>
  <c r="C149" i="22" s="1"/>
  <c r="C161" i="22" s="1"/>
  <c r="C173" i="22" s="1"/>
  <c r="C185" i="22" s="1"/>
  <c r="C197" i="22" s="1"/>
  <c r="C209" i="22" s="1"/>
  <c r="C221" i="22" s="1"/>
  <c r="C233" i="22" s="1"/>
  <c r="C245" i="22" s="1"/>
  <c r="C257" i="22" s="1"/>
  <c r="C269" i="22" s="1"/>
  <c r="C281" i="22" s="1"/>
  <c r="C293" i="22" s="1"/>
  <c r="C305" i="22" s="1"/>
  <c r="C317" i="22" s="1"/>
  <c r="C329" i="22" s="1"/>
  <c r="C341" i="22" s="1"/>
  <c r="C353" i="22" s="1"/>
  <c r="C365" i="22" s="1"/>
  <c r="C377" i="22" s="1"/>
  <c r="C389" i="22" s="1"/>
  <c r="C401" i="22" s="1"/>
  <c r="AO32" i="39"/>
  <c r="AO33" i="39"/>
  <c r="AO34" i="39"/>
  <c r="AO35" i="39"/>
  <c r="AO36" i="39"/>
  <c r="AO37" i="39"/>
  <c r="AO38" i="39"/>
  <c r="AO39" i="39"/>
  <c r="AO30" i="39"/>
  <c r="AN32" i="39"/>
  <c r="AN33" i="39"/>
  <c r="AN34" i="39"/>
  <c r="AN35" i="39"/>
  <c r="AN36" i="39"/>
  <c r="AN37" i="39"/>
  <c r="AN38" i="39"/>
  <c r="AN39" i="39"/>
  <c r="AN40" i="39"/>
  <c r="AN41" i="39"/>
  <c r="AN42" i="39"/>
  <c r="AO31" i="39"/>
  <c r="AN30" i="39"/>
  <c r="AM32" i="39"/>
  <c r="AM33" i="39"/>
  <c r="AM34" i="39"/>
  <c r="AM35" i="39"/>
  <c r="AM36" i="39"/>
  <c r="AM37" i="39"/>
  <c r="AM38" i="39"/>
  <c r="AM39" i="39"/>
  <c r="AM40" i="39"/>
  <c r="AM41" i="39"/>
  <c r="AM42" i="39"/>
  <c r="AN31" i="39"/>
  <c r="AM30" i="39"/>
  <c r="AL40" i="39"/>
  <c r="AL41" i="39"/>
  <c r="AL42" i="39"/>
  <c r="AM31" i="39"/>
  <c r="AO11" i="39"/>
  <c r="AO12" i="39"/>
  <c r="AO13" i="39"/>
  <c r="AO14" i="39"/>
  <c r="AO15" i="39"/>
  <c r="AO16" i="39"/>
  <c r="AO25" i="39" s="1"/>
  <c r="AO17" i="39"/>
  <c r="AO18" i="39"/>
  <c r="AN11" i="39"/>
  <c r="AN12" i="39"/>
  <c r="AN13" i="39"/>
  <c r="AN14" i="39"/>
  <c r="AN15" i="39"/>
  <c r="AN16" i="39"/>
  <c r="AN17" i="39"/>
  <c r="AN18" i="39"/>
  <c r="AN19" i="39"/>
  <c r="AN20" i="39"/>
  <c r="AN21" i="39"/>
  <c r="AO10" i="39"/>
  <c r="AN10" i="39"/>
  <c r="AM11" i="39"/>
  <c r="AM12" i="39"/>
  <c r="AM13" i="39"/>
  <c r="AM14" i="39"/>
  <c r="AM15" i="39"/>
  <c r="AM16" i="39"/>
  <c r="AM17" i="39"/>
  <c r="AM18" i="39"/>
  <c r="AM19" i="39"/>
  <c r="AM20" i="39"/>
  <c r="AM21" i="39"/>
  <c r="AL19" i="39"/>
  <c r="AL20" i="39"/>
  <c r="AL21" i="39"/>
  <c r="AM10" i="39"/>
  <c r="B428" i="39"/>
  <c r="A428" i="39"/>
  <c r="B427" i="39"/>
  <c r="A427" i="39"/>
  <c r="B426" i="39"/>
  <c r="A426" i="39"/>
  <c r="B425" i="39"/>
  <c r="A425" i="39"/>
  <c r="B424" i="39"/>
  <c r="A424" i="39"/>
  <c r="B423" i="39"/>
  <c r="A423" i="39"/>
  <c r="B422" i="39"/>
  <c r="A422" i="39"/>
  <c r="B421" i="39"/>
  <c r="A421" i="39"/>
  <c r="B420" i="39"/>
  <c r="A420" i="39"/>
  <c r="B419" i="39"/>
  <c r="A419" i="39"/>
  <c r="B418" i="39"/>
  <c r="A418" i="39"/>
  <c r="B417" i="39"/>
  <c r="A417" i="39"/>
  <c r="B416" i="39"/>
  <c r="A416" i="39"/>
  <c r="B415" i="39"/>
  <c r="A415" i="39"/>
  <c r="B414" i="39"/>
  <c r="A414" i="39"/>
  <c r="B413" i="39"/>
  <c r="A413" i="39"/>
  <c r="B412" i="39"/>
  <c r="A412" i="39"/>
  <c r="B411" i="39"/>
  <c r="A411" i="39"/>
  <c r="B410" i="39"/>
  <c r="A410" i="39"/>
  <c r="B409" i="39"/>
  <c r="A409" i="39"/>
  <c r="B408" i="39"/>
  <c r="A408" i="39"/>
  <c r="B407" i="39"/>
  <c r="A407" i="39"/>
  <c r="B406" i="39"/>
  <c r="A406" i="39"/>
  <c r="B405" i="39"/>
  <c r="A405" i="39"/>
  <c r="B404" i="39"/>
  <c r="A404" i="39"/>
  <c r="B403" i="39"/>
  <c r="A403" i="39"/>
  <c r="B402" i="39"/>
  <c r="A402" i="39"/>
  <c r="B401" i="39"/>
  <c r="A401" i="39"/>
  <c r="B400" i="39"/>
  <c r="A400" i="39"/>
  <c r="B399" i="39"/>
  <c r="A399" i="39"/>
  <c r="B398" i="39"/>
  <c r="A398" i="39"/>
  <c r="B397" i="39"/>
  <c r="A397" i="39"/>
  <c r="B396" i="39"/>
  <c r="A396" i="39"/>
  <c r="B395" i="39"/>
  <c r="A395" i="39"/>
  <c r="B394" i="39"/>
  <c r="A394" i="39"/>
  <c r="B393" i="39"/>
  <c r="A393" i="39"/>
  <c r="B392" i="39"/>
  <c r="A392" i="39"/>
  <c r="B391" i="39"/>
  <c r="A391" i="39"/>
  <c r="B390" i="39"/>
  <c r="A390" i="39"/>
  <c r="B389" i="39"/>
  <c r="A389" i="39"/>
  <c r="B388" i="39"/>
  <c r="A388" i="39"/>
  <c r="B387" i="39"/>
  <c r="A387" i="39"/>
  <c r="B386" i="39"/>
  <c r="A386" i="39"/>
  <c r="B385" i="39"/>
  <c r="A385" i="39"/>
  <c r="B384" i="39"/>
  <c r="A384" i="39"/>
  <c r="B383" i="39"/>
  <c r="A383" i="39"/>
  <c r="B382" i="39"/>
  <c r="A382" i="39"/>
  <c r="B381" i="39"/>
  <c r="A381" i="39"/>
  <c r="B380" i="39"/>
  <c r="A380" i="39"/>
  <c r="B379" i="39"/>
  <c r="A379" i="39"/>
  <c r="B378" i="39"/>
  <c r="A378" i="39"/>
  <c r="B377" i="39"/>
  <c r="A377" i="39"/>
  <c r="B376" i="39"/>
  <c r="A376" i="39"/>
  <c r="B375" i="39"/>
  <c r="A375" i="39"/>
  <c r="B374" i="39"/>
  <c r="A374" i="39"/>
  <c r="B373" i="39"/>
  <c r="A373" i="39"/>
  <c r="B372" i="39"/>
  <c r="A372" i="39"/>
  <c r="B371" i="39"/>
  <c r="A371" i="39"/>
  <c r="B370" i="39"/>
  <c r="A370" i="39"/>
  <c r="B369" i="39"/>
  <c r="A369" i="39"/>
  <c r="B427" i="3"/>
  <c r="A427" i="3"/>
  <c r="B426" i="3"/>
  <c r="A426" i="3"/>
  <c r="B425" i="3"/>
  <c r="A425" i="3"/>
  <c r="B424" i="3"/>
  <c r="A424" i="3"/>
  <c r="B423" i="3"/>
  <c r="A423" i="3"/>
  <c r="B422" i="3"/>
  <c r="A422" i="3"/>
  <c r="B421" i="3"/>
  <c r="A421" i="3"/>
  <c r="B420" i="3"/>
  <c r="A420" i="3"/>
  <c r="B419" i="3"/>
  <c r="A419" i="3"/>
  <c r="B418" i="3"/>
  <c r="A418" i="3"/>
  <c r="B417" i="3"/>
  <c r="A417" i="3"/>
  <c r="B416" i="3"/>
  <c r="A416" i="3"/>
  <c r="B415" i="3"/>
  <c r="A415" i="3"/>
  <c r="B414" i="3"/>
  <c r="A414" i="3"/>
  <c r="B413" i="3"/>
  <c r="A413" i="3"/>
  <c r="B412" i="3"/>
  <c r="A412" i="3"/>
  <c r="B411" i="3"/>
  <c r="A411" i="3"/>
  <c r="B410" i="3"/>
  <c r="A410" i="3"/>
  <c r="B409" i="3"/>
  <c r="A409" i="3"/>
  <c r="B408" i="3"/>
  <c r="A408" i="3"/>
  <c r="B407" i="3"/>
  <c r="A407" i="3"/>
  <c r="B406" i="3"/>
  <c r="A406" i="3"/>
  <c r="B405" i="3"/>
  <c r="A405" i="3"/>
  <c r="B404" i="3"/>
  <c r="A404" i="3"/>
  <c r="B403" i="3"/>
  <c r="A403" i="3"/>
  <c r="B402" i="3"/>
  <c r="A402" i="3"/>
  <c r="B401" i="3"/>
  <c r="A401" i="3"/>
  <c r="B400" i="3"/>
  <c r="A400" i="3"/>
  <c r="B399" i="3"/>
  <c r="A399" i="3"/>
  <c r="B398" i="3"/>
  <c r="A398" i="3"/>
  <c r="B397" i="3"/>
  <c r="A397" i="3"/>
  <c r="B396" i="3"/>
  <c r="A396" i="3"/>
  <c r="B395" i="3"/>
  <c r="A395" i="3"/>
  <c r="B394" i="3"/>
  <c r="A394" i="3"/>
  <c r="B393" i="3"/>
  <c r="A393" i="3"/>
  <c r="B392" i="3"/>
  <c r="A392" i="3"/>
  <c r="M12" i="28"/>
  <c r="N12" i="28"/>
  <c r="O12" i="28"/>
  <c r="P12" i="28"/>
  <c r="Q12" i="28"/>
  <c r="R12" i="28"/>
  <c r="S12" i="28"/>
  <c r="T12" i="28"/>
  <c r="U12" i="28"/>
  <c r="V12" i="28"/>
  <c r="W12" i="28"/>
  <c r="X12" i="28"/>
  <c r="Y12" i="28"/>
  <c r="Z12" i="28"/>
  <c r="AA12" i="28"/>
  <c r="AB12" i="28"/>
  <c r="AC12" i="28"/>
  <c r="AD12" i="28"/>
  <c r="AE12" i="28"/>
  <c r="AF12" i="28"/>
  <c r="AG12" i="28"/>
  <c r="AH12" i="28"/>
  <c r="AI12" i="28"/>
  <c r="AJ12" i="28"/>
  <c r="AK12" i="28"/>
  <c r="AL12" i="28"/>
  <c r="E12" i="28"/>
  <c r="F12" i="28"/>
  <c r="G12" i="28"/>
  <c r="H12" i="28"/>
  <c r="I12" i="28"/>
  <c r="J12" i="28"/>
  <c r="K12" i="28"/>
  <c r="L12" i="28"/>
  <c r="D59" i="24"/>
  <c r="O4" i="24" s="1"/>
  <c r="A3" i="33"/>
  <c r="F16" i="24"/>
  <c r="F13" i="24"/>
  <c r="G14" i="24"/>
  <c r="A15" i="24"/>
  <c r="A16" i="24"/>
  <c r="C15" i="24" s="1"/>
  <c r="B19" i="24"/>
  <c r="B16" i="24"/>
  <c r="H14" i="24"/>
  <c r="H15" i="24"/>
  <c r="L16" i="24"/>
  <c r="L17" i="24" s="1"/>
  <c r="L15" i="24"/>
  <c r="B11" i="26"/>
  <c r="D17" i="26" s="1"/>
  <c r="B12" i="26"/>
  <c r="D16" i="26" s="1"/>
  <c r="B14" i="6"/>
  <c r="B18" i="6"/>
  <c r="B17" i="6"/>
  <c r="A17" i="6"/>
  <c r="B20" i="6"/>
  <c r="A20" i="6"/>
  <c r="A18" i="6"/>
  <c r="B19" i="6"/>
  <c r="A19" i="6"/>
  <c r="B21" i="6"/>
  <c r="A21" i="6"/>
  <c r="B22" i="6"/>
  <c r="A22" i="6"/>
  <c r="F44" i="6"/>
  <c r="G45" i="6"/>
  <c r="D42" i="6"/>
  <c r="D41" i="6"/>
  <c r="D44" i="6"/>
  <c r="D43" i="6" s="1"/>
  <c r="H20" i="8"/>
  <c r="C9" i="44" s="1"/>
  <c r="B12" i="16"/>
  <c r="B7" i="16"/>
  <c r="I26" i="15"/>
  <c r="I35" i="15"/>
  <c r="H26" i="15"/>
  <c r="H35" i="15" s="1"/>
  <c r="G26" i="15"/>
  <c r="G35" i="15" s="1"/>
  <c r="I25" i="15"/>
  <c r="I34" i="15" s="1"/>
  <c r="H25" i="15"/>
  <c r="H34" i="15" s="1"/>
  <c r="G25" i="15"/>
  <c r="G34" i="15"/>
  <c r="I24" i="15"/>
  <c r="I33" i="15"/>
  <c r="H24" i="15"/>
  <c r="H33" i="15" s="1"/>
  <c r="G24" i="15"/>
  <c r="G33" i="15"/>
  <c r="I23" i="15"/>
  <c r="I32" i="15" s="1"/>
  <c r="H23" i="15"/>
  <c r="H32" i="15" s="1"/>
  <c r="G23" i="15"/>
  <c r="G32" i="15" s="1"/>
  <c r="I22" i="15"/>
  <c r="I31" i="15"/>
  <c r="H22" i="15"/>
  <c r="H31" i="15" s="1"/>
  <c r="G22" i="15"/>
  <c r="G31" i="15"/>
  <c r="B23" i="15"/>
  <c r="C21" i="15"/>
  <c r="C22" i="15"/>
  <c r="C23" i="15" s="1"/>
  <c r="C24" i="15" s="1"/>
  <c r="C25" i="15" s="1"/>
  <c r="C26" i="15"/>
  <c r="C27" i="15" s="1"/>
  <c r="C28" i="15" s="1"/>
  <c r="C29" i="15" s="1"/>
  <c r="F20" i="15"/>
  <c r="B38" i="24"/>
  <c r="B37" i="24" s="1"/>
  <c r="C38" i="24"/>
  <c r="C39" i="24" s="1"/>
  <c r="I20" i="15"/>
  <c r="H20" i="15"/>
  <c r="G20" i="15"/>
  <c r="B8" i="44"/>
  <c r="B7" i="44"/>
  <c r="B6" i="44"/>
  <c r="C32" i="44"/>
  <c r="B10" i="26"/>
  <c r="C19" i="44"/>
  <c r="C18" i="44"/>
  <c r="A2" i="44"/>
  <c r="A31" i="16"/>
  <c r="C33" i="16"/>
  <c r="D33" i="16"/>
  <c r="E33" i="16"/>
  <c r="C34" i="16"/>
  <c r="D34" i="16"/>
  <c r="C35" i="16"/>
  <c r="D35" i="16"/>
  <c r="E35" i="16"/>
  <c r="D32" i="16"/>
  <c r="E32" i="16"/>
  <c r="C32" i="16"/>
  <c r="A11" i="16"/>
  <c r="B11" i="16"/>
  <c r="C11" i="16"/>
  <c r="A6" i="16"/>
  <c r="B6" i="16"/>
  <c r="C6" i="16"/>
  <c r="A10" i="16"/>
  <c r="B10" i="16"/>
  <c r="C10" i="16"/>
  <c r="B5" i="16"/>
  <c r="C5" i="16"/>
  <c r="A5" i="16"/>
  <c r="G31" i="24"/>
  <c r="G32" i="24" s="1"/>
  <c r="F31" i="24"/>
  <c r="F32" i="24"/>
  <c r="E31" i="24"/>
  <c r="E32" i="24"/>
  <c r="D31" i="24"/>
  <c r="D32" i="24" s="1"/>
  <c r="C31" i="24"/>
  <c r="C32" i="24" s="1"/>
  <c r="F42" i="16"/>
  <c r="F43" i="16"/>
  <c r="F44" i="16"/>
  <c r="F41" i="16"/>
  <c r="D42" i="16"/>
  <c r="D43" i="16"/>
  <c r="D44" i="16"/>
  <c r="D41" i="16"/>
  <c r="A8" i="3"/>
  <c r="T8" i="3"/>
  <c r="B8" i="3"/>
  <c r="U8" i="3" s="1"/>
  <c r="A9" i="3"/>
  <c r="T9" i="3"/>
  <c r="B9" i="3"/>
  <c r="U9" i="3"/>
  <c r="A10" i="3"/>
  <c r="T10" i="3"/>
  <c r="B10" i="3"/>
  <c r="U10" i="3" s="1"/>
  <c r="A11" i="3"/>
  <c r="T11" i="3" s="1"/>
  <c r="B11" i="3"/>
  <c r="U11" i="3" s="1"/>
  <c r="A12" i="3"/>
  <c r="T12" i="3"/>
  <c r="B12" i="3"/>
  <c r="U12" i="3"/>
  <c r="A13" i="3"/>
  <c r="T13" i="3" s="1"/>
  <c r="B13" i="3"/>
  <c r="U13" i="3"/>
  <c r="A14" i="3"/>
  <c r="T14" i="3"/>
  <c r="B14" i="3"/>
  <c r="U14" i="3" s="1"/>
  <c r="A15" i="3"/>
  <c r="T15" i="3"/>
  <c r="B15" i="3"/>
  <c r="U15" i="3"/>
  <c r="A16" i="3"/>
  <c r="T16" i="3" s="1"/>
  <c r="B16" i="3"/>
  <c r="U16" i="3"/>
  <c r="A17" i="3"/>
  <c r="T17" i="3" s="1"/>
  <c r="B17" i="3"/>
  <c r="U17" i="3" s="1"/>
  <c r="A18" i="3"/>
  <c r="T18" i="3" s="1"/>
  <c r="B18" i="3"/>
  <c r="U18" i="3"/>
  <c r="A19" i="3"/>
  <c r="T19" i="3"/>
  <c r="B19" i="3"/>
  <c r="U19" i="3"/>
  <c r="A20" i="3"/>
  <c r="T20" i="3"/>
  <c r="B20" i="3"/>
  <c r="U20" i="3" s="1"/>
  <c r="A21" i="3"/>
  <c r="T21" i="3" s="1"/>
  <c r="B21" i="3"/>
  <c r="U21" i="3"/>
  <c r="A22" i="3"/>
  <c r="T22" i="3" s="1"/>
  <c r="B22" i="3"/>
  <c r="U22" i="3"/>
  <c r="A23" i="3"/>
  <c r="T23" i="3" s="1"/>
  <c r="B23" i="3"/>
  <c r="U23" i="3"/>
  <c r="A24" i="3"/>
  <c r="T24" i="3" s="1"/>
  <c r="B24" i="3"/>
  <c r="U24" i="3"/>
  <c r="A25" i="3"/>
  <c r="T25" i="3"/>
  <c r="B25" i="3"/>
  <c r="U25" i="3" s="1"/>
  <c r="A26" i="3"/>
  <c r="T26" i="3"/>
  <c r="B26" i="3"/>
  <c r="U26" i="3"/>
  <c r="A27" i="3"/>
  <c r="T27" i="3" s="1"/>
  <c r="B27" i="3"/>
  <c r="U27" i="3"/>
  <c r="A28" i="3"/>
  <c r="T28" i="3"/>
  <c r="B28" i="3"/>
  <c r="U28" i="3" s="1"/>
  <c r="A29" i="3"/>
  <c r="T29" i="3" s="1"/>
  <c r="B29" i="3"/>
  <c r="U29" i="3" s="1"/>
  <c r="A30" i="3"/>
  <c r="T30" i="3" s="1"/>
  <c r="B30" i="3"/>
  <c r="U30" i="3" s="1"/>
  <c r="A31" i="3"/>
  <c r="T31" i="3"/>
  <c r="B31" i="3"/>
  <c r="U31" i="3" s="1"/>
  <c r="A32" i="3"/>
  <c r="T32" i="3" s="1"/>
  <c r="B32" i="3"/>
  <c r="U32" i="3"/>
  <c r="A33" i="3"/>
  <c r="T33" i="3"/>
  <c r="B33" i="3"/>
  <c r="U33" i="3" s="1"/>
  <c r="A34" i="3"/>
  <c r="T34" i="3"/>
  <c r="B34" i="3"/>
  <c r="U34" i="3"/>
  <c r="A35" i="3"/>
  <c r="T35" i="3" s="1"/>
  <c r="B35" i="3"/>
  <c r="U35" i="3"/>
  <c r="A36" i="3"/>
  <c r="T36" i="3" s="1"/>
  <c r="B36" i="3"/>
  <c r="U36" i="3" s="1"/>
  <c r="A37" i="3"/>
  <c r="T37" i="3" s="1"/>
  <c r="B37" i="3"/>
  <c r="U37" i="3"/>
  <c r="A38" i="3"/>
  <c r="T38" i="3" s="1"/>
  <c r="B38" i="3"/>
  <c r="U38" i="3" s="1"/>
  <c r="A39" i="3"/>
  <c r="T39" i="3"/>
  <c r="B39" i="3"/>
  <c r="U39" i="3"/>
  <c r="A40" i="3"/>
  <c r="T40" i="3" s="1"/>
  <c r="B40" i="3"/>
  <c r="U40" i="3"/>
  <c r="A41" i="3"/>
  <c r="T41" i="3" s="1"/>
  <c r="B41" i="3"/>
  <c r="U41" i="3"/>
  <c r="A42" i="3"/>
  <c r="T42" i="3"/>
  <c r="B42" i="3"/>
  <c r="U42" i="3" s="1"/>
  <c r="A43" i="3"/>
  <c r="T43" i="3" s="1"/>
  <c r="B43" i="3"/>
  <c r="U43" i="3" s="1"/>
  <c r="A44" i="3"/>
  <c r="T44" i="3" s="1"/>
  <c r="B44" i="3"/>
  <c r="U44" i="3"/>
  <c r="A45" i="3"/>
  <c r="T45" i="3" s="1"/>
  <c r="B45" i="3"/>
  <c r="U45" i="3"/>
  <c r="A46" i="3"/>
  <c r="T46" i="3"/>
  <c r="B46" i="3"/>
  <c r="U46" i="3" s="1"/>
  <c r="A47" i="3"/>
  <c r="T47" i="3" s="1"/>
  <c r="B47" i="3"/>
  <c r="U47" i="3"/>
  <c r="A48" i="3"/>
  <c r="T48" i="3"/>
  <c r="B48" i="3"/>
  <c r="U48" i="3"/>
  <c r="A49" i="3"/>
  <c r="T49" i="3" s="1"/>
  <c r="B49" i="3"/>
  <c r="U49" i="3" s="1"/>
  <c r="A50" i="3"/>
  <c r="T50" i="3" s="1"/>
  <c r="B50" i="3"/>
  <c r="U50" i="3"/>
  <c r="A51" i="3"/>
  <c r="T51" i="3"/>
  <c r="B51" i="3"/>
  <c r="U51" i="3" s="1"/>
  <c r="A52" i="3"/>
  <c r="T52" i="3"/>
  <c r="B52" i="3"/>
  <c r="U52" i="3"/>
  <c r="A53" i="3"/>
  <c r="T53" i="3" s="1"/>
  <c r="B53" i="3"/>
  <c r="U53" i="3" s="1"/>
  <c r="A54" i="3"/>
  <c r="T54" i="3"/>
  <c r="B54" i="3"/>
  <c r="U54" i="3"/>
  <c r="A55" i="3"/>
  <c r="T55" i="3"/>
  <c r="B55" i="3"/>
  <c r="U55" i="3" s="1"/>
  <c r="A56" i="3"/>
  <c r="T56" i="3"/>
  <c r="B56" i="3"/>
  <c r="U56" i="3" s="1"/>
  <c r="A57" i="3"/>
  <c r="T57" i="3"/>
  <c r="B57" i="3"/>
  <c r="U57" i="3" s="1"/>
  <c r="A58" i="3"/>
  <c r="T58" i="3"/>
  <c r="B58" i="3"/>
  <c r="U58" i="3" s="1"/>
  <c r="A59" i="3"/>
  <c r="T59" i="3" s="1"/>
  <c r="B59" i="3"/>
  <c r="U59" i="3" s="1"/>
  <c r="A60" i="3"/>
  <c r="T60" i="3"/>
  <c r="B60" i="3"/>
  <c r="U60" i="3"/>
  <c r="A61" i="3"/>
  <c r="T61" i="3"/>
  <c r="B61" i="3"/>
  <c r="U61" i="3" s="1"/>
  <c r="A62" i="3"/>
  <c r="T62" i="3" s="1"/>
  <c r="B62" i="3"/>
  <c r="U62" i="3" s="1"/>
  <c r="A63" i="3"/>
  <c r="T63" i="3"/>
  <c r="B63" i="3"/>
  <c r="U63" i="3"/>
  <c r="A64" i="3"/>
  <c r="T64" i="3"/>
  <c r="B64" i="3"/>
  <c r="U64" i="3" s="1"/>
  <c r="A65" i="3"/>
  <c r="T65" i="3" s="1"/>
  <c r="B65" i="3"/>
  <c r="U65" i="3" s="1"/>
  <c r="A66" i="3"/>
  <c r="T66" i="3"/>
  <c r="B66" i="3"/>
  <c r="U66" i="3" s="1"/>
  <c r="A67" i="3"/>
  <c r="T67" i="3"/>
  <c r="B67" i="3"/>
  <c r="U67" i="3" s="1"/>
  <c r="A68" i="3"/>
  <c r="T68" i="3" s="1"/>
  <c r="B68" i="3"/>
  <c r="U68" i="3" s="1"/>
  <c r="A69" i="3"/>
  <c r="T69" i="3"/>
  <c r="B69" i="3"/>
  <c r="U69" i="3" s="1"/>
  <c r="A70" i="3"/>
  <c r="T70" i="3"/>
  <c r="B70" i="3"/>
  <c r="U70" i="3" s="1"/>
  <c r="A71" i="3"/>
  <c r="T71" i="3" s="1"/>
  <c r="B71" i="3"/>
  <c r="U71" i="3" s="1"/>
  <c r="A72" i="3"/>
  <c r="T72" i="3"/>
  <c r="B72" i="3"/>
  <c r="U72" i="3"/>
  <c r="A73" i="3"/>
  <c r="T73" i="3"/>
  <c r="B73" i="3"/>
  <c r="U73" i="3" s="1"/>
  <c r="A74" i="3"/>
  <c r="T74" i="3" s="1"/>
  <c r="B74" i="3"/>
  <c r="U74" i="3" s="1"/>
  <c r="A75" i="3"/>
  <c r="T75" i="3"/>
  <c r="B75" i="3"/>
  <c r="U75" i="3"/>
  <c r="A76" i="3"/>
  <c r="T76" i="3"/>
  <c r="B76" i="3"/>
  <c r="U76" i="3" s="1"/>
  <c r="A77" i="3"/>
  <c r="T77" i="3" s="1"/>
  <c r="B77" i="3"/>
  <c r="U77" i="3" s="1"/>
  <c r="A78" i="3"/>
  <c r="T78" i="3"/>
  <c r="B78" i="3"/>
  <c r="U78" i="3" s="1"/>
  <c r="A79" i="3"/>
  <c r="T79" i="3"/>
  <c r="B79" i="3"/>
  <c r="U79" i="3" s="1"/>
  <c r="A80" i="3"/>
  <c r="T80" i="3" s="1"/>
  <c r="B80" i="3"/>
  <c r="U80" i="3" s="1"/>
  <c r="A81" i="3"/>
  <c r="T81" i="3"/>
  <c r="B81" i="3"/>
  <c r="U81" i="3" s="1"/>
  <c r="A82" i="3"/>
  <c r="T82" i="3"/>
  <c r="B82" i="3"/>
  <c r="U82" i="3" s="1"/>
  <c r="A83" i="3"/>
  <c r="T83" i="3" s="1"/>
  <c r="B83" i="3"/>
  <c r="U83" i="3" s="1"/>
  <c r="A84" i="3"/>
  <c r="T84" i="3"/>
  <c r="B84" i="3"/>
  <c r="U84" i="3"/>
  <c r="A85" i="3"/>
  <c r="T85" i="3"/>
  <c r="B85" i="3"/>
  <c r="U85" i="3" s="1"/>
  <c r="A86" i="3"/>
  <c r="T86" i="3" s="1"/>
  <c r="B86" i="3"/>
  <c r="U86" i="3" s="1"/>
  <c r="A87" i="3"/>
  <c r="T87" i="3"/>
  <c r="B87" i="3"/>
  <c r="U87" i="3"/>
  <c r="A88" i="3"/>
  <c r="T88" i="3"/>
  <c r="B88" i="3"/>
  <c r="U88" i="3" s="1"/>
  <c r="A89" i="3"/>
  <c r="T89" i="3" s="1"/>
  <c r="B89" i="3"/>
  <c r="U89" i="3" s="1"/>
  <c r="A90" i="3"/>
  <c r="T90" i="3"/>
  <c r="B90" i="3"/>
  <c r="U90" i="3" s="1"/>
  <c r="A91" i="3"/>
  <c r="T91" i="3"/>
  <c r="B91" i="3"/>
  <c r="U91" i="3" s="1"/>
  <c r="A92" i="3"/>
  <c r="T92" i="3" s="1"/>
  <c r="B92" i="3"/>
  <c r="U92" i="3" s="1"/>
  <c r="A93" i="3"/>
  <c r="T93" i="3"/>
  <c r="B93" i="3"/>
  <c r="U93" i="3" s="1"/>
  <c r="A94" i="3"/>
  <c r="T94" i="3"/>
  <c r="B94" i="3"/>
  <c r="U94" i="3" s="1"/>
  <c r="A95" i="3"/>
  <c r="T95" i="3" s="1"/>
  <c r="B95" i="3"/>
  <c r="U95" i="3" s="1"/>
  <c r="A96" i="3"/>
  <c r="T96" i="3"/>
  <c r="B96" i="3"/>
  <c r="U96" i="3"/>
  <c r="A97" i="3"/>
  <c r="T97" i="3"/>
  <c r="B97" i="3"/>
  <c r="U97" i="3" s="1"/>
  <c r="A98" i="3"/>
  <c r="T98" i="3" s="1"/>
  <c r="B98" i="3"/>
  <c r="U98" i="3" s="1"/>
  <c r="A99" i="3"/>
  <c r="T99" i="3"/>
  <c r="B99" i="3"/>
  <c r="U99" i="3"/>
  <c r="A100" i="3"/>
  <c r="T100" i="3"/>
  <c r="B100" i="3"/>
  <c r="U100" i="3" s="1"/>
  <c r="A101" i="3"/>
  <c r="T101" i="3" s="1"/>
  <c r="B101" i="3"/>
  <c r="U101" i="3" s="1"/>
  <c r="A102" i="3"/>
  <c r="T102" i="3"/>
  <c r="B102" i="3"/>
  <c r="U102" i="3" s="1"/>
  <c r="A103" i="3"/>
  <c r="T103" i="3"/>
  <c r="B103" i="3"/>
  <c r="U103" i="3" s="1"/>
  <c r="A104" i="3"/>
  <c r="T104" i="3" s="1"/>
  <c r="B104" i="3"/>
  <c r="U104" i="3" s="1"/>
  <c r="A105" i="3"/>
  <c r="T105" i="3"/>
  <c r="B105" i="3"/>
  <c r="U105" i="3" s="1"/>
  <c r="A106" i="3"/>
  <c r="T106" i="3"/>
  <c r="B106" i="3"/>
  <c r="U106" i="3" s="1"/>
  <c r="A107" i="3"/>
  <c r="T107" i="3" s="1"/>
  <c r="B107" i="3"/>
  <c r="U107" i="3" s="1"/>
  <c r="A108" i="3"/>
  <c r="T108" i="3"/>
  <c r="B108" i="3"/>
  <c r="U108" i="3"/>
  <c r="A109" i="3"/>
  <c r="T109" i="3"/>
  <c r="B109" i="3"/>
  <c r="U109" i="3" s="1"/>
  <c r="A110" i="3"/>
  <c r="T110" i="3" s="1"/>
  <c r="B110" i="3"/>
  <c r="U110" i="3" s="1"/>
  <c r="A111" i="3"/>
  <c r="T111" i="3"/>
  <c r="B111" i="3"/>
  <c r="U111" i="3"/>
  <c r="A112" i="3"/>
  <c r="T112" i="3"/>
  <c r="B112" i="3"/>
  <c r="U112" i="3" s="1"/>
  <c r="A113" i="3"/>
  <c r="T113" i="3" s="1"/>
  <c r="B113" i="3"/>
  <c r="U113" i="3" s="1"/>
  <c r="A114" i="3"/>
  <c r="T114" i="3"/>
  <c r="B114" i="3"/>
  <c r="U114" i="3" s="1"/>
  <c r="A115" i="3"/>
  <c r="T115" i="3"/>
  <c r="B115" i="3"/>
  <c r="U115" i="3" s="1"/>
  <c r="A116" i="3"/>
  <c r="T116" i="3" s="1"/>
  <c r="B116" i="3"/>
  <c r="U116" i="3" s="1"/>
  <c r="A117" i="3"/>
  <c r="T117" i="3"/>
  <c r="B117" i="3"/>
  <c r="U117" i="3" s="1"/>
  <c r="A118" i="3"/>
  <c r="T118" i="3"/>
  <c r="B118" i="3"/>
  <c r="U118" i="3" s="1"/>
  <c r="A119" i="3"/>
  <c r="T119" i="3" s="1"/>
  <c r="B119" i="3"/>
  <c r="U119" i="3" s="1"/>
  <c r="A120" i="3"/>
  <c r="T120" i="3"/>
  <c r="B120" i="3"/>
  <c r="U120" i="3"/>
  <c r="A121" i="3"/>
  <c r="T121" i="3"/>
  <c r="B121" i="3"/>
  <c r="U121" i="3" s="1"/>
  <c r="A122" i="3"/>
  <c r="T122" i="3" s="1"/>
  <c r="B122" i="3"/>
  <c r="U122" i="3" s="1"/>
  <c r="A123" i="3"/>
  <c r="T123" i="3"/>
  <c r="B123" i="3"/>
  <c r="U123" i="3"/>
  <c r="A124" i="3"/>
  <c r="T124" i="3"/>
  <c r="B124" i="3"/>
  <c r="U124" i="3" s="1"/>
  <c r="A125" i="3"/>
  <c r="T125" i="3" s="1"/>
  <c r="B125" i="3"/>
  <c r="U125" i="3" s="1"/>
  <c r="A126" i="3"/>
  <c r="T126" i="3"/>
  <c r="B126" i="3"/>
  <c r="U126" i="3" s="1"/>
  <c r="A127" i="3"/>
  <c r="T127" i="3"/>
  <c r="B127" i="3"/>
  <c r="U127" i="3" s="1"/>
  <c r="A128" i="3"/>
  <c r="T128" i="3" s="1"/>
  <c r="B128" i="3"/>
  <c r="U128" i="3" s="1"/>
  <c r="A129" i="3"/>
  <c r="T129" i="3"/>
  <c r="B129" i="3"/>
  <c r="U129" i="3" s="1"/>
  <c r="A130" i="3"/>
  <c r="T130" i="3"/>
  <c r="B130" i="3"/>
  <c r="U130" i="3" s="1"/>
  <c r="A131" i="3"/>
  <c r="T131" i="3" s="1"/>
  <c r="B131" i="3"/>
  <c r="U131" i="3" s="1"/>
  <c r="A132" i="3"/>
  <c r="T132" i="3"/>
  <c r="B132" i="3"/>
  <c r="U132" i="3"/>
  <c r="A133" i="3"/>
  <c r="T133" i="3"/>
  <c r="B133" i="3"/>
  <c r="U133" i="3" s="1"/>
  <c r="A134" i="3"/>
  <c r="T134" i="3" s="1"/>
  <c r="B134" i="3"/>
  <c r="U134" i="3" s="1"/>
  <c r="A135" i="3"/>
  <c r="T135" i="3"/>
  <c r="B135" i="3"/>
  <c r="U135" i="3"/>
  <c r="A136" i="3"/>
  <c r="T136" i="3"/>
  <c r="B136" i="3"/>
  <c r="U136" i="3" s="1"/>
  <c r="A137" i="3"/>
  <c r="T137" i="3" s="1"/>
  <c r="B137" i="3"/>
  <c r="U137" i="3" s="1"/>
  <c r="A138" i="3"/>
  <c r="T138" i="3"/>
  <c r="B138" i="3"/>
  <c r="U138" i="3" s="1"/>
  <c r="A139" i="3"/>
  <c r="T139" i="3"/>
  <c r="B139" i="3"/>
  <c r="U139" i="3" s="1"/>
  <c r="A140" i="3"/>
  <c r="T140" i="3" s="1"/>
  <c r="B140" i="3"/>
  <c r="U140" i="3" s="1"/>
  <c r="A141" i="3"/>
  <c r="T141" i="3"/>
  <c r="B141" i="3"/>
  <c r="U141" i="3" s="1"/>
  <c r="A142" i="3"/>
  <c r="T142" i="3"/>
  <c r="B142" i="3"/>
  <c r="U142" i="3" s="1"/>
  <c r="A143" i="3"/>
  <c r="T143" i="3" s="1"/>
  <c r="B143" i="3"/>
  <c r="U143" i="3" s="1"/>
  <c r="A144" i="3"/>
  <c r="T144" i="3"/>
  <c r="B144" i="3"/>
  <c r="U144" i="3"/>
  <c r="A145" i="3"/>
  <c r="T145" i="3"/>
  <c r="B145" i="3"/>
  <c r="U145" i="3" s="1"/>
  <c r="A146" i="3"/>
  <c r="T146" i="3" s="1"/>
  <c r="B146" i="3"/>
  <c r="U146" i="3" s="1"/>
  <c r="A147" i="3"/>
  <c r="T147" i="3"/>
  <c r="B147" i="3"/>
  <c r="U147" i="3"/>
  <c r="A148" i="3"/>
  <c r="T148" i="3"/>
  <c r="B148" i="3"/>
  <c r="U148" i="3" s="1"/>
  <c r="A149" i="3"/>
  <c r="T149" i="3" s="1"/>
  <c r="B149" i="3"/>
  <c r="U149" i="3" s="1"/>
  <c r="A150" i="3"/>
  <c r="T150" i="3"/>
  <c r="B150" i="3"/>
  <c r="U150" i="3" s="1"/>
  <c r="A151" i="3"/>
  <c r="T151" i="3"/>
  <c r="B151" i="3"/>
  <c r="U151" i="3" s="1"/>
  <c r="A152" i="3"/>
  <c r="T152" i="3" s="1"/>
  <c r="B152" i="3"/>
  <c r="U152" i="3" s="1"/>
  <c r="A153" i="3"/>
  <c r="T153" i="3"/>
  <c r="B153" i="3"/>
  <c r="U153" i="3" s="1"/>
  <c r="A154" i="3"/>
  <c r="T154" i="3" s="1"/>
  <c r="B154" i="3"/>
  <c r="U154" i="3" s="1"/>
  <c r="A155" i="3"/>
  <c r="T155" i="3" s="1"/>
  <c r="B155" i="3"/>
  <c r="U155" i="3" s="1"/>
  <c r="A156" i="3"/>
  <c r="T156" i="3"/>
  <c r="B156" i="3"/>
  <c r="U156" i="3"/>
  <c r="A157" i="3"/>
  <c r="T157" i="3"/>
  <c r="B157" i="3"/>
  <c r="U157" i="3" s="1"/>
  <c r="A158" i="3"/>
  <c r="T158" i="3" s="1"/>
  <c r="B158" i="3"/>
  <c r="U158" i="3" s="1"/>
  <c r="A159" i="3"/>
  <c r="T159" i="3"/>
  <c r="B159" i="3"/>
  <c r="U159" i="3" s="1"/>
  <c r="A160" i="3"/>
  <c r="T160" i="3"/>
  <c r="B160" i="3"/>
  <c r="U160" i="3" s="1"/>
  <c r="A161" i="3"/>
  <c r="T161" i="3" s="1"/>
  <c r="B161" i="3"/>
  <c r="U161" i="3" s="1"/>
  <c r="A162" i="3"/>
  <c r="T162" i="3"/>
  <c r="B162" i="3"/>
  <c r="U162" i="3"/>
  <c r="A163" i="3"/>
  <c r="T163" i="3" s="1"/>
  <c r="B163" i="3"/>
  <c r="U163" i="3" s="1"/>
  <c r="A164" i="3"/>
  <c r="T164" i="3" s="1"/>
  <c r="B164" i="3"/>
  <c r="U164" i="3" s="1"/>
  <c r="A165" i="3"/>
  <c r="T165" i="3"/>
  <c r="B165" i="3"/>
  <c r="U165" i="3"/>
  <c r="A166" i="3"/>
  <c r="T166" i="3" s="1"/>
  <c r="B166" i="3"/>
  <c r="U166" i="3" s="1"/>
  <c r="A167" i="3"/>
  <c r="T167" i="3" s="1"/>
  <c r="B167" i="3"/>
  <c r="U167" i="3" s="1"/>
  <c r="A168" i="3"/>
  <c r="T168" i="3" s="1"/>
  <c r="B168" i="3"/>
  <c r="U168" i="3" s="1"/>
  <c r="A169" i="3"/>
  <c r="T169" i="3" s="1"/>
  <c r="B169" i="3"/>
  <c r="U169" i="3" s="1"/>
  <c r="A170" i="3"/>
  <c r="T170" i="3" s="1"/>
  <c r="B170" i="3"/>
  <c r="U170" i="3" s="1"/>
  <c r="A171" i="3"/>
  <c r="T171" i="3" s="1"/>
  <c r="B171" i="3"/>
  <c r="U171" i="3" s="1"/>
  <c r="A172" i="3"/>
  <c r="T172" i="3" s="1"/>
  <c r="B172" i="3"/>
  <c r="U172" i="3" s="1"/>
  <c r="A173" i="3"/>
  <c r="T173" i="3" s="1"/>
  <c r="B173" i="3"/>
  <c r="U173" i="3" s="1"/>
  <c r="A174" i="3"/>
  <c r="T174" i="3" s="1"/>
  <c r="B174" i="3"/>
  <c r="U174" i="3" s="1"/>
  <c r="A175" i="3"/>
  <c r="T175" i="3"/>
  <c r="B175" i="3"/>
  <c r="U175" i="3" s="1"/>
  <c r="A176" i="3"/>
  <c r="T176" i="3" s="1"/>
  <c r="B176" i="3"/>
  <c r="U176" i="3" s="1"/>
  <c r="A177" i="3"/>
  <c r="T177" i="3" s="1"/>
  <c r="B177" i="3"/>
  <c r="U177" i="3" s="1"/>
  <c r="A178" i="3"/>
  <c r="T178" i="3" s="1"/>
  <c r="B178" i="3"/>
  <c r="U178" i="3" s="1"/>
  <c r="A179" i="3"/>
  <c r="T179" i="3" s="1"/>
  <c r="B179" i="3"/>
  <c r="U179" i="3" s="1"/>
  <c r="A180" i="3"/>
  <c r="T180" i="3" s="1"/>
  <c r="B180" i="3"/>
  <c r="U180" i="3"/>
  <c r="A181" i="3"/>
  <c r="T181" i="3" s="1"/>
  <c r="B181" i="3"/>
  <c r="U181" i="3" s="1"/>
  <c r="A182" i="3"/>
  <c r="T182" i="3" s="1"/>
  <c r="B182" i="3"/>
  <c r="U182" i="3" s="1"/>
  <c r="A183" i="3"/>
  <c r="T183" i="3" s="1"/>
  <c r="B183" i="3"/>
  <c r="U183" i="3" s="1"/>
  <c r="A184" i="3"/>
  <c r="T184" i="3"/>
  <c r="B184" i="3"/>
  <c r="U184" i="3" s="1"/>
  <c r="A185" i="3"/>
  <c r="T185" i="3" s="1"/>
  <c r="B185" i="3"/>
  <c r="U185" i="3" s="1"/>
  <c r="A186" i="3"/>
  <c r="T186" i="3" s="1"/>
  <c r="B186" i="3"/>
  <c r="U186" i="3"/>
  <c r="A187" i="3"/>
  <c r="T187" i="3" s="1"/>
  <c r="B187" i="3"/>
  <c r="U187" i="3" s="1"/>
  <c r="A188" i="3"/>
  <c r="T188" i="3" s="1"/>
  <c r="B188" i="3"/>
  <c r="U188" i="3" s="1"/>
  <c r="A189" i="3"/>
  <c r="T189" i="3" s="1"/>
  <c r="B189" i="3"/>
  <c r="U189" i="3"/>
  <c r="A190" i="3"/>
  <c r="T190" i="3" s="1"/>
  <c r="B190" i="3"/>
  <c r="U190" i="3" s="1"/>
  <c r="A191" i="3"/>
  <c r="T191" i="3" s="1"/>
  <c r="B191" i="3"/>
  <c r="U191" i="3" s="1"/>
  <c r="A192" i="3"/>
  <c r="T192" i="3" s="1"/>
  <c r="B192" i="3"/>
  <c r="U192" i="3" s="1"/>
  <c r="A193" i="3"/>
  <c r="T193" i="3" s="1"/>
  <c r="B193" i="3"/>
  <c r="U193" i="3" s="1"/>
  <c r="A194" i="3"/>
  <c r="T194" i="3" s="1"/>
  <c r="B194" i="3"/>
  <c r="U194" i="3" s="1"/>
  <c r="A195" i="3"/>
  <c r="T195" i="3" s="1"/>
  <c r="B195" i="3"/>
  <c r="U195" i="3"/>
  <c r="A196" i="3"/>
  <c r="T196" i="3" s="1"/>
  <c r="B196" i="3"/>
  <c r="U196" i="3" s="1"/>
  <c r="A197" i="3"/>
  <c r="T197" i="3" s="1"/>
  <c r="B197" i="3"/>
  <c r="U197" i="3" s="1"/>
  <c r="A198" i="3"/>
  <c r="T198" i="3" s="1"/>
  <c r="B198" i="3"/>
  <c r="U198" i="3" s="1"/>
  <c r="A199" i="3"/>
  <c r="T199" i="3" s="1"/>
  <c r="B199" i="3"/>
  <c r="U199" i="3" s="1"/>
  <c r="A200" i="3"/>
  <c r="T200" i="3" s="1"/>
  <c r="B200" i="3"/>
  <c r="U200" i="3" s="1"/>
  <c r="A201" i="3"/>
  <c r="T201" i="3" s="1"/>
  <c r="B201" i="3"/>
  <c r="U201" i="3" s="1"/>
  <c r="A202" i="3"/>
  <c r="T202" i="3" s="1"/>
  <c r="B202" i="3"/>
  <c r="U202" i="3" s="1"/>
  <c r="A203" i="3"/>
  <c r="T203" i="3" s="1"/>
  <c r="B203" i="3"/>
  <c r="U203" i="3" s="1"/>
  <c r="A204" i="3"/>
  <c r="T204" i="3" s="1"/>
  <c r="B204" i="3"/>
  <c r="U204" i="3" s="1"/>
  <c r="A205" i="3"/>
  <c r="T205" i="3" s="1"/>
  <c r="B205" i="3"/>
  <c r="U205" i="3" s="1"/>
  <c r="A206" i="3"/>
  <c r="T206" i="3" s="1"/>
  <c r="B206" i="3"/>
  <c r="U206" i="3" s="1"/>
  <c r="A207" i="3"/>
  <c r="T207" i="3" s="1"/>
  <c r="B207" i="3"/>
  <c r="U207" i="3"/>
  <c r="A208" i="3"/>
  <c r="T208" i="3" s="1"/>
  <c r="B208" i="3"/>
  <c r="U208" i="3" s="1"/>
  <c r="A209" i="3"/>
  <c r="T209" i="3" s="1"/>
  <c r="B209" i="3"/>
  <c r="U209" i="3" s="1"/>
  <c r="A210" i="3"/>
  <c r="T210" i="3" s="1"/>
  <c r="B210" i="3"/>
  <c r="U210" i="3"/>
  <c r="A211" i="3"/>
  <c r="T211" i="3" s="1"/>
  <c r="B211" i="3"/>
  <c r="U211" i="3" s="1"/>
  <c r="A212" i="3"/>
  <c r="T212" i="3" s="1"/>
  <c r="B212" i="3"/>
  <c r="U212" i="3" s="1"/>
  <c r="A213" i="3"/>
  <c r="T213" i="3"/>
  <c r="B213" i="3"/>
  <c r="U213" i="3" s="1"/>
  <c r="A214" i="3"/>
  <c r="T214" i="3" s="1"/>
  <c r="B214" i="3"/>
  <c r="U214" i="3" s="1"/>
  <c r="A215" i="3"/>
  <c r="T215" i="3" s="1"/>
  <c r="B215" i="3"/>
  <c r="U215" i="3" s="1"/>
  <c r="A216" i="3"/>
  <c r="T216" i="3" s="1"/>
  <c r="B216" i="3"/>
  <c r="U216" i="3" s="1"/>
  <c r="A217" i="3"/>
  <c r="T217" i="3" s="1"/>
  <c r="B217" i="3"/>
  <c r="U217" i="3" s="1"/>
  <c r="A218" i="3"/>
  <c r="T218" i="3" s="1"/>
  <c r="B218" i="3"/>
  <c r="U218" i="3" s="1"/>
  <c r="A219" i="3"/>
  <c r="T219" i="3" s="1"/>
  <c r="B219" i="3"/>
  <c r="U219" i="3" s="1"/>
  <c r="A220" i="3"/>
  <c r="T220" i="3" s="1"/>
  <c r="B220" i="3"/>
  <c r="U220" i="3" s="1"/>
  <c r="A221" i="3"/>
  <c r="T221" i="3" s="1"/>
  <c r="B221" i="3"/>
  <c r="U221" i="3" s="1"/>
  <c r="A222" i="3"/>
  <c r="T222" i="3" s="1"/>
  <c r="B222" i="3"/>
  <c r="U222" i="3"/>
  <c r="A223" i="3"/>
  <c r="T223" i="3" s="1"/>
  <c r="B223" i="3"/>
  <c r="U223" i="3" s="1"/>
  <c r="A224" i="3"/>
  <c r="T224" i="3" s="1"/>
  <c r="B224" i="3"/>
  <c r="U224" i="3" s="1"/>
  <c r="A225" i="3"/>
  <c r="T225" i="3" s="1"/>
  <c r="B225" i="3"/>
  <c r="U225" i="3"/>
  <c r="A226" i="3"/>
  <c r="T226" i="3" s="1"/>
  <c r="B226" i="3"/>
  <c r="U226" i="3" s="1"/>
  <c r="A227" i="3"/>
  <c r="T227" i="3" s="1"/>
  <c r="B227" i="3"/>
  <c r="U227" i="3" s="1"/>
  <c r="A228" i="3"/>
  <c r="T228" i="3" s="1"/>
  <c r="B228" i="3"/>
  <c r="U228" i="3"/>
  <c r="A229" i="3"/>
  <c r="T229" i="3"/>
  <c r="B229" i="3"/>
  <c r="U229" i="3" s="1"/>
  <c r="A230" i="3"/>
  <c r="T230" i="3" s="1"/>
  <c r="B230" i="3"/>
  <c r="U230" i="3" s="1"/>
  <c r="A231" i="3"/>
  <c r="T231" i="3" s="1"/>
  <c r="B231" i="3"/>
  <c r="U231" i="3" s="1"/>
  <c r="A232" i="3"/>
  <c r="T232" i="3"/>
  <c r="B232" i="3"/>
  <c r="U232" i="3" s="1"/>
  <c r="A233" i="3"/>
  <c r="T233" i="3" s="1"/>
  <c r="B233" i="3"/>
  <c r="U233" i="3" s="1"/>
  <c r="A234" i="3"/>
  <c r="T234" i="3" s="1"/>
  <c r="B234" i="3"/>
  <c r="U234" i="3"/>
  <c r="A235" i="3"/>
  <c r="T235" i="3" s="1"/>
  <c r="B235" i="3"/>
  <c r="U235" i="3" s="1"/>
  <c r="A236" i="3"/>
  <c r="T236" i="3" s="1"/>
  <c r="B236" i="3"/>
  <c r="U236" i="3" s="1"/>
  <c r="A237" i="3"/>
  <c r="T237" i="3"/>
  <c r="B237" i="3"/>
  <c r="U237" i="3"/>
  <c r="A238" i="3"/>
  <c r="T238" i="3" s="1"/>
  <c r="B238" i="3"/>
  <c r="U238" i="3" s="1"/>
  <c r="A239" i="3"/>
  <c r="T239" i="3" s="1"/>
  <c r="B239" i="3"/>
  <c r="U239" i="3" s="1"/>
  <c r="A240" i="3"/>
  <c r="T240" i="3" s="1"/>
  <c r="B240" i="3"/>
  <c r="U240" i="3"/>
  <c r="A241" i="3"/>
  <c r="T241" i="3" s="1"/>
  <c r="B241" i="3"/>
  <c r="U241" i="3" s="1"/>
  <c r="A242" i="3"/>
  <c r="T242" i="3" s="1"/>
  <c r="B242" i="3"/>
  <c r="U242" i="3" s="1"/>
  <c r="A243" i="3"/>
  <c r="T243" i="3" s="1"/>
  <c r="B243" i="3"/>
  <c r="U243" i="3"/>
  <c r="A244" i="3"/>
  <c r="T244" i="3"/>
  <c r="B244" i="3"/>
  <c r="U244" i="3" s="1"/>
  <c r="A245" i="3"/>
  <c r="T245" i="3" s="1"/>
  <c r="B245" i="3"/>
  <c r="U245" i="3" s="1"/>
  <c r="A246" i="3"/>
  <c r="T246" i="3" s="1"/>
  <c r="B246" i="3"/>
  <c r="U246" i="3"/>
  <c r="A247" i="3"/>
  <c r="T247" i="3"/>
  <c r="B247" i="3"/>
  <c r="U247" i="3" s="1"/>
  <c r="A248" i="3"/>
  <c r="T248" i="3" s="1"/>
  <c r="B248" i="3"/>
  <c r="U248" i="3" s="1"/>
  <c r="A249" i="3"/>
  <c r="T249" i="3" s="1"/>
  <c r="B249" i="3"/>
  <c r="U249" i="3"/>
  <c r="A250" i="3"/>
  <c r="T250" i="3" s="1"/>
  <c r="B250" i="3"/>
  <c r="U250" i="3" s="1"/>
  <c r="A251" i="3"/>
  <c r="T251" i="3" s="1"/>
  <c r="B251" i="3"/>
  <c r="U251" i="3" s="1"/>
  <c r="A252" i="3"/>
  <c r="T252" i="3" s="1"/>
  <c r="B252" i="3"/>
  <c r="U252" i="3" s="1"/>
  <c r="A253" i="3"/>
  <c r="T253" i="3" s="1"/>
  <c r="B253" i="3"/>
  <c r="U253" i="3" s="1"/>
  <c r="A254" i="3"/>
  <c r="T254" i="3" s="1"/>
  <c r="B254" i="3"/>
  <c r="U254" i="3" s="1"/>
  <c r="A255" i="3"/>
  <c r="T255" i="3" s="1"/>
  <c r="B255" i="3"/>
  <c r="U255" i="3" s="1"/>
  <c r="A256" i="3"/>
  <c r="T256" i="3" s="1"/>
  <c r="B256" i="3"/>
  <c r="U256" i="3" s="1"/>
  <c r="A257" i="3"/>
  <c r="T257" i="3" s="1"/>
  <c r="B257" i="3"/>
  <c r="U257" i="3" s="1"/>
  <c r="A258" i="3"/>
  <c r="T258" i="3" s="1"/>
  <c r="B258" i="3"/>
  <c r="U258" i="3" s="1"/>
  <c r="A259" i="3"/>
  <c r="T259" i="3" s="1"/>
  <c r="B259" i="3"/>
  <c r="U259" i="3" s="1"/>
  <c r="A260" i="3"/>
  <c r="T260" i="3" s="1"/>
  <c r="B260" i="3"/>
  <c r="U260" i="3" s="1"/>
  <c r="A261" i="3"/>
  <c r="T261" i="3"/>
  <c r="B261" i="3"/>
  <c r="U261" i="3" s="1"/>
  <c r="A262" i="3"/>
  <c r="T262" i="3"/>
  <c r="B262" i="3"/>
  <c r="U262" i="3" s="1"/>
  <c r="A263" i="3"/>
  <c r="T263" i="3" s="1"/>
  <c r="B263" i="3"/>
  <c r="U263" i="3" s="1"/>
  <c r="A264" i="3"/>
  <c r="T264" i="3" s="1"/>
  <c r="B264" i="3"/>
  <c r="U264" i="3"/>
  <c r="A265" i="3"/>
  <c r="T265" i="3" s="1"/>
  <c r="B265" i="3"/>
  <c r="U265" i="3" s="1"/>
  <c r="A266" i="3"/>
  <c r="T266" i="3" s="1"/>
  <c r="B266" i="3"/>
  <c r="U266" i="3" s="1"/>
  <c r="A267" i="3"/>
  <c r="T267" i="3" s="1"/>
  <c r="B267" i="3"/>
  <c r="U267" i="3"/>
  <c r="A268" i="3"/>
  <c r="T268" i="3" s="1"/>
  <c r="B268" i="3"/>
  <c r="U268" i="3" s="1"/>
  <c r="A269" i="3"/>
  <c r="T269" i="3" s="1"/>
  <c r="B269" i="3"/>
  <c r="U269" i="3" s="1"/>
  <c r="A270" i="3"/>
  <c r="T270" i="3" s="1"/>
  <c r="B270" i="3"/>
  <c r="U270" i="3"/>
  <c r="A271" i="3"/>
  <c r="T271" i="3"/>
  <c r="B271" i="3"/>
  <c r="U271" i="3" s="1"/>
  <c r="A272" i="3"/>
  <c r="T272" i="3" s="1"/>
  <c r="B272" i="3"/>
  <c r="U272" i="3" s="1"/>
  <c r="A273" i="3"/>
  <c r="T273" i="3" s="1"/>
  <c r="B273" i="3"/>
  <c r="U273" i="3"/>
  <c r="A274" i="3"/>
  <c r="T274" i="3" s="1"/>
  <c r="B274" i="3"/>
  <c r="U274" i="3" s="1"/>
  <c r="A275" i="3"/>
  <c r="T275" i="3" s="1"/>
  <c r="B275" i="3"/>
  <c r="U275" i="3" s="1"/>
  <c r="A276" i="3"/>
  <c r="T276" i="3" s="1"/>
  <c r="B276" i="3"/>
  <c r="U276" i="3"/>
  <c r="A277" i="3"/>
  <c r="T277" i="3" s="1"/>
  <c r="B277" i="3"/>
  <c r="U277" i="3" s="1"/>
  <c r="A278" i="3"/>
  <c r="T278" i="3" s="1"/>
  <c r="B278" i="3"/>
  <c r="U278" i="3" s="1"/>
  <c r="A279" i="3"/>
  <c r="T279" i="3" s="1"/>
  <c r="B279" i="3"/>
  <c r="U279" i="3"/>
  <c r="A280" i="3"/>
  <c r="T280" i="3" s="1"/>
  <c r="B280" i="3"/>
  <c r="U280" i="3" s="1"/>
  <c r="A281" i="3"/>
  <c r="T281" i="3" s="1"/>
  <c r="B281" i="3"/>
  <c r="U281" i="3" s="1"/>
  <c r="A282" i="3"/>
  <c r="T282" i="3" s="1"/>
  <c r="B282" i="3"/>
  <c r="U282" i="3"/>
  <c r="A283" i="3"/>
  <c r="T283" i="3" s="1"/>
  <c r="B283" i="3"/>
  <c r="U283" i="3" s="1"/>
  <c r="A284" i="3"/>
  <c r="T284" i="3" s="1"/>
  <c r="B284" i="3"/>
  <c r="U284" i="3"/>
  <c r="A285" i="3"/>
  <c r="T285" i="3"/>
  <c r="B285" i="3"/>
  <c r="U285" i="3" s="1"/>
  <c r="A286" i="3"/>
  <c r="T286" i="3" s="1"/>
  <c r="B286" i="3"/>
  <c r="U286" i="3" s="1"/>
  <c r="A287" i="3"/>
  <c r="T287" i="3"/>
  <c r="B287" i="3"/>
  <c r="U287" i="3"/>
  <c r="A288" i="3"/>
  <c r="T288" i="3"/>
  <c r="B288" i="3"/>
  <c r="U288" i="3" s="1"/>
  <c r="A289" i="3"/>
  <c r="T289" i="3" s="1"/>
  <c r="B289" i="3"/>
  <c r="U289" i="3" s="1"/>
  <c r="A290" i="3"/>
  <c r="T290" i="3"/>
  <c r="B290" i="3"/>
  <c r="U290" i="3"/>
  <c r="A291" i="3"/>
  <c r="T291" i="3"/>
  <c r="B291" i="3"/>
  <c r="U291" i="3" s="1"/>
  <c r="A292" i="3"/>
  <c r="T292" i="3" s="1"/>
  <c r="B292" i="3"/>
  <c r="U292" i="3" s="1"/>
  <c r="A293" i="3"/>
  <c r="T293" i="3"/>
  <c r="B293" i="3"/>
  <c r="U293" i="3"/>
  <c r="A294" i="3"/>
  <c r="T294" i="3"/>
  <c r="B294" i="3"/>
  <c r="U294" i="3" s="1"/>
  <c r="A295" i="3"/>
  <c r="T295" i="3" s="1"/>
  <c r="B295" i="3"/>
  <c r="U295" i="3" s="1"/>
  <c r="A296" i="3"/>
  <c r="T296" i="3"/>
  <c r="B296" i="3"/>
  <c r="U296" i="3"/>
  <c r="A297" i="3"/>
  <c r="T297" i="3"/>
  <c r="B297" i="3"/>
  <c r="U297" i="3" s="1"/>
  <c r="A298" i="3"/>
  <c r="T298" i="3" s="1"/>
  <c r="B298" i="3"/>
  <c r="U298" i="3" s="1"/>
  <c r="A299" i="3"/>
  <c r="T299" i="3"/>
  <c r="B299" i="3"/>
  <c r="U299" i="3"/>
  <c r="A300" i="3"/>
  <c r="T300" i="3"/>
  <c r="B300" i="3"/>
  <c r="U300" i="3" s="1"/>
  <c r="A301" i="3"/>
  <c r="T301" i="3" s="1"/>
  <c r="B301" i="3"/>
  <c r="U301" i="3" s="1"/>
  <c r="A302" i="3"/>
  <c r="T302" i="3"/>
  <c r="B302" i="3"/>
  <c r="U302" i="3"/>
  <c r="A303" i="3"/>
  <c r="T303" i="3"/>
  <c r="B303" i="3"/>
  <c r="U303" i="3" s="1"/>
  <c r="A304" i="3"/>
  <c r="T304" i="3" s="1"/>
  <c r="B304" i="3"/>
  <c r="U304" i="3" s="1"/>
  <c r="A305" i="3"/>
  <c r="T305" i="3"/>
  <c r="B305" i="3"/>
  <c r="U305" i="3"/>
  <c r="A306" i="3"/>
  <c r="T306" i="3"/>
  <c r="B306" i="3"/>
  <c r="U306" i="3" s="1"/>
  <c r="A307" i="3"/>
  <c r="T307" i="3" s="1"/>
  <c r="B307" i="3"/>
  <c r="U307" i="3" s="1"/>
  <c r="A308" i="3"/>
  <c r="T308" i="3"/>
  <c r="B308" i="3"/>
  <c r="U308" i="3"/>
  <c r="A309" i="3"/>
  <c r="T309" i="3"/>
  <c r="B309" i="3"/>
  <c r="U309" i="3" s="1"/>
  <c r="A310" i="3"/>
  <c r="T310" i="3" s="1"/>
  <c r="B310" i="3"/>
  <c r="U310" i="3" s="1"/>
  <c r="A311" i="3"/>
  <c r="T311" i="3"/>
  <c r="B311" i="3"/>
  <c r="U311" i="3"/>
  <c r="A312" i="3"/>
  <c r="T312" i="3"/>
  <c r="B312" i="3"/>
  <c r="U312" i="3" s="1"/>
  <c r="A313" i="3"/>
  <c r="T313" i="3" s="1"/>
  <c r="B313" i="3"/>
  <c r="U313" i="3" s="1"/>
  <c r="A314" i="3"/>
  <c r="T314" i="3"/>
  <c r="B314" i="3"/>
  <c r="U314" i="3"/>
  <c r="A315" i="3"/>
  <c r="T315" i="3"/>
  <c r="B315" i="3"/>
  <c r="U315" i="3" s="1"/>
  <c r="A316" i="3"/>
  <c r="T316" i="3" s="1"/>
  <c r="B316" i="3"/>
  <c r="U316" i="3" s="1"/>
  <c r="A317" i="3"/>
  <c r="T317" i="3"/>
  <c r="B317" i="3"/>
  <c r="U317" i="3"/>
  <c r="A318" i="3"/>
  <c r="T318" i="3"/>
  <c r="B318" i="3"/>
  <c r="U318" i="3" s="1"/>
  <c r="A319" i="3"/>
  <c r="T319" i="3" s="1"/>
  <c r="B319" i="3"/>
  <c r="U319" i="3" s="1"/>
  <c r="A320" i="3"/>
  <c r="T320" i="3"/>
  <c r="B320" i="3"/>
  <c r="U320" i="3"/>
  <c r="A321" i="3"/>
  <c r="T321" i="3"/>
  <c r="B321" i="3"/>
  <c r="U321" i="3" s="1"/>
  <c r="A322" i="3"/>
  <c r="T322" i="3" s="1"/>
  <c r="B322" i="3"/>
  <c r="U322" i="3" s="1"/>
  <c r="A323" i="3"/>
  <c r="T323" i="3"/>
  <c r="B323" i="3"/>
  <c r="U323" i="3"/>
  <c r="A324" i="3"/>
  <c r="T324" i="3"/>
  <c r="B324" i="3"/>
  <c r="U324" i="3" s="1"/>
  <c r="A325" i="3"/>
  <c r="T325" i="3" s="1"/>
  <c r="B325" i="3"/>
  <c r="U325" i="3" s="1"/>
  <c r="A326" i="3"/>
  <c r="T326" i="3"/>
  <c r="B326" i="3"/>
  <c r="U326" i="3" s="1"/>
  <c r="A327" i="3"/>
  <c r="T327" i="3"/>
  <c r="B327" i="3"/>
  <c r="U327" i="3" s="1"/>
  <c r="A328" i="3"/>
  <c r="T328" i="3" s="1"/>
  <c r="B328" i="3"/>
  <c r="U328" i="3" s="1"/>
  <c r="A329" i="3"/>
  <c r="T329" i="3"/>
  <c r="B329" i="3"/>
  <c r="U329" i="3" s="1"/>
  <c r="A330" i="3"/>
  <c r="T330" i="3"/>
  <c r="B330" i="3"/>
  <c r="U330" i="3" s="1"/>
  <c r="A331" i="3"/>
  <c r="T331" i="3" s="1"/>
  <c r="B331" i="3"/>
  <c r="U331" i="3" s="1"/>
  <c r="A332" i="3"/>
  <c r="T332" i="3"/>
  <c r="B332" i="3"/>
  <c r="U332" i="3"/>
  <c r="A333" i="3"/>
  <c r="T333" i="3"/>
  <c r="B333" i="3"/>
  <c r="U333" i="3" s="1"/>
  <c r="A334" i="3"/>
  <c r="T334" i="3" s="1"/>
  <c r="B334" i="3"/>
  <c r="U334" i="3" s="1"/>
  <c r="A335" i="3"/>
  <c r="T335" i="3"/>
  <c r="B335" i="3"/>
  <c r="U335" i="3" s="1"/>
  <c r="A336" i="3"/>
  <c r="T336" i="3"/>
  <c r="B336" i="3"/>
  <c r="U336" i="3" s="1"/>
  <c r="A337" i="3"/>
  <c r="T337" i="3" s="1"/>
  <c r="B337" i="3"/>
  <c r="U337" i="3" s="1"/>
  <c r="A338" i="3"/>
  <c r="T338" i="3"/>
  <c r="B338" i="3"/>
  <c r="U338" i="3" s="1"/>
  <c r="A339" i="3"/>
  <c r="T339" i="3"/>
  <c r="B339" i="3"/>
  <c r="U339" i="3" s="1"/>
  <c r="A340" i="3"/>
  <c r="T340" i="3" s="1"/>
  <c r="B340" i="3"/>
  <c r="U340" i="3" s="1"/>
  <c r="A341" i="3"/>
  <c r="T341" i="3"/>
  <c r="B341" i="3"/>
  <c r="U341" i="3" s="1"/>
  <c r="A342" i="3"/>
  <c r="T342" i="3"/>
  <c r="B342" i="3"/>
  <c r="U342" i="3" s="1"/>
  <c r="A343" i="3"/>
  <c r="T343" i="3" s="1"/>
  <c r="B343" i="3"/>
  <c r="U343" i="3" s="1"/>
  <c r="A344" i="3"/>
  <c r="T344" i="3"/>
  <c r="B344" i="3"/>
  <c r="U344" i="3"/>
  <c r="A345" i="3"/>
  <c r="T345" i="3"/>
  <c r="B345" i="3"/>
  <c r="U345" i="3" s="1"/>
  <c r="A346" i="3"/>
  <c r="T346" i="3" s="1"/>
  <c r="B346" i="3"/>
  <c r="U346" i="3" s="1"/>
  <c r="A347" i="3"/>
  <c r="T347" i="3"/>
  <c r="B347" i="3"/>
  <c r="U347" i="3" s="1"/>
  <c r="A348" i="3"/>
  <c r="T348" i="3" s="1"/>
  <c r="B348" i="3"/>
  <c r="U348" i="3" s="1"/>
  <c r="A349" i="3"/>
  <c r="T349" i="3" s="1"/>
  <c r="B349" i="3"/>
  <c r="U349" i="3" s="1"/>
  <c r="A350" i="3"/>
  <c r="T350" i="3"/>
  <c r="B350" i="3"/>
  <c r="U350" i="3"/>
  <c r="A351" i="3"/>
  <c r="T351" i="3"/>
  <c r="B351" i="3"/>
  <c r="U351" i="3" s="1"/>
  <c r="A352" i="3"/>
  <c r="T352" i="3" s="1"/>
  <c r="B352" i="3"/>
  <c r="U352" i="3" s="1"/>
  <c r="A353" i="3"/>
  <c r="T353" i="3"/>
  <c r="B353" i="3"/>
  <c r="U353" i="3"/>
  <c r="A354" i="3"/>
  <c r="T354" i="3" s="1"/>
  <c r="B354" i="3"/>
  <c r="U354" i="3" s="1"/>
  <c r="A355" i="3"/>
  <c r="T355" i="3" s="1"/>
  <c r="B355" i="3"/>
  <c r="U355" i="3" s="1"/>
  <c r="A356" i="3"/>
  <c r="T356" i="3"/>
  <c r="B356" i="3"/>
  <c r="U356" i="3" s="1"/>
  <c r="A357" i="3"/>
  <c r="T357" i="3" s="1"/>
  <c r="B357" i="3"/>
  <c r="U357" i="3" s="1"/>
  <c r="A358" i="3"/>
  <c r="T358" i="3" s="1"/>
  <c r="B358" i="3"/>
  <c r="U358" i="3" s="1"/>
  <c r="A359" i="3"/>
  <c r="T359" i="3"/>
  <c r="B359" i="3"/>
  <c r="U359" i="3" s="1"/>
  <c r="A360" i="3"/>
  <c r="T360" i="3"/>
  <c r="B360" i="3"/>
  <c r="U360" i="3" s="1"/>
  <c r="A361" i="3"/>
  <c r="T361" i="3" s="1"/>
  <c r="B361" i="3"/>
  <c r="U361" i="3" s="1"/>
  <c r="A362" i="3"/>
  <c r="T362" i="3"/>
  <c r="B362" i="3"/>
  <c r="U362" i="3" s="1"/>
  <c r="A363" i="3"/>
  <c r="T363" i="3" s="1"/>
  <c r="B363" i="3"/>
  <c r="U363" i="3" s="1"/>
  <c r="A364" i="3"/>
  <c r="T364" i="3" s="1"/>
  <c r="B364" i="3"/>
  <c r="U364" i="3" s="1"/>
  <c r="A365" i="3"/>
  <c r="T365" i="3"/>
  <c r="B365" i="3"/>
  <c r="U365" i="3"/>
  <c r="A366" i="3"/>
  <c r="T366" i="3" s="1"/>
  <c r="B366" i="3"/>
  <c r="U366" i="3" s="1"/>
  <c r="A367" i="3"/>
  <c r="T367" i="3" s="1"/>
  <c r="B367" i="3"/>
  <c r="U367" i="3" s="1"/>
  <c r="AC8" i="22"/>
  <c r="L8" i="22"/>
  <c r="L9" i="22"/>
  <c r="L10" i="22"/>
  <c r="L7" i="22"/>
  <c r="B47" i="8"/>
  <c r="B48" i="8" s="1"/>
  <c r="J17" i="8"/>
  <c r="E42" i="16" s="1"/>
  <c r="J18" i="8"/>
  <c r="E43" i="16" s="1"/>
  <c r="J19" i="8"/>
  <c r="E44" i="16"/>
  <c r="J16" i="8"/>
  <c r="E41" i="16" s="1"/>
  <c r="E20" i="26"/>
  <c r="F33" i="8"/>
  <c r="C28" i="44"/>
  <c r="C25" i="44"/>
  <c r="C21" i="44"/>
  <c r="I2" i="6"/>
  <c r="D19" i="6"/>
  <c r="G20" i="6"/>
  <c r="D21" i="6"/>
  <c r="G22" i="6"/>
  <c r="B23" i="6"/>
  <c r="A23" i="6"/>
  <c r="B24" i="6"/>
  <c r="A24" i="6"/>
  <c r="B25" i="6"/>
  <c r="A25" i="6"/>
  <c r="B26" i="6"/>
  <c r="A26" i="6"/>
  <c r="B27" i="6"/>
  <c r="A27" i="6"/>
  <c r="B28" i="6"/>
  <c r="A28" i="6"/>
  <c r="B29" i="6"/>
  <c r="A29" i="6"/>
  <c r="B30" i="6"/>
  <c r="A30" i="6"/>
  <c r="B31" i="6"/>
  <c r="D31" i="6"/>
  <c r="A31" i="6"/>
  <c r="B32" i="6"/>
  <c r="A32" i="6"/>
  <c r="B33" i="6"/>
  <c r="G33" i="6"/>
  <c r="A33" i="6"/>
  <c r="B34" i="6"/>
  <c r="A34" i="6"/>
  <c r="B35" i="6"/>
  <c r="D35" i="6"/>
  <c r="A35" i="6"/>
  <c r="B36" i="6"/>
  <c r="D36" i="6" s="1"/>
  <c r="A36" i="6"/>
  <c r="Q2" i="3"/>
  <c r="E4" i="3"/>
  <c r="A2" i="39"/>
  <c r="C31" i="15"/>
  <c r="C32" i="15"/>
  <c r="C33" i="15"/>
  <c r="C34" i="15" s="1"/>
  <c r="C35" i="15" s="1"/>
  <c r="A1" i="39"/>
  <c r="A8" i="39"/>
  <c r="B8" i="39"/>
  <c r="A9" i="39"/>
  <c r="B9" i="39"/>
  <c r="A10" i="39"/>
  <c r="B10" i="39"/>
  <c r="A11" i="39"/>
  <c r="B11" i="39"/>
  <c r="A12" i="39"/>
  <c r="B12" i="39"/>
  <c r="A13" i="39"/>
  <c r="B13" i="39"/>
  <c r="A14" i="39"/>
  <c r="B14" i="39"/>
  <c r="A15" i="39"/>
  <c r="B15" i="39"/>
  <c r="A16" i="39"/>
  <c r="B16" i="39"/>
  <c r="A17" i="39"/>
  <c r="B17" i="39"/>
  <c r="A18" i="39"/>
  <c r="B18" i="39"/>
  <c r="A19" i="39"/>
  <c r="B19" i="39"/>
  <c r="A20" i="39"/>
  <c r="B20" i="39"/>
  <c r="A21" i="39"/>
  <c r="B21" i="39"/>
  <c r="A22" i="39"/>
  <c r="B22" i="39"/>
  <c r="A23" i="39"/>
  <c r="B23" i="39"/>
  <c r="A24" i="39"/>
  <c r="B24" i="39"/>
  <c r="A25" i="39"/>
  <c r="B25" i="39"/>
  <c r="A26" i="39"/>
  <c r="B26" i="39"/>
  <c r="A27" i="39"/>
  <c r="B27" i="39"/>
  <c r="A28" i="39"/>
  <c r="B28" i="39"/>
  <c r="A29" i="39"/>
  <c r="B29" i="39"/>
  <c r="A30" i="39"/>
  <c r="B30" i="39"/>
  <c r="A31" i="39"/>
  <c r="B31" i="39"/>
  <c r="A32" i="39"/>
  <c r="B32" i="39"/>
  <c r="A33" i="39"/>
  <c r="B33" i="39"/>
  <c r="A34" i="39"/>
  <c r="B34" i="39"/>
  <c r="A35" i="39"/>
  <c r="B35" i="39"/>
  <c r="A36" i="39"/>
  <c r="B36" i="39"/>
  <c r="A37" i="39"/>
  <c r="B37" i="39"/>
  <c r="A38" i="39"/>
  <c r="B38" i="39"/>
  <c r="A39" i="39"/>
  <c r="B39" i="39"/>
  <c r="A40" i="39"/>
  <c r="B40" i="39"/>
  <c r="A41" i="39"/>
  <c r="B41" i="39"/>
  <c r="A42" i="39"/>
  <c r="B42" i="39"/>
  <c r="A43" i="39"/>
  <c r="B43" i="39"/>
  <c r="A44" i="39"/>
  <c r="B44" i="39"/>
  <c r="A45" i="39"/>
  <c r="B45" i="39"/>
  <c r="A46" i="39"/>
  <c r="B46" i="39"/>
  <c r="A47" i="39"/>
  <c r="B47" i="39"/>
  <c r="A48" i="39"/>
  <c r="B48" i="39"/>
  <c r="A49" i="39"/>
  <c r="B49" i="39"/>
  <c r="A50" i="39"/>
  <c r="B50" i="39"/>
  <c r="A51" i="39"/>
  <c r="B51" i="39"/>
  <c r="A52" i="39"/>
  <c r="B52" i="39"/>
  <c r="A53" i="39"/>
  <c r="B53" i="39"/>
  <c r="A54" i="39"/>
  <c r="B54" i="39"/>
  <c r="A55" i="39"/>
  <c r="B55" i="39"/>
  <c r="A56" i="39"/>
  <c r="B56" i="39"/>
  <c r="A57" i="39"/>
  <c r="B57" i="39"/>
  <c r="A58" i="39"/>
  <c r="B58" i="39"/>
  <c r="A59" i="39"/>
  <c r="B59" i="39"/>
  <c r="A60" i="39"/>
  <c r="B60" i="39"/>
  <c r="A61" i="39"/>
  <c r="B61" i="39"/>
  <c r="A62" i="39"/>
  <c r="B62" i="39"/>
  <c r="A63" i="39"/>
  <c r="B63" i="39"/>
  <c r="A64" i="39"/>
  <c r="B64" i="39"/>
  <c r="A65" i="39"/>
  <c r="B65" i="39"/>
  <c r="A66" i="39"/>
  <c r="B66" i="39"/>
  <c r="A67" i="39"/>
  <c r="B67" i="39"/>
  <c r="A68" i="39"/>
  <c r="B68" i="39"/>
  <c r="A69" i="39"/>
  <c r="B69" i="39"/>
  <c r="A70" i="39"/>
  <c r="B70" i="39"/>
  <c r="A71" i="39"/>
  <c r="B71" i="39"/>
  <c r="A72" i="39"/>
  <c r="B72" i="39"/>
  <c r="A73" i="39"/>
  <c r="B73" i="39"/>
  <c r="A74" i="39"/>
  <c r="B74" i="39"/>
  <c r="A75" i="39"/>
  <c r="B75" i="39"/>
  <c r="A76" i="39"/>
  <c r="B76" i="39"/>
  <c r="A77" i="39"/>
  <c r="B77" i="39"/>
  <c r="A78" i="39"/>
  <c r="B78" i="39"/>
  <c r="A79" i="39"/>
  <c r="B79" i="39"/>
  <c r="A80" i="39"/>
  <c r="B80" i="39"/>
  <c r="A81" i="39"/>
  <c r="B81" i="39"/>
  <c r="A82" i="39"/>
  <c r="B82" i="39"/>
  <c r="A83" i="39"/>
  <c r="B83" i="39"/>
  <c r="A84" i="39"/>
  <c r="B84" i="39"/>
  <c r="A85" i="39"/>
  <c r="B85" i="39"/>
  <c r="A86" i="39"/>
  <c r="B86" i="39"/>
  <c r="A87" i="39"/>
  <c r="B87" i="39"/>
  <c r="A88" i="39"/>
  <c r="B88" i="39"/>
  <c r="A89" i="39"/>
  <c r="B89" i="39"/>
  <c r="A90" i="39"/>
  <c r="B90" i="39"/>
  <c r="A91" i="39"/>
  <c r="B91" i="39"/>
  <c r="A92" i="39"/>
  <c r="B92" i="39"/>
  <c r="A93" i="39"/>
  <c r="B93" i="39"/>
  <c r="A94" i="39"/>
  <c r="B94" i="39"/>
  <c r="A95" i="39"/>
  <c r="B95" i="39"/>
  <c r="A96" i="39"/>
  <c r="B96" i="39"/>
  <c r="A97" i="39"/>
  <c r="B97" i="39"/>
  <c r="A98" i="39"/>
  <c r="B98" i="39"/>
  <c r="A99" i="39"/>
  <c r="B99" i="39"/>
  <c r="A100" i="39"/>
  <c r="B100" i="39"/>
  <c r="A101" i="39"/>
  <c r="B101" i="39"/>
  <c r="A102" i="39"/>
  <c r="B102" i="39"/>
  <c r="A103" i="39"/>
  <c r="B103" i="39"/>
  <c r="A104" i="39"/>
  <c r="B104" i="39"/>
  <c r="A105" i="39"/>
  <c r="B105" i="39"/>
  <c r="A106" i="39"/>
  <c r="B106" i="39"/>
  <c r="A107" i="39"/>
  <c r="B107" i="39"/>
  <c r="A108" i="39"/>
  <c r="B108" i="39"/>
  <c r="A109" i="39"/>
  <c r="B109" i="39"/>
  <c r="A110" i="39"/>
  <c r="B110" i="39"/>
  <c r="A111" i="39"/>
  <c r="B111" i="39"/>
  <c r="A112" i="39"/>
  <c r="B112" i="39"/>
  <c r="A113" i="39"/>
  <c r="B113" i="39"/>
  <c r="A114" i="39"/>
  <c r="B114" i="39"/>
  <c r="A115" i="39"/>
  <c r="B115" i="39"/>
  <c r="A116" i="39"/>
  <c r="B116" i="39"/>
  <c r="A117" i="39"/>
  <c r="B117" i="39"/>
  <c r="A118" i="39"/>
  <c r="B118" i="39"/>
  <c r="A119" i="39"/>
  <c r="B119" i="39"/>
  <c r="A120" i="39"/>
  <c r="B120" i="39"/>
  <c r="A121" i="39"/>
  <c r="B121" i="39"/>
  <c r="A122" i="39"/>
  <c r="B122" i="39"/>
  <c r="A123" i="39"/>
  <c r="B123" i="39"/>
  <c r="A124" i="39"/>
  <c r="B124" i="39"/>
  <c r="A125" i="39"/>
  <c r="B125" i="39"/>
  <c r="A126" i="39"/>
  <c r="B126" i="39"/>
  <c r="A127" i="39"/>
  <c r="B127" i="39"/>
  <c r="A128" i="39"/>
  <c r="B128" i="39"/>
  <c r="A129" i="39"/>
  <c r="B129" i="39"/>
  <c r="A130" i="39"/>
  <c r="B130" i="39"/>
  <c r="A131" i="39"/>
  <c r="B131" i="39"/>
  <c r="A132" i="39"/>
  <c r="B132" i="39"/>
  <c r="A133" i="39"/>
  <c r="B133" i="39"/>
  <c r="A134" i="39"/>
  <c r="B134" i="39"/>
  <c r="A135" i="39"/>
  <c r="B135" i="39"/>
  <c r="A136" i="39"/>
  <c r="B136" i="39"/>
  <c r="A137" i="39"/>
  <c r="B137" i="39"/>
  <c r="A138" i="39"/>
  <c r="B138" i="39"/>
  <c r="A139" i="39"/>
  <c r="B139" i="39"/>
  <c r="A140" i="39"/>
  <c r="B140" i="39"/>
  <c r="A141" i="39"/>
  <c r="B141" i="39"/>
  <c r="A142" i="39"/>
  <c r="B142" i="39"/>
  <c r="A143" i="39"/>
  <c r="B143" i="39"/>
  <c r="A144" i="39"/>
  <c r="B144" i="39"/>
  <c r="A145" i="39"/>
  <c r="B145" i="39"/>
  <c r="A146" i="39"/>
  <c r="B146" i="39"/>
  <c r="A147" i="39"/>
  <c r="B147" i="39"/>
  <c r="A148" i="39"/>
  <c r="B148" i="39"/>
  <c r="A149" i="39"/>
  <c r="B149" i="39"/>
  <c r="A150" i="39"/>
  <c r="B150" i="39"/>
  <c r="A151" i="39"/>
  <c r="B151" i="39"/>
  <c r="A152" i="39"/>
  <c r="B152" i="39"/>
  <c r="A153" i="39"/>
  <c r="B153" i="39"/>
  <c r="A154" i="39"/>
  <c r="B154" i="39"/>
  <c r="A155" i="39"/>
  <c r="B155" i="39"/>
  <c r="A156" i="39"/>
  <c r="B156" i="39"/>
  <c r="A157" i="39"/>
  <c r="B157" i="39"/>
  <c r="A158" i="39"/>
  <c r="B158" i="39"/>
  <c r="A159" i="39"/>
  <c r="B159" i="39"/>
  <c r="A160" i="39"/>
  <c r="B160" i="39"/>
  <c r="A161" i="39"/>
  <c r="B161" i="39"/>
  <c r="A162" i="39"/>
  <c r="B162" i="39"/>
  <c r="A163" i="39"/>
  <c r="B163" i="39"/>
  <c r="A164" i="39"/>
  <c r="B164" i="39"/>
  <c r="A165" i="39"/>
  <c r="B165" i="39"/>
  <c r="A166" i="39"/>
  <c r="B166" i="39"/>
  <c r="A167" i="39"/>
  <c r="B167" i="39"/>
  <c r="A168" i="39"/>
  <c r="B168" i="39"/>
  <c r="A169" i="39"/>
  <c r="B169" i="39"/>
  <c r="A170" i="39"/>
  <c r="B170" i="39"/>
  <c r="A171" i="39"/>
  <c r="B171" i="39"/>
  <c r="A172" i="39"/>
  <c r="B172" i="39"/>
  <c r="A173" i="39"/>
  <c r="B173" i="39"/>
  <c r="A174" i="39"/>
  <c r="B174" i="39"/>
  <c r="A175" i="39"/>
  <c r="B175" i="39"/>
  <c r="A176" i="39"/>
  <c r="B176" i="39"/>
  <c r="A177" i="39"/>
  <c r="B177" i="39"/>
  <c r="A178" i="39"/>
  <c r="B178" i="39"/>
  <c r="A179" i="39"/>
  <c r="B179" i="39"/>
  <c r="A180" i="39"/>
  <c r="B180" i="39"/>
  <c r="A181" i="39"/>
  <c r="B181" i="39"/>
  <c r="A182" i="39"/>
  <c r="B182" i="39"/>
  <c r="A183" i="39"/>
  <c r="B183" i="39"/>
  <c r="A184" i="39"/>
  <c r="B184" i="39"/>
  <c r="A185" i="39"/>
  <c r="B185" i="39"/>
  <c r="A186" i="39"/>
  <c r="B186" i="39"/>
  <c r="A187" i="39"/>
  <c r="B187" i="39"/>
  <c r="A188" i="39"/>
  <c r="B188" i="39"/>
  <c r="A189" i="39"/>
  <c r="B189" i="39"/>
  <c r="A190" i="39"/>
  <c r="B190" i="39"/>
  <c r="A191" i="39"/>
  <c r="B191" i="39"/>
  <c r="A192" i="39"/>
  <c r="B192" i="39"/>
  <c r="A193" i="39"/>
  <c r="B193" i="39"/>
  <c r="A194" i="39"/>
  <c r="B194" i="39"/>
  <c r="A195" i="39"/>
  <c r="B195" i="39"/>
  <c r="A196" i="39"/>
  <c r="B196" i="39"/>
  <c r="A197" i="39"/>
  <c r="B197" i="39"/>
  <c r="A198" i="39"/>
  <c r="B198" i="39"/>
  <c r="A199" i="39"/>
  <c r="B199" i="39"/>
  <c r="A200" i="39"/>
  <c r="B200" i="39"/>
  <c r="A201" i="39"/>
  <c r="B201" i="39"/>
  <c r="A202" i="39"/>
  <c r="B202" i="39"/>
  <c r="A203" i="39"/>
  <c r="B203" i="39"/>
  <c r="A204" i="39"/>
  <c r="B204" i="39"/>
  <c r="A205" i="39"/>
  <c r="B205" i="39"/>
  <c r="A206" i="39"/>
  <c r="B206" i="39"/>
  <c r="A207" i="39"/>
  <c r="B207" i="39"/>
  <c r="A208" i="39"/>
  <c r="B208" i="39"/>
  <c r="A209" i="39"/>
  <c r="B209" i="39"/>
  <c r="A210" i="39"/>
  <c r="B210" i="39"/>
  <c r="A211" i="39"/>
  <c r="B211" i="39"/>
  <c r="A212" i="39"/>
  <c r="B212" i="39"/>
  <c r="A213" i="39"/>
  <c r="B213" i="39"/>
  <c r="A214" i="39"/>
  <c r="B214" i="39"/>
  <c r="A215" i="39"/>
  <c r="B215" i="39"/>
  <c r="A216" i="39"/>
  <c r="B216" i="39"/>
  <c r="A217" i="39"/>
  <c r="B217" i="39"/>
  <c r="A218" i="39"/>
  <c r="B218" i="39"/>
  <c r="A219" i="39"/>
  <c r="B219" i="39"/>
  <c r="A220" i="39"/>
  <c r="B220" i="39"/>
  <c r="A221" i="39"/>
  <c r="B221" i="39"/>
  <c r="A222" i="39"/>
  <c r="B222" i="39"/>
  <c r="A223" i="39"/>
  <c r="B223" i="39"/>
  <c r="A224" i="39"/>
  <c r="B224" i="39"/>
  <c r="A225" i="39"/>
  <c r="B225" i="39"/>
  <c r="A226" i="39"/>
  <c r="B226" i="39"/>
  <c r="A227" i="39"/>
  <c r="B227" i="39"/>
  <c r="A228" i="39"/>
  <c r="B228" i="39"/>
  <c r="A229" i="39"/>
  <c r="B229" i="39"/>
  <c r="A230" i="39"/>
  <c r="B230" i="39"/>
  <c r="A231" i="39"/>
  <c r="B231" i="39"/>
  <c r="A232" i="39"/>
  <c r="B232" i="39"/>
  <c r="A233" i="39"/>
  <c r="B233" i="39"/>
  <c r="A234" i="39"/>
  <c r="B234" i="39"/>
  <c r="A235" i="39"/>
  <c r="B235" i="39"/>
  <c r="A236" i="39"/>
  <c r="B236" i="39"/>
  <c r="A237" i="39"/>
  <c r="B237" i="39"/>
  <c r="A238" i="39"/>
  <c r="B238" i="39"/>
  <c r="A239" i="39"/>
  <c r="B239" i="39"/>
  <c r="A240" i="39"/>
  <c r="B240" i="39"/>
  <c r="A241" i="39"/>
  <c r="B241" i="39"/>
  <c r="A242" i="39"/>
  <c r="B242" i="39"/>
  <c r="A243" i="39"/>
  <c r="B243" i="39"/>
  <c r="A244" i="39"/>
  <c r="B244" i="39"/>
  <c r="A245" i="39"/>
  <c r="B245" i="39"/>
  <c r="A246" i="39"/>
  <c r="B246" i="39"/>
  <c r="A247" i="39"/>
  <c r="B247" i="39"/>
  <c r="A248" i="39"/>
  <c r="B248" i="39"/>
  <c r="A249" i="39"/>
  <c r="B249" i="39"/>
  <c r="A250" i="39"/>
  <c r="B250" i="39"/>
  <c r="A251" i="39"/>
  <c r="B251" i="39"/>
  <c r="A252" i="39"/>
  <c r="B252" i="39"/>
  <c r="A253" i="39"/>
  <c r="B253" i="39"/>
  <c r="A254" i="39"/>
  <c r="B254" i="39"/>
  <c r="A255" i="39"/>
  <c r="B255" i="39"/>
  <c r="A256" i="39"/>
  <c r="B256" i="39"/>
  <c r="A257" i="39"/>
  <c r="B257" i="39"/>
  <c r="A258" i="39"/>
  <c r="B258" i="39"/>
  <c r="A259" i="39"/>
  <c r="B259" i="39"/>
  <c r="A260" i="39"/>
  <c r="B260" i="39"/>
  <c r="A261" i="39"/>
  <c r="B261" i="39"/>
  <c r="A262" i="39"/>
  <c r="B262" i="39"/>
  <c r="A263" i="39"/>
  <c r="B263" i="39"/>
  <c r="A264" i="39"/>
  <c r="B264" i="39"/>
  <c r="A265" i="39"/>
  <c r="B265" i="39"/>
  <c r="A266" i="39"/>
  <c r="B266" i="39"/>
  <c r="A267" i="39"/>
  <c r="B267" i="39"/>
  <c r="A268" i="39"/>
  <c r="B268" i="39"/>
  <c r="A269" i="39"/>
  <c r="B269" i="39"/>
  <c r="A270" i="39"/>
  <c r="B270" i="39"/>
  <c r="A271" i="39"/>
  <c r="B271" i="39"/>
  <c r="A272" i="39"/>
  <c r="B272" i="39"/>
  <c r="A273" i="39"/>
  <c r="B273" i="39"/>
  <c r="A274" i="39"/>
  <c r="B274" i="39"/>
  <c r="A275" i="39"/>
  <c r="B275" i="39"/>
  <c r="A276" i="39"/>
  <c r="B276" i="39"/>
  <c r="A277" i="39"/>
  <c r="B277" i="39"/>
  <c r="A278" i="39"/>
  <c r="B278" i="39"/>
  <c r="A279" i="39"/>
  <c r="B279" i="39"/>
  <c r="A280" i="39"/>
  <c r="B280" i="39"/>
  <c r="A281" i="39"/>
  <c r="B281" i="39"/>
  <c r="A282" i="39"/>
  <c r="B282" i="39"/>
  <c r="A283" i="39"/>
  <c r="B283" i="39"/>
  <c r="A284" i="39"/>
  <c r="B284" i="39"/>
  <c r="A285" i="39"/>
  <c r="B285" i="39"/>
  <c r="A286" i="39"/>
  <c r="B286" i="39"/>
  <c r="A287" i="39"/>
  <c r="B287" i="39"/>
  <c r="A288" i="39"/>
  <c r="B288" i="39"/>
  <c r="A289" i="39"/>
  <c r="B289" i="39"/>
  <c r="A290" i="39"/>
  <c r="B290" i="39"/>
  <c r="A291" i="39"/>
  <c r="B291" i="39"/>
  <c r="A292" i="39"/>
  <c r="B292" i="39"/>
  <c r="A293" i="39"/>
  <c r="B293" i="39"/>
  <c r="A294" i="39"/>
  <c r="B294" i="39"/>
  <c r="A295" i="39"/>
  <c r="B295" i="39"/>
  <c r="A296" i="39"/>
  <c r="B296" i="39"/>
  <c r="A297" i="39"/>
  <c r="B297" i="39"/>
  <c r="A298" i="39"/>
  <c r="B298" i="39"/>
  <c r="A299" i="39"/>
  <c r="B299" i="39"/>
  <c r="A300" i="39"/>
  <c r="B300" i="39"/>
  <c r="A301" i="39"/>
  <c r="B301" i="39"/>
  <c r="A302" i="39"/>
  <c r="B302" i="39"/>
  <c r="A303" i="39"/>
  <c r="B303" i="39"/>
  <c r="A304" i="39"/>
  <c r="B304" i="39"/>
  <c r="A305" i="39"/>
  <c r="B305" i="39"/>
  <c r="A306" i="39"/>
  <c r="B306" i="39"/>
  <c r="A307" i="39"/>
  <c r="B307" i="39"/>
  <c r="A308" i="39"/>
  <c r="B308" i="39"/>
  <c r="A309" i="39"/>
  <c r="B309" i="39"/>
  <c r="A310" i="39"/>
  <c r="B310" i="39"/>
  <c r="A311" i="39"/>
  <c r="B311" i="39"/>
  <c r="A312" i="39"/>
  <c r="B312" i="39"/>
  <c r="A313" i="39"/>
  <c r="B313" i="39"/>
  <c r="A314" i="39"/>
  <c r="B314" i="39"/>
  <c r="A315" i="39"/>
  <c r="B315" i="39"/>
  <c r="A316" i="39"/>
  <c r="B316" i="39"/>
  <c r="A317" i="39"/>
  <c r="B317" i="39"/>
  <c r="A318" i="39"/>
  <c r="B318" i="39"/>
  <c r="A319" i="39"/>
  <c r="B319" i="39"/>
  <c r="A320" i="39"/>
  <c r="B320" i="39"/>
  <c r="A321" i="39"/>
  <c r="B321" i="39"/>
  <c r="A322" i="39"/>
  <c r="B322" i="39"/>
  <c r="A323" i="39"/>
  <c r="B323" i="39"/>
  <c r="A324" i="39"/>
  <c r="B324" i="39"/>
  <c r="A325" i="39"/>
  <c r="B325" i="39"/>
  <c r="A326" i="39"/>
  <c r="B326" i="39"/>
  <c r="A327" i="39"/>
  <c r="B327" i="39"/>
  <c r="A328" i="39"/>
  <c r="B328" i="39"/>
  <c r="A329" i="39"/>
  <c r="B329" i="39"/>
  <c r="A330" i="39"/>
  <c r="B330" i="39"/>
  <c r="A331" i="39"/>
  <c r="B331" i="39"/>
  <c r="A332" i="39"/>
  <c r="B332" i="39"/>
  <c r="A333" i="39"/>
  <c r="B333" i="39"/>
  <c r="A334" i="39"/>
  <c r="B334" i="39"/>
  <c r="A335" i="39"/>
  <c r="B335" i="39"/>
  <c r="A336" i="39"/>
  <c r="B336" i="39"/>
  <c r="A337" i="39"/>
  <c r="B337" i="39"/>
  <c r="A338" i="39"/>
  <c r="B338" i="39"/>
  <c r="A339" i="39"/>
  <c r="B339" i="39"/>
  <c r="A340" i="39"/>
  <c r="B340" i="39"/>
  <c r="A341" i="39"/>
  <c r="B341" i="39"/>
  <c r="A342" i="39"/>
  <c r="B342" i="39"/>
  <c r="A343" i="39"/>
  <c r="B343" i="39"/>
  <c r="A344" i="39"/>
  <c r="B344" i="39"/>
  <c r="A345" i="39"/>
  <c r="B345" i="39"/>
  <c r="A346" i="39"/>
  <c r="B346" i="39"/>
  <c r="A347" i="39"/>
  <c r="B347" i="39"/>
  <c r="A348" i="39"/>
  <c r="B348" i="39"/>
  <c r="A349" i="39"/>
  <c r="B349" i="39"/>
  <c r="A350" i="39"/>
  <c r="B350" i="39"/>
  <c r="A351" i="39"/>
  <c r="B351" i="39"/>
  <c r="A352" i="39"/>
  <c r="B352" i="39"/>
  <c r="A353" i="39"/>
  <c r="B353" i="39"/>
  <c r="A354" i="39"/>
  <c r="B354" i="39"/>
  <c r="A355" i="39"/>
  <c r="B355" i="39"/>
  <c r="A356" i="39"/>
  <c r="B356" i="39"/>
  <c r="A357" i="39"/>
  <c r="B357" i="39"/>
  <c r="A358" i="39"/>
  <c r="B358" i="39"/>
  <c r="A359" i="39"/>
  <c r="B359" i="39"/>
  <c r="A360" i="39"/>
  <c r="B360" i="39"/>
  <c r="A361" i="39"/>
  <c r="B361" i="39"/>
  <c r="A362" i="39"/>
  <c r="B362" i="39"/>
  <c r="A363" i="39"/>
  <c r="B363" i="39"/>
  <c r="A364" i="39"/>
  <c r="B364" i="39"/>
  <c r="A365" i="39"/>
  <c r="B365" i="39"/>
  <c r="A366" i="39"/>
  <c r="B366" i="39"/>
  <c r="A367" i="39"/>
  <c r="B367" i="39"/>
  <c r="A368" i="39"/>
  <c r="B368" i="39"/>
  <c r="O3" i="22"/>
  <c r="C6" i="22"/>
  <c r="G3" i="26"/>
  <c r="G3" i="24"/>
  <c r="D60" i="24"/>
  <c r="F3" i="16"/>
  <c r="A41" i="16"/>
  <c r="A42" i="16"/>
  <c r="A43" i="16"/>
  <c r="A44" i="16"/>
  <c r="I2" i="15"/>
  <c r="F18" i="15"/>
  <c r="I18" i="15"/>
  <c r="F31" i="15"/>
  <c r="F32" i="15"/>
  <c r="F33" i="15"/>
  <c r="F34" i="15"/>
  <c r="F35" i="15"/>
  <c r="M3" i="1"/>
  <c r="G19" i="6"/>
  <c r="D20" i="6"/>
  <c r="D22" i="6"/>
  <c r="G21" i="6"/>
  <c r="G18" i="6"/>
  <c r="D18" i="6"/>
  <c r="K20" i="8"/>
  <c r="F45" i="16" s="1"/>
  <c r="B47" i="16" s="1"/>
  <c r="M8" i="22"/>
  <c r="E42" i="6"/>
  <c r="K37" i="8"/>
  <c r="E34" i="16" s="1"/>
  <c r="E28" i="16"/>
  <c r="B22" i="15"/>
  <c r="B27" i="15"/>
  <c r="B32" i="15" s="1"/>
  <c r="D25" i="6"/>
  <c r="G25" i="6"/>
  <c r="M9" i="22"/>
  <c r="B25" i="15"/>
  <c r="B30" i="15"/>
  <c r="B35" i="15"/>
  <c r="E27" i="16"/>
  <c r="D17" i="6"/>
  <c r="E17" i="6"/>
  <c r="E18" i="6"/>
  <c r="E19" i="6"/>
  <c r="E20" i="6"/>
  <c r="E21" i="6"/>
  <c r="G17" i="6"/>
  <c r="E31" i="6"/>
  <c r="E24" i="6"/>
  <c r="E36" i="6"/>
  <c r="D33" i="6"/>
  <c r="G35" i="6"/>
  <c r="G27" i="6"/>
  <c r="D32" i="6"/>
  <c r="G32" i="6"/>
  <c r="G36" i="6"/>
  <c r="O6" i="8"/>
  <c r="AN24" i="39"/>
  <c r="F389" i="3"/>
  <c r="F390" i="3"/>
  <c r="F381" i="3"/>
  <c r="F385" i="3"/>
  <c r="D22" i="15"/>
  <c r="D21" i="15"/>
  <c r="D24" i="15"/>
  <c r="D23" i="15"/>
  <c r="D26" i="15"/>
  <c r="D25" i="15"/>
  <c r="D27" i="15"/>
  <c r="A3" i="22"/>
  <c r="A3" i="15"/>
  <c r="O5" i="24"/>
  <c r="G12" i="24" s="1"/>
  <c r="D12" i="24"/>
  <c r="D61" i="24"/>
  <c r="O7" i="24" s="1"/>
  <c r="C23" i="44"/>
  <c r="B2" i="6"/>
  <c r="C2" i="3"/>
  <c r="T2" i="3"/>
  <c r="A3" i="1"/>
  <c r="D2" i="14"/>
  <c r="E3" i="8"/>
  <c r="F4" i="16"/>
  <c r="C26" i="44"/>
  <c r="O3" i="24"/>
  <c r="D37" i="24"/>
  <c r="D36" i="24" s="1"/>
  <c r="D11" i="24"/>
  <c r="C30" i="15"/>
  <c r="C19" i="15"/>
  <c r="F4" i="3"/>
  <c r="A3" i="39" s="1"/>
  <c r="E14" i="24"/>
  <c r="G15" i="24"/>
  <c r="G26" i="6"/>
  <c r="E23" i="6"/>
  <c r="H16" i="24"/>
  <c r="H17" i="24"/>
  <c r="O50" i="24"/>
  <c r="E29" i="6"/>
  <c r="B13" i="6"/>
  <c r="C36" i="6" s="1"/>
  <c r="F36" i="6" s="1"/>
  <c r="E35" i="6"/>
  <c r="D46" i="6"/>
  <c r="G31" i="6"/>
  <c r="E26" i="6"/>
  <c r="D27" i="6"/>
  <c r="B24" i="15"/>
  <c r="B29" i="15" s="1"/>
  <c r="B34" i="15" s="1"/>
  <c r="D15" i="26"/>
  <c r="I7" i="8"/>
  <c r="D385" i="22" s="1"/>
  <c r="I9" i="8"/>
  <c r="E18" i="3"/>
  <c r="E30" i="3" s="1"/>
  <c r="E42" i="3" s="1"/>
  <c r="E54" i="3" s="1"/>
  <c r="E66" i="3" s="1"/>
  <c r="E78" i="3" s="1"/>
  <c r="E90" i="3" s="1"/>
  <c r="E17" i="3"/>
  <c r="E29" i="3"/>
  <c r="E41" i="3" s="1"/>
  <c r="E53" i="3" s="1"/>
  <c r="E65" i="3" s="1"/>
  <c r="E77" i="3"/>
  <c r="E89" i="3" s="1"/>
  <c r="E101" i="3" s="1"/>
  <c r="E15" i="3"/>
  <c r="E27" i="3"/>
  <c r="E39" i="3" s="1"/>
  <c r="E51" i="3" s="1"/>
  <c r="E63" i="3" s="1"/>
  <c r="E75" i="3" s="1"/>
  <c r="E87" i="3" s="1"/>
  <c r="E99" i="3"/>
  <c r="E111" i="3" s="1"/>
  <c r="E123" i="3" s="1"/>
  <c r="E135" i="3" s="1"/>
  <c r="E147" i="3" s="1"/>
  <c r="E159" i="3" s="1"/>
  <c r="E13" i="3"/>
  <c r="E25" i="3"/>
  <c r="E37" i="3" s="1"/>
  <c r="E49" i="3" s="1"/>
  <c r="E61" i="3" s="1"/>
  <c r="E73" i="3"/>
  <c r="E85" i="3" s="1"/>
  <c r="E97" i="3" s="1"/>
  <c r="E109" i="3" s="1"/>
  <c r="E121" i="3"/>
  <c r="E12" i="3"/>
  <c r="E24" i="3" s="1"/>
  <c r="E36" i="3" s="1"/>
  <c r="E48" i="3" s="1"/>
  <c r="E60" i="3" s="1"/>
  <c r="E72" i="3" s="1"/>
  <c r="E19" i="3"/>
  <c r="E31" i="3" s="1"/>
  <c r="E43" i="3" s="1"/>
  <c r="E55" i="3" s="1"/>
  <c r="E67" i="3" s="1"/>
  <c r="E79" i="3" s="1"/>
  <c r="E91" i="3" s="1"/>
  <c r="E103" i="3" s="1"/>
  <c r="E115" i="3" s="1"/>
  <c r="E127" i="3" s="1"/>
  <c r="E139" i="3" s="1"/>
  <c r="G139" i="3" s="1"/>
  <c r="E16" i="3"/>
  <c r="E28" i="3" s="1"/>
  <c r="E40" i="3" s="1"/>
  <c r="E52" i="3" s="1"/>
  <c r="E64" i="3" s="1"/>
  <c r="E76" i="3" s="1"/>
  <c r="E88" i="3"/>
  <c r="E100" i="3" s="1"/>
  <c r="E112" i="3"/>
  <c r="E124" i="3" s="1"/>
  <c r="E136" i="3" s="1"/>
  <c r="E148" i="3" s="1"/>
  <c r="E9" i="3"/>
  <c r="E21" i="3" s="1"/>
  <c r="E33" i="3"/>
  <c r="E45" i="3"/>
  <c r="E57" i="3" s="1"/>
  <c r="E69" i="3" s="1"/>
  <c r="E81" i="3" s="1"/>
  <c r="E8" i="3"/>
  <c r="E20" i="3"/>
  <c r="E32" i="3"/>
  <c r="E44" i="3"/>
  <c r="E56" i="3" s="1"/>
  <c r="E68" i="3" s="1"/>
  <c r="E80" i="3" s="1"/>
  <c r="E92" i="3" s="1"/>
  <c r="E104" i="3" s="1"/>
  <c r="E116" i="3" s="1"/>
  <c r="E128" i="3" s="1"/>
  <c r="G128" i="3" s="1"/>
  <c r="E10" i="3"/>
  <c r="E22" i="3"/>
  <c r="E34" i="3" s="1"/>
  <c r="E46" i="3" s="1"/>
  <c r="E11" i="3"/>
  <c r="E23" i="3" s="1"/>
  <c r="E35" i="3" s="1"/>
  <c r="E47" i="3" s="1"/>
  <c r="E59" i="3" s="1"/>
  <c r="E71" i="3" s="1"/>
  <c r="E83" i="3" s="1"/>
  <c r="E95" i="3" s="1"/>
  <c r="E14" i="3"/>
  <c r="E26" i="3" s="1"/>
  <c r="E38" i="3" s="1"/>
  <c r="E50" i="3" s="1"/>
  <c r="E62" i="3" s="1"/>
  <c r="E74" i="3" s="1"/>
  <c r="D387" i="22"/>
  <c r="D377" i="3" s="1"/>
  <c r="D375" i="22"/>
  <c r="D371" i="22"/>
  <c r="D361" i="3" s="1"/>
  <c r="D400" i="22"/>
  <c r="D390" i="3" s="1"/>
  <c r="D389" i="22"/>
  <c r="D379" i="3"/>
  <c r="D357" i="22"/>
  <c r="D341" i="22"/>
  <c r="D337" i="22"/>
  <c r="D327" i="3"/>
  <c r="D325" i="22"/>
  <c r="D321" i="22"/>
  <c r="D281" i="22"/>
  <c r="D271" i="3" s="1"/>
  <c r="D277" i="22"/>
  <c r="D267" i="3"/>
  <c r="D273" i="22"/>
  <c r="D261" i="22"/>
  <c r="D257" i="22"/>
  <c r="D247" i="3" s="1"/>
  <c r="D382" i="22"/>
  <c r="D374" i="22"/>
  <c r="D364" i="3" s="1"/>
  <c r="D358" i="22"/>
  <c r="D348" i="3"/>
  <c r="D351" i="22"/>
  <c r="D288" i="22"/>
  <c r="D286" i="22"/>
  <c r="D270" i="22"/>
  <c r="D260" i="3" s="1"/>
  <c r="D263" i="22"/>
  <c r="D253" i="3" s="1"/>
  <c r="D212" i="22"/>
  <c r="D204" i="22"/>
  <c r="D194" i="3" s="1"/>
  <c r="D196" i="22"/>
  <c r="D190" i="22"/>
  <c r="D183" i="22"/>
  <c r="D173" i="3" s="1"/>
  <c r="D147" i="22"/>
  <c r="D137" i="3" s="1"/>
  <c r="D143" i="22"/>
  <c r="D392" i="22"/>
  <c r="D386" i="22"/>
  <c r="D376" i="3" s="1"/>
  <c r="D370" i="22"/>
  <c r="D360" i="3" s="1"/>
  <c r="D334" i="22"/>
  <c r="D324" i="3" s="1"/>
  <c r="D327" i="22"/>
  <c r="D320" i="22"/>
  <c r="D302" i="22"/>
  <c r="D292" i="3"/>
  <c r="D300" i="22"/>
  <c r="D262" i="22"/>
  <c r="D252" i="3" s="1"/>
  <c r="D235" i="22"/>
  <c r="D233" i="22"/>
  <c r="D218" i="22"/>
  <c r="D208" i="3"/>
  <c r="D214" i="22"/>
  <c r="D181" i="22"/>
  <c r="D169" i="22"/>
  <c r="D161" i="22"/>
  <c r="D149" i="22"/>
  <c r="D145" i="22"/>
  <c r="D137" i="22"/>
  <c r="D127" i="3" s="1"/>
  <c r="D129" i="22"/>
  <c r="D119" i="3" s="1"/>
  <c r="D105" i="22"/>
  <c r="D101" i="22"/>
  <c r="D87" i="22"/>
  <c r="D83" i="22"/>
  <c r="D73" i="3" s="1"/>
  <c r="G73" i="3" s="1"/>
  <c r="D75" i="22"/>
  <c r="D45" i="22"/>
  <c r="D41" i="22"/>
  <c r="D31" i="3" s="1"/>
  <c r="G31" i="3" s="1"/>
  <c r="D23" i="22"/>
  <c r="D19" i="22"/>
  <c r="D9" i="3" s="1"/>
  <c r="G9" i="3" s="1"/>
  <c r="D384" i="22"/>
  <c r="D347" i="22"/>
  <c r="D337" i="3"/>
  <c r="D284" i="22"/>
  <c r="D255" i="22"/>
  <c r="D245" i="3" s="1"/>
  <c r="D236" i="22"/>
  <c r="D213" i="22"/>
  <c r="D193" i="22"/>
  <c r="D183" i="3"/>
  <c r="D184" i="22"/>
  <c r="D122" i="22"/>
  <c r="D120" i="22"/>
  <c r="D110" i="3" s="1"/>
  <c r="D102" i="22"/>
  <c r="D92" i="3" s="1"/>
  <c r="G92" i="3" s="1"/>
  <c r="D46" i="22"/>
  <c r="D39" i="22"/>
  <c r="D31" i="22"/>
  <c r="D388" i="22"/>
  <c r="D364" i="22"/>
  <c r="D354" i="3" s="1"/>
  <c r="D310" i="22"/>
  <c r="D298" i="22"/>
  <c r="D258" i="22"/>
  <c r="D231" i="22"/>
  <c r="D221" i="3" s="1"/>
  <c r="D215" i="22"/>
  <c r="D201" i="22"/>
  <c r="D191" i="3" s="1"/>
  <c r="D162" i="22"/>
  <c r="D138" i="22"/>
  <c r="D128" i="3" s="1"/>
  <c r="D131" i="22"/>
  <c r="D119" i="22"/>
  <c r="D109" i="3" s="1"/>
  <c r="G109" i="3" s="1"/>
  <c r="D110" i="22"/>
  <c r="D100" i="22"/>
  <c r="D90" i="3" s="1"/>
  <c r="D71" i="22"/>
  <c r="D61" i="3" s="1"/>
  <c r="G61" i="3"/>
  <c r="D60" i="22"/>
  <c r="D56" i="22"/>
  <c r="D46" i="3" s="1"/>
  <c r="D50" i="22"/>
  <c r="D42" i="22"/>
  <c r="D338" i="22"/>
  <c r="D328" i="3" s="1"/>
  <c r="D297" i="22"/>
  <c r="D287" i="3" s="1"/>
  <c r="D282" i="22"/>
  <c r="D272" i="3"/>
  <c r="D268" i="22"/>
  <c r="D191" i="22"/>
  <c r="D181" i="3" s="1"/>
  <c r="D180" i="22"/>
  <c r="D158" i="22"/>
  <c r="D148" i="3"/>
  <c r="D152" i="22"/>
  <c r="D108" i="22"/>
  <c r="D98" i="3" s="1"/>
  <c r="D91" i="22"/>
  <c r="D81" i="3" s="1"/>
  <c r="D74" i="22"/>
  <c r="D59" i="22"/>
  <c r="D49" i="3" s="1"/>
  <c r="G49" i="3" s="1"/>
  <c r="D52" i="22"/>
  <c r="D38" i="22"/>
  <c r="D30" i="22"/>
  <c r="D20" i="3" s="1"/>
  <c r="G20" i="3" s="1"/>
  <c r="D18" i="22"/>
  <c r="D8" i="3" s="1"/>
  <c r="D380" i="22"/>
  <c r="D370" i="3" s="1"/>
  <c r="D355" i="22"/>
  <c r="D345" i="3" s="1"/>
  <c r="D348" i="22"/>
  <c r="D338" i="3" s="1"/>
  <c r="D316" i="22"/>
  <c r="D306" i="3" s="1"/>
  <c r="D308" i="22"/>
  <c r="D298" i="3" s="1"/>
  <c r="D274" i="22"/>
  <c r="D264" i="3"/>
  <c r="D267" i="22"/>
  <c r="D260" i="22"/>
  <c r="D237" i="22"/>
  <c r="D227" i="3" s="1"/>
  <c r="D199" i="22"/>
  <c r="D189" i="3" s="1"/>
  <c r="D182" i="22"/>
  <c r="D172" i="3" s="1"/>
  <c r="D174" i="22"/>
  <c r="D154" i="22"/>
  <c r="D144" i="3" s="1"/>
  <c r="D146" i="22"/>
  <c r="D140" i="22"/>
  <c r="D130" i="3" s="1"/>
  <c r="D130" i="22"/>
  <c r="D120" i="3" s="1"/>
  <c r="D55" i="22"/>
  <c r="D45" i="3" s="1"/>
  <c r="G45" i="3" s="1"/>
  <c r="D20" i="22"/>
  <c r="D126" i="22"/>
  <c r="D116" i="3"/>
  <c r="D111" i="22"/>
  <c r="D94" i="22"/>
  <c r="D84" i="3" s="1"/>
  <c r="D70" i="22"/>
  <c r="D60" i="3"/>
  <c r="G60" i="3" s="1"/>
  <c r="D124" i="22"/>
  <c r="D114" i="3" s="1"/>
  <c r="D43" i="22"/>
  <c r="D33" i="3"/>
  <c r="G33" i="3" s="1"/>
  <c r="D24" i="22"/>
  <c r="D14" i="3" s="1"/>
  <c r="G14" i="3" s="1"/>
  <c r="B11" i="44"/>
  <c r="B12" i="44" s="1"/>
  <c r="K7" i="8"/>
  <c r="E7" i="8"/>
  <c r="D10" i="3"/>
  <c r="G10" i="3"/>
  <c r="D136" i="3"/>
  <c r="D257" i="3"/>
  <c r="D42" i="3"/>
  <c r="D50" i="3"/>
  <c r="D300" i="3"/>
  <c r="D36" i="3"/>
  <c r="D112" i="3"/>
  <c r="G112" i="3" s="1"/>
  <c r="D174" i="3"/>
  <c r="D35" i="3"/>
  <c r="G35" i="3" s="1"/>
  <c r="D77" i="3"/>
  <c r="G77" i="3" s="1"/>
  <c r="D139" i="3"/>
  <c r="D171" i="3"/>
  <c r="D225" i="3"/>
  <c r="D317" i="3"/>
  <c r="D382" i="3"/>
  <c r="D186" i="3"/>
  <c r="D278" i="3"/>
  <c r="D372" i="3"/>
  <c r="D251" i="3"/>
  <c r="D315" i="3"/>
  <c r="D331" i="3"/>
  <c r="D347" i="3"/>
  <c r="D101" i="3"/>
  <c r="D258" i="3"/>
  <c r="D40" i="3"/>
  <c r="G40" i="3" s="1"/>
  <c r="D226" i="3"/>
  <c r="D65" i="3"/>
  <c r="D159" i="3"/>
  <c r="D202" i="3"/>
  <c r="D365" i="3"/>
  <c r="D164" i="3"/>
  <c r="D250" i="3"/>
  <c r="D64" i="3"/>
  <c r="G64" i="3" s="1"/>
  <c r="D142" i="3"/>
  <c r="D170" i="3"/>
  <c r="D100" i="3"/>
  <c r="G100" i="3"/>
  <c r="D121" i="3"/>
  <c r="D152" i="3"/>
  <c r="D205" i="3"/>
  <c r="D248" i="3"/>
  <c r="D288" i="3"/>
  <c r="D378" i="3"/>
  <c r="D203" i="3"/>
  <c r="D274" i="3"/>
  <c r="D374" i="3"/>
  <c r="D13" i="3"/>
  <c r="G13" i="3"/>
  <c r="D135" i="3"/>
  <c r="D204" i="3"/>
  <c r="D223" i="3"/>
  <c r="D290" i="3"/>
  <c r="D310" i="3"/>
  <c r="D133" i="3"/>
  <c r="D180" i="3"/>
  <c r="D276" i="3"/>
  <c r="D341" i="3"/>
  <c r="D263" i="3"/>
  <c r="D311" i="3"/>
  <c r="D375" i="3"/>
  <c r="D32" i="3"/>
  <c r="G32" i="3"/>
  <c r="D21" i="3"/>
  <c r="G21" i="3"/>
  <c r="D91" i="3"/>
  <c r="D151" i="3"/>
  <c r="G65" i="3"/>
  <c r="G8" i="3"/>
  <c r="D28" i="3"/>
  <c r="G28" i="3"/>
  <c r="D29" i="3"/>
  <c r="G29" i="3" s="1"/>
  <c r="D95" i="3"/>
  <c r="G42" i="3"/>
  <c r="E34" i="6"/>
  <c r="E30" i="6"/>
  <c r="E27" i="6"/>
  <c r="D28" i="6"/>
  <c r="E25" i="6"/>
  <c r="D26" i="6"/>
  <c r="D24" i="6"/>
  <c r="G24" i="6"/>
  <c r="G136" i="3"/>
  <c r="C20" i="6"/>
  <c r="F20" i="6" s="1"/>
  <c r="E32" i="6"/>
  <c r="G28" i="6"/>
  <c r="D395" i="22"/>
  <c r="D379" i="22"/>
  <c r="D397" i="22"/>
  <c r="D381" i="22"/>
  <c r="D365" i="22"/>
  <c r="D349" i="22"/>
  <c r="D333" i="22"/>
  <c r="D317" i="22"/>
  <c r="D305" i="22"/>
  <c r="D295" i="3" s="1"/>
  <c r="D285" i="22"/>
  <c r="D269" i="22"/>
  <c r="D254" i="22"/>
  <c r="D244" i="3" s="1"/>
  <c r="D238" i="22"/>
  <c r="D394" i="22"/>
  <c r="D384" i="3" s="1"/>
  <c r="D367" i="22"/>
  <c r="D344" i="22"/>
  <c r="D326" i="22"/>
  <c r="D294" i="22"/>
  <c r="D279" i="22"/>
  <c r="D256" i="22"/>
  <c r="D234" i="22"/>
  <c r="D224" i="3" s="1"/>
  <c r="D216" i="22"/>
  <c r="D202" i="22"/>
  <c r="D187" i="22"/>
  <c r="D171" i="22"/>
  <c r="D157" i="22"/>
  <c r="D141" i="22"/>
  <c r="D378" i="22"/>
  <c r="D359" i="22"/>
  <c r="D336" i="22"/>
  <c r="D318" i="22"/>
  <c r="D293" i="22"/>
  <c r="D271" i="22"/>
  <c r="D261" i="3" s="1"/>
  <c r="D241" i="22"/>
  <c r="D226" i="22"/>
  <c r="D210" i="22"/>
  <c r="D192" i="22"/>
  <c r="D173" i="22"/>
  <c r="D163" i="3" s="1"/>
  <c r="D155" i="22"/>
  <c r="D139" i="22"/>
  <c r="D123" i="22"/>
  <c r="D107" i="22"/>
  <c r="D93" i="22"/>
  <c r="D79" i="22"/>
  <c r="D67" i="22"/>
  <c r="D57" i="3" s="1"/>
  <c r="D53" i="22"/>
  <c r="D35" i="22"/>
  <c r="D21" i="22"/>
  <c r="D11" i="3" s="1"/>
  <c r="G11" i="3" s="1"/>
  <c r="D354" i="22"/>
  <c r="D315" i="22"/>
  <c r="D305" i="3" s="1"/>
  <c r="D266" i="22"/>
  <c r="D243" i="22"/>
  <c r="D205" i="22"/>
  <c r="D168" i="22"/>
  <c r="D135" i="22"/>
  <c r="D116" i="22"/>
  <c r="D96" i="22"/>
  <c r="D86" i="3" s="1"/>
  <c r="D84" i="22"/>
  <c r="D51" i="22"/>
  <c r="D36" i="22"/>
  <c r="D26" i="3" s="1"/>
  <c r="G26" i="3" s="1"/>
  <c r="D372" i="22"/>
  <c r="D332" i="22"/>
  <c r="D290" i="22"/>
  <c r="D250" i="22"/>
  <c r="D207" i="22"/>
  <c r="D186" i="22"/>
  <c r="D156" i="22"/>
  <c r="D125" i="22"/>
  <c r="D106" i="22"/>
  <c r="D96" i="3" s="1"/>
  <c r="D82" i="22"/>
  <c r="D66" i="22"/>
  <c r="D54" i="22"/>
  <c r="D44" i="3" s="1"/>
  <c r="G44" i="3" s="1"/>
  <c r="D34" i="22"/>
  <c r="D363" i="22"/>
  <c r="D324" i="22"/>
  <c r="D275" i="22"/>
  <c r="D230" i="22"/>
  <c r="D197" i="22"/>
  <c r="D172" i="22"/>
  <c r="D144" i="22"/>
  <c r="D121" i="22"/>
  <c r="D111" i="3" s="1"/>
  <c r="G111" i="3" s="1"/>
  <c r="D97" i="22"/>
  <c r="D64" i="22"/>
  <c r="D40" i="22"/>
  <c r="D30" i="3" s="1"/>
  <c r="G30" i="3" s="1"/>
  <c r="D27" i="22"/>
  <c r="D362" i="22"/>
  <c r="D352" i="3" s="1"/>
  <c r="D323" i="22"/>
  <c r="D296" i="22"/>
  <c r="D244" i="22"/>
  <c r="D211" i="22"/>
  <c r="D166" i="22"/>
  <c r="D132" i="22"/>
  <c r="D72" i="22"/>
  <c r="D62" i="3" s="1"/>
  <c r="G62" i="3" s="1"/>
  <c r="D118" i="22"/>
  <c r="D61" i="22"/>
  <c r="D76" i="22"/>
  <c r="D383" i="22"/>
  <c r="D391" i="22"/>
  <c r="D373" i="22"/>
  <c r="D353" i="22"/>
  <c r="D329" i="22"/>
  <c r="D311" i="22"/>
  <c r="D289" i="22"/>
  <c r="D265" i="22"/>
  <c r="D246" i="22"/>
  <c r="D224" i="22"/>
  <c r="D360" i="22"/>
  <c r="D335" i="22"/>
  <c r="D325" i="3" s="1"/>
  <c r="D301" i="22"/>
  <c r="D272" i="22"/>
  <c r="D262" i="3" s="1"/>
  <c r="D247" i="22"/>
  <c r="D220" i="22"/>
  <c r="D200" i="22"/>
  <c r="D179" i="22"/>
  <c r="D159" i="22"/>
  <c r="D398" i="22"/>
  <c r="D368" i="22"/>
  <c r="D358" i="3" s="1"/>
  <c r="D343" i="22"/>
  <c r="D306" i="22"/>
  <c r="D280" i="22"/>
  <c r="D270" i="3" s="1"/>
  <c r="D253" i="22"/>
  <c r="D222" i="22"/>
  <c r="D212" i="3" s="1"/>
  <c r="D198" i="22"/>
  <c r="D177" i="22"/>
  <c r="D153" i="22"/>
  <c r="D133" i="22"/>
  <c r="D109" i="22"/>
  <c r="D89" i="22"/>
  <c r="D73" i="22"/>
  <c r="D63" i="3" s="1"/>
  <c r="G63" i="3" s="1"/>
  <c r="D57" i="22"/>
  <c r="D33" i="22"/>
  <c r="D396" i="22"/>
  <c r="D386" i="3" s="1"/>
  <c r="D322" i="22"/>
  <c r="D259" i="22"/>
  <c r="D249" i="3" s="1"/>
  <c r="D221" i="22"/>
  <c r="D176" i="22"/>
  <c r="D166" i="3" s="1"/>
  <c r="D128" i="22"/>
  <c r="D104" i="22"/>
  <c r="D94" i="3" s="1"/>
  <c r="D86" i="22"/>
  <c r="D76" i="3" s="1"/>
  <c r="G76" i="3" s="1"/>
  <c r="D48" i="22"/>
  <c r="D401" i="22"/>
  <c r="D391" i="3" s="1"/>
  <c r="D339" i="22"/>
  <c r="D283" i="22"/>
  <c r="D223" i="22"/>
  <c r="D213" i="3" s="1"/>
  <c r="D189" i="22"/>
  <c r="D150" i="22"/>
  <c r="D140" i="3" s="1"/>
  <c r="D112" i="22"/>
  <c r="D88" i="22"/>
  <c r="D62" i="22"/>
  <c r="D44" i="22"/>
  <c r="D376" i="22"/>
  <c r="D366" i="3" s="1"/>
  <c r="D309" i="22"/>
  <c r="D249" i="22"/>
  <c r="D239" i="3" s="1"/>
  <c r="D203" i="22"/>
  <c r="D164" i="22"/>
  <c r="D134" i="22"/>
  <c r="D124" i="3" s="1"/>
  <c r="G124" i="3" s="1"/>
  <c r="D103" i="22"/>
  <c r="M7" i="22"/>
  <c r="I20" i="8"/>
  <c r="M11" i="22"/>
  <c r="E18" i="22" s="1"/>
  <c r="P6" i="8"/>
  <c r="D30" i="6"/>
  <c r="G30" i="6"/>
  <c r="C28" i="6"/>
  <c r="F28" i="6" s="1"/>
  <c r="C26" i="6"/>
  <c r="F26" i="6" s="1"/>
  <c r="N14" i="24"/>
  <c r="O14" i="24"/>
  <c r="O15" i="24" s="1"/>
  <c r="B28" i="15"/>
  <c r="B21" i="15"/>
  <c r="B26" i="15"/>
  <c r="B31" i="15"/>
  <c r="E29" i="16"/>
  <c r="G33" i="8"/>
  <c r="B15" i="16"/>
  <c r="D18" i="26"/>
  <c r="C30" i="44" s="1"/>
  <c r="AM25" i="39"/>
  <c r="AM26" i="39" s="1"/>
  <c r="AM24" i="39"/>
  <c r="AM9" i="39"/>
  <c r="AO9" i="39"/>
  <c r="O7" i="8"/>
  <c r="P7" i="8"/>
  <c r="A3" i="21"/>
  <c r="A3" i="44" s="1"/>
  <c r="A4" i="24"/>
  <c r="A4" i="26"/>
  <c r="AN25" i="39"/>
  <c r="AN26" i="39"/>
  <c r="AN9" i="39"/>
  <c r="AO24" i="39"/>
  <c r="AO26" i="39" s="1"/>
  <c r="D169" i="3"/>
  <c r="D301" i="3"/>
  <c r="D201" i="3"/>
  <c r="D187" i="3"/>
  <c r="D176" i="3"/>
  <c r="D158" i="3"/>
  <c r="D97" i="3"/>
  <c r="G97" i="3" s="1"/>
  <c r="D147" i="3"/>
  <c r="D275" i="3"/>
  <c r="B16" i="16"/>
  <c r="B21" i="16"/>
  <c r="B17" i="16"/>
  <c r="D93" i="3"/>
  <c r="D52" i="3"/>
  <c r="G52" i="3" s="1"/>
  <c r="D179" i="3"/>
  <c r="D118" i="3"/>
  <c r="D312" i="3"/>
  <c r="D143" i="3"/>
  <c r="D243" i="3"/>
  <c r="D190" i="3"/>
  <c r="D291" i="3"/>
  <c r="D236" i="3"/>
  <c r="D319" i="3"/>
  <c r="D373" i="3"/>
  <c r="D234" i="3"/>
  <c r="D17" i="3"/>
  <c r="G17" i="3" s="1"/>
  <c r="D220" i="3"/>
  <c r="D24" i="3"/>
  <c r="G24" i="3"/>
  <c r="D197" i="3"/>
  <c r="D362" i="3"/>
  <c r="D195" i="3"/>
  <c r="D344" i="3"/>
  <c r="D113" i="3"/>
  <c r="D182" i="3"/>
  <c r="D349" i="3"/>
  <c r="D161" i="3"/>
  <c r="D316" i="3"/>
  <c r="D228" i="3"/>
  <c r="D355" i="3"/>
  <c r="D385" i="3"/>
  <c r="B19" i="15"/>
  <c r="G4" i="3" s="1"/>
  <c r="H69" i="3" s="1"/>
  <c r="B33" i="15"/>
  <c r="D193" i="3"/>
  <c r="D329" i="3"/>
  <c r="D47" i="3"/>
  <c r="G47" i="3" s="1"/>
  <c r="D333" i="3"/>
  <c r="D214" i="3"/>
  <c r="D108" i="3"/>
  <c r="D87" i="3"/>
  <c r="G87" i="3"/>
  <c r="D72" i="3"/>
  <c r="D74" i="3"/>
  <c r="D43" i="3"/>
  <c r="D231" i="3"/>
  <c r="D206" i="3"/>
  <c r="D369" i="3"/>
  <c r="D299" i="3"/>
  <c r="D78" i="3"/>
  <c r="G78" i="3" s="1"/>
  <c r="D38" i="3"/>
  <c r="G38" i="3"/>
  <c r="D79" i="3"/>
  <c r="D167" i="3"/>
  <c r="D388" i="3"/>
  <c r="D210" i="3"/>
  <c r="D255" i="3"/>
  <c r="D343" i="3"/>
  <c r="D66" i="3"/>
  <c r="D122" i="3"/>
  <c r="D286" i="3"/>
  <c r="D134" i="3"/>
  <c r="D265" i="3"/>
  <c r="D115" i="3"/>
  <c r="D240" i="3"/>
  <c r="D106" i="3"/>
  <c r="D233" i="3"/>
  <c r="D69" i="3"/>
  <c r="D129" i="3"/>
  <c r="D200" i="3"/>
  <c r="D283" i="3"/>
  <c r="D368" i="3"/>
  <c r="D177" i="3"/>
  <c r="D246" i="3"/>
  <c r="D334" i="3"/>
  <c r="D307" i="3"/>
  <c r="D371" i="3"/>
  <c r="B14" i="24"/>
  <c r="B17" i="24" s="1"/>
  <c r="B18" i="24" s="1"/>
  <c r="A14" i="24"/>
  <c r="E19" i="26"/>
  <c r="C31" i="44" s="1"/>
  <c r="K14" i="24"/>
  <c r="D34" i="3"/>
  <c r="G34" i="3" s="1"/>
  <c r="D123" i="3"/>
  <c r="G123" i="3"/>
  <c r="D381" i="3"/>
  <c r="D353" i="3"/>
  <c r="D322" i="3"/>
  <c r="D326" i="3"/>
  <c r="D284" i="3"/>
  <c r="D339" i="3"/>
  <c r="D154" i="3"/>
  <c r="D102" i="3"/>
  <c r="D273" i="3"/>
  <c r="D211" i="3"/>
  <c r="D23" i="3"/>
  <c r="G23" i="3"/>
  <c r="D99" i="3"/>
  <c r="G99" i="3"/>
  <c r="D188" i="3"/>
  <c r="D296" i="3"/>
  <c r="D149" i="3"/>
  <c r="D237" i="3"/>
  <c r="D350" i="3"/>
  <c r="D279" i="3"/>
  <c r="D363" i="3"/>
  <c r="D51" i="3"/>
  <c r="G51" i="3"/>
  <c r="D156" i="3"/>
  <c r="D313" i="3"/>
  <c r="D54" i="3"/>
  <c r="G54" i="3"/>
  <c r="D162" i="3"/>
  <c r="D314" i="3"/>
  <c r="D56" i="3"/>
  <c r="G56" i="3" s="1"/>
  <c r="D146" i="3"/>
  <c r="D280" i="3"/>
  <c r="D41" i="3"/>
  <c r="G41" i="3"/>
  <c r="D125" i="3"/>
  <c r="D256" i="3"/>
  <c r="D25" i="3"/>
  <c r="G25" i="3" s="1"/>
  <c r="D83" i="3"/>
  <c r="G83" i="3"/>
  <c r="D145" i="3"/>
  <c r="D216" i="3"/>
  <c r="D308" i="3"/>
  <c r="D131" i="3"/>
  <c r="D192" i="3"/>
  <c r="D269" i="3"/>
  <c r="D357" i="3"/>
  <c r="D259" i="3"/>
  <c r="D323" i="3"/>
  <c r="D387" i="3"/>
  <c r="F18" i="22"/>
  <c r="E21" i="26"/>
  <c r="C33" i="44"/>
  <c r="H268" i="3"/>
  <c r="H15" i="3"/>
  <c r="H209" i="3"/>
  <c r="H242" i="3"/>
  <c r="H158" i="3"/>
  <c r="H177" i="3"/>
  <c r="H231" i="3"/>
  <c r="H277" i="3"/>
  <c r="H362" i="3"/>
  <c r="H354" i="3"/>
  <c r="H228" i="3"/>
  <c r="H360" i="3"/>
  <c r="H83" i="3"/>
  <c r="H352" i="3"/>
  <c r="H8" i="3"/>
  <c r="H116" i="3"/>
  <c r="H226" i="3"/>
  <c r="H125" i="3"/>
  <c r="H363" i="3"/>
  <c r="H97" i="3"/>
  <c r="H391" i="3"/>
  <c r="H185" i="3"/>
  <c r="H10" i="3"/>
  <c r="H347" i="3"/>
  <c r="H172" i="3"/>
  <c r="H162" i="3"/>
  <c r="H96" i="3"/>
  <c r="H84" i="3"/>
  <c r="H336" i="3"/>
  <c r="H271" i="3"/>
  <c r="H316" i="3"/>
  <c r="H112" i="3"/>
  <c r="H169" i="3"/>
  <c r="H302" i="3"/>
  <c r="H326" i="3"/>
  <c r="H123" i="3"/>
  <c r="H361" i="3"/>
  <c r="H272" i="3"/>
  <c r="H152" i="3"/>
  <c r="H311" i="3"/>
  <c r="H346" i="3"/>
  <c r="H147" i="3"/>
  <c r="H350" i="3"/>
  <c r="H197" i="3"/>
  <c r="H219" i="3"/>
  <c r="H22" i="3"/>
  <c r="H93" i="3"/>
  <c r="H230" i="3"/>
  <c r="H60" i="3"/>
  <c r="H13" i="3"/>
  <c r="H188" i="3"/>
  <c r="H161" i="3"/>
  <c r="H369" i="3"/>
  <c r="H21" i="3"/>
  <c r="H239" i="3"/>
  <c r="H114" i="3"/>
  <c r="H130" i="3"/>
  <c r="H129" i="3"/>
  <c r="H67" i="3"/>
  <c r="H99" i="3"/>
  <c r="H39" i="3"/>
  <c r="H319" i="3"/>
  <c r="H42" i="3"/>
  <c r="H193" i="3"/>
  <c r="H341" i="3"/>
  <c r="H111" i="3"/>
  <c r="H264" i="3"/>
  <c r="H55" i="3"/>
  <c r="H180" i="3"/>
  <c r="A4" i="39"/>
  <c r="H29" i="3"/>
  <c r="H119" i="3"/>
  <c r="H170" i="3"/>
  <c r="H371" i="3"/>
  <c r="H335" i="3"/>
  <c r="H78" i="3"/>
  <c r="H222" i="3"/>
  <c r="H287" i="3"/>
  <c r="H270" i="3"/>
  <c r="H173" i="3"/>
  <c r="H269" i="3"/>
  <c r="H276" i="3"/>
  <c r="H359" i="3"/>
  <c r="H386" i="3"/>
  <c r="H382" i="3"/>
  <c r="H131" i="3"/>
  <c r="H213" i="3"/>
  <c r="H191" i="3"/>
  <c r="H150" i="3"/>
  <c r="H62" i="3"/>
  <c r="H85" i="3"/>
  <c r="H344" i="3"/>
  <c r="H133" i="3"/>
  <c r="H300" i="3"/>
  <c r="H208" i="3"/>
  <c r="H273" i="3"/>
  <c r="H79" i="3"/>
  <c r="H345" i="3"/>
  <c r="H33" i="3"/>
  <c r="H216" i="3"/>
  <c r="H88" i="3"/>
  <c r="H314" i="3"/>
  <c r="H155" i="3"/>
  <c r="H298" i="3"/>
  <c r="H388" i="3"/>
  <c r="H61" i="3"/>
  <c r="H296" i="3"/>
  <c r="H328" i="3"/>
  <c r="H34" i="3"/>
  <c r="H50" i="3"/>
  <c r="H282" i="3"/>
  <c r="H87" i="3"/>
  <c r="H46" i="3"/>
  <c r="H313" i="3"/>
  <c r="H330" i="3"/>
  <c r="H295" i="3"/>
  <c r="H47" i="3"/>
  <c r="H299" i="3"/>
  <c r="H63" i="3"/>
  <c r="H160" i="3"/>
  <c r="H183" i="3"/>
  <c r="H86" i="3"/>
  <c r="H103" i="3"/>
  <c r="H82" i="3"/>
  <c r="H45" i="3"/>
  <c r="H171" i="3"/>
  <c r="H184" i="3"/>
  <c r="H142" i="3"/>
  <c r="H156" i="3"/>
  <c r="H317" i="3"/>
  <c r="H256" i="3"/>
  <c r="H141" i="3"/>
  <c r="H279" i="3"/>
  <c r="H204" i="3"/>
  <c r="H44" i="3"/>
  <c r="H221" i="3"/>
  <c r="H343" i="3"/>
  <c r="H291" i="3"/>
  <c r="H134" i="3"/>
  <c r="H202" i="3"/>
  <c r="H166" i="3"/>
  <c r="H118" i="3"/>
  <c r="H323" i="3"/>
  <c r="H167" i="3"/>
  <c r="H329" i="3"/>
  <c r="H225" i="3"/>
  <c r="H338" i="3"/>
  <c r="H40" i="3"/>
  <c r="H41" i="3"/>
  <c r="H176" i="3"/>
  <c r="H57" i="3"/>
  <c r="H164" i="3"/>
  <c r="H127" i="3"/>
  <c r="H212" i="3"/>
  <c r="H36" i="3"/>
  <c r="H265" i="3"/>
  <c r="H236" i="3"/>
  <c r="H178" i="3"/>
  <c r="H248" i="3"/>
  <c r="H306" i="3"/>
  <c r="H30" i="3"/>
  <c r="H374" i="3"/>
  <c r="H32" i="3"/>
  <c r="H322" i="3"/>
  <c r="H65" i="3"/>
  <c r="H37" i="3"/>
  <c r="H120" i="3"/>
  <c r="H283" i="3"/>
  <c r="H175" i="3"/>
  <c r="H139" i="3"/>
  <c r="H144" i="3"/>
  <c r="H385" i="3"/>
  <c r="B23" i="16"/>
  <c r="B24" i="16" s="1"/>
  <c r="B50" i="16" s="1"/>
  <c r="B53" i="16" s="1"/>
  <c r="B22" i="16"/>
  <c r="K17" i="24"/>
  <c r="M14" i="24"/>
  <c r="M17" i="24"/>
  <c r="J14" i="24"/>
  <c r="L14" i="24"/>
  <c r="G127" i="3"/>
  <c r="B18" i="16"/>
  <c r="B36" i="16"/>
  <c r="B37" i="16" s="1"/>
  <c r="B48" i="16"/>
  <c r="B49" i="16" s="1"/>
  <c r="B52" i="16" s="1"/>
  <c r="E151" i="3"/>
  <c r="C25" i="6" l="1"/>
  <c r="F25" i="6" s="1"/>
  <c r="C34" i="6"/>
  <c r="F34" i="6" s="1"/>
  <c r="C27" i="6"/>
  <c r="F27" i="6" s="1"/>
  <c r="C30" i="6"/>
  <c r="F30" i="6" s="1"/>
  <c r="C21" i="6"/>
  <c r="F21" i="6" s="1"/>
  <c r="C35" i="6"/>
  <c r="F35" i="6" s="1"/>
  <c r="C19" i="6"/>
  <c r="F19" i="6" s="1"/>
  <c r="C24" i="6"/>
  <c r="F24" i="6" s="1"/>
  <c r="C33" i="6"/>
  <c r="F33" i="6" s="1"/>
  <c r="C29" i="6"/>
  <c r="F29" i="6" s="1"/>
  <c r="C17" i="6"/>
  <c r="F17" i="6" s="1"/>
  <c r="C32" i="6"/>
  <c r="F32" i="6" s="1"/>
  <c r="C23" i="6"/>
  <c r="F23" i="6" s="1"/>
  <c r="C22" i="6"/>
  <c r="F22" i="6" s="1"/>
  <c r="C18" i="6"/>
  <c r="F18" i="6" s="1"/>
  <c r="C31" i="6"/>
  <c r="F31" i="6" s="1"/>
  <c r="E163" i="3"/>
  <c r="G151" i="3"/>
  <c r="C22" i="44"/>
  <c r="C24" i="44" s="1"/>
  <c r="O49" i="24"/>
  <c r="O51" i="24" s="1"/>
  <c r="E93" i="3"/>
  <c r="G81" i="3"/>
  <c r="G79" i="3"/>
  <c r="G115" i="3"/>
  <c r="H217" i="3"/>
  <c r="H95" i="3"/>
  <c r="H66" i="3"/>
  <c r="H258" i="3"/>
  <c r="H227" i="3"/>
  <c r="H70" i="3"/>
  <c r="H190" i="3"/>
  <c r="H337" i="3"/>
  <c r="H280" i="3"/>
  <c r="H348" i="3"/>
  <c r="H122" i="3"/>
  <c r="H94" i="3"/>
  <c r="H35" i="3"/>
  <c r="H327" i="3"/>
  <c r="H48" i="3"/>
  <c r="H89" i="3"/>
  <c r="H232" i="3"/>
  <c r="H12" i="3"/>
  <c r="H11" i="3"/>
  <c r="H379" i="3"/>
  <c r="H201" i="3"/>
  <c r="H246" i="3"/>
  <c r="H138" i="3"/>
  <c r="H252" i="3"/>
  <c r="H132" i="3"/>
  <c r="G125" i="3"/>
  <c r="G50" i="3"/>
  <c r="E171" i="3"/>
  <c r="G159" i="3"/>
  <c r="G57" i="3"/>
  <c r="E86" i="3"/>
  <c r="G74" i="3"/>
  <c r="H370" i="3"/>
  <c r="H381" i="3"/>
  <c r="H23" i="3"/>
  <c r="H372" i="3"/>
  <c r="H261" i="3"/>
  <c r="H53" i="3"/>
  <c r="H267" i="3"/>
  <c r="H20" i="3"/>
  <c r="H31" i="3"/>
  <c r="H73" i="3"/>
  <c r="H257" i="3"/>
  <c r="H189" i="3"/>
  <c r="H110" i="3"/>
  <c r="H384" i="3"/>
  <c r="H159" i="3"/>
  <c r="H72" i="3"/>
  <c r="H38" i="3"/>
  <c r="H263" i="3"/>
  <c r="H301" i="3"/>
  <c r="H245" i="3"/>
  <c r="H234" i="3"/>
  <c r="H289" i="3"/>
  <c r="H339" i="3"/>
  <c r="H151" i="3"/>
  <c r="H56" i="3"/>
  <c r="G131" i="3"/>
  <c r="G95" i="3"/>
  <c r="E107" i="3"/>
  <c r="E119" i="3" s="1"/>
  <c r="E131" i="3" s="1"/>
  <c r="E143" i="3" s="1"/>
  <c r="E160" i="3"/>
  <c r="E172" i="3" s="1"/>
  <c r="E184" i="3" s="1"/>
  <c r="E196" i="3" s="1"/>
  <c r="E208" i="3" s="1"/>
  <c r="E220" i="3" s="1"/>
  <c r="G148" i="3"/>
  <c r="H179" i="3"/>
  <c r="H387" i="3"/>
  <c r="H389" i="3"/>
  <c r="H243" i="3"/>
  <c r="H235" i="3"/>
  <c r="H98" i="3"/>
  <c r="H238" i="3"/>
  <c r="H157" i="3"/>
  <c r="H390" i="3"/>
  <c r="H49" i="3"/>
  <c r="H148" i="3"/>
  <c r="H224" i="3"/>
  <c r="H290" i="3"/>
  <c r="H143" i="3"/>
  <c r="H206" i="3"/>
  <c r="H249" i="3"/>
  <c r="H241" i="3"/>
  <c r="H81" i="3"/>
  <c r="H207" i="3"/>
  <c r="H186" i="3"/>
  <c r="H198" i="3"/>
  <c r="H292" i="3"/>
  <c r="H90" i="3"/>
  <c r="H24" i="3"/>
  <c r="G66" i="3"/>
  <c r="G137" i="3"/>
  <c r="E58" i="3"/>
  <c r="E70" i="3" s="1"/>
  <c r="E82" i="3" s="1"/>
  <c r="E94" i="3" s="1"/>
  <c r="E106" i="3" s="1"/>
  <c r="G46" i="3"/>
  <c r="G101" i="3"/>
  <c r="E113" i="3"/>
  <c r="E125" i="3" s="1"/>
  <c r="E137" i="3" s="1"/>
  <c r="E149" i="3" s="1"/>
  <c r="E161" i="3" s="1"/>
  <c r="E173" i="3" s="1"/>
  <c r="G18" i="22"/>
  <c r="G161" i="3"/>
  <c r="G94" i="3"/>
  <c r="G91" i="3"/>
  <c r="G116" i="3"/>
  <c r="H153" i="3"/>
  <c r="H260" i="3"/>
  <c r="H145" i="3"/>
  <c r="H318" i="3"/>
  <c r="H303" i="3"/>
  <c r="H305" i="3"/>
  <c r="H294" i="3"/>
  <c r="H137" i="3"/>
  <c r="H358" i="3"/>
  <c r="H105" i="3"/>
  <c r="H77" i="3"/>
  <c r="H340" i="3"/>
  <c r="H251" i="3"/>
  <c r="H165" i="3"/>
  <c r="H304" i="3"/>
  <c r="H64" i="3"/>
  <c r="H244" i="3"/>
  <c r="H376" i="3"/>
  <c r="H75" i="3"/>
  <c r="H135" i="3"/>
  <c r="H353" i="3"/>
  <c r="H364" i="3"/>
  <c r="H332" i="3"/>
  <c r="G69" i="3"/>
  <c r="G147" i="3"/>
  <c r="E140" i="3"/>
  <c r="E152" i="3" s="1"/>
  <c r="E102" i="3"/>
  <c r="G90" i="3"/>
  <c r="G43" i="3"/>
  <c r="G135" i="3"/>
  <c r="E84" i="3"/>
  <c r="E96" i="3" s="1"/>
  <c r="E108" i="3" s="1"/>
  <c r="G72" i="3"/>
  <c r="H121" i="3"/>
  <c r="H17" i="3"/>
  <c r="H210" i="3"/>
  <c r="H192" i="3"/>
  <c r="H218" i="3"/>
  <c r="H100" i="3"/>
  <c r="H113" i="3"/>
  <c r="H187" i="3"/>
  <c r="H174" i="3"/>
  <c r="H104" i="3"/>
  <c r="H315" i="3"/>
  <c r="H27" i="3"/>
  <c r="H240" i="3"/>
  <c r="H254" i="3"/>
  <c r="H312" i="3"/>
  <c r="H76" i="3"/>
  <c r="H342" i="3"/>
  <c r="H115" i="3"/>
  <c r="H74" i="3"/>
  <c r="H168" i="3"/>
  <c r="H259" i="3"/>
  <c r="H383" i="3"/>
  <c r="H356" i="3"/>
  <c r="H380" i="3"/>
  <c r="H128" i="3"/>
  <c r="H275" i="3"/>
  <c r="H334" i="3"/>
  <c r="H215" i="3"/>
  <c r="H14" i="3"/>
  <c r="H307" i="3"/>
  <c r="H285" i="3"/>
  <c r="H154" i="3"/>
  <c r="H199" i="3"/>
  <c r="H233" i="3"/>
  <c r="H377" i="3"/>
  <c r="H16" i="3"/>
  <c r="H101" i="3"/>
  <c r="H25" i="3"/>
  <c r="H274" i="3"/>
  <c r="H310" i="3"/>
  <c r="H333" i="3"/>
  <c r="H126" i="3"/>
  <c r="H52" i="3"/>
  <c r="H102" i="3"/>
  <c r="H59" i="3"/>
  <c r="H182" i="3"/>
  <c r="H321" i="3"/>
  <c r="H108" i="3"/>
  <c r="H229" i="3"/>
  <c r="H200" i="3"/>
  <c r="H107" i="3"/>
  <c r="H19" i="3"/>
  <c r="H284" i="3"/>
  <c r="H9" i="3"/>
  <c r="H325" i="3"/>
  <c r="H205" i="3"/>
  <c r="H214" i="3"/>
  <c r="H324" i="3"/>
  <c r="H80" i="3"/>
  <c r="H26" i="3"/>
  <c r="H288" i="3"/>
  <c r="H366" i="3"/>
  <c r="H136" i="3"/>
  <c r="H91" i="3"/>
  <c r="H203" i="3"/>
  <c r="H309" i="3"/>
  <c r="H149" i="3"/>
  <c r="H349" i="3"/>
  <c r="H18" i="3"/>
  <c r="H58" i="3"/>
  <c r="H266" i="3"/>
  <c r="H163" i="3"/>
  <c r="H297" i="3"/>
  <c r="H367" i="3"/>
  <c r="H194" i="3"/>
  <c r="H368" i="3"/>
  <c r="H255" i="3"/>
  <c r="H281" i="3"/>
  <c r="H250" i="3"/>
  <c r="H331" i="3"/>
  <c r="H286" i="3"/>
  <c r="H211" i="3"/>
  <c r="H247" i="3"/>
  <c r="H117" i="3"/>
  <c r="H195" i="3"/>
  <c r="H351" i="3"/>
  <c r="H106" i="3"/>
  <c r="H278" i="3"/>
  <c r="H51" i="3"/>
  <c r="H43" i="3"/>
  <c r="G113" i="3"/>
  <c r="G140" i="3"/>
  <c r="E133" i="3"/>
  <c r="E145" i="3" s="1"/>
  <c r="G121" i="3"/>
  <c r="D34" i="6"/>
  <c r="E33" i="6"/>
  <c r="G34" i="6"/>
  <c r="E28" i="6"/>
  <c r="G29" i="6"/>
  <c r="D29" i="6"/>
  <c r="D23" i="6"/>
  <c r="G23" i="6"/>
  <c r="E22" i="6"/>
  <c r="H124" i="3"/>
  <c r="H262" i="3"/>
  <c r="H308" i="3"/>
  <c r="H54" i="3"/>
  <c r="H196" i="3"/>
  <c r="H223" i="3"/>
  <c r="H140" i="3"/>
  <c r="H181" i="3"/>
  <c r="H373" i="3"/>
  <c r="H68" i="3"/>
  <c r="H355" i="3"/>
  <c r="H92" i="3"/>
  <c r="H71" i="3"/>
  <c r="H320" i="3"/>
  <c r="H357" i="3"/>
  <c r="H28" i="3"/>
  <c r="H220" i="3"/>
  <c r="H253" i="3"/>
  <c r="H375" i="3"/>
  <c r="H237" i="3"/>
  <c r="H378" i="3"/>
  <c r="H146" i="3"/>
  <c r="H293" i="3"/>
  <c r="H109" i="3"/>
  <c r="H365" i="3"/>
  <c r="G149" i="3"/>
  <c r="A17" i="24"/>
  <c r="A18" i="24" s="1"/>
  <c r="E15" i="24" s="1"/>
  <c r="G36" i="3"/>
  <c r="L11" i="22"/>
  <c r="D10" i="24"/>
  <c r="B27" i="44"/>
  <c r="G119" i="3"/>
  <c r="D304" i="22"/>
  <c r="D22" i="22"/>
  <c r="D85" i="22"/>
  <c r="D188" i="22"/>
  <c r="D331" i="22"/>
  <c r="D276" i="22"/>
  <c r="D58" i="22"/>
  <c r="D114" i="22"/>
  <c r="D251" i="22"/>
  <c r="D29" i="22"/>
  <c r="D95" i="22"/>
  <c r="D165" i="22"/>
  <c r="D239" i="22"/>
  <c r="D208" i="22"/>
  <c r="D292" i="22"/>
  <c r="D390" i="22"/>
  <c r="D345" i="22"/>
  <c r="D151" i="22"/>
  <c r="D225" i="22"/>
  <c r="D312" i="22"/>
  <c r="D228" i="22"/>
  <c r="D295" i="22"/>
  <c r="D77" i="22"/>
  <c r="D170" i="22"/>
  <c r="D68" i="22"/>
  <c r="D142" i="22"/>
  <c r="D291" i="22"/>
  <c r="D49" i="22"/>
  <c r="D113" i="22"/>
  <c r="D350" i="22"/>
  <c r="D163" i="22"/>
  <c r="D232" i="22"/>
  <c r="D299" i="22"/>
  <c r="D361" i="22"/>
  <c r="D393" i="22"/>
  <c r="D26" i="22"/>
  <c r="D81" i="22"/>
  <c r="D219" i="22"/>
  <c r="D32" i="22"/>
  <c r="D115" i="22"/>
  <c r="D209" i="22"/>
  <c r="D356" i="22"/>
  <c r="D80" i="22"/>
  <c r="D178" i="22"/>
  <c r="D314" i="22"/>
  <c r="D78" i="22"/>
  <c r="D303" i="22"/>
  <c r="D63" i="22"/>
  <c r="D117" i="22"/>
  <c r="D185" i="22"/>
  <c r="D264" i="22"/>
  <c r="D352" i="22"/>
  <c r="D167" i="22"/>
  <c r="D227" i="22"/>
  <c r="D319" i="22"/>
  <c r="D242" i="22"/>
  <c r="D369" i="22"/>
  <c r="D399" i="22"/>
  <c r="D127" i="22"/>
  <c r="D217" i="22"/>
  <c r="D25" i="22"/>
  <c r="D98" i="22"/>
  <c r="D195" i="22"/>
  <c r="D90" i="22"/>
  <c r="D148" i="22"/>
  <c r="D65" i="22"/>
  <c r="D194" i="22"/>
  <c r="D278" i="22"/>
  <c r="D366" i="22"/>
  <c r="D175" i="22"/>
  <c r="D240" i="22"/>
  <c r="D328" i="22"/>
  <c r="D248" i="22"/>
  <c r="D307" i="22"/>
  <c r="D377" i="22"/>
  <c r="D37" i="22"/>
  <c r="D99" i="22"/>
  <c r="D229" i="22"/>
  <c r="D330" i="22"/>
  <c r="D47" i="22"/>
  <c r="D136" i="22"/>
  <c r="D245" i="22"/>
  <c r="D28" i="22"/>
  <c r="D346" i="22"/>
  <c r="D92" i="22"/>
  <c r="D160" i="22"/>
  <c r="D340" i="22"/>
  <c r="D69" i="22"/>
  <c r="D206" i="22"/>
  <c r="D287" i="22"/>
  <c r="D252" i="22"/>
  <c r="D342" i="22"/>
  <c r="D313" i="22"/>
  <c r="D45" i="6"/>
  <c r="B12" i="6" l="1"/>
  <c r="A30" i="8" s="1"/>
  <c r="G5" i="6"/>
  <c r="G7" i="6" s="1"/>
  <c r="G9" i="6" s="1"/>
  <c r="G11" i="6" s="1"/>
  <c r="G4" i="6"/>
  <c r="H17" i="6" s="1"/>
  <c r="D117" i="3"/>
  <c r="E157" i="3"/>
  <c r="E169" i="3" s="1"/>
  <c r="G145" i="3"/>
  <c r="D277" i="3"/>
  <c r="D219" i="3"/>
  <c r="D55" i="3"/>
  <c r="G55" i="3" s="1"/>
  <c r="D217" i="3"/>
  <c r="D346" i="3"/>
  <c r="D340" i="3"/>
  <c r="D141" i="3"/>
  <c r="D266" i="3"/>
  <c r="E120" i="3"/>
  <c r="G108" i="3"/>
  <c r="D138" i="3"/>
  <c r="D196" i="3"/>
  <c r="G196" i="3" s="1"/>
  <c r="D335" i="3"/>
  <c r="D80" i="3"/>
  <c r="G80" i="3" s="1"/>
  <c r="D105" i="3"/>
  <c r="D39" i="3"/>
  <c r="G39" i="3" s="1"/>
  <c r="D380" i="3"/>
  <c r="D178" i="3"/>
  <c r="A19" i="24"/>
  <c r="E16" i="24"/>
  <c r="G17" i="24" s="1"/>
  <c r="G16" i="24"/>
  <c r="E164" i="3"/>
  <c r="G152" i="3"/>
  <c r="E118" i="3"/>
  <c r="G106" i="3"/>
  <c r="G84" i="3"/>
  <c r="D103" i="3"/>
  <c r="G103" i="3" s="1"/>
  <c r="D330" i="3"/>
  <c r="D367" i="3"/>
  <c r="D185" i="3"/>
  <c r="G185" i="3" s="1"/>
  <c r="D254" i="3"/>
  <c r="D22" i="3"/>
  <c r="G22" i="3" s="1"/>
  <c r="D281" i="3"/>
  <c r="D282" i="3"/>
  <c r="D75" i="3"/>
  <c r="G75" i="3" s="1"/>
  <c r="G133" i="3"/>
  <c r="D89" i="3"/>
  <c r="G89" i="3" s="1"/>
  <c r="D321" i="3"/>
  <c r="D27" i="3"/>
  <c r="G27" i="3" s="1"/>
  <c r="D150" i="3"/>
  <c r="D297" i="3"/>
  <c r="D88" i="3"/>
  <c r="G88" i="3" s="1"/>
  <c r="D175" i="3"/>
  <c r="D209" i="3"/>
  <c r="D132" i="3"/>
  <c r="D198" i="3"/>
  <c r="D12" i="3"/>
  <c r="G12" i="3" s="1"/>
  <c r="G96" i="3"/>
  <c r="D157" i="3"/>
  <c r="G157" i="3" s="1"/>
  <c r="C15" i="44"/>
  <c r="D342" i="3"/>
  <c r="D82" i="3"/>
  <c r="G82" i="3" s="1"/>
  <c r="D238" i="3"/>
  <c r="D15" i="3"/>
  <c r="G15" i="3" s="1"/>
  <c r="D107" i="3"/>
  <c r="G107" i="3" s="1"/>
  <c r="D71" i="3"/>
  <c r="G71" i="3" s="1"/>
  <c r="D58" i="3"/>
  <c r="G58" i="3" s="1"/>
  <c r="D229" i="3"/>
  <c r="D294" i="3"/>
  <c r="E105" i="3"/>
  <c r="E117" i="3" s="1"/>
  <c r="E129" i="3" s="1"/>
  <c r="G93" i="3"/>
  <c r="D199" i="3"/>
  <c r="D59" i="3"/>
  <c r="G59" i="3" s="1"/>
  <c r="D336" i="3"/>
  <c r="D318" i="3"/>
  <c r="D207" i="3"/>
  <c r="D53" i="3"/>
  <c r="G53" i="3" s="1"/>
  <c r="D16" i="3"/>
  <c r="G16" i="3" s="1"/>
  <c r="D160" i="3"/>
  <c r="G160" i="3" s="1"/>
  <c r="D155" i="3"/>
  <c r="D85" i="3"/>
  <c r="G85" i="3" s="1"/>
  <c r="D230" i="3"/>
  <c r="D165" i="3"/>
  <c r="D68" i="3"/>
  <c r="G68" i="3" s="1"/>
  <c r="D351" i="3"/>
  <c r="D285" i="3"/>
  <c r="D19" i="3"/>
  <c r="G19" i="3" s="1"/>
  <c r="D293" i="3"/>
  <c r="D303" i="3"/>
  <c r="D126" i="3"/>
  <c r="D356" i="3"/>
  <c r="D359" i="3"/>
  <c r="D304" i="3"/>
  <c r="D289" i="3"/>
  <c r="D218" i="3"/>
  <c r="D241" i="3"/>
  <c r="E98" i="3"/>
  <c r="G86" i="3"/>
  <c r="E183" i="3"/>
  <c r="G171" i="3"/>
  <c r="D18" i="3"/>
  <c r="G18" i="3" s="1"/>
  <c r="D383" i="3"/>
  <c r="D235" i="3"/>
  <c r="D332" i="3"/>
  <c r="D37" i="3"/>
  <c r="G37" i="3" s="1"/>
  <c r="D268" i="3"/>
  <c r="D232" i="3"/>
  <c r="G232" i="3" s="1"/>
  <c r="D168" i="3"/>
  <c r="D222" i="3"/>
  <c r="D302" i="3"/>
  <c r="D104" i="3"/>
  <c r="G104" i="3" s="1"/>
  <c r="H18" i="22"/>
  <c r="I18" i="22"/>
  <c r="J18" i="22"/>
  <c r="L18" i="22" s="1"/>
  <c r="E232" i="3"/>
  <c r="E244" i="3" s="1"/>
  <c r="G220" i="3"/>
  <c r="G172" i="3"/>
  <c r="D67" i="3"/>
  <c r="G67" i="3" s="1"/>
  <c r="D389" i="3"/>
  <c r="D242" i="3"/>
  <c r="D320" i="3"/>
  <c r="D184" i="3"/>
  <c r="G184" i="3" s="1"/>
  <c r="D309" i="3"/>
  <c r="D70" i="3"/>
  <c r="G70" i="3" s="1"/>
  <c r="D153" i="3"/>
  <c r="D215" i="3"/>
  <c r="D48" i="3"/>
  <c r="G48" i="3" s="1"/>
  <c r="E114" i="3"/>
  <c r="G102" i="3"/>
  <c r="E185" i="3"/>
  <c r="E197" i="3" s="1"/>
  <c r="G173" i="3"/>
  <c r="E155" i="3"/>
  <c r="E167" i="3" s="1"/>
  <c r="G143" i="3"/>
  <c r="G208" i="3"/>
  <c r="E175" i="3"/>
  <c r="E187" i="3" s="1"/>
  <c r="G163" i="3"/>
  <c r="G6" i="6" l="1"/>
  <c r="I21" i="6" s="1"/>
  <c r="H21" i="6"/>
  <c r="H18" i="6"/>
  <c r="H20" i="6"/>
  <c r="H19" i="6"/>
  <c r="H22" i="6"/>
  <c r="H23" i="6" s="1"/>
  <c r="H24" i="6" s="1"/>
  <c r="H25" i="6" s="1"/>
  <c r="H26" i="6" s="1"/>
  <c r="H27" i="6" s="1"/>
  <c r="H28" i="6" s="1"/>
  <c r="H29" i="6" s="1"/>
  <c r="H30" i="6" s="1"/>
  <c r="H31" i="6" s="1"/>
  <c r="H32" i="6" s="1"/>
  <c r="H33" i="6" s="1"/>
  <c r="H34" i="6" s="1"/>
  <c r="H35" i="6" s="1"/>
  <c r="H36" i="6" s="1"/>
  <c r="G46" i="6" s="1"/>
  <c r="E209" i="3"/>
  <c r="E221" i="3" s="1"/>
  <c r="G197" i="3"/>
  <c r="I22" i="6"/>
  <c r="I23" i="6" s="1"/>
  <c r="I24" i="6" s="1"/>
  <c r="I25" i="6" s="1"/>
  <c r="I26" i="6" s="1"/>
  <c r="I27" i="6" s="1"/>
  <c r="I28" i="6" s="1"/>
  <c r="I29" i="6" s="1"/>
  <c r="I30" i="6" s="1"/>
  <c r="I31" i="6" s="1"/>
  <c r="I32" i="6" s="1"/>
  <c r="I33" i="6" s="1"/>
  <c r="I34" i="6" s="1"/>
  <c r="I35" i="6" s="1"/>
  <c r="I36" i="6" s="1"/>
  <c r="C16" i="44"/>
  <c r="G8" i="6"/>
  <c r="I20" i="6"/>
  <c r="G183" i="3"/>
  <c r="E195" i="3"/>
  <c r="G209" i="3"/>
  <c r="G187" i="3"/>
  <c r="E199" i="3"/>
  <c r="E211" i="3" s="1"/>
  <c r="E132" i="3"/>
  <c r="E144" i="3" s="1"/>
  <c r="G120" i="3"/>
  <c r="E126" i="3"/>
  <c r="E138" i="3" s="1"/>
  <c r="E150" i="3" s="1"/>
  <c r="E162" i="3" s="1"/>
  <c r="G114" i="3"/>
  <c r="E110" i="3"/>
  <c r="G98" i="3"/>
  <c r="G175" i="3"/>
  <c r="E256" i="3"/>
  <c r="G244" i="3"/>
  <c r="G199" i="3"/>
  <c r="E130" i="3"/>
  <c r="G118" i="3"/>
  <c r="G105" i="3"/>
  <c r="E179" i="3"/>
  <c r="G167" i="3"/>
  <c r="K18" i="22"/>
  <c r="E141" i="3"/>
  <c r="E153" i="3" s="1"/>
  <c r="E165" i="3" s="1"/>
  <c r="E177" i="3" s="1"/>
  <c r="G129" i="3"/>
  <c r="M18" i="22"/>
  <c r="G155" i="3"/>
  <c r="G138" i="3"/>
  <c r="E181" i="3"/>
  <c r="G169" i="3"/>
  <c r="E176" i="3"/>
  <c r="G164" i="3"/>
  <c r="E19" i="22"/>
  <c r="F19" i="22"/>
  <c r="G117" i="3"/>
  <c r="I17" i="6" l="1"/>
  <c r="J4" i="3"/>
  <c r="AJ23" i="39" s="1"/>
  <c r="I19" i="6"/>
  <c r="I4" i="3"/>
  <c r="I18" i="6"/>
  <c r="E189" i="3"/>
  <c r="G177" i="3"/>
  <c r="G19" i="22"/>
  <c r="G29" i="15"/>
  <c r="E174" i="3"/>
  <c r="G162" i="3"/>
  <c r="E207" i="3"/>
  <c r="G195" i="3"/>
  <c r="E268" i="3"/>
  <c r="G256" i="3"/>
  <c r="E191" i="3"/>
  <c r="G179" i="3"/>
  <c r="E142" i="3"/>
  <c r="G130" i="3"/>
  <c r="E122" i="3"/>
  <c r="G110" i="3"/>
  <c r="N18" i="22"/>
  <c r="O18" i="22" s="1"/>
  <c r="G141" i="3"/>
  <c r="G132" i="3"/>
  <c r="G150" i="3"/>
  <c r="G165" i="3"/>
  <c r="G153" i="3"/>
  <c r="E193" i="3"/>
  <c r="G181" i="3"/>
  <c r="E156" i="3"/>
  <c r="G144" i="3"/>
  <c r="G126" i="3"/>
  <c r="E223" i="3"/>
  <c r="G211" i="3"/>
  <c r="J23" i="39"/>
  <c r="Q23" i="39"/>
  <c r="H29" i="15"/>
  <c r="E188" i="3"/>
  <c r="G176" i="3"/>
  <c r="I29" i="15"/>
  <c r="G10" i="6"/>
  <c r="E233" i="3"/>
  <c r="G221" i="3"/>
  <c r="G7" i="24" l="1"/>
  <c r="O6" i="24"/>
  <c r="AG23" i="39"/>
  <c r="AE23" i="39"/>
  <c r="W23" i="39"/>
  <c r="M23" i="39"/>
  <c r="R23" i="39"/>
  <c r="AO23" i="39"/>
  <c r="AC23" i="39"/>
  <c r="AD23" i="39"/>
  <c r="H46" i="6"/>
  <c r="U23" i="39"/>
  <c r="P23" i="39"/>
  <c r="V23" i="39"/>
  <c r="L23" i="39"/>
  <c r="AF23" i="39"/>
  <c r="Z23" i="39"/>
  <c r="S23" i="39"/>
  <c r="K23" i="39"/>
  <c r="AI23" i="39"/>
  <c r="H5" i="24"/>
  <c r="Y23" i="39"/>
  <c r="I23" i="39"/>
  <c r="AM23" i="39"/>
  <c r="J45" i="24"/>
  <c r="J41" i="24" s="1"/>
  <c r="X23" i="39"/>
  <c r="G23" i="39"/>
  <c r="AH23" i="39"/>
  <c r="AN23" i="39"/>
  <c r="A5" i="39"/>
  <c r="N23" i="39"/>
  <c r="T23" i="39"/>
  <c r="AK23" i="39"/>
  <c r="AB23" i="39"/>
  <c r="O23" i="39"/>
  <c r="N7" i="3"/>
  <c r="O7" i="3" s="1"/>
  <c r="AL23" i="39"/>
  <c r="AA23" i="39"/>
  <c r="H23" i="39"/>
  <c r="E280" i="3"/>
  <c r="G268" i="3"/>
  <c r="E219" i="3"/>
  <c r="G207" i="3"/>
  <c r="C8" i="3"/>
  <c r="C9" i="39"/>
  <c r="E186" i="3"/>
  <c r="G174" i="3"/>
  <c r="E245" i="3"/>
  <c r="G233" i="3"/>
  <c r="E235" i="3"/>
  <c r="G223" i="3"/>
  <c r="E134" i="3"/>
  <c r="G122" i="3"/>
  <c r="E168" i="3"/>
  <c r="G156" i="3"/>
  <c r="G142" i="3"/>
  <c r="E154" i="3"/>
  <c r="J19" i="22"/>
  <c r="L19" i="22" s="1"/>
  <c r="H19" i="22"/>
  <c r="I19" i="22"/>
  <c r="G193" i="3"/>
  <c r="E205" i="3"/>
  <c r="E203" i="3"/>
  <c r="G191" i="3"/>
  <c r="E200" i="3"/>
  <c r="G188" i="3"/>
  <c r="E201" i="3"/>
  <c r="G189" i="3"/>
  <c r="J42" i="24" l="1"/>
  <c r="K42" i="24" s="1"/>
  <c r="L42" i="24" s="1"/>
  <c r="J43" i="24"/>
  <c r="M43" i="24" s="1"/>
  <c r="J44" i="24"/>
  <c r="M44" i="24" s="1"/>
  <c r="M45" i="24"/>
  <c r="J40" i="24"/>
  <c r="M40" i="24" s="1"/>
  <c r="K45" i="24"/>
  <c r="L45" i="24" s="1"/>
  <c r="P45" i="24" s="1"/>
  <c r="J8" i="24"/>
  <c r="J16" i="24"/>
  <c r="M41" i="24"/>
  <c r="K41" i="24"/>
  <c r="L41" i="24" s="1"/>
  <c r="E247" i="3"/>
  <c r="G235" i="3"/>
  <c r="E257" i="3"/>
  <c r="G245" i="3"/>
  <c r="E217" i="3"/>
  <c r="G205" i="3"/>
  <c r="N45" i="24"/>
  <c r="O45" i="24"/>
  <c r="F20" i="22"/>
  <c r="G20" i="22" s="1"/>
  <c r="E20" i="22"/>
  <c r="K44" i="24"/>
  <c r="L44" i="24" s="1"/>
  <c r="E198" i="3"/>
  <c r="G186" i="3"/>
  <c r="M42" i="24"/>
  <c r="K19" i="22"/>
  <c r="K40" i="24"/>
  <c r="L40" i="24" s="1"/>
  <c r="E215" i="3"/>
  <c r="G203" i="3"/>
  <c r="E166" i="3"/>
  <c r="G154" i="3"/>
  <c r="J8" i="3"/>
  <c r="K8" i="3" s="1"/>
  <c r="L8" i="3" s="1"/>
  <c r="R8" i="3" s="1"/>
  <c r="M19" i="22"/>
  <c r="N19" i="22" s="1"/>
  <c r="O19" i="22" s="1"/>
  <c r="E213" i="3"/>
  <c r="G201" i="3"/>
  <c r="E146" i="3"/>
  <c r="G134" i="3"/>
  <c r="E231" i="3"/>
  <c r="G219" i="3"/>
  <c r="E212" i="3"/>
  <c r="G200" i="3"/>
  <c r="E180" i="3"/>
  <c r="G168" i="3"/>
  <c r="E292" i="3"/>
  <c r="G280" i="3"/>
  <c r="K43" i="24" l="1"/>
  <c r="L43" i="24" s="1"/>
  <c r="J17" i="24"/>
  <c r="N15" i="24"/>
  <c r="J20" i="22"/>
  <c r="L20" i="22" s="1"/>
  <c r="E304" i="3"/>
  <c r="G292" i="3"/>
  <c r="E227" i="3"/>
  <c r="G215" i="3"/>
  <c r="E225" i="3"/>
  <c r="G213" i="3"/>
  <c r="E224" i="3"/>
  <c r="G212" i="3"/>
  <c r="O42" i="24"/>
  <c r="N42" i="24"/>
  <c r="P42" i="24" s="1"/>
  <c r="E229" i="3"/>
  <c r="G217" i="3"/>
  <c r="N40" i="24"/>
  <c r="O40" i="24"/>
  <c r="M8" i="3"/>
  <c r="P40" i="24"/>
  <c r="O43" i="24"/>
  <c r="N43" i="24"/>
  <c r="P43" i="24" s="1"/>
  <c r="E210" i="3"/>
  <c r="G198" i="3"/>
  <c r="E269" i="3"/>
  <c r="G257" i="3"/>
  <c r="C9" i="3"/>
  <c r="C10" i="39"/>
  <c r="E243" i="3"/>
  <c r="G231" i="3"/>
  <c r="E178" i="3"/>
  <c r="G166" i="3"/>
  <c r="O44" i="24"/>
  <c r="N44" i="24"/>
  <c r="P44" i="24" s="1"/>
  <c r="E259" i="3"/>
  <c r="G247" i="3"/>
  <c r="E192" i="3"/>
  <c r="G180" i="3"/>
  <c r="I20" i="22"/>
  <c r="E158" i="3"/>
  <c r="G146" i="3"/>
  <c r="H20" i="22"/>
  <c r="O41" i="24"/>
  <c r="N41" i="24"/>
  <c r="P41" i="24" s="1"/>
  <c r="E236" i="3" l="1"/>
  <c r="G224" i="3"/>
  <c r="E281" i="3"/>
  <c r="G269" i="3"/>
  <c r="E237" i="3"/>
  <c r="G225" i="3"/>
  <c r="A32" i="24"/>
  <c r="B39" i="24" s="1"/>
  <c r="N8" i="3"/>
  <c r="Q8" i="3"/>
  <c r="P8" i="3"/>
  <c r="AA8" i="3" s="1"/>
  <c r="E239" i="3"/>
  <c r="G227" i="3"/>
  <c r="G259" i="3"/>
  <c r="E271" i="3"/>
  <c r="E170" i="3"/>
  <c r="G158" i="3"/>
  <c r="E222" i="3"/>
  <c r="G210" i="3"/>
  <c r="E316" i="3"/>
  <c r="G304" i="3"/>
  <c r="E255" i="3"/>
  <c r="G243" i="3"/>
  <c r="E204" i="3"/>
  <c r="G192" i="3"/>
  <c r="E241" i="3"/>
  <c r="G229" i="3"/>
  <c r="K20" i="22"/>
  <c r="E21" i="22"/>
  <c r="F21" i="22"/>
  <c r="G21" i="22" s="1"/>
  <c r="H21" i="22" s="1"/>
  <c r="E190" i="3"/>
  <c r="G178" i="3"/>
  <c r="M20" i="22"/>
  <c r="F22" i="22" l="1"/>
  <c r="E22" i="22"/>
  <c r="G190" i="3"/>
  <c r="E202" i="3"/>
  <c r="J9" i="3"/>
  <c r="K9" i="3" s="1"/>
  <c r="X8" i="3"/>
  <c r="D9" i="39"/>
  <c r="V8" i="3"/>
  <c r="W8" i="3" s="1"/>
  <c r="O8" i="3"/>
  <c r="Y8" i="3"/>
  <c r="Z8" i="3"/>
  <c r="E328" i="3"/>
  <c r="G316" i="3"/>
  <c r="E249" i="3"/>
  <c r="G237" i="3"/>
  <c r="E216" i="3"/>
  <c r="G204" i="3"/>
  <c r="E251" i="3"/>
  <c r="G239" i="3"/>
  <c r="E234" i="3"/>
  <c r="G222" i="3"/>
  <c r="E253" i="3"/>
  <c r="G241" i="3"/>
  <c r="E182" i="3"/>
  <c r="G170" i="3"/>
  <c r="E293" i="3"/>
  <c r="G281" i="3"/>
  <c r="G255" i="3"/>
  <c r="E267" i="3"/>
  <c r="I21" i="22"/>
  <c r="N20" i="22"/>
  <c r="O20" i="22" s="1"/>
  <c r="G271" i="3"/>
  <c r="E283" i="3"/>
  <c r="K21" i="22"/>
  <c r="J21" i="22"/>
  <c r="L21" i="22" s="1"/>
  <c r="E248" i="3"/>
  <c r="G236" i="3"/>
  <c r="E246" i="3" l="1"/>
  <c r="G234" i="3"/>
  <c r="L9" i="3"/>
  <c r="C11" i="39"/>
  <c r="C10" i="3"/>
  <c r="E263" i="3"/>
  <c r="G251" i="3"/>
  <c r="E279" i="3"/>
  <c r="G267" i="3"/>
  <c r="E261" i="3"/>
  <c r="G249" i="3"/>
  <c r="G202" i="3"/>
  <c r="E214" i="3"/>
  <c r="E228" i="3"/>
  <c r="G216" i="3"/>
  <c r="E305" i="3"/>
  <c r="G293" i="3"/>
  <c r="E260" i="3"/>
  <c r="G248" i="3"/>
  <c r="E194" i="3"/>
  <c r="G182" i="3"/>
  <c r="E340" i="3"/>
  <c r="G328" i="3"/>
  <c r="M21" i="22"/>
  <c r="N21" i="22" s="1"/>
  <c r="O21" i="22" s="1"/>
  <c r="G253" i="3"/>
  <c r="E265" i="3"/>
  <c r="G283" i="3"/>
  <c r="E295" i="3"/>
  <c r="G22" i="22"/>
  <c r="E352" i="3" l="1"/>
  <c r="G340" i="3"/>
  <c r="G295" i="3"/>
  <c r="E307" i="3"/>
  <c r="E273" i="3"/>
  <c r="G261" i="3"/>
  <c r="E206" i="3"/>
  <c r="G194" i="3"/>
  <c r="G279" i="3"/>
  <c r="E291" i="3"/>
  <c r="C12" i="39"/>
  <c r="G10" i="39" s="1"/>
  <c r="C11" i="3"/>
  <c r="E240" i="3"/>
  <c r="G228" i="3"/>
  <c r="R9" i="3"/>
  <c r="M9" i="3"/>
  <c r="E272" i="3"/>
  <c r="G260" i="3"/>
  <c r="E317" i="3"/>
  <c r="G305" i="3"/>
  <c r="E226" i="3"/>
  <c r="G214" i="3"/>
  <c r="J22" i="22"/>
  <c r="L22" i="22" s="1"/>
  <c r="I22" i="22"/>
  <c r="H22" i="22"/>
  <c r="E275" i="3"/>
  <c r="G263" i="3"/>
  <c r="E277" i="3"/>
  <c r="G265" i="3"/>
  <c r="E258" i="3"/>
  <c r="G246" i="3"/>
  <c r="E270" i="3" l="1"/>
  <c r="G258" i="3"/>
  <c r="Q9" i="3"/>
  <c r="P9" i="3"/>
  <c r="AA9" i="3" s="1"/>
  <c r="N9" i="3"/>
  <c r="E329" i="3"/>
  <c r="G317" i="3"/>
  <c r="G206" i="3"/>
  <c r="E218" i="3"/>
  <c r="G272" i="3"/>
  <c r="E284" i="3"/>
  <c r="G275" i="3"/>
  <c r="E287" i="3"/>
  <c r="E285" i="3"/>
  <c r="G273" i="3"/>
  <c r="E289" i="3"/>
  <c r="G277" i="3"/>
  <c r="F23" i="22"/>
  <c r="E23" i="22"/>
  <c r="G307" i="3"/>
  <c r="E319" i="3"/>
  <c r="G226" i="3"/>
  <c r="E238" i="3"/>
  <c r="E252" i="3"/>
  <c r="G240" i="3"/>
  <c r="M22" i="22"/>
  <c r="E303" i="3"/>
  <c r="G291" i="3"/>
  <c r="K22" i="22"/>
  <c r="E364" i="3"/>
  <c r="G352" i="3"/>
  <c r="E331" i="3" l="1"/>
  <c r="G319" i="3"/>
  <c r="E230" i="3"/>
  <c r="G218" i="3"/>
  <c r="D10" i="39"/>
  <c r="J10" i="3"/>
  <c r="K10" i="3" s="1"/>
  <c r="X9" i="3"/>
  <c r="V9" i="3"/>
  <c r="W9" i="3" s="1"/>
  <c r="O9" i="3"/>
  <c r="E296" i="3"/>
  <c r="G284" i="3"/>
  <c r="E315" i="3"/>
  <c r="G303" i="3"/>
  <c r="N22" i="22"/>
  <c r="O22" i="22" s="1"/>
  <c r="E341" i="3"/>
  <c r="G329" i="3"/>
  <c r="Z9" i="3"/>
  <c r="Y9" i="3"/>
  <c r="E264" i="3"/>
  <c r="G252" i="3"/>
  <c r="E297" i="3"/>
  <c r="G285" i="3"/>
  <c r="G23" i="22"/>
  <c r="E301" i="3"/>
  <c r="G289" i="3"/>
  <c r="G364" i="3"/>
  <c r="E376" i="3"/>
  <c r="E250" i="3"/>
  <c r="G238" i="3"/>
  <c r="E299" i="3"/>
  <c r="G287" i="3"/>
  <c r="E282" i="3"/>
  <c r="G270" i="3"/>
  <c r="E309" i="3" l="1"/>
  <c r="G297" i="3"/>
  <c r="E294" i="3"/>
  <c r="G282" i="3"/>
  <c r="L10" i="3"/>
  <c r="G250" i="3"/>
  <c r="E262" i="3"/>
  <c r="E353" i="3"/>
  <c r="G341" i="3"/>
  <c r="C12" i="3"/>
  <c r="C13" i="39"/>
  <c r="G11" i="39" s="1"/>
  <c r="E242" i="3"/>
  <c r="G230" i="3"/>
  <c r="E388" i="3"/>
  <c r="G388" i="3" s="1"/>
  <c r="G376" i="3"/>
  <c r="E313" i="3"/>
  <c r="G301" i="3"/>
  <c r="E308" i="3"/>
  <c r="G296" i="3"/>
  <c r="G264" i="3"/>
  <c r="E276" i="3"/>
  <c r="G299" i="3"/>
  <c r="E311" i="3"/>
  <c r="J23" i="22"/>
  <c r="L23" i="22" s="1"/>
  <c r="I23" i="22"/>
  <c r="H23" i="22"/>
  <c r="G315" i="3"/>
  <c r="E327" i="3"/>
  <c r="G331" i="3"/>
  <c r="E343" i="3"/>
  <c r="G311" i="3" l="1"/>
  <c r="E323" i="3"/>
  <c r="E365" i="3"/>
  <c r="G353" i="3"/>
  <c r="R10" i="3"/>
  <c r="M10" i="3"/>
  <c r="E24" i="22"/>
  <c r="F24" i="22"/>
  <c r="G24" i="22" s="1"/>
  <c r="I24" i="22" s="1"/>
  <c r="E288" i="3"/>
  <c r="G276" i="3"/>
  <c r="G343" i="3"/>
  <c r="E355" i="3"/>
  <c r="E320" i="3"/>
  <c r="G308" i="3"/>
  <c r="E325" i="3"/>
  <c r="G313" i="3"/>
  <c r="E306" i="3"/>
  <c r="G294" i="3"/>
  <c r="M23" i="22"/>
  <c r="E274" i="3"/>
  <c r="G262" i="3"/>
  <c r="G327" i="3"/>
  <c r="E339" i="3"/>
  <c r="K23" i="22"/>
  <c r="E254" i="3"/>
  <c r="G242" i="3"/>
  <c r="E321" i="3"/>
  <c r="G309" i="3"/>
  <c r="E333" i="3" l="1"/>
  <c r="G321" i="3"/>
  <c r="P10" i="3"/>
  <c r="AA10" i="3" s="1"/>
  <c r="N10" i="3"/>
  <c r="Q10" i="3"/>
  <c r="G365" i="3"/>
  <c r="E377" i="3"/>
  <c r="E266" i="3"/>
  <c r="G254" i="3"/>
  <c r="E337" i="3"/>
  <c r="G325" i="3"/>
  <c r="E318" i="3"/>
  <c r="G306" i="3"/>
  <c r="J24" i="22"/>
  <c r="L24" i="22" s="1"/>
  <c r="K24" i="22"/>
  <c r="H24" i="22"/>
  <c r="E332" i="3"/>
  <c r="G320" i="3"/>
  <c r="N23" i="22"/>
  <c r="O23" i="22" s="1"/>
  <c r="E335" i="3"/>
  <c r="G323" i="3"/>
  <c r="E351" i="3"/>
  <c r="G339" i="3"/>
  <c r="E367" i="3"/>
  <c r="G355" i="3"/>
  <c r="E286" i="3"/>
  <c r="G274" i="3"/>
  <c r="E300" i="3"/>
  <c r="G288" i="3"/>
  <c r="E389" i="3" l="1"/>
  <c r="G389" i="3" s="1"/>
  <c r="G377" i="3"/>
  <c r="E379" i="3"/>
  <c r="G367" i="3"/>
  <c r="E278" i="3"/>
  <c r="G266" i="3"/>
  <c r="E344" i="3"/>
  <c r="G332" i="3"/>
  <c r="Z10" i="3"/>
  <c r="Y10" i="3"/>
  <c r="E330" i="3"/>
  <c r="G318" i="3"/>
  <c r="E312" i="3"/>
  <c r="G300" i="3"/>
  <c r="J11" i="3"/>
  <c r="K11" i="3" s="1"/>
  <c r="D11" i="39"/>
  <c r="G30" i="39" s="1"/>
  <c r="X10" i="3"/>
  <c r="V10" i="3"/>
  <c r="W10" i="3" s="1"/>
  <c r="O10" i="3"/>
  <c r="E363" i="3"/>
  <c r="G351" i="3"/>
  <c r="C14" i="39"/>
  <c r="G12" i="39" s="1"/>
  <c r="C13" i="3"/>
  <c r="M24" i="22"/>
  <c r="N24" i="22" s="1"/>
  <c r="O24" i="22" s="1"/>
  <c r="G337" i="3"/>
  <c r="E349" i="3"/>
  <c r="E347" i="3"/>
  <c r="G335" i="3"/>
  <c r="F25" i="22"/>
  <c r="G25" i="22" s="1"/>
  <c r="E25" i="22"/>
  <c r="G286" i="3"/>
  <c r="E298" i="3"/>
  <c r="E345" i="3"/>
  <c r="G333" i="3"/>
  <c r="E342" i="3" l="1"/>
  <c r="G330" i="3"/>
  <c r="J25" i="22"/>
  <c r="L25" i="22" s="1"/>
  <c r="E361" i="3"/>
  <c r="G349" i="3"/>
  <c r="E356" i="3"/>
  <c r="G344" i="3"/>
  <c r="C15" i="39"/>
  <c r="G13" i="39" s="1"/>
  <c r="C14" i="3"/>
  <c r="E290" i="3"/>
  <c r="G278" i="3"/>
  <c r="L11" i="3"/>
  <c r="G345" i="3"/>
  <c r="E357" i="3"/>
  <c r="E310" i="3"/>
  <c r="G298" i="3"/>
  <c r="E391" i="3"/>
  <c r="G391" i="3" s="1"/>
  <c r="G379" i="3"/>
  <c r="E324" i="3"/>
  <c r="G312" i="3"/>
  <c r="I25" i="22"/>
  <c r="E375" i="3"/>
  <c r="G363" i="3"/>
  <c r="E359" i="3"/>
  <c r="G347" i="3"/>
  <c r="H25" i="22"/>
  <c r="E322" i="3" l="1"/>
  <c r="G310" i="3"/>
  <c r="K25" i="22"/>
  <c r="E26" i="22"/>
  <c r="F26" i="22"/>
  <c r="G26" i="22" s="1"/>
  <c r="E371" i="3"/>
  <c r="G359" i="3"/>
  <c r="E336" i="3"/>
  <c r="G324" i="3"/>
  <c r="E368" i="3"/>
  <c r="G356" i="3"/>
  <c r="G361" i="3"/>
  <c r="E373" i="3"/>
  <c r="E369" i="3"/>
  <c r="G357" i="3"/>
  <c r="M25" i="22"/>
  <c r="N25" i="22" s="1"/>
  <c r="O25" i="22" s="1"/>
  <c r="R11" i="3"/>
  <c r="M11" i="3"/>
  <c r="G375" i="3"/>
  <c r="E387" i="3"/>
  <c r="G387" i="3" s="1"/>
  <c r="E302" i="3"/>
  <c r="G290" i="3"/>
  <c r="E354" i="3"/>
  <c r="G342" i="3"/>
  <c r="E383" i="3" l="1"/>
  <c r="G383" i="3" s="1"/>
  <c r="G371" i="3"/>
  <c r="J26" i="22"/>
  <c r="L26" i="22" s="1"/>
  <c r="E366" i="3"/>
  <c r="G354" i="3"/>
  <c r="E385" i="3"/>
  <c r="G385" i="3" s="1"/>
  <c r="G373" i="3"/>
  <c r="E314" i="3"/>
  <c r="G302" i="3"/>
  <c r="H26" i="22"/>
  <c r="E380" i="3"/>
  <c r="G380" i="3" s="1"/>
  <c r="G368" i="3"/>
  <c r="C15" i="3"/>
  <c r="C16" i="39"/>
  <c r="G14" i="39" s="1"/>
  <c r="I26" i="22"/>
  <c r="E381" i="3"/>
  <c r="G381" i="3" s="1"/>
  <c r="G369" i="3"/>
  <c r="G322" i="3"/>
  <c r="E334" i="3"/>
  <c r="Q11" i="3"/>
  <c r="N11" i="3"/>
  <c r="P11" i="3"/>
  <c r="AA11" i="3" s="1"/>
  <c r="E348" i="3"/>
  <c r="G336" i="3"/>
  <c r="G348" i="3" l="1"/>
  <c r="E360" i="3"/>
  <c r="X11" i="3"/>
  <c r="D12" i="39"/>
  <c r="G31" i="39" s="1"/>
  <c r="J12" i="3"/>
  <c r="K12" i="3" s="1"/>
  <c r="V11" i="3"/>
  <c r="W11" i="3" s="1"/>
  <c r="O11" i="3"/>
  <c r="E326" i="3"/>
  <c r="G314" i="3"/>
  <c r="E378" i="3"/>
  <c r="G366" i="3"/>
  <c r="M26" i="22"/>
  <c r="E27" i="22"/>
  <c r="F27" i="22"/>
  <c r="G27" i="22" s="1"/>
  <c r="H27" i="22" s="1"/>
  <c r="K26" i="22"/>
  <c r="Z11" i="3"/>
  <c r="Y11" i="3"/>
  <c r="E346" i="3"/>
  <c r="G334" i="3"/>
  <c r="E28" i="22" l="1"/>
  <c r="F28" i="22"/>
  <c r="G28" i="22" s="1"/>
  <c r="H28" i="22" s="1"/>
  <c r="L12" i="3"/>
  <c r="I27" i="22"/>
  <c r="E390" i="3"/>
  <c r="G390" i="3" s="1"/>
  <c r="G378" i="3"/>
  <c r="E338" i="3"/>
  <c r="G326" i="3"/>
  <c r="E358" i="3"/>
  <c r="G346" i="3"/>
  <c r="N26" i="22"/>
  <c r="O26" i="22" s="1"/>
  <c r="G360" i="3"/>
  <c r="E372" i="3"/>
  <c r="J27" i="22"/>
  <c r="L27" i="22" s="1"/>
  <c r="K27" i="22"/>
  <c r="F29" i="22" l="1"/>
  <c r="G29" i="22" s="1"/>
  <c r="E29" i="22"/>
  <c r="E350" i="3"/>
  <c r="G338" i="3"/>
  <c r="L28" i="22"/>
  <c r="M28" i="22" s="1"/>
  <c r="M27" i="22"/>
  <c r="N27" i="22" s="1"/>
  <c r="O27" i="22" s="1"/>
  <c r="I28" i="22"/>
  <c r="R12" i="3"/>
  <c r="M12" i="3"/>
  <c r="E384" i="3"/>
  <c r="G384" i="3" s="1"/>
  <c r="G372" i="3"/>
  <c r="J28" i="22"/>
  <c r="K28" i="22" s="1"/>
  <c r="G358" i="3"/>
  <c r="E370" i="3"/>
  <c r="C16" i="3"/>
  <c r="C17" i="39"/>
  <c r="G15" i="39" s="1"/>
  <c r="G24" i="39" s="1"/>
  <c r="N28" i="22" l="1"/>
  <c r="O28" i="22" s="1"/>
  <c r="C18" i="39"/>
  <c r="G16" i="39" s="1"/>
  <c r="C17" i="3"/>
  <c r="P12" i="3"/>
  <c r="AA12" i="3" s="1"/>
  <c r="N12" i="3"/>
  <c r="Q12" i="3"/>
  <c r="J29" i="22"/>
  <c r="L29" i="22" s="1"/>
  <c r="G370" i="3"/>
  <c r="E382" i="3"/>
  <c r="G382" i="3" s="1"/>
  <c r="G350" i="3"/>
  <c r="E362" i="3"/>
  <c r="I29" i="22"/>
  <c r="H29" i="22"/>
  <c r="M29" i="22" l="1"/>
  <c r="K29" i="22"/>
  <c r="J13" i="3"/>
  <c r="K13" i="3" s="1"/>
  <c r="X12" i="3"/>
  <c r="D13" i="39"/>
  <c r="G32" i="39" s="1"/>
  <c r="V12" i="3"/>
  <c r="W12" i="3" s="1"/>
  <c r="O12" i="3"/>
  <c r="F30" i="22"/>
  <c r="G30" i="22" s="1"/>
  <c r="I30" i="22" s="1"/>
  <c r="E30" i="22"/>
  <c r="Z12" i="3"/>
  <c r="Y12" i="3"/>
  <c r="E374" i="3"/>
  <c r="G362" i="3"/>
  <c r="C19" i="39"/>
  <c r="G17" i="39" s="1"/>
  <c r="C18" i="3"/>
  <c r="J30" i="22" l="1"/>
  <c r="L30" i="22" s="1"/>
  <c r="E386" i="3"/>
  <c r="G386" i="3" s="1"/>
  <c r="G374" i="3"/>
  <c r="N29" i="22"/>
  <c r="O29" i="22" s="1"/>
  <c r="L13" i="3"/>
  <c r="H30" i="22"/>
  <c r="F31" i="22" l="1"/>
  <c r="E31" i="22"/>
  <c r="R13" i="3"/>
  <c r="M13" i="3"/>
  <c r="M30" i="22"/>
  <c r="C20" i="39"/>
  <c r="G18" i="39" s="1"/>
  <c r="C19" i="3"/>
  <c r="K30" i="22"/>
  <c r="N30" i="22" l="1"/>
  <c r="O30" i="22" s="1"/>
  <c r="N13" i="3"/>
  <c r="Q13" i="3"/>
  <c r="P13" i="3"/>
  <c r="AA13" i="3" s="1"/>
  <c r="G31" i="22"/>
  <c r="C21" i="39" l="1"/>
  <c r="G19" i="39" s="1"/>
  <c r="C20" i="3"/>
  <c r="Z13" i="3"/>
  <c r="Y13" i="3"/>
  <c r="J31" i="22"/>
  <c r="L31" i="22" s="1"/>
  <c r="I31" i="22"/>
  <c r="H31" i="22"/>
  <c r="J14" i="3"/>
  <c r="K14" i="3" s="1"/>
  <c r="D14" i="39"/>
  <c r="G33" i="39" s="1"/>
  <c r="X13" i="3"/>
  <c r="V13" i="3"/>
  <c r="W13" i="3" s="1"/>
  <c r="O13" i="3"/>
  <c r="L14" i="3" l="1"/>
  <c r="R14" i="3" s="1"/>
  <c r="M31" i="22"/>
  <c r="E32" i="22"/>
  <c r="F32" i="22"/>
  <c r="G32" i="22" s="1"/>
  <c r="I32" i="22" s="1"/>
  <c r="K31" i="22"/>
  <c r="M14" i="3"/>
  <c r="N14" i="3" l="1"/>
  <c r="Q14" i="3"/>
  <c r="P14" i="3"/>
  <c r="AA14" i="3" s="1"/>
  <c r="J32" i="22"/>
  <c r="L32" i="22" s="1"/>
  <c r="H32" i="22"/>
  <c r="N31" i="22"/>
  <c r="O31" i="22" s="1"/>
  <c r="C21" i="3" l="1"/>
  <c r="C22" i="39"/>
  <c r="G20" i="39" s="1"/>
  <c r="K32" i="22"/>
  <c r="M32" i="22"/>
  <c r="N32" i="22" s="1"/>
  <c r="O32" i="22" s="1"/>
  <c r="E33" i="22"/>
  <c r="F33" i="22"/>
  <c r="G33" i="22" s="1"/>
  <c r="I33" i="22" s="1"/>
  <c r="Z14" i="3"/>
  <c r="Y14" i="3"/>
  <c r="X14" i="3"/>
  <c r="D15" i="39"/>
  <c r="G34" i="39" s="1"/>
  <c r="J15" i="3"/>
  <c r="K15" i="3" s="1"/>
  <c r="V14" i="3"/>
  <c r="W14" i="3" s="1"/>
  <c r="O14" i="3"/>
  <c r="H33" i="22" l="1"/>
  <c r="L15" i="3"/>
  <c r="J33" i="22"/>
  <c r="L33" i="22" s="1"/>
  <c r="C23" i="39"/>
  <c r="G21" i="39" s="1"/>
  <c r="C22" i="3"/>
  <c r="K33" i="22" l="1"/>
  <c r="G9" i="39"/>
  <c r="G25" i="39"/>
  <c r="G26" i="39" s="1"/>
  <c r="R15" i="3"/>
  <c r="M15" i="3"/>
  <c r="M33" i="22"/>
  <c r="N33" i="22" s="1"/>
  <c r="O33" i="22" s="1"/>
  <c r="F34" i="22"/>
  <c r="G34" i="22" s="1"/>
  <c r="E34" i="22"/>
  <c r="P15" i="3" l="1"/>
  <c r="AA15" i="3" s="1"/>
  <c r="N15" i="3"/>
  <c r="Q15" i="3"/>
  <c r="C24" i="39"/>
  <c r="H10" i="39" s="1"/>
  <c r="C23" i="3"/>
  <c r="J34" i="22"/>
  <c r="L34" i="22" s="1"/>
  <c r="I34" i="22"/>
  <c r="H34" i="22"/>
  <c r="M34" i="22" l="1"/>
  <c r="Y15" i="3"/>
  <c r="Z15" i="3"/>
  <c r="F35" i="22"/>
  <c r="G35" i="22" s="1"/>
  <c r="I35" i="22" s="1"/>
  <c r="E35" i="22"/>
  <c r="D16" i="39"/>
  <c r="G35" i="39" s="1"/>
  <c r="X15" i="3"/>
  <c r="J16" i="3"/>
  <c r="K16" i="3" s="1"/>
  <c r="V15" i="3"/>
  <c r="W15" i="3" s="1"/>
  <c r="O15" i="3"/>
  <c r="K34" i="22"/>
  <c r="H35" i="22" l="1"/>
  <c r="N34" i="22"/>
  <c r="O34" i="22" s="1"/>
  <c r="J35" i="22"/>
  <c r="L35" i="22" s="1"/>
  <c r="L16" i="3"/>
  <c r="R16" i="3" l="1"/>
  <c r="M16" i="3"/>
  <c r="K35" i="22"/>
  <c r="C25" i="39"/>
  <c r="H11" i="39" s="1"/>
  <c r="C24" i="3"/>
  <c r="M35" i="22"/>
  <c r="N35" i="22" s="1"/>
  <c r="O35" i="22" s="1"/>
  <c r="F36" i="22"/>
  <c r="G36" i="22" s="1"/>
  <c r="I36" i="22" s="1"/>
  <c r="E36" i="22"/>
  <c r="C25" i="3" l="1"/>
  <c r="C26" i="39"/>
  <c r="H12" i="39" s="1"/>
  <c r="J36" i="22"/>
  <c r="L36" i="22" s="1"/>
  <c r="K36" i="22"/>
  <c r="P16" i="3"/>
  <c r="AA16" i="3" s="1"/>
  <c r="N16" i="3"/>
  <c r="Q16" i="3"/>
  <c r="H36" i="22"/>
  <c r="F37" i="22" l="1"/>
  <c r="E37" i="22"/>
  <c r="X16" i="3"/>
  <c r="J17" i="3"/>
  <c r="K17" i="3" s="1"/>
  <c r="D17" i="39"/>
  <c r="G36" i="39" s="1"/>
  <c r="V16" i="3"/>
  <c r="W16" i="3" s="1"/>
  <c r="O16" i="3"/>
  <c r="Z16" i="3"/>
  <c r="Y16" i="3"/>
  <c r="M36" i="22"/>
  <c r="N36" i="22" s="1"/>
  <c r="O36" i="22" s="1"/>
  <c r="C26" i="3" l="1"/>
  <c r="C27" i="39"/>
  <c r="H13" i="39" s="1"/>
  <c r="L17" i="3"/>
  <c r="G37" i="22"/>
  <c r="J37" i="22" l="1"/>
  <c r="L37" i="22" s="1"/>
  <c r="H37" i="22"/>
  <c r="I37" i="22"/>
  <c r="R17" i="3"/>
  <c r="M17" i="3"/>
  <c r="P17" i="3" l="1"/>
  <c r="AA17" i="3" s="1"/>
  <c r="Q17" i="3"/>
  <c r="N17" i="3"/>
  <c r="F38" i="22"/>
  <c r="E38" i="22"/>
  <c r="M37" i="22"/>
  <c r="N37" i="22" s="1"/>
  <c r="O37" i="22" s="1"/>
  <c r="K37" i="22"/>
  <c r="D18" i="39" l="1"/>
  <c r="G37" i="39" s="1"/>
  <c r="J18" i="3"/>
  <c r="K18" i="3" s="1"/>
  <c r="X17" i="3"/>
  <c r="V17" i="3"/>
  <c r="W17" i="3" s="1"/>
  <c r="O17" i="3"/>
  <c r="G38" i="22"/>
  <c r="Z17" i="3"/>
  <c r="Y17" i="3"/>
  <c r="C27" i="3"/>
  <c r="C28" i="39"/>
  <c r="H14" i="39" s="1"/>
  <c r="J38" i="22" l="1"/>
  <c r="L38" i="22" s="1"/>
  <c r="I38" i="22"/>
  <c r="H38" i="22"/>
  <c r="L18" i="3"/>
  <c r="R18" i="3" l="1"/>
  <c r="M18" i="3"/>
  <c r="F39" i="22"/>
  <c r="E39" i="22"/>
  <c r="M38" i="22"/>
  <c r="N38" i="22" s="1"/>
  <c r="O38" i="22" s="1"/>
  <c r="K38" i="22"/>
  <c r="C29" i="39" l="1"/>
  <c r="H15" i="39" s="1"/>
  <c r="C28" i="3"/>
  <c r="G39" i="22"/>
  <c r="P18" i="3"/>
  <c r="AA18" i="3" s="1"/>
  <c r="Q18" i="3"/>
  <c r="N18" i="3"/>
  <c r="X18" i="3" l="1"/>
  <c r="D19" i="39"/>
  <c r="G38" i="39" s="1"/>
  <c r="J19" i="3"/>
  <c r="K19" i="3" s="1"/>
  <c r="V18" i="3"/>
  <c r="W18" i="3" s="1"/>
  <c r="O18" i="3"/>
  <c r="J39" i="22"/>
  <c r="L39" i="22" s="1"/>
  <c r="I39" i="22"/>
  <c r="H39" i="22"/>
  <c r="Z18" i="3"/>
  <c r="Y18" i="3"/>
  <c r="H24" i="39"/>
  <c r="E40" i="22" l="1"/>
  <c r="F40" i="22"/>
  <c r="G40" i="22" s="1"/>
  <c r="L19" i="3"/>
  <c r="K39" i="22"/>
  <c r="M39" i="22"/>
  <c r="N39" i="22" s="1"/>
  <c r="O39" i="22" s="1"/>
  <c r="R19" i="3" l="1"/>
  <c r="M19" i="3"/>
  <c r="C30" i="39"/>
  <c r="H16" i="39" s="1"/>
  <c r="C29" i="3"/>
  <c r="J40" i="22"/>
  <c r="L40" i="22" s="1"/>
  <c r="H40" i="22"/>
  <c r="I40" i="22"/>
  <c r="E41" i="22" l="1"/>
  <c r="F41" i="22"/>
  <c r="G41" i="22" s="1"/>
  <c r="Q19" i="3"/>
  <c r="N19" i="3"/>
  <c r="P19" i="3"/>
  <c r="AA19" i="3" s="1"/>
  <c r="M40" i="22"/>
  <c r="N40" i="22" s="1"/>
  <c r="O40" i="22" s="1"/>
  <c r="K40" i="22"/>
  <c r="C30" i="3" l="1"/>
  <c r="C31" i="39"/>
  <c r="H17" i="39" s="1"/>
  <c r="Z19" i="3"/>
  <c r="Y19" i="3"/>
  <c r="J41" i="22"/>
  <c r="L41" i="22" s="1"/>
  <c r="J20" i="3"/>
  <c r="K20" i="3" s="1"/>
  <c r="D20" i="39"/>
  <c r="G39" i="39" s="1"/>
  <c r="X19" i="3"/>
  <c r="V19" i="3"/>
  <c r="W19" i="3" s="1"/>
  <c r="O19" i="3"/>
  <c r="I41" i="22"/>
  <c r="H41" i="22"/>
  <c r="K41" i="22" l="1"/>
  <c r="M41" i="22"/>
  <c r="N41" i="22" s="1"/>
  <c r="O41" i="22" s="1"/>
  <c r="L20" i="3"/>
  <c r="F42" i="22"/>
  <c r="G42" i="22" s="1"/>
  <c r="I42" i="22" s="1"/>
  <c r="E42" i="22"/>
  <c r="J42" i="22" l="1"/>
  <c r="L42" i="22" s="1"/>
  <c r="K42" i="22"/>
  <c r="H42" i="22"/>
  <c r="R20" i="3"/>
  <c r="M20" i="3"/>
  <c r="C32" i="39"/>
  <c r="H18" i="39" s="1"/>
  <c r="C31" i="3"/>
  <c r="F43" i="22" l="1"/>
  <c r="E43" i="22"/>
  <c r="P20" i="3"/>
  <c r="AA20" i="3" s="1"/>
  <c r="N20" i="3"/>
  <c r="Q20" i="3"/>
  <c r="M42" i="22"/>
  <c r="N42" i="22" s="1"/>
  <c r="O42" i="22" s="1"/>
  <c r="C33" i="39" l="1"/>
  <c r="H19" i="39" s="1"/>
  <c r="C32" i="3"/>
  <c r="G43" i="22"/>
  <c r="J21" i="3"/>
  <c r="K21" i="3" s="1"/>
  <c r="D21" i="39"/>
  <c r="G40" i="39" s="1"/>
  <c r="X20" i="3"/>
  <c r="V20" i="3"/>
  <c r="W20" i="3" s="1"/>
  <c r="O20" i="3"/>
  <c r="Z20" i="3"/>
  <c r="Y20" i="3"/>
  <c r="L21" i="3" l="1"/>
  <c r="J43" i="22"/>
  <c r="L43" i="22" s="1"/>
  <c r="K43" i="22"/>
  <c r="I43" i="22"/>
  <c r="H43" i="22"/>
  <c r="E44" i="22" l="1"/>
  <c r="F44" i="22"/>
  <c r="G44" i="22" s="1"/>
  <c r="H44" i="22" s="1"/>
  <c r="M43" i="22"/>
  <c r="N43" i="22" s="1"/>
  <c r="O43" i="22" s="1"/>
  <c r="R21" i="3"/>
  <c r="M21" i="3"/>
  <c r="E45" i="22" l="1"/>
  <c r="F45" i="22"/>
  <c r="G45" i="22" s="1"/>
  <c r="C33" i="3"/>
  <c r="C34" i="39"/>
  <c r="H20" i="39" s="1"/>
  <c r="J44" i="22"/>
  <c r="L44" i="22" s="1"/>
  <c r="P21" i="3"/>
  <c r="AA21" i="3" s="1"/>
  <c r="N21" i="3"/>
  <c r="Q21" i="3"/>
  <c r="I44" i="22"/>
  <c r="Z21" i="3" l="1"/>
  <c r="Y21" i="3"/>
  <c r="M44" i="22"/>
  <c r="N44" i="22" s="1"/>
  <c r="O44" i="22" s="1"/>
  <c r="X21" i="3"/>
  <c r="D22" i="39"/>
  <c r="G41" i="39" s="1"/>
  <c r="J22" i="3"/>
  <c r="K22" i="3" s="1"/>
  <c r="V21" i="3"/>
  <c r="W21" i="3" s="1"/>
  <c r="O21" i="3"/>
  <c r="K44" i="22"/>
  <c r="J45" i="22"/>
  <c r="L45" i="22" s="1"/>
  <c r="H45" i="22"/>
  <c r="I45" i="22"/>
  <c r="L22" i="3" l="1"/>
  <c r="R22" i="3" s="1"/>
  <c r="M45" i="22"/>
  <c r="F46" i="22"/>
  <c r="G46" i="22" s="1"/>
  <c r="E46" i="22"/>
  <c r="C34" i="3"/>
  <c r="C35" i="39"/>
  <c r="H21" i="39" s="1"/>
  <c r="K45" i="22"/>
  <c r="M22" i="3"/>
  <c r="P22" i="3" l="1"/>
  <c r="AA22" i="3" s="1"/>
  <c r="N22" i="3"/>
  <c r="Q22" i="3"/>
  <c r="J46" i="22"/>
  <c r="L46" i="22" s="1"/>
  <c r="H9" i="39"/>
  <c r="H25" i="39"/>
  <c r="H26" i="39" s="1"/>
  <c r="I46" i="22"/>
  <c r="H46" i="22"/>
  <c r="N45" i="22"/>
  <c r="O45" i="22" s="1"/>
  <c r="C36" i="39" l="1"/>
  <c r="I10" i="39" s="1"/>
  <c r="C35" i="3"/>
  <c r="Z22" i="3"/>
  <c r="Y22" i="3"/>
  <c r="M46" i="22"/>
  <c r="N46" i="22" s="1"/>
  <c r="O46" i="22" s="1"/>
  <c r="X22" i="3"/>
  <c r="J23" i="3"/>
  <c r="K23" i="3" s="1"/>
  <c r="D23" i="39"/>
  <c r="V22" i="3"/>
  <c r="W22" i="3" s="1"/>
  <c r="O22" i="3"/>
  <c r="E47" i="22"/>
  <c r="F47" i="22"/>
  <c r="G47" i="22" s="1"/>
  <c r="I47" i="22" s="1"/>
  <c r="K46" i="22"/>
  <c r="L23" i="3" l="1"/>
  <c r="R23" i="3" s="1"/>
  <c r="G42" i="39"/>
  <c r="H30" i="39"/>
  <c r="C36" i="3"/>
  <c r="C37" i="39"/>
  <c r="I11" i="39" s="1"/>
  <c r="M23" i="3"/>
  <c r="H47" i="22"/>
  <c r="J47" i="22"/>
  <c r="L47" i="22" s="1"/>
  <c r="E48" i="22" l="1"/>
  <c r="F48" i="22"/>
  <c r="G48" i="22" s="1"/>
  <c r="H48" i="22" s="1"/>
  <c r="P23" i="3"/>
  <c r="AA23" i="3" s="1"/>
  <c r="Q23" i="3"/>
  <c r="N23" i="3"/>
  <c r="M47" i="22"/>
  <c r="N47" i="22" s="1"/>
  <c r="O47" i="22" s="1"/>
  <c r="K47" i="22"/>
  <c r="E49" i="22" l="1"/>
  <c r="F49" i="22"/>
  <c r="G49" i="22" s="1"/>
  <c r="Z23" i="3"/>
  <c r="Y23" i="3"/>
  <c r="J24" i="3"/>
  <c r="K24" i="3" s="1"/>
  <c r="D24" i="39"/>
  <c r="H31" i="39" s="1"/>
  <c r="X23" i="3"/>
  <c r="V23" i="3"/>
  <c r="W23" i="3" s="1"/>
  <c r="O23" i="3"/>
  <c r="C37" i="3"/>
  <c r="C38" i="39"/>
  <c r="I12" i="39" s="1"/>
  <c r="J48" i="22"/>
  <c r="L48" i="22" s="1"/>
  <c r="K48" i="22"/>
  <c r="I48" i="22"/>
  <c r="L24" i="3" l="1"/>
  <c r="R24" i="3" s="1"/>
  <c r="J49" i="22"/>
  <c r="K49" i="22"/>
  <c r="H49" i="22"/>
  <c r="M24" i="3"/>
  <c r="L49" i="22"/>
  <c r="M48" i="22"/>
  <c r="N48" i="22" s="1"/>
  <c r="O48" i="22" s="1"/>
  <c r="I49" i="22"/>
  <c r="P24" i="3" l="1"/>
  <c r="AA24" i="3" s="1"/>
  <c r="Q24" i="3"/>
  <c r="N24" i="3"/>
  <c r="C39" i="39"/>
  <c r="I13" i="39" s="1"/>
  <c r="C38" i="3"/>
  <c r="F50" i="22"/>
  <c r="G50" i="22" s="1"/>
  <c r="I50" i="22" s="1"/>
  <c r="E50" i="22"/>
  <c r="M49" i="22"/>
  <c r="N49" i="22" s="1"/>
  <c r="O49" i="22" s="1"/>
  <c r="H50" i="22" l="1"/>
  <c r="C40" i="39"/>
  <c r="I14" i="39" s="1"/>
  <c r="C39" i="3"/>
  <c r="D25" i="39"/>
  <c r="H32" i="39" s="1"/>
  <c r="J25" i="3"/>
  <c r="K25" i="3" s="1"/>
  <c r="X24" i="3"/>
  <c r="V24" i="3"/>
  <c r="W24" i="3" s="1"/>
  <c r="O24" i="3"/>
  <c r="Z24" i="3"/>
  <c r="Y24" i="3"/>
  <c r="J50" i="22"/>
  <c r="L50" i="22" s="1"/>
  <c r="K50" i="22"/>
  <c r="L25" i="3" l="1"/>
  <c r="R25" i="3" s="1"/>
  <c r="M50" i="22"/>
  <c r="N50" i="22" s="1"/>
  <c r="O50" i="22" s="1"/>
  <c r="M25" i="3"/>
  <c r="E51" i="22"/>
  <c r="F51" i="22"/>
  <c r="G51" i="22" s="1"/>
  <c r="I51" i="22" s="1"/>
  <c r="H51" i="22" l="1"/>
  <c r="C40" i="3"/>
  <c r="C41" i="39"/>
  <c r="I15" i="39" s="1"/>
  <c r="I24" i="39" s="1"/>
  <c r="J51" i="22"/>
  <c r="L51" i="22" s="1"/>
  <c r="Q25" i="3"/>
  <c r="P25" i="3"/>
  <c r="AA25" i="3" s="1"/>
  <c r="N25" i="3"/>
  <c r="X25" i="3" l="1"/>
  <c r="D26" i="39"/>
  <c r="H33" i="39" s="1"/>
  <c r="J26" i="3"/>
  <c r="K26" i="3" s="1"/>
  <c r="V25" i="3"/>
  <c r="W25" i="3" s="1"/>
  <c r="O25" i="3"/>
  <c r="Z25" i="3"/>
  <c r="Y25" i="3"/>
  <c r="K51" i="22"/>
  <c r="M51" i="22"/>
  <c r="F52" i="22"/>
  <c r="E52" i="22"/>
  <c r="L26" i="3" l="1"/>
  <c r="G52" i="22"/>
  <c r="N51" i="22"/>
  <c r="O51" i="22" s="1"/>
  <c r="J52" i="22" l="1"/>
  <c r="L52" i="22" s="1"/>
  <c r="H52" i="22"/>
  <c r="I52" i="22"/>
  <c r="C41" i="3"/>
  <c r="C42" i="39"/>
  <c r="I16" i="39" s="1"/>
  <c r="R26" i="3"/>
  <c r="M26" i="3"/>
  <c r="N26" i="3" l="1"/>
  <c r="P26" i="3"/>
  <c r="AA26" i="3" s="1"/>
  <c r="Q26" i="3"/>
  <c r="M52" i="22"/>
  <c r="N52" i="22" s="1"/>
  <c r="O52" i="22" s="1"/>
  <c r="F53" i="22"/>
  <c r="G53" i="22" s="1"/>
  <c r="E53" i="22"/>
  <c r="K52" i="22"/>
  <c r="J53" i="22" l="1"/>
  <c r="L53" i="22" s="1"/>
  <c r="C42" i="3"/>
  <c r="C43" i="39"/>
  <c r="I17" i="39" s="1"/>
  <c r="J27" i="3"/>
  <c r="K27" i="3" s="1"/>
  <c r="D27" i="39"/>
  <c r="H34" i="39" s="1"/>
  <c r="X26" i="3"/>
  <c r="V26" i="3"/>
  <c r="W26" i="3" s="1"/>
  <c r="O26" i="3"/>
  <c r="H53" i="22"/>
  <c r="I53" i="22"/>
  <c r="Z26" i="3"/>
  <c r="Y26" i="3"/>
  <c r="E54" i="22" l="1"/>
  <c r="F54" i="22"/>
  <c r="G54" i="22" s="1"/>
  <c r="L27" i="3"/>
  <c r="M53" i="22"/>
  <c r="K53" i="22"/>
  <c r="J54" i="22" l="1"/>
  <c r="L54" i="22" s="1"/>
  <c r="R27" i="3"/>
  <c r="M27" i="3"/>
  <c r="H54" i="22"/>
  <c r="I54" i="22"/>
  <c r="N53" i="22"/>
  <c r="O53" i="22" s="1"/>
  <c r="P27" i="3" l="1"/>
  <c r="AA27" i="3" s="1"/>
  <c r="Q27" i="3"/>
  <c r="N27" i="3"/>
  <c r="K54" i="22"/>
  <c r="C44" i="39"/>
  <c r="I18" i="39" s="1"/>
  <c r="C43" i="3"/>
  <c r="F55" i="22"/>
  <c r="G55" i="22" s="1"/>
  <c r="E55" i="22"/>
  <c r="M54" i="22"/>
  <c r="N54" i="22" s="1"/>
  <c r="O54" i="22" s="1"/>
  <c r="J55" i="22" l="1"/>
  <c r="L55" i="22" s="1"/>
  <c r="K55" i="22"/>
  <c r="I55" i="22"/>
  <c r="H55" i="22"/>
  <c r="X27" i="3"/>
  <c r="D28" i="39"/>
  <c r="H35" i="39" s="1"/>
  <c r="J28" i="3"/>
  <c r="K28" i="3" s="1"/>
  <c r="V27" i="3"/>
  <c r="W27" i="3" s="1"/>
  <c r="O27" i="3"/>
  <c r="Z27" i="3"/>
  <c r="Y27" i="3"/>
  <c r="C44" i="3"/>
  <c r="C45" i="39"/>
  <c r="I19" i="39" s="1"/>
  <c r="E56" i="22" l="1"/>
  <c r="F56" i="22"/>
  <c r="G56" i="22" s="1"/>
  <c r="H56" i="22" s="1"/>
  <c r="L28" i="3"/>
  <c r="M55" i="22"/>
  <c r="N55" i="22" s="1"/>
  <c r="O55" i="22" s="1"/>
  <c r="F57" i="22" l="1"/>
  <c r="G57" i="22" s="1"/>
  <c r="I57" i="22" s="1"/>
  <c r="E57" i="22"/>
  <c r="C46" i="39"/>
  <c r="I20" i="39" s="1"/>
  <c r="C45" i="3"/>
  <c r="I56" i="22"/>
  <c r="R28" i="3"/>
  <c r="M28" i="3"/>
  <c r="J56" i="22"/>
  <c r="L56" i="22" s="1"/>
  <c r="M56" i="22" l="1"/>
  <c r="N28" i="3"/>
  <c r="P28" i="3"/>
  <c r="AA28" i="3" s="1"/>
  <c r="Q28" i="3"/>
  <c r="J57" i="22"/>
  <c r="L57" i="22" s="1"/>
  <c r="K56" i="22"/>
  <c r="H57" i="22"/>
  <c r="M57" i="22" l="1"/>
  <c r="F58" i="22"/>
  <c r="G58" i="22" s="1"/>
  <c r="E58" i="22"/>
  <c r="K57" i="22"/>
  <c r="Z28" i="3"/>
  <c r="Y28" i="3"/>
  <c r="N56" i="22"/>
  <c r="O56" i="22" s="1"/>
  <c r="J29" i="3"/>
  <c r="K29" i="3" s="1"/>
  <c r="D29" i="39"/>
  <c r="H36" i="39" s="1"/>
  <c r="X28" i="3"/>
  <c r="V28" i="3"/>
  <c r="W28" i="3" s="1"/>
  <c r="O28" i="3"/>
  <c r="L29" i="3" l="1"/>
  <c r="R29" i="3" s="1"/>
  <c r="J58" i="22"/>
  <c r="L58" i="22" s="1"/>
  <c r="H58" i="22"/>
  <c r="I58" i="22"/>
  <c r="C46" i="3"/>
  <c r="C47" i="39"/>
  <c r="I21" i="39" s="1"/>
  <c r="N57" i="22"/>
  <c r="O57" i="22" s="1"/>
  <c r="M29" i="3"/>
  <c r="I9" i="39" l="1"/>
  <c r="I25" i="39"/>
  <c r="I26" i="39" s="1"/>
  <c r="C48" i="39"/>
  <c r="J10" i="39" s="1"/>
  <c r="C47" i="3"/>
  <c r="P29" i="3"/>
  <c r="AA29" i="3" s="1"/>
  <c r="Q29" i="3"/>
  <c r="N29" i="3"/>
  <c r="M58" i="22"/>
  <c r="N58" i="22" s="1"/>
  <c r="O58" i="22" s="1"/>
  <c r="F59" i="22"/>
  <c r="E59" i="22"/>
  <c r="K58" i="22"/>
  <c r="C49" i="39" l="1"/>
  <c r="J11" i="39" s="1"/>
  <c r="C48" i="3"/>
  <c r="X29" i="3"/>
  <c r="J30" i="3"/>
  <c r="K30" i="3" s="1"/>
  <c r="D30" i="39"/>
  <c r="H37" i="39" s="1"/>
  <c r="V29" i="3"/>
  <c r="W29" i="3" s="1"/>
  <c r="O29" i="3"/>
  <c r="G59" i="22"/>
  <c r="Z29" i="3"/>
  <c r="Y29" i="3"/>
  <c r="J59" i="22" l="1"/>
  <c r="L59" i="22" s="1"/>
  <c r="I59" i="22"/>
  <c r="H59" i="22"/>
  <c r="L30" i="3"/>
  <c r="R30" i="3" l="1"/>
  <c r="M30" i="3"/>
  <c r="E60" i="22"/>
  <c r="F60" i="22"/>
  <c r="G60" i="22" s="1"/>
  <c r="M59" i="22"/>
  <c r="N59" i="22" s="1"/>
  <c r="O59" i="22" s="1"/>
  <c r="K59" i="22"/>
  <c r="J60" i="22" l="1"/>
  <c r="L60" i="22" s="1"/>
  <c r="K60" i="22"/>
  <c r="H60" i="22"/>
  <c r="P30" i="3"/>
  <c r="AA30" i="3" s="1"/>
  <c r="N30" i="3"/>
  <c r="Q30" i="3"/>
  <c r="C49" i="3"/>
  <c r="C50" i="39"/>
  <c r="J12" i="39" s="1"/>
  <c r="I60" i="22"/>
  <c r="Y30" i="3" l="1"/>
  <c r="Z30" i="3"/>
  <c r="F61" i="22"/>
  <c r="G61" i="22" s="1"/>
  <c r="H61" i="22" s="1"/>
  <c r="E61" i="22"/>
  <c r="X30" i="3"/>
  <c r="J31" i="3"/>
  <c r="K31" i="3" s="1"/>
  <c r="D31" i="39"/>
  <c r="H38" i="39" s="1"/>
  <c r="V30" i="3"/>
  <c r="W30" i="3" s="1"/>
  <c r="O30" i="3"/>
  <c r="M60" i="22"/>
  <c r="N60" i="22" s="1"/>
  <c r="O60" i="22" s="1"/>
  <c r="L31" i="3" l="1"/>
  <c r="R31" i="3" s="1"/>
  <c r="E62" i="22"/>
  <c r="F62" i="22"/>
  <c r="G62" i="22" s="1"/>
  <c r="M31" i="3"/>
  <c r="J61" i="22"/>
  <c r="L61" i="22" s="1"/>
  <c r="C50" i="3"/>
  <c r="C51" i="39"/>
  <c r="J13" i="39" s="1"/>
  <c r="I61" i="22"/>
  <c r="M61" i="22" l="1"/>
  <c r="N61" i="22" s="1"/>
  <c r="O61" i="22" s="1"/>
  <c r="J62" i="22"/>
  <c r="L62" i="22" s="1"/>
  <c r="Q31" i="3"/>
  <c r="N31" i="3"/>
  <c r="P31" i="3"/>
  <c r="AA31" i="3" s="1"/>
  <c r="I62" i="22"/>
  <c r="K61" i="22"/>
  <c r="H62" i="22"/>
  <c r="M62" i="22" l="1"/>
  <c r="J32" i="3"/>
  <c r="K32" i="3" s="1"/>
  <c r="X31" i="3"/>
  <c r="D32" i="39"/>
  <c r="H39" i="39" s="1"/>
  <c r="V31" i="3"/>
  <c r="W31" i="3" s="1"/>
  <c r="O31" i="3"/>
  <c r="K62" i="22"/>
  <c r="Z31" i="3"/>
  <c r="Y31" i="3"/>
  <c r="F63" i="22"/>
  <c r="E63" i="22"/>
  <c r="C52" i="39"/>
  <c r="J14" i="39" s="1"/>
  <c r="C51" i="3"/>
  <c r="N62" i="22" l="1"/>
  <c r="O62" i="22" s="1"/>
  <c r="L32" i="3"/>
  <c r="G63" i="22"/>
  <c r="R32" i="3" l="1"/>
  <c r="M32" i="3"/>
  <c r="J63" i="22"/>
  <c r="L63" i="22" s="1"/>
  <c r="I63" i="22"/>
  <c r="H63" i="22"/>
  <c r="C52" i="3"/>
  <c r="C53" i="39"/>
  <c r="J15" i="39" s="1"/>
  <c r="J24" i="39" l="1"/>
  <c r="M63" i="22"/>
  <c r="N63" i="22" s="1"/>
  <c r="O63" i="22" s="1"/>
  <c r="E64" i="22"/>
  <c r="F64" i="22"/>
  <c r="G64" i="22" s="1"/>
  <c r="P32" i="3"/>
  <c r="AA32" i="3" s="1"/>
  <c r="N32" i="3"/>
  <c r="Q32" i="3"/>
  <c r="K63" i="22"/>
  <c r="J64" i="22" l="1"/>
  <c r="L64" i="22" s="1"/>
  <c r="K64" i="22"/>
  <c r="Y32" i="3"/>
  <c r="Z32" i="3"/>
  <c r="I64" i="22"/>
  <c r="C53" i="3"/>
  <c r="C54" i="39"/>
  <c r="J16" i="39" s="1"/>
  <c r="X32" i="3"/>
  <c r="J33" i="3"/>
  <c r="K33" i="3" s="1"/>
  <c r="D33" i="39"/>
  <c r="H40" i="39" s="1"/>
  <c r="V32" i="3"/>
  <c r="W32" i="3" s="1"/>
  <c r="O32" i="3"/>
  <c r="H64" i="22"/>
  <c r="L33" i="3" l="1"/>
  <c r="R33" i="3" s="1"/>
  <c r="M33" i="3"/>
  <c r="F65" i="22"/>
  <c r="E65" i="22"/>
  <c r="M64" i="22"/>
  <c r="N64" i="22" s="1"/>
  <c r="O64" i="22" s="1"/>
  <c r="C55" i="39" l="1"/>
  <c r="J17" i="39" s="1"/>
  <c r="C54" i="3"/>
  <c r="G65" i="22"/>
  <c r="P33" i="3"/>
  <c r="AA33" i="3" s="1"/>
  <c r="N33" i="3"/>
  <c r="Q33" i="3"/>
  <c r="Z33" i="3" l="1"/>
  <c r="Y33" i="3"/>
  <c r="J65" i="22"/>
  <c r="L65" i="22" s="1"/>
  <c r="K65" i="22"/>
  <c r="H65" i="22"/>
  <c r="I65" i="22"/>
  <c r="J34" i="3"/>
  <c r="K34" i="3" s="1"/>
  <c r="X33" i="3"/>
  <c r="D34" i="39"/>
  <c r="H41" i="39" s="1"/>
  <c r="V33" i="3"/>
  <c r="W33" i="3" s="1"/>
  <c r="O33" i="3"/>
  <c r="F66" i="22" l="1"/>
  <c r="E66" i="22"/>
  <c r="L34" i="3"/>
  <c r="M65" i="22"/>
  <c r="N65" i="22" s="1"/>
  <c r="O65" i="22" s="1"/>
  <c r="C55" i="3" l="1"/>
  <c r="C56" i="39"/>
  <c r="J18" i="39" s="1"/>
  <c r="R34" i="3"/>
  <c r="M34" i="3"/>
  <c r="G66" i="22"/>
  <c r="J66" i="22" l="1"/>
  <c r="L66" i="22" s="1"/>
  <c r="H66" i="22"/>
  <c r="I66" i="22"/>
  <c r="P34" i="3"/>
  <c r="AA34" i="3" s="1"/>
  <c r="N34" i="3"/>
  <c r="Q34" i="3"/>
  <c r="J35" i="3" l="1"/>
  <c r="K35" i="3" s="1"/>
  <c r="D35" i="39"/>
  <c r="X34" i="3"/>
  <c r="V34" i="3"/>
  <c r="W34" i="3" s="1"/>
  <c r="O34" i="3"/>
  <c r="Z34" i="3"/>
  <c r="Y34" i="3"/>
  <c r="M66" i="22"/>
  <c r="N66" i="22" s="1"/>
  <c r="O66" i="22" s="1"/>
  <c r="F67" i="22"/>
  <c r="E67" i="22"/>
  <c r="K66" i="22"/>
  <c r="C56" i="3" l="1"/>
  <c r="C57" i="39"/>
  <c r="J19" i="39" s="1"/>
  <c r="H42" i="39"/>
  <c r="I30" i="39"/>
  <c r="G67" i="22"/>
  <c r="L35" i="3"/>
  <c r="R35" i="3" l="1"/>
  <c r="M35" i="3"/>
  <c r="J67" i="22"/>
  <c r="L67" i="22" s="1"/>
  <c r="I67" i="22"/>
  <c r="H67" i="22"/>
  <c r="E68" i="22" l="1"/>
  <c r="F68" i="22"/>
  <c r="G68" i="22" s="1"/>
  <c r="H68" i="22" s="1"/>
  <c r="K67" i="22"/>
  <c r="N35" i="3"/>
  <c r="P35" i="3"/>
  <c r="AA35" i="3" s="1"/>
  <c r="Q35" i="3"/>
  <c r="M67" i="22"/>
  <c r="N67" i="22" s="1"/>
  <c r="O67" i="22" s="1"/>
  <c r="F69" i="22" l="1"/>
  <c r="E69" i="22"/>
  <c r="C57" i="3"/>
  <c r="C58" i="39"/>
  <c r="J20" i="39" s="1"/>
  <c r="Z35" i="3"/>
  <c r="Y35" i="3"/>
  <c r="X35" i="3"/>
  <c r="D36" i="39"/>
  <c r="I31" i="39" s="1"/>
  <c r="J36" i="3"/>
  <c r="K36" i="3" s="1"/>
  <c r="V35" i="3"/>
  <c r="W35" i="3" s="1"/>
  <c r="O35" i="3"/>
  <c r="J68" i="22"/>
  <c r="L68" i="22" s="1"/>
  <c r="I68" i="22"/>
  <c r="L36" i="3" l="1"/>
  <c r="R36" i="3" s="1"/>
  <c r="M36" i="3"/>
  <c r="M68" i="22"/>
  <c r="N68" i="22" s="1"/>
  <c r="O68" i="22" s="1"/>
  <c r="K68" i="22"/>
  <c r="G69" i="22"/>
  <c r="C59" i="39" l="1"/>
  <c r="J21" i="39" s="1"/>
  <c r="C58" i="3"/>
  <c r="J69" i="22"/>
  <c r="L69" i="22" s="1"/>
  <c r="I69" i="22"/>
  <c r="H69" i="22"/>
  <c r="N36" i="3"/>
  <c r="P36" i="3"/>
  <c r="AA36" i="3" s="1"/>
  <c r="Q36" i="3"/>
  <c r="Z36" i="3" l="1"/>
  <c r="Y36" i="3"/>
  <c r="X36" i="3"/>
  <c r="J37" i="3"/>
  <c r="K37" i="3" s="1"/>
  <c r="D37" i="39"/>
  <c r="I32" i="39" s="1"/>
  <c r="V36" i="3"/>
  <c r="W36" i="3" s="1"/>
  <c r="O36" i="3"/>
  <c r="E70" i="22"/>
  <c r="F70" i="22"/>
  <c r="G70" i="22" s="1"/>
  <c r="H70" i="22" s="1"/>
  <c r="M69" i="22"/>
  <c r="K69" i="22"/>
  <c r="J9" i="39"/>
  <c r="J25" i="39"/>
  <c r="J26" i="39" s="1"/>
  <c r="E71" i="22" l="1"/>
  <c r="F71" i="22"/>
  <c r="G71" i="22" s="1"/>
  <c r="I71" i="22" s="1"/>
  <c r="J70" i="22"/>
  <c r="L70" i="22" s="1"/>
  <c r="L37" i="3"/>
  <c r="I70" i="22"/>
  <c r="N69" i="22"/>
  <c r="O69" i="22" s="1"/>
  <c r="R37" i="3" l="1"/>
  <c r="M37" i="3"/>
  <c r="C59" i="3"/>
  <c r="C60" i="39"/>
  <c r="K10" i="39" s="1"/>
  <c r="J71" i="22"/>
  <c r="K71" i="22" s="1"/>
  <c r="M70" i="22"/>
  <c r="N70" i="22" s="1"/>
  <c r="O70" i="22" s="1"/>
  <c r="K70" i="22"/>
  <c r="H71" i="22"/>
  <c r="L71" i="22" l="1"/>
  <c r="C61" i="39"/>
  <c r="K11" i="39" s="1"/>
  <c r="C60" i="3"/>
  <c r="E72" i="22"/>
  <c r="F72" i="22"/>
  <c r="G72" i="22" s="1"/>
  <c r="I72" i="22" s="1"/>
  <c r="P37" i="3"/>
  <c r="AA37" i="3" s="1"/>
  <c r="N37" i="3"/>
  <c r="Q37" i="3"/>
  <c r="J38" i="3" l="1"/>
  <c r="K38" i="3" s="1"/>
  <c r="D38" i="39"/>
  <c r="I33" i="39" s="1"/>
  <c r="X37" i="3"/>
  <c r="V37" i="3"/>
  <c r="W37" i="3" s="1"/>
  <c r="O37" i="3"/>
  <c r="Z37" i="3"/>
  <c r="Y37" i="3"/>
  <c r="H72" i="22"/>
  <c r="J72" i="22"/>
  <c r="K72" i="22" s="1"/>
  <c r="M71" i="22"/>
  <c r="N71" i="22" s="1"/>
  <c r="O71" i="22" s="1"/>
  <c r="E73" i="22" l="1"/>
  <c r="F73" i="22"/>
  <c r="G73" i="22" s="1"/>
  <c r="I73" i="22" s="1"/>
  <c r="C62" i="39"/>
  <c r="K12" i="39" s="1"/>
  <c r="C61" i="3"/>
  <c r="L72" i="22"/>
  <c r="L38" i="3"/>
  <c r="M72" i="22" l="1"/>
  <c r="N72" i="22" s="1"/>
  <c r="O72" i="22" s="1"/>
  <c r="H73" i="22"/>
  <c r="R38" i="3"/>
  <c r="M38" i="3"/>
  <c r="J73" i="22"/>
  <c r="L73" i="22" s="1"/>
  <c r="M73" i="22" l="1"/>
  <c r="F74" i="22"/>
  <c r="E74" i="22"/>
  <c r="P38" i="3"/>
  <c r="AA38" i="3" s="1"/>
  <c r="Q38" i="3"/>
  <c r="N38" i="3"/>
  <c r="K73" i="22"/>
  <c r="C63" i="39"/>
  <c r="K13" i="39" s="1"/>
  <c r="C62" i="3"/>
  <c r="J39" i="3" l="1"/>
  <c r="K39" i="3" s="1"/>
  <c r="D39" i="39"/>
  <c r="I34" i="39" s="1"/>
  <c r="X38" i="3"/>
  <c r="V38" i="3"/>
  <c r="W38" i="3" s="1"/>
  <c r="O38" i="3"/>
  <c r="Z38" i="3"/>
  <c r="Y38" i="3"/>
  <c r="N73" i="22"/>
  <c r="O73" i="22" s="1"/>
  <c r="G74" i="22"/>
  <c r="C64" i="39" l="1"/>
  <c r="K14" i="39" s="1"/>
  <c r="C63" i="3"/>
  <c r="J74" i="22"/>
  <c r="L74" i="22" s="1"/>
  <c r="I74" i="22"/>
  <c r="H74" i="22"/>
  <c r="L39" i="3"/>
  <c r="E75" i="22" l="1"/>
  <c r="F75" i="22"/>
  <c r="G75" i="22" s="1"/>
  <c r="H75" i="22" s="1"/>
  <c r="M74" i="22"/>
  <c r="R39" i="3"/>
  <c r="M39" i="3"/>
  <c r="K74" i="22"/>
  <c r="F76" i="22" l="1"/>
  <c r="G76" i="22" s="1"/>
  <c r="I76" i="22"/>
  <c r="H76" i="22"/>
  <c r="E76" i="22"/>
  <c r="N74" i="22"/>
  <c r="O74" i="22" s="1"/>
  <c r="I75" i="22"/>
  <c r="Q39" i="3"/>
  <c r="P39" i="3"/>
  <c r="AA39" i="3" s="1"/>
  <c r="N39" i="3"/>
  <c r="J75" i="22"/>
  <c r="L75" i="22" s="1"/>
  <c r="J40" i="3" l="1"/>
  <c r="K40" i="3" s="1"/>
  <c r="D40" i="39"/>
  <c r="I35" i="39" s="1"/>
  <c r="X39" i="3"/>
  <c r="V39" i="3"/>
  <c r="W39" i="3" s="1"/>
  <c r="O39" i="3"/>
  <c r="M75" i="22"/>
  <c r="N75" i="22" s="1"/>
  <c r="O75" i="22" s="1"/>
  <c r="E77" i="22"/>
  <c r="F77" i="22"/>
  <c r="Y39" i="3"/>
  <c r="Z39" i="3"/>
  <c r="K75" i="22"/>
  <c r="C65" i="39"/>
  <c r="K15" i="39" s="1"/>
  <c r="K24" i="39" s="1"/>
  <c r="C64" i="3"/>
  <c r="J76" i="22"/>
  <c r="L76" i="22" s="1"/>
  <c r="M76" i="22" l="1"/>
  <c r="K76" i="22"/>
  <c r="L40" i="3"/>
  <c r="C65" i="3"/>
  <c r="C66" i="39"/>
  <c r="K16" i="39" s="1"/>
  <c r="G77" i="22"/>
  <c r="J77" i="22" l="1"/>
  <c r="L77" i="22" s="1"/>
  <c r="I77" i="22"/>
  <c r="H77" i="22"/>
  <c r="R40" i="3"/>
  <c r="M40" i="3"/>
  <c r="N76" i="22"/>
  <c r="O76" i="22" s="1"/>
  <c r="C66" i="3" l="1"/>
  <c r="C67" i="39"/>
  <c r="K17" i="39" s="1"/>
  <c r="P40" i="3"/>
  <c r="AA40" i="3" s="1"/>
  <c r="Q40" i="3"/>
  <c r="N40" i="3"/>
  <c r="E78" i="22"/>
  <c r="F78" i="22"/>
  <c r="G78" i="22" s="1"/>
  <c r="K77" i="22"/>
  <c r="M77" i="22"/>
  <c r="J78" i="22" l="1"/>
  <c r="L78" i="22" s="1"/>
  <c r="K78" i="22"/>
  <c r="J41" i="3"/>
  <c r="K41" i="3" s="1"/>
  <c r="X40" i="3"/>
  <c r="D41" i="39"/>
  <c r="I36" i="39" s="1"/>
  <c r="V40" i="3"/>
  <c r="W40" i="3" s="1"/>
  <c r="O40" i="3"/>
  <c r="H78" i="22"/>
  <c r="I78" i="22"/>
  <c r="Z40" i="3"/>
  <c r="Y40" i="3"/>
  <c r="N77" i="22"/>
  <c r="O77" i="22" s="1"/>
  <c r="E79" i="22" l="1"/>
  <c r="F79" i="22"/>
  <c r="G79" i="22" s="1"/>
  <c r="L41" i="3"/>
  <c r="C67" i="3"/>
  <c r="C68" i="39"/>
  <c r="K18" i="39" s="1"/>
  <c r="M78" i="22"/>
  <c r="N78" i="22" s="1"/>
  <c r="O78" i="22" s="1"/>
  <c r="C68" i="3" l="1"/>
  <c r="C69" i="39"/>
  <c r="K19" i="39" s="1"/>
  <c r="R41" i="3"/>
  <c r="M41" i="3"/>
  <c r="J79" i="22"/>
  <c r="L79" i="22" s="1"/>
  <c r="H79" i="22"/>
  <c r="I79" i="22"/>
  <c r="E80" i="22" l="1"/>
  <c r="F80" i="22"/>
  <c r="G80" i="22" s="1"/>
  <c r="K79" i="22"/>
  <c r="P41" i="3"/>
  <c r="AA41" i="3" s="1"/>
  <c r="N41" i="3"/>
  <c r="Q41" i="3"/>
  <c r="M79" i="22"/>
  <c r="N79" i="22" s="1"/>
  <c r="O79" i="22" s="1"/>
  <c r="X41" i="3" l="1"/>
  <c r="J42" i="3"/>
  <c r="K42" i="3" s="1"/>
  <c r="D42" i="39"/>
  <c r="I37" i="39" s="1"/>
  <c r="V41" i="3"/>
  <c r="W41" i="3" s="1"/>
  <c r="O41" i="3"/>
  <c r="Z41" i="3"/>
  <c r="Y41" i="3"/>
  <c r="C69" i="3"/>
  <c r="C70" i="39"/>
  <c r="K20" i="39" s="1"/>
  <c r="J80" i="22"/>
  <c r="L80" i="22" s="1"/>
  <c r="H80" i="22"/>
  <c r="I80" i="22"/>
  <c r="K80" i="22" l="1"/>
  <c r="M80" i="22"/>
  <c r="N80" i="22" s="1"/>
  <c r="O80" i="22" s="1"/>
  <c r="L42" i="3"/>
  <c r="F81" i="22"/>
  <c r="G81" i="22" s="1"/>
  <c r="I81" i="22" s="1"/>
  <c r="E81" i="22"/>
  <c r="H81" i="22" l="1"/>
  <c r="J81" i="22"/>
  <c r="L81" i="22" s="1"/>
  <c r="C70" i="3"/>
  <c r="C71" i="39"/>
  <c r="K21" i="39" s="1"/>
  <c r="R42" i="3"/>
  <c r="M42" i="3"/>
  <c r="K9" i="39" l="1"/>
  <c r="K25" i="39"/>
  <c r="K26" i="39" s="1"/>
  <c r="P42" i="3"/>
  <c r="AA42" i="3" s="1"/>
  <c r="N42" i="3"/>
  <c r="Q42" i="3"/>
  <c r="K81" i="22"/>
  <c r="M81" i="22"/>
  <c r="N81" i="22" s="1"/>
  <c r="O81" i="22" s="1"/>
  <c r="E82" i="22"/>
  <c r="F82" i="22"/>
  <c r="C71" i="3" l="1"/>
  <c r="C72" i="39"/>
  <c r="L10" i="39" s="1"/>
  <c r="J43" i="3"/>
  <c r="K43" i="3" s="1"/>
  <c r="D43" i="39"/>
  <c r="I38" i="39" s="1"/>
  <c r="X42" i="3"/>
  <c r="V42" i="3"/>
  <c r="W42" i="3" s="1"/>
  <c r="O42" i="3"/>
  <c r="G82" i="22"/>
  <c r="Z42" i="3"/>
  <c r="Y42" i="3"/>
  <c r="J82" i="22" l="1"/>
  <c r="L82" i="22" s="1"/>
  <c r="H82" i="22"/>
  <c r="I82" i="22"/>
  <c r="L43" i="3"/>
  <c r="R43" i="3" l="1"/>
  <c r="M43" i="3"/>
  <c r="E83" i="22"/>
  <c r="F83" i="22"/>
  <c r="G83" i="22" s="1"/>
  <c r="I83" i="22" s="1"/>
  <c r="K82" i="22"/>
  <c r="M82" i="22"/>
  <c r="N82" i="22" s="1"/>
  <c r="O82" i="22" s="1"/>
  <c r="C72" i="3" l="1"/>
  <c r="C73" i="39"/>
  <c r="L11" i="39" s="1"/>
  <c r="H83" i="22"/>
  <c r="Q43" i="3"/>
  <c r="N43" i="3"/>
  <c r="P43" i="3"/>
  <c r="AA43" i="3" s="1"/>
  <c r="J83" i="22"/>
  <c r="L83" i="22" s="1"/>
  <c r="Z43" i="3" l="1"/>
  <c r="Y43" i="3"/>
  <c r="X43" i="3"/>
  <c r="D44" i="39"/>
  <c r="I39" i="39" s="1"/>
  <c r="J44" i="3"/>
  <c r="K44" i="3" s="1"/>
  <c r="V43" i="3"/>
  <c r="W43" i="3" s="1"/>
  <c r="O43" i="3"/>
  <c r="M83" i="22"/>
  <c r="N83" i="22" s="1"/>
  <c r="O83" i="22" s="1"/>
  <c r="K83" i="22"/>
  <c r="F84" i="22"/>
  <c r="G84" i="22" s="1"/>
  <c r="I84" i="22" s="1"/>
  <c r="E84" i="22"/>
  <c r="L44" i="3" l="1"/>
  <c r="R44" i="3" s="1"/>
  <c r="H84" i="22"/>
  <c r="M44" i="3"/>
  <c r="J84" i="22"/>
  <c r="L84" i="22" s="1"/>
  <c r="K84" i="22"/>
  <c r="C73" i="3"/>
  <c r="C74" i="39"/>
  <c r="L12" i="39" s="1"/>
  <c r="N44" i="3" l="1"/>
  <c r="P44" i="3"/>
  <c r="AA44" i="3" s="1"/>
  <c r="Q44" i="3"/>
  <c r="M84" i="22"/>
  <c r="N84" i="22" s="1"/>
  <c r="O84" i="22" s="1"/>
  <c r="F85" i="22"/>
  <c r="G85" i="22" s="1"/>
  <c r="I85" i="22" s="1"/>
  <c r="E85" i="22"/>
  <c r="C74" i="3" l="1"/>
  <c r="C75" i="39"/>
  <c r="L13" i="39" s="1"/>
  <c r="Y44" i="3"/>
  <c r="Z44" i="3"/>
  <c r="J85" i="22"/>
  <c r="L85" i="22" s="1"/>
  <c r="X44" i="3"/>
  <c r="J45" i="3"/>
  <c r="K45" i="3" s="1"/>
  <c r="D45" i="39"/>
  <c r="I40" i="39" s="1"/>
  <c r="V44" i="3"/>
  <c r="W44" i="3" s="1"/>
  <c r="O44" i="3"/>
  <c r="H85" i="22"/>
  <c r="K85" i="22" l="1"/>
  <c r="L45" i="3"/>
  <c r="M85" i="22"/>
  <c r="N85" i="22" s="1"/>
  <c r="O85" i="22" s="1"/>
  <c r="E86" i="22"/>
  <c r="F86" i="22"/>
  <c r="G86" i="22" s="1"/>
  <c r="J86" i="22" l="1"/>
  <c r="L86" i="22" s="1"/>
  <c r="K86" i="22"/>
  <c r="I86" i="22"/>
  <c r="C76" i="39"/>
  <c r="L14" i="39" s="1"/>
  <c r="C75" i="3"/>
  <c r="H86" i="22"/>
  <c r="R45" i="3"/>
  <c r="M45" i="3"/>
  <c r="P45" i="3" l="1"/>
  <c r="AA45" i="3" s="1"/>
  <c r="N45" i="3"/>
  <c r="Q45" i="3"/>
  <c r="E87" i="22"/>
  <c r="F87" i="22"/>
  <c r="G87" i="22" s="1"/>
  <c r="H87" i="22" s="1"/>
  <c r="M86" i="22"/>
  <c r="N86" i="22" s="1"/>
  <c r="O86" i="22" s="1"/>
  <c r="F88" i="22" l="1"/>
  <c r="E88" i="22"/>
  <c r="Z45" i="3"/>
  <c r="Y45" i="3"/>
  <c r="J87" i="22"/>
  <c r="L87" i="22" s="1"/>
  <c r="I87" i="22"/>
  <c r="X45" i="3"/>
  <c r="J46" i="3"/>
  <c r="K46" i="3" s="1"/>
  <c r="D46" i="39"/>
  <c r="I41" i="39" s="1"/>
  <c r="V45" i="3"/>
  <c r="W45" i="3" s="1"/>
  <c r="O45" i="3"/>
  <c r="C76" i="3"/>
  <c r="C77" i="39"/>
  <c r="L15" i="39" s="1"/>
  <c r="L24" i="39" s="1"/>
  <c r="L46" i="3" l="1"/>
  <c r="R46" i="3" s="1"/>
  <c r="M46" i="3"/>
  <c r="K87" i="22"/>
  <c r="M87" i="22"/>
  <c r="N87" i="22" s="1"/>
  <c r="O87" i="22" s="1"/>
  <c r="G88" i="22"/>
  <c r="J88" i="22" l="1"/>
  <c r="L88" i="22" s="1"/>
  <c r="I88" i="22"/>
  <c r="H88" i="22"/>
  <c r="C77" i="3"/>
  <c r="C78" i="39"/>
  <c r="L16" i="39" s="1"/>
  <c r="Q46" i="3"/>
  <c r="N46" i="3"/>
  <c r="P46" i="3"/>
  <c r="AA46" i="3" s="1"/>
  <c r="Z46" i="3" l="1"/>
  <c r="Y46" i="3"/>
  <c r="F89" i="22"/>
  <c r="E89" i="22"/>
  <c r="J47" i="3"/>
  <c r="K47" i="3" s="1"/>
  <c r="D47" i="39"/>
  <c r="X46" i="3"/>
  <c r="V46" i="3"/>
  <c r="W46" i="3" s="1"/>
  <c r="O46" i="3"/>
  <c r="M88" i="22"/>
  <c r="K88" i="22"/>
  <c r="L47" i="3" l="1"/>
  <c r="R47" i="3" s="1"/>
  <c r="M47" i="3"/>
  <c r="G89" i="22"/>
  <c r="J30" i="39"/>
  <c r="I42" i="39"/>
  <c r="N88" i="22"/>
  <c r="O88" i="22" s="1"/>
  <c r="J89" i="22" l="1"/>
  <c r="L89" i="22" s="1"/>
  <c r="K89" i="22"/>
  <c r="H89" i="22"/>
  <c r="I89" i="22"/>
  <c r="C79" i="39"/>
  <c r="L17" i="39" s="1"/>
  <c r="C78" i="3"/>
  <c r="P47" i="3"/>
  <c r="AA47" i="3" s="1"/>
  <c r="Q47" i="3"/>
  <c r="N47" i="3"/>
  <c r="D48" i="39" l="1"/>
  <c r="J31" i="39" s="1"/>
  <c r="X47" i="3"/>
  <c r="J48" i="3"/>
  <c r="K48" i="3" s="1"/>
  <c r="V47" i="3"/>
  <c r="W47" i="3" s="1"/>
  <c r="O47" i="3"/>
  <c r="E90" i="22"/>
  <c r="F90" i="22"/>
  <c r="G90" i="22" s="1"/>
  <c r="H90" i="22" s="1"/>
  <c r="Z47" i="3"/>
  <c r="Y47" i="3"/>
  <c r="M89" i="22"/>
  <c r="N89" i="22" s="1"/>
  <c r="O89" i="22" s="1"/>
  <c r="F91" i="22" l="1"/>
  <c r="E91" i="22"/>
  <c r="I90" i="22"/>
  <c r="L48" i="3"/>
  <c r="C79" i="3"/>
  <c r="C80" i="39"/>
  <c r="L18" i="39" s="1"/>
  <c r="J90" i="22"/>
  <c r="L90" i="22" s="1"/>
  <c r="K90" i="22" l="1"/>
  <c r="R48" i="3"/>
  <c r="M48" i="3"/>
  <c r="M90" i="22"/>
  <c r="N90" i="22" s="1"/>
  <c r="O90" i="22" s="1"/>
  <c r="G91" i="22"/>
  <c r="J91" i="22" l="1"/>
  <c r="L91" i="22" s="1"/>
  <c r="K91" i="22"/>
  <c r="H91" i="22"/>
  <c r="I91" i="22"/>
  <c r="N48" i="3"/>
  <c r="P48" i="3"/>
  <c r="AA48" i="3" s="1"/>
  <c r="Q48" i="3"/>
  <c r="C81" i="39"/>
  <c r="L19" i="39" s="1"/>
  <c r="C80" i="3"/>
  <c r="F92" i="22" l="1"/>
  <c r="G92" i="22" s="1"/>
  <c r="E92" i="22"/>
  <c r="Z48" i="3"/>
  <c r="Y48" i="3"/>
  <c r="X48" i="3"/>
  <c r="D49" i="39"/>
  <c r="J32" i="39" s="1"/>
  <c r="J49" i="3"/>
  <c r="K49" i="3" s="1"/>
  <c r="V48" i="3"/>
  <c r="W48" i="3" s="1"/>
  <c r="O48" i="3"/>
  <c r="M91" i="22"/>
  <c r="N91" i="22" s="1"/>
  <c r="O91" i="22" s="1"/>
  <c r="L49" i="3" l="1"/>
  <c r="R49" i="3" s="1"/>
  <c r="C81" i="3"/>
  <c r="C82" i="39"/>
  <c r="L20" i="39" s="1"/>
  <c r="J92" i="22"/>
  <c r="L92" i="22" s="1"/>
  <c r="K92" i="22"/>
  <c r="H92" i="22"/>
  <c r="M49" i="3"/>
  <c r="I92" i="22"/>
  <c r="P49" i="3" l="1"/>
  <c r="AA49" i="3" s="1"/>
  <c r="Q49" i="3"/>
  <c r="N49" i="3"/>
  <c r="E93" i="22"/>
  <c r="F93" i="22"/>
  <c r="G93" i="22" s="1"/>
  <c r="H93" i="22" s="1"/>
  <c r="M92" i="22"/>
  <c r="N92" i="22" s="1"/>
  <c r="O92" i="22" s="1"/>
  <c r="E94" i="22" l="1"/>
  <c r="F94" i="22"/>
  <c r="G94" i="22" s="1"/>
  <c r="I94" i="22" s="1"/>
  <c r="H94" i="22"/>
  <c r="J93" i="22"/>
  <c r="L93" i="22" s="1"/>
  <c r="K93" i="22"/>
  <c r="D50" i="39"/>
  <c r="J33" i="39" s="1"/>
  <c r="J50" i="3"/>
  <c r="K50" i="3" s="1"/>
  <c r="X49" i="3"/>
  <c r="V49" i="3"/>
  <c r="W49" i="3" s="1"/>
  <c r="O49" i="3"/>
  <c r="I93" i="22"/>
  <c r="Z49" i="3"/>
  <c r="Y49" i="3"/>
  <c r="C82" i="3"/>
  <c r="C83" i="39"/>
  <c r="L21" i="39" s="1"/>
  <c r="M93" i="22" l="1"/>
  <c r="N93" i="22" s="1"/>
  <c r="O93" i="22" s="1"/>
  <c r="F95" i="22"/>
  <c r="E95" i="22"/>
  <c r="L50" i="3"/>
  <c r="J94" i="22"/>
  <c r="L94" i="22" s="1"/>
  <c r="L9" i="39"/>
  <c r="L25" i="39"/>
  <c r="L26" i="39" s="1"/>
  <c r="M94" i="22" l="1"/>
  <c r="R50" i="3"/>
  <c r="M50" i="3"/>
  <c r="C83" i="3"/>
  <c r="C84" i="39"/>
  <c r="M10" i="39" s="1"/>
  <c r="K94" i="22"/>
  <c r="G95" i="22"/>
  <c r="J95" i="22" l="1"/>
  <c r="L95" i="22" s="1"/>
  <c r="K95" i="22"/>
  <c r="H95" i="22"/>
  <c r="I95" i="22"/>
  <c r="P50" i="3"/>
  <c r="AA50" i="3" s="1"/>
  <c r="N50" i="3"/>
  <c r="Q50" i="3"/>
  <c r="N94" i="22"/>
  <c r="O94" i="22" s="1"/>
  <c r="X50" i="3" l="1"/>
  <c r="J51" i="3"/>
  <c r="K51" i="3" s="1"/>
  <c r="D51" i="39"/>
  <c r="J34" i="39" s="1"/>
  <c r="V50" i="3"/>
  <c r="W50" i="3" s="1"/>
  <c r="O50" i="3"/>
  <c r="C84" i="3"/>
  <c r="C85" i="39"/>
  <c r="M11" i="39" s="1"/>
  <c r="E96" i="22"/>
  <c r="F96" i="22"/>
  <c r="G96" i="22" s="1"/>
  <c r="Z50" i="3"/>
  <c r="Y50" i="3"/>
  <c r="M95" i="22"/>
  <c r="N95" i="22" s="1"/>
  <c r="O95" i="22" s="1"/>
  <c r="J96" i="22" l="1"/>
  <c r="L96" i="22" s="1"/>
  <c r="H96" i="22"/>
  <c r="C85" i="3"/>
  <c r="C86" i="39"/>
  <c r="M12" i="39" s="1"/>
  <c r="I96" i="22"/>
  <c r="L51" i="3"/>
  <c r="R51" i="3" l="1"/>
  <c r="M51" i="3"/>
  <c r="M96" i="22"/>
  <c r="F97" i="22"/>
  <c r="G97" i="22" s="1"/>
  <c r="H97" i="22" s="1"/>
  <c r="E97" i="22"/>
  <c r="K96" i="22"/>
  <c r="E98" i="22" l="1"/>
  <c r="F98" i="22"/>
  <c r="G98" i="22" s="1"/>
  <c r="I97" i="22"/>
  <c r="N96" i="22"/>
  <c r="O96" i="22" s="1"/>
  <c r="P51" i="3"/>
  <c r="AA51" i="3" s="1"/>
  <c r="N51" i="3"/>
  <c r="Q51" i="3"/>
  <c r="J97" i="22"/>
  <c r="L97" i="22" s="1"/>
  <c r="M97" i="22" l="1"/>
  <c r="Z51" i="3"/>
  <c r="Y51" i="3"/>
  <c r="C86" i="3"/>
  <c r="C87" i="39"/>
  <c r="M13" i="39" s="1"/>
  <c r="K97" i="22"/>
  <c r="J98" i="22"/>
  <c r="L98" i="22" s="1"/>
  <c r="H98" i="22"/>
  <c r="J52" i="3"/>
  <c r="K52" i="3" s="1"/>
  <c r="L52" i="3" s="1"/>
  <c r="R52" i="3" s="1"/>
  <c r="X51" i="3"/>
  <c r="D52" i="39"/>
  <c r="J35" i="39" s="1"/>
  <c r="V51" i="3"/>
  <c r="W51" i="3" s="1"/>
  <c r="O51" i="3"/>
  <c r="I98" i="22"/>
  <c r="M98" i="22" l="1"/>
  <c r="K98" i="22"/>
  <c r="F99" i="22"/>
  <c r="G99" i="22" s="1"/>
  <c r="I99" i="22" s="1"/>
  <c r="E99" i="22"/>
  <c r="M52" i="3"/>
  <c r="N97" i="22"/>
  <c r="O97" i="22" s="1"/>
  <c r="Q52" i="3" l="1"/>
  <c r="P52" i="3"/>
  <c r="AA52" i="3" s="1"/>
  <c r="N52" i="3"/>
  <c r="H99" i="22"/>
  <c r="C88" i="39"/>
  <c r="M14" i="39" s="1"/>
  <c r="C87" i="3"/>
  <c r="J99" i="22"/>
  <c r="L99" i="22" s="1"/>
  <c r="N98" i="22"/>
  <c r="O98" i="22" s="1"/>
  <c r="K99" i="22" l="1"/>
  <c r="M99" i="22"/>
  <c r="N99" i="22" s="1"/>
  <c r="O99" i="22" s="1"/>
  <c r="E100" i="22"/>
  <c r="F100" i="22"/>
  <c r="G100" i="22" s="1"/>
  <c r="C89" i="39"/>
  <c r="M15" i="39" s="1"/>
  <c r="M24" i="39" s="1"/>
  <c r="C88" i="3"/>
  <c r="X52" i="3"/>
  <c r="D53" i="39"/>
  <c r="J36" i="39" s="1"/>
  <c r="J53" i="3"/>
  <c r="K53" i="3" s="1"/>
  <c r="V52" i="3"/>
  <c r="W52" i="3" s="1"/>
  <c r="O52" i="3"/>
  <c r="Z52" i="3"/>
  <c r="Y52" i="3"/>
  <c r="J100" i="22" l="1"/>
  <c r="L100" i="22" s="1"/>
  <c r="L53" i="3"/>
  <c r="H100" i="22"/>
  <c r="I100" i="22"/>
  <c r="C89" i="3"/>
  <c r="C90" i="39"/>
  <c r="M16" i="39" s="1"/>
  <c r="R53" i="3" l="1"/>
  <c r="M53" i="3"/>
  <c r="F101" i="22"/>
  <c r="G101" i="22" s="1"/>
  <c r="I101" i="22" s="1"/>
  <c r="E101" i="22"/>
  <c r="K100" i="22"/>
  <c r="M100" i="22"/>
  <c r="N100" i="22" s="1"/>
  <c r="O100" i="22" s="1"/>
  <c r="C91" i="39" l="1"/>
  <c r="M17" i="39" s="1"/>
  <c r="C90" i="3"/>
  <c r="P53" i="3"/>
  <c r="AA53" i="3" s="1"/>
  <c r="N53" i="3"/>
  <c r="Q53" i="3"/>
  <c r="J101" i="22"/>
  <c r="L101" i="22" s="1"/>
  <c r="H101" i="22"/>
  <c r="F102" i="22" l="1"/>
  <c r="E102" i="22"/>
  <c r="M101" i="22"/>
  <c r="N101" i="22" s="1"/>
  <c r="O101" i="22" s="1"/>
  <c r="K101" i="22"/>
  <c r="J54" i="3"/>
  <c r="K54" i="3" s="1"/>
  <c r="X53" i="3"/>
  <c r="D54" i="39"/>
  <c r="J37" i="39" s="1"/>
  <c r="V53" i="3"/>
  <c r="W53" i="3" s="1"/>
  <c r="O53" i="3"/>
  <c r="Z53" i="3"/>
  <c r="Y53" i="3"/>
  <c r="L54" i="3" l="1"/>
  <c r="R54" i="3" s="1"/>
  <c r="C91" i="3"/>
  <c r="C92" i="39"/>
  <c r="M18" i="39" s="1"/>
  <c r="M54" i="3"/>
  <c r="G102" i="22"/>
  <c r="J102" i="22" l="1"/>
  <c r="L102" i="22" s="1"/>
  <c r="I102" i="22"/>
  <c r="H102" i="22"/>
  <c r="Q54" i="3"/>
  <c r="P54" i="3"/>
  <c r="AA54" i="3" s="1"/>
  <c r="N54" i="3"/>
  <c r="X54" i="3" l="1"/>
  <c r="D55" i="39"/>
  <c r="J38" i="39" s="1"/>
  <c r="J55" i="3"/>
  <c r="K55" i="3" s="1"/>
  <c r="V54" i="3"/>
  <c r="W54" i="3" s="1"/>
  <c r="O54" i="3"/>
  <c r="Z54" i="3"/>
  <c r="Y54" i="3"/>
  <c r="E103" i="22"/>
  <c r="F103" i="22"/>
  <c r="G103" i="22" s="1"/>
  <c r="M102" i="22"/>
  <c r="K102" i="22"/>
  <c r="J103" i="22" l="1"/>
  <c r="L103" i="22" s="1"/>
  <c r="K103" i="22"/>
  <c r="H103" i="22"/>
  <c r="L55" i="3"/>
  <c r="I103" i="22"/>
  <c r="N102" i="22"/>
  <c r="O102" i="22" s="1"/>
  <c r="C92" i="3" l="1"/>
  <c r="C93" i="39"/>
  <c r="M19" i="39" s="1"/>
  <c r="E104" i="22"/>
  <c r="F104" i="22"/>
  <c r="G104" i="22" s="1"/>
  <c r="I104" i="22" s="1"/>
  <c r="R55" i="3"/>
  <c r="M55" i="3"/>
  <c r="M103" i="22"/>
  <c r="N103" i="22" s="1"/>
  <c r="O103" i="22" s="1"/>
  <c r="C94" i="39" l="1"/>
  <c r="M20" i="39" s="1"/>
  <c r="C93" i="3"/>
  <c r="H104" i="22"/>
  <c r="J104" i="22"/>
  <c r="L104" i="22" s="1"/>
  <c r="N55" i="3"/>
  <c r="Q55" i="3"/>
  <c r="P55" i="3"/>
  <c r="AA55" i="3" s="1"/>
  <c r="X55" i="3" l="1"/>
  <c r="J56" i="3"/>
  <c r="K56" i="3" s="1"/>
  <c r="D56" i="39"/>
  <c r="J39" i="39" s="1"/>
  <c r="V55" i="3"/>
  <c r="W55" i="3" s="1"/>
  <c r="O55" i="3"/>
  <c r="Z55" i="3"/>
  <c r="Y55" i="3"/>
  <c r="K104" i="22"/>
  <c r="M104" i="22"/>
  <c r="N104" i="22" s="1"/>
  <c r="O104" i="22" s="1"/>
  <c r="F105" i="22"/>
  <c r="E105" i="22"/>
  <c r="C94" i="3" l="1"/>
  <c r="C95" i="39"/>
  <c r="M21" i="39" s="1"/>
  <c r="L56" i="3"/>
  <c r="G105" i="22"/>
  <c r="M9" i="39" l="1"/>
  <c r="M25" i="39"/>
  <c r="M26" i="39" s="1"/>
  <c r="J105" i="22"/>
  <c r="L105" i="22" s="1"/>
  <c r="I105" i="22"/>
  <c r="H105" i="22"/>
  <c r="R56" i="3"/>
  <c r="M56" i="3"/>
  <c r="M105" i="22" l="1"/>
  <c r="E106" i="22"/>
  <c r="F106" i="22"/>
  <c r="G106" i="22" s="1"/>
  <c r="K105" i="22"/>
  <c r="N56" i="3"/>
  <c r="P56" i="3"/>
  <c r="AA56" i="3" s="1"/>
  <c r="Q56" i="3"/>
  <c r="Z56" i="3" l="1"/>
  <c r="Y56" i="3"/>
  <c r="J106" i="22"/>
  <c r="L106" i="22" s="1"/>
  <c r="D57" i="39"/>
  <c r="J40" i="39" s="1"/>
  <c r="J57" i="3"/>
  <c r="K57" i="3" s="1"/>
  <c r="X56" i="3"/>
  <c r="V56" i="3"/>
  <c r="W56" i="3" s="1"/>
  <c r="O56" i="3"/>
  <c r="H106" i="22"/>
  <c r="I106" i="22"/>
  <c r="N105" i="22"/>
  <c r="O105" i="22" s="1"/>
  <c r="E107" i="22" l="1"/>
  <c r="F107" i="22"/>
  <c r="G107" i="22" s="1"/>
  <c r="M106" i="22"/>
  <c r="N106" i="22" s="1"/>
  <c r="O106" i="22" s="1"/>
  <c r="K106" i="22"/>
  <c r="L57" i="3"/>
  <c r="C95" i="3"/>
  <c r="C96" i="39"/>
  <c r="N10" i="39" s="1"/>
  <c r="C97" i="39" l="1"/>
  <c r="N11" i="39" s="1"/>
  <c r="C96" i="3"/>
  <c r="R57" i="3"/>
  <c r="M57" i="3"/>
  <c r="J107" i="22"/>
  <c r="L107" i="22" s="1"/>
  <c r="I107" i="22"/>
  <c r="H107" i="22"/>
  <c r="E108" i="22" l="1"/>
  <c r="F108" i="22"/>
  <c r="G108" i="22" s="1"/>
  <c r="M107" i="22"/>
  <c r="N107" i="22" s="1"/>
  <c r="O107" i="22" s="1"/>
  <c r="K107" i="22"/>
  <c r="Q57" i="3"/>
  <c r="N57" i="3"/>
  <c r="P57" i="3"/>
  <c r="AA57" i="3" s="1"/>
  <c r="Y57" i="3" l="1"/>
  <c r="Z57" i="3"/>
  <c r="X57" i="3"/>
  <c r="D58" i="39"/>
  <c r="J41" i="39" s="1"/>
  <c r="J58" i="3"/>
  <c r="K58" i="3" s="1"/>
  <c r="V57" i="3"/>
  <c r="W57" i="3" s="1"/>
  <c r="O57" i="3"/>
  <c r="J108" i="22"/>
  <c r="L108" i="22" s="1"/>
  <c r="I108" i="22"/>
  <c r="H108" i="22"/>
  <c r="C98" i="39"/>
  <c r="N12" i="39" s="1"/>
  <c r="C97" i="3"/>
  <c r="M108" i="22" l="1"/>
  <c r="L58" i="3"/>
  <c r="E109" i="22"/>
  <c r="F109" i="22"/>
  <c r="G109" i="22" s="1"/>
  <c r="K108" i="22"/>
  <c r="J109" i="22" l="1"/>
  <c r="L109" i="22" s="1"/>
  <c r="R58" i="3"/>
  <c r="M58" i="3"/>
  <c r="H109" i="22"/>
  <c r="I109" i="22"/>
  <c r="N108" i="22"/>
  <c r="O108" i="22" s="1"/>
  <c r="C99" i="39" l="1"/>
  <c r="N13" i="39" s="1"/>
  <c r="C98" i="3"/>
  <c r="F110" i="22"/>
  <c r="G110" i="22" s="1"/>
  <c r="E110" i="22"/>
  <c r="P58" i="3"/>
  <c r="AA58" i="3" s="1"/>
  <c r="Q58" i="3"/>
  <c r="N58" i="3"/>
  <c r="K109" i="22"/>
  <c r="M109" i="22"/>
  <c r="X58" i="3" l="1"/>
  <c r="J59" i="3"/>
  <c r="K59" i="3" s="1"/>
  <c r="D59" i="39"/>
  <c r="V58" i="3"/>
  <c r="W58" i="3" s="1"/>
  <c r="O58" i="3"/>
  <c r="Z58" i="3"/>
  <c r="Y58" i="3"/>
  <c r="J110" i="22"/>
  <c r="L110" i="22" s="1"/>
  <c r="I110" i="22"/>
  <c r="H110" i="22"/>
  <c r="N109" i="22"/>
  <c r="O109" i="22" s="1"/>
  <c r="F111" i="22" l="1"/>
  <c r="G111" i="22" s="1"/>
  <c r="E111" i="22"/>
  <c r="M110" i="22"/>
  <c r="K30" i="39"/>
  <c r="J42" i="39"/>
  <c r="K110" i="22"/>
  <c r="C99" i="3"/>
  <c r="C100" i="39"/>
  <c r="N14" i="39" s="1"/>
  <c r="L59" i="3"/>
  <c r="N110" i="22" l="1"/>
  <c r="O110" i="22" s="1"/>
  <c r="J111" i="22"/>
  <c r="L111" i="22" s="1"/>
  <c r="H111" i="22"/>
  <c r="R59" i="3"/>
  <c r="M59" i="3"/>
  <c r="I111" i="22"/>
  <c r="Q59" i="3" l="1"/>
  <c r="N59" i="3"/>
  <c r="P59" i="3"/>
  <c r="AA59" i="3" s="1"/>
  <c r="K111" i="22"/>
  <c r="E112" i="22"/>
  <c r="F112" i="22"/>
  <c r="G112" i="22" s="1"/>
  <c r="C100" i="3"/>
  <c r="C101" i="39"/>
  <c r="N15" i="39" s="1"/>
  <c r="N24" i="39" s="1"/>
  <c r="M111" i="22"/>
  <c r="J112" i="22" l="1"/>
  <c r="L112" i="22" s="1"/>
  <c r="X59" i="3"/>
  <c r="J60" i="3"/>
  <c r="K60" i="3" s="1"/>
  <c r="D60" i="39"/>
  <c r="K31" i="39" s="1"/>
  <c r="V59" i="3"/>
  <c r="W59" i="3" s="1"/>
  <c r="O59" i="3"/>
  <c r="H112" i="22"/>
  <c r="I112" i="22"/>
  <c r="N111" i="22"/>
  <c r="O111" i="22" s="1"/>
  <c r="Z59" i="3"/>
  <c r="Y59" i="3"/>
  <c r="L60" i="3" l="1"/>
  <c r="R60" i="3" s="1"/>
  <c r="C102" i="39"/>
  <c r="N16" i="39" s="1"/>
  <c r="C101" i="3"/>
  <c r="M112" i="22"/>
  <c r="F113" i="22"/>
  <c r="G113" i="22" s="1"/>
  <c r="E113" i="22"/>
  <c r="M60" i="3"/>
  <c r="K112" i="22"/>
  <c r="J113" i="22" l="1"/>
  <c r="L113" i="22" s="1"/>
  <c r="N112" i="22"/>
  <c r="O112" i="22" s="1"/>
  <c r="P60" i="3"/>
  <c r="AA60" i="3" s="1"/>
  <c r="Q60" i="3"/>
  <c r="N60" i="3"/>
  <c r="I113" i="22"/>
  <c r="H113" i="22"/>
  <c r="E114" i="22" l="1"/>
  <c r="F114" i="22"/>
  <c r="G114" i="22" s="1"/>
  <c r="I114" i="22" s="1"/>
  <c r="Z60" i="3"/>
  <c r="Y60" i="3"/>
  <c r="M113" i="22"/>
  <c r="N113" i="22" s="1"/>
  <c r="O113" i="22" s="1"/>
  <c r="D61" i="39"/>
  <c r="K32" i="39" s="1"/>
  <c r="J61" i="3"/>
  <c r="K61" i="3" s="1"/>
  <c r="X60" i="3"/>
  <c r="V60" i="3"/>
  <c r="W60" i="3" s="1"/>
  <c r="O60" i="3"/>
  <c r="C103" i="39"/>
  <c r="N17" i="39" s="1"/>
  <c r="C102" i="3"/>
  <c r="K113" i="22"/>
  <c r="L61" i="3" l="1"/>
  <c r="R61" i="3" s="1"/>
  <c r="C104" i="39"/>
  <c r="N18" i="39" s="1"/>
  <c r="C103" i="3"/>
  <c r="J114" i="22"/>
  <c r="L114" i="22" s="1"/>
  <c r="H114" i="22"/>
  <c r="M61" i="3"/>
  <c r="E115" i="22" l="1"/>
  <c r="F115" i="22"/>
  <c r="G115" i="22" s="1"/>
  <c r="H115" i="22" s="1"/>
  <c r="P61" i="3"/>
  <c r="AA61" i="3" s="1"/>
  <c r="Q61" i="3"/>
  <c r="N61" i="3"/>
  <c r="M114" i="22"/>
  <c r="K114" i="22"/>
  <c r="F116" i="22" l="1"/>
  <c r="E116" i="22"/>
  <c r="Z61" i="3"/>
  <c r="Y61" i="3"/>
  <c r="N114" i="22"/>
  <c r="O114" i="22" s="1"/>
  <c r="X61" i="3"/>
  <c r="J62" i="3"/>
  <c r="K62" i="3" s="1"/>
  <c r="D62" i="39"/>
  <c r="K33" i="39" s="1"/>
  <c r="V61" i="3"/>
  <c r="W61" i="3" s="1"/>
  <c r="O61" i="3"/>
  <c r="I115" i="22"/>
  <c r="J115" i="22"/>
  <c r="L115" i="22" s="1"/>
  <c r="L62" i="3" l="1"/>
  <c r="R62" i="3" s="1"/>
  <c r="M62" i="3"/>
  <c r="M115" i="22"/>
  <c r="C104" i="3"/>
  <c r="C105" i="39"/>
  <c r="N19" i="39" s="1"/>
  <c r="K115" i="22"/>
  <c r="G116" i="22"/>
  <c r="J116" i="22" l="1"/>
  <c r="L116" i="22" s="1"/>
  <c r="K116" i="22"/>
  <c r="H116" i="22"/>
  <c r="I116" i="22"/>
  <c r="N115" i="22"/>
  <c r="O115" i="22" s="1"/>
  <c r="Q62" i="3"/>
  <c r="N62" i="3"/>
  <c r="P62" i="3"/>
  <c r="AA62" i="3" s="1"/>
  <c r="Z62" i="3" l="1"/>
  <c r="Y62" i="3"/>
  <c r="D63" i="39"/>
  <c r="K34" i="39" s="1"/>
  <c r="X62" i="3"/>
  <c r="J63" i="3"/>
  <c r="K63" i="3" s="1"/>
  <c r="V62" i="3"/>
  <c r="W62" i="3" s="1"/>
  <c r="O62" i="3"/>
  <c r="C105" i="3"/>
  <c r="C106" i="39"/>
  <c r="N20" i="39" s="1"/>
  <c r="F117" i="22"/>
  <c r="G117" i="22" s="1"/>
  <c r="I117" i="22" s="1"/>
  <c r="E117" i="22"/>
  <c r="M116" i="22"/>
  <c r="N116" i="22" s="1"/>
  <c r="O116" i="22" s="1"/>
  <c r="L63" i="3" l="1"/>
  <c r="J117" i="22"/>
  <c r="L117" i="22" s="1"/>
  <c r="C106" i="3"/>
  <c r="C107" i="39"/>
  <c r="N21" i="39" s="1"/>
  <c r="H117" i="22"/>
  <c r="F118" i="22" l="1"/>
  <c r="E118" i="22"/>
  <c r="N9" i="39"/>
  <c r="N25" i="39"/>
  <c r="N26" i="39" s="1"/>
  <c r="R63" i="3"/>
  <c r="M63" i="3"/>
  <c r="M117" i="22"/>
  <c r="N117" i="22" s="1"/>
  <c r="O117" i="22" s="1"/>
  <c r="K117" i="22"/>
  <c r="P63" i="3" l="1"/>
  <c r="AA63" i="3" s="1"/>
  <c r="Q63" i="3"/>
  <c r="N63" i="3"/>
  <c r="C108" i="39"/>
  <c r="O10" i="39" s="1"/>
  <c r="C107" i="3"/>
  <c r="G118" i="22"/>
  <c r="J118" i="22" l="1"/>
  <c r="L118" i="22" s="1"/>
  <c r="K118" i="22"/>
  <c r="I118" i="22"/>
  <c r="H118" i="22"/>
  <c r="D64" i="39"/>
  <c r="K35" i="39" s="1"/>
  <c r="X63" i="3"/>
  <c r="J64" i="3"/>
  <c r="K64" i="3" s="1"/>
  <c r="V63" i="3"/>
  <c r="W63" i="3" s="1"/>
  <c r="O63" i="3"/>
  <c r="Z63" i="3"/>
  <c r="Y63" i="3"/>
  <c r="L64" i="3" l="1"/>
  <c r="R64" i="3" s="1"/>
  <c r="M64" i="3"/>
  <c r="M118" i="22"/>
  <c r="N118" i="22" s="1"/>
  <c r="O118" i="22" s="1"/>
  <c r="E119" i="22"/>
  <c r="F119" i="22"/>
  <c r="G119" i="22" s="1"/>
  <c r="H119" i="22" s="1"/>
  <c r="F120" i="22" l="1"/>
  <c r="E120" i="22"/>
  <c r="J119" i="22"/>
  <c r="L119" i="22" s="1"/>
  <c r="C108" i="3"/>
  <c r="C109" i="39"/>
  <c r="O11" i="39" s="1"/>
  <c r="I119" i="22"/>
  <c r="Q64" i="3"/>
  <c r="P64" i="3"/>
  <c r="AA64" i="3" s="1"/>
  <c r="N64" i="3"/>
  <c r="Z64" i="3" l="1"/>
  <c r="Y64" i="3"/>
  <c r="D65" i="39"/>
  <c r="K36" i="39" s="1"/>
  <c r="J65" i="3"/>
  <c r="K65" i="3" s="1"/>
  <c r="X64" i="3"/>
  <c r="V64" i="3"/>
  <c r="W64" i="3" s="1"/>
  <c r="O64" i="3"/>
  <c r="M119" i="22"/>
  <c r="K119" i="22"/>
  <c r="G120" i="22"/>
  <c r="L65" i="3" l="1"/>
  <c r="J120" i="22"/>
  <c r="L120" i="22" s="1"/>
  <c r="H120" i="22"/>
  <c r="I120" i="22"/>
  <c r="N119" i="22"/>
  <c r="O119" i="22" s="1"/>
  <c r="C110" i="39" l="1"/>
  <c r="O12" i="39" s="1"/>
  <c r="C109" i="3"/>
  <c r="E121" i="22"/>
  <c r="F121" i="22"/>
  <c r="G121" i="22" s="1"/>
  <c r="I121" i="22" s="1"/>
  <c r="K120" i="22"/>
  <c r="M120" i="22"/>
  <c r="N120" i="22" s="1"/>
  <c r="O120" i="22" s="1"/>
  <c r="R65" i="3"/>
  <c r="M65" i="3"/>
  <c r="Q65" i="3" l="1"/>
  <c r="P65" i="3"/>
  <c r="AA65" i="3" s="1"/>
  <c r="N65" i="3"/>
  <c r="C110" i="3"/>
  <c r="C111" i="39"/>
  <c r="O13" i="39" s="1"/>
  <c r="H121" i="22"/>
  <c r="J121" i="22"/>
  <c r="L121" i="22" s="1"/>
  <c r="F122" i="22" l="1"/>
  <c r="E122" i="22"/>
  <c r="M121" i="22"/>
  <c r="K121" i="22"/>
  <c r="X65" i="3"/>
  <c r="D66" i="39"/>
  <c r="K37" i="39" s="1"/>
  <c r="J66" i="3"/>
  <c r="K66" i="3" s="1"/>
  <c r="V65" i="3"/>
  <c r="W65" i="3" s="1"/>
  <c r="O65" i="3"/>
  <c r="Y65" i="3"/>
  <c r="Z65" i="3"/>
  <c r="L66" i="3" l="1"/>
  <c r="N121" i="22"/>
  <c r="O121" i="22" s="1"/>
  <c r="G122" i="22"/>
  <c r="R66" i="3" l="1"/>
  <c r="M66" i="3"/>
  <c r="J122" i="22"/>
  <c r="L122" i="22" s="1"/>
  <c r="K122" i="22"/>
  <c r="I122" i="22"/>
  <c r="H122" i="22"/>
  <c r="C112" i="39"/>
  <c r="O14" i="39" s="1"/>
  <c r="C111" i="3"/>
  <c r="N66" i="3" l="1"/>
  <c r="P66" i="3"/>
  <c r="AA66" i="3" s="1"/>
  <c r="Q66" i="3"/>
  <c r="E123" i="22"/>
  <c r="F123" i="22"/>
  <c r="G123" i="22" s="1"/>
  <c r="H123" i="22" s="1"/>
  <c r="M122" i="22"/>
  <c r="N122" i="22" s="1"/>
  <c r="O122" i="22" s="1"/>
  <c r="Y66" i="3" l="1"/>
  <c r="Z66" i="3"/>
  <c r="D67" i="39"/>
  <c r="K38" i="39" s="1"/>
  <c r="V66" i="3"/>
  <c r="W66" i="3" s="1"/>
  <c r="O66" i="3"/>
  <c r="X66" i="3"/>
  <c r="J67" i="3"/>
  <c r="K67" i="3" s="1"/>
  <c r="L67" i="3" s="1"/>
  <c r="E124" i="22"/>
  <c r="F124" i="22"/>
  <c r="G124" i="22" s="1"/>
  <c r="H124" i="22" s="1"/>
  <c r="C112" i="3"/>
  <c r="C113" i="39"/>
  <c r="O15" i="39" s="1"/>
  <c r="J123" i="22"/>
  <c r="L123" i="22" s="1"/>
  <c r="I123" i="22"/>
  <c r="R67" i="3" l="1"/>
  <c r="M67" i="3"/>
  <c r="E125" i="22"/>
  <c r="F125" i="22"/>
  <c r="G125" i="22" s="1"/>
  <c r="M123" i="22"/>
  <c r="N123" i="22" s="1"/>
  <c r="O123" i="22" s="1"/>
  <c r="K123" i="22"/>
  <c r="O24" i="39"/>
  <c r="J124" i="22"/>
  <c r="L124" i="22" s="1"/>
  <c r="I124" i="22"/>
  <c r="P67" i="3" l="1"/>
  <c r="AA67" i="3" s="1"/>
  <c r="N67" i="3"/>
  <c r="Q67" i="3"/>
  <c r="M124" i="22"/>
  <c r="J125" i="22"/>
  <c r="L125" i="22" s="1"/>
  <c r="H125" i="22"/>
  <c r="C113" i="3"/>
  <c r="C114" i="39"/>
  <c r="O16" i="39" s="1"/>
  <c r="I125" i="22"/>
  <c r="K124" i="22"/>
  <c r="Y67" i="3" l="1"/>
  <c r="Z67" i="3"/>
  <c r="V67" i="3"/>
  <c r="W67" i="3" s="1"/>
  <c r="O67" i="3"/>
  <c r="J68" i="3"/>
  <c r="K68" i="3" s="1"/>
  <c r="L68" i="3" s="1"/>
  <c r="D68" i="39"/>
  <c r="K39" i="39" s="1"/>
  <c r="X67" i="3"/>
  <c r="M125" i="22"/>
  <c r="R68" i="3"/>
  <c r="M68" i="3"/>
  <c r="K125" i="22"/>
  <c r="F126" i="22"/>
  <c r="E126" i="22"/>
  <c r="N124" i="22"/>
  <c r="O124" i="22" s="1"/>
  <c r="N68" i="3" l="1"/>
  <c r="P68" i="3"/>
  <c r="AA68" i="3" s="1"/>
  <c r="Q68" i="3"/>
  <c r="N125" i="22"/>
  <c r="O125" i="22" s="1"/>
  <c r="G126" i="22"/>
  <c r="C115" i="39"/>
  <c r="O17" i="39" s="1"/>
  <c r="C114" i="3"/>
  <c r="J126" i="22" l="1"/>
  <c r="L126" i="22" s="1"/>
  <c r="K126" i="22"/>
  <c r="H126" i="22"/>
  <c r="I126" i="22"/>
  <c r="Z68" i="3"/>
  <c r="Y68" i="3"/>
  <c r="C115" i="3"/>
  <c r="C116" i="39"/>
  <c r="O18" i="39" s="1"/>
  <c r="J69" i="3"/>
  <c r="K69" i="3" s="1"/>
  <c r="L69" i="3" s="1"/>
  <c r="R69" i="3" s="1"/>
  <c r="D69" i="39"/>
  <c r="K40" i="39" s="1"/>
  <c r="X68" i="3"/>
  <c r="V68" i="3"/>
  <c r="W68" i="3" s="1"/>
  <c r="O68" i="3"/>
  <c r="E127" i="22" l="1"/>
  <c r="F127" i="22"/>
  <c r="G127" i="22" s="1"/>
  <c r="H127" i="22" s="1"/>
  <c r="M69" i="3"/>
  <c r="M126" i="22"/>
  <c r="N126" i="22" s="1"/>
  <c r="O126" i="22" s="1"/>
  <c r="E128" i="22" l="1"/>
  <c r="F128" i="22"/>
  <c r="G128" i="22" s="1"/>
  <c r="I128" i="22" s="1"/>
  <c r="P69" i="3"/>
  <c r="AA69" i="3" s="1"/>
  <c r="Q69" i="3"/>
  <c r="N69" i="3"/>
  <c r="J127" i="22"/>
  <c r="L127" i="22" s="1"/>
  <c r="I127" i="22"/>
  <c r="C117" i="39"/>
  <c r="O19" i="39" s="1"/>
  <c r="C116" i="3"/>
  <c r="X69" i="3" l="1"/>
  <c r="D70" i="39"/>
  <c r="K41" i="39" s="1"/>
  <c r="J70" i="3"/>
  <c r="K70" i="3" s="1"/>
  <c r="V69" i="3"/>
  <c r="W69" i="3" s="1"/>
  <c r="O69" i="3"/>
  <c r="Z69" i="3"/>
  <c r="Y69" i="3"/>
  <c r="L128" i="22"/>
  <c r="M128" i="22" s="1"/>
  <c r="M127" i="22"/>
  <c r="N127" i="22" s="1"/>
  <c r="O127" i="22" s="1"/>
  <c r="K127" i="22"/>
  <c r="J128" i="22"/>
  <c r="K128" i="22" s="1"/>
  <c r="H128" i="22"/>
  <c r="N128" i="22" l="1"/>
  <c r="O128" i="22" s="1"/>
  <c r="L70" i="3"/>
  <c r="C117" i="3"/>
  <c r="C118" i="39"/>
  <c r="O20" i="39" s="1"/>
  <c r="E129" i="22"/>
  <c r="F129" i="22"/>
  <c r="G129" i="22" s="1"/>
  <c r="J129" i="22" l="1"/>
  <c r="L129" i="22" s="1"/>
  <c r="R70" i="3"/>
  <c r="M70" i="3"/>
  <c r="I129" i="22"/>
  <c r="H129" i="22"/>
  <c r="C118" i="3"/>
  <c r="C119" i="39"/>
  <c r="O21" i="39" s="1"/>
  <c r="E130" i="22" l="1"/>
  <c r="F130" i="22"/>
  <c r="G130" i="22" s="1"/>
  <c r="Q70" i="3"/>
  <c r="P70" i="3"/>
  <c r="AA70" i="3" s="1"/>
  <c r="N70" i="3"/>
  <c r="O9" i="39"/>
  <c r="O25" i="39"/>
  <c r="O26" i="39" s="1"/>
  <c r="M129" i="22"/>
  <c r="N129" i="22" s="1"/>
  <c r="O129" i="22" s="1"/>
  <c r="K129" i="22"/>
  <c r="J130" i="22" l="1"/>
  <c r="L130" i="22" s="1"/>
  <c r="K130" i="22"/>
  <c r="Z70" i="3"/>
  <c r="Y70" i="3"/>
  <c r="I130" i="22"/>
  <c r="H130" i="22"/>
  <c r="J71" i="3"/>
  <c r="K71" i="3" s="1"/>
  <c r="D71" i="39"/>
  <c r="X70" i="3"/>
  <c r="V70" i="3"/>
  <c r="W70" i="3" s="1"/>
  <c r="O70" i="3"/>
  <c r="C119" i="3"/>
  <c r="C120" i="39"/>
  <c r="P10" i="39" s="1"/>
  <c r="L71" i="3" l="1"/>
  <c r="K42" i="39"/>
  <c r="L30" i="39"/>
  <c r="F131" i="22"/>
  <c r="G131" i="22" s="1"/>
  <c r="E131" i="22"/>
  <c r="M130" i="22"/>
  <c r="N130" i="22" s="1"/>
  <c r="O130" i="22" s="1"/>
  <c r="J131" i="22" l="1"/>
  <c r="L131" i="22" s="1"/>
  <c r="H131" i="22"/>
  <c r="I131" i="22"/>
  <c r="C120" i="3"/>
  <c r="C121" i="39"/>
  <c r="P11" i="39" s="1"/>
  <c r="R71" i="3"/>
  <c r="M71" i="3"/>
  <c r="N71" i="3" l="1"/>
  <c r="P71" i="3"/>
  <c r="AA71" i="3" s="1"/>
  <c r="Q71" i="3"/>
  <c r="M131" i="22"/>
  <c r="N131" i="22" s="1"/>
  <c r="O131" i="22" s="1"/>
  <c r="E132" i="22"/>
  <c r="F132" i="22"/>
  <c r="G132" i="22" s="1"/>
  <c r="I132" i="22" s="1"/>
  <c r="K131" i="22"/>
  <c r="C121" i="3" l="1"/>
  <c r="C122" i="39"/>
  <c r="P12" i="39" s="1"/>
  <c r="X71" i="3"/>
  <c r="J72" i="3"/>
  <c r="K72" i="3" s="1"/>
  <c r="D72" i="39"/>
  <c r="L31" i="39" s="1"/>
  <c r="V71" i="3"/>
  <c r="W71" i="3" s="1"/>
  <c r="O71" i="3"/>
  <c r="J132" i="22"/>
  <c r="L132" i="22" s="1"/>
  <c r="K132" i="22"/>
  <c r="Z71" i="3"/>
  <c r="Y71" i="3"/>
  <c r="H132" i="22"/>
  <c r="M132" i="22" l="1"/>
  <c r="N132" i="22" s="1"/>
  <c r="O132" i="22" s="1"/>
  <c r="L72" i="3"/>
  <c r="F133" i="22"/>
  <c r="E133" i="22"/>
  <c r="G133" i="22" l="1"/>
  <c r="R72" i="3"/>
  <c r="M72" i="3"/>
  <c r="C123" i="39"/>
  <c r="P13" i="39" s="1"/>
  <c r="C122" i="3"/>
  <c r="N72" i="3" l="1"/>
  <c r="P72" i="3"/>
  <c r="AA72" i="3" s="1"/>
  <c r="Q72" i="3"/>
  <c r="J133" i="22"/>
  <c r="L133" i="22" s="1"/>
  <c r="I133" i="22"/>
  <c r="H133" i="22"/>
  <c r="F134" i="22" l="1"/>
  <c r="E134" i="22"/>
  <c r="M133" i="22"/>
  <c r="N133" i="22" s="1"/>
  <c r="O133" i="22" s="1"/>
  <c r="K133" i="22"/>
  <c r="Z72" i="3"/>
  <c r="Y72" i="3"/>
  <c r="J73" i="3"/>
  <c r="K73" i="3" s="1"/>
  <c r="D73" i="39"/>
  <c r="L32" i="39" s="1"/>
  <c r="X72" i="3"/>
  <c r="V72" i="3"/>
  <c r="W72" i="3" s="1"/>
  <c r="O72" i="3"/>
  <c r="L73" i="3" l="1"/>
  <c r="R73" i="3" s="1"/>
  <c r="C123" i="3"/>
  <c r="C124" i="39"/>
  <c r="P14" i="39" s="1"/>
  <c r="M73" i="3"/>
  <c r="G134" i="22"/>
  <c r="J134" i="22" l="1"/>
  <c r="L134" i="22" s="1"/>
  <c r="I134" i="22"/>
  <c r="H134" i="22"/>
  <c r="N73" i="3"/>
  <c r="P73" i="3"/>
  <c r="AA73" i="3" s="1"/>
  <c r="Q73" i="3"/>
  <c r="Z73" i="3" l="1"/>
  <c r="Y73" i="3"/>
  <c r="X73" i="3"/>
  <c r="D74" i="39"/>
  <c r="L33" i="39" s="1"/>
  <c r="J74" i="3"/>
  <c r="K74" i="3" s="1"/>
  <c r="V73" i="3"/>
  <c r="W73" i="3" s="1"/>
  <c r="O73" i="3"/>
  <c r="E135" i="22"/>
  <c r="F135" i="22"/>
  <c r="G135" i="22" s="1"/>
  <c r="K134" i="22"/>
  <c r="M134" i="22"/>
  <c r="N134" i="22" s="1"/>
  <c r="O134" i="22" s="1"/>
  <c r="J135" i="22" l="1"/>
  <c r="L135" i="22" s="1"/>
  <c r="H135" i="22"/>
  <c r="I135" i="22"/>
  <c r="C124" i="3"/>
  <c r="C125" i="39"/>
  <c r="P15" i="39" s="1"/>
  <c r="P24" i="39" s="1"/>
  <c r="L74" i="3"/>
  <c r="R74" i="3" l="1"/>
  <c r="M74" i="3"/>
  <c r="E136" i="22"/>
  <c r="F136" i="22"/>
  <c r="G136" i="22" s="1"/>
  <c r="H136" i="22" s="1"/>
  <c r="K135" i="22"/>
  <c r="M135" i="22"/>
  <c r="N135" i="22" s="1"/>
  <c r="O135" i="22" s="1"/>
  <c r="F137" i="22" l="1"/>
  <c r="E137" i="22"/>
  <c r="I136" i="22"/>
  <c r="C126" i="39"/>
  <c r="P16" i="39" s="1"/>
  <c r="C125" i="3"/>
  <c r="J136" i="22"/>
  <c r="L136" i="22" s="1"/>
  <c r="Q74" i="3"/>
  <c r="P74" i="3"/>
  <c r="AA74" i="3" s="1"/>
  <c r="N74" i="3"/>
  <c r="M136" i="22" l="1"/>
  <c r="X74" i="3"/>
  <c r="J75" i="3"/>
  <c r="K75" i="3" s="1"/>
  <c r="D75" i="39"/>
  <c r="L34" i="39" s="1"/>
  <c r="V74" i="3"/>
  <c r="W74" i="3" s="1"/>
  <c r="O74" i="3"/>
  <c r="K136" i="22"/>
  <c r="Z74" i="3"/>
  <c r="Y74" i="3"/>
  <c r="G137" i="22"/>
  <c r="N136" i="22" l="1"/>
  <c r="O136" i="22" s="1"/>
  <c r="L75" i="3"/>
  <c r="J137" i="22"/>
  <c r="L137" i="22" s="1"/>
  <c r="H137" i="22"/>
  <c r="I137" i="22"/>
  <c r="K137" i="22" l="1"/>
  <c r="M137" i="22"/>
  <c r="N137" i="22" s="1"/>
  <c r="O137" i="22" s="1"/>
  <c r="R75" i="3"/>
  <c r="M75" i="3"/>
  <c r="E138" i="22"/>
  <c r="F138" i="22"/>
  <c r="G138" i="22" s="1"/>
  <c r="C127" i="39"/>
  <c r="P17" i="39" s="1"/>
  <c r="C126" i="3"/>
  <c r="J138" i="22" l="1"/>
  <c r="L138" i="22" s="1"/>
  <c r="I138" i="22"/>
  <c r="P75" i="3"/>
  <c r="AA75" i="3" s="1"/>
  <c r="N75" i="3"/>
  <c r="Q75" i="3"/>
  <c r="H138" i="22"/>
  <c r="C128" i="39"/>
  <c r="P18" i="39" s="1"/>
  <c r="C127" i="3"/>
  <c r="E139" i="22" l="1"/>
  <c r="F139" i="22"/>
  <c r="G139" i="22" s="1"/>
  <c r="I139" i="22" s="1"/>
  <c r="X75" i="3"/>
  <c r="J76" i="3"/>
  <c r="K76" i="3" s="1"/>
  <c r="D76" i="39"/>
  <c r="L35" i="39" s="1"/>
  <c r="V75" i="3"/>
  <c r="W75" i="3" s="1"/>
  <c r="O75" i="3"/>
  <c r="Z75" i="3"/>
  <c r="Y75" i="3"/>
  <c r="K138" i="22"/>
  <c r="M138" i="22"/>
  <c r="N138" i="22" s="1"/>
  <c r="O138" i="22" s="1"/>
  <c r="J139" i="22" l="1"/>
  <c r="L139" i="22" s="1"/>
  <c r="C128" i="3"/>
  <c r="C129" i="39"/>
  <c r="P19" i="39" s="1"/>
  <c r="L76" i="3"/>
  <c r="H139" i="22"/>
  <c r="R76" i="3" l="1"/>
  <c r="M76" i="3"/>
  <c r="F140" i="22"/>
  <c r="G140" i="22" s="1"/>
  <c r="I140" i="22" s="1"/>
  <c r="E140" i="22"/>
  <c r="M139" i="22"/>
  <c r="N139" i="22" s="1"/>
  <c r="O139" i="22" s="1"/>
  <c r="K139" i="22"/>
  <c r="C130" i="39" l="1"/>
  <c r="P20" i="39" s="1"/>
  <c r="C129" i="3"/>
  <c r="N76" i="3"/>
  <c r="Q76" i="3"/>
  <c r="P76" i="3"/>
  <c r="AA76" i="3" s="1"/>
  <c r="J140" i="22"/>
  <c r="L140" i="22" s="1"/>
  <c r="H140" i="22"/>
  <c r="M140" i="22" l="1"/>
  <c r="Z76" i="3"/>
  <c r="Y76" i="3"/>
  <c r="E141" i="22"/>
  <c r="F141" i="22"/>
  <c r="G141" i="22" s="1"/>
  <c r="H141" i="22" s="1"/>
  <c r="K140" i="22"/>
  <c r="J77" i="3"/>
  <c r="K77" i="3" s="1"/>
  <c r="D77" i="39"/>
  <c r="L36" i="39" s="1"/>
  <c r="X76" i="3"/>
  <c r="V76" i="3"/>
  <c r="W76" i="3" s="1"/>
  <c r="O76" i="3"/>
  <c r="L77" i="3" l="1"/>
  <c r="R77" i="3" s="1"/>
  <c r="F142" i="22"/>
  <c r="G142" i="22" s="1"/>
  <c r="I142" i="22" s="1"/>
  <c r="E142" i="22"/>
  <c r="H142" i="22"/>
  <c r="N140" i="22"/>
  <c r="O140" i="22" s="1"/>
  <c r="M77" i="3"/>
  <c r="J141" i="22"/>
  <c r="L141" i="22" s="1"/>
  <c r="K141" i="22"/>
  <c r="I141" i="22"/>
  <c r="P77" i="3" l="1"/>
  <c r="AA77" i="3" s="1"/>
  <c r="Q77" i="3"/>
  <c r="N77" i="3"/>
  <c r="E143" i="22"/>
  <c r="F143" i="22"/>
  <c r="C130" i="3"/>
  <c r="C131" i="39"/>
  <c r="P21" i="39" s="1"/>
  <c r="M141" i="22"/>
  <c r="N141" i="22" s="1"/>
  <c r="O141" i="22" s="1"/>
  <c r="J142" i="22"/>
  <c r="K142" i="22" s="1"/>
  <c r="P9" i="39" l="1"/>
  <c r="P25" i="39"/>
  <c r="P26" i="39" s="1"/>
  <c r="C132" i="39"/>
  <c r="Q10" i="39" s="1"/>
  <c r="C131" i="3"/>
  <c r="X77" i="3"/>
  <c r="J78" i="3"/>
  <c r="K78" i="3" s="1"/>
  <c r="D78" i="39"/>
  <c r="L37" i="39" s="1"/>
  <c r="V77" i="3"/>
  <c r="W77" i="3" s="1"/>
  <c r="O77" i="3"/>
  <c r="L142" i="22"/>
  <c r="G143" i="22"/>
  <c r="Z77" i="3"/>
  <c r="Y77" i="3"/>
  <c r="M142" i="22" l="1"/>
  <c r="N142" i="22" s="1"/>
  <c r="O142" i="22" s="1"/>
  <c r="L78" i="3"/>
  <c r="J143" i="22"/>
  <c r="L143" i="22" s="1"/>
  <c r="H143" i="22"/>
  <c r="I143" i="22"/>
  <c r="M143" i="22" l="1"/>
  <c r="R78" i="3"/>
  <c r="M78" i="3"/>
  <c r="F144" i="22"/>
  <c r="E144" i="22"/>
  <c r="K143" i="22"/>
  <c r="C132" i="3"/>
  <c r="C133" i="39"/>
  <c r="Q11" i="39" s="1"/>
  <c r="N78" i="3" l="1"/>
  <c r="P78" i="3"/>
  <c r="AA78" i="3" s="1"/>
  <c r="Q78" i="3"/>
  <c r="G144" i="22"/>
  <c r="N143" i="22"/>
  <c r="O143" i="22" s="1"/>
  <c r="J144" i="22" l="1"/>
  <c r="L144" i="22" s="1"/>
  <c r="I144" i="22"/>
  <c r="H144" i="22"/>
  <c r="C134" i="39"/>
  <c r="Q12" i="39" s="1"/>
  <c r="C133" i="3"/>
  <c r="Y78" i="3"/>
  <c r="Z78" i="3"/>
  <c r="X78" i="3"/>
  <c r="D79" i="39"/>
  <c r="L38" i="39" s="1"/>
  <c r="J79" i="3"/>
  <c r="K79" i="3" s="1"/>
  <c r="V78" i="3"/>
  <c r="W78" i="3" s="1"/>
  <c r="O78" i="3"/>
  <c r="L79" i="3" l="1"/>
  <c r="R79" i="3" s="1"/>
  <c r="E145" i="22"/>
  <c r="F145" i="22"/>
  <c r="M79" i="3"/>
  <c r="M144" i="22"/>
  <c r="N144" i="22" s="1"/>
  <c r="O144" i="22" s="1"/>
  <c r="K144" i="22"/>
  <c r="C134" i="3" l="1"/>
  <c r="C135" i="39"/>
  <c r="Q13" i="39" s="1"/>
  <c r="N79" i="3"/>
  <c r="P79" i="3"/>
  <c r="AA79" i="3" s="1"/>
  <c r="Q79" i="3"/>
  <c r="G145" i="22"/>
  <c r="J145" i="22" l="1"/>
  <c r="L145" i="22" s="1"/>
  <c r="K145" i="22"/>
  <c r="I145" i="22"/>
  <c r="H145" i="22"/>
  <c r="Z79" i="3"/>
  <c r="Y79" i="3"/>
  <c r="J80" i="3"/>
  <c r="K80" i="3" s="1"/>
  <c r="D80" i="39"/>
  <c r="L39" i="39" s="1"/>
  <c r="X79" i="3"/>
  <c r="V79" i="3"/>
  <c r="W79" i="3" s="1"/>
  <c r="O79" i="3"/>
  <c r="L80" i="3" l="1"/>
  <c r="R80" i="3" s="1"/>
  <c r="E146" i="22"/>
  <c r="F146" i="22"/>
  <c r="G146" i="22" s="1"/>
  <c r="M80" i="3"/>
  <c r="M145" i="22"/>
  <c r="N145" i="22" s="1"/>
  <c r="O145" i="22" s="1"/>
  <c r="N80" i="3" l="1"/>
  <c r="P80" i="3"/>
  <c r="AA80" i="3" s="1"/>
  <c r="Q80" i="3"/>
  <c r="C136" i="39"/>
  <c r="Q14" i="39" s="1"/>
  <c r="C135" i="3"/>
  <c r="J146" i="22"/>
  <c r="L146" i="22" s="1"/>
  <c r="I146" i="22"/>
  <c r="H146" i="22"/>
  <c r="F147" i="22" l="1"/>
  <c r="E147" i="22"/>
  <c r="M146" i="22"/>
  <c r="N146" i="22" s="1"/>
  <c r="O146" i="22" s="1"/>
  <c r="K146" i="22"/>
  <c r="Z80" i="3"/>
  <c r="Y80" i="3"/>
  <c r="X80" i="3"/>
  <c r="J81" i="3"/>
  <c r="K81" i="3" s="1"/>
  <c r="D81" i="39"/>
  <c r="L40" i="39" s="1"/>
  <c r="V80" i="3"/>
  <c r="W80" i="3" s="1"/>
  <c r="O80" i="3"/>
  <c r="L81" i="3" l="1"/>
  <c r="C137" i="39"/>
  <c r="Q15" i="39" s="1"/>
  <c r="Q24" i="39" s="1"/>
  <c r="C136" i="3"/>
  <c r="G147" i="22"/>
  <c r="J147" i="22" l="1"/>
  <c r="L147" i="22" s="1"/>
  <c r="K147" i="22"/>
  <c r="H147" i="22"/>
  <c r="I147" i="22"/>
  <c r="R81" i="3"/>
  <c r="M81" i="3"/>
  <c r="E148" i="22" l="1"/>
  <c r="F148" i="22"/>
  <c r="G148" i="22" s="1"/>
  <c r="P81" i="3"/>
  <c r="AA81" i="3" s="1"/>
  <c r="Q81" i="3"/>
  <c r="N81" i="3"/>
  <c r="M147" i="22"/>
  <c r="N147" i="22" s="1"/>
  <c r="O147" i="22" s="1"/>
  <c r="J82" i="3" l="1"/>
  <c r="K82" i="3" s="1"/>
  <c r="D82" i="39"/>
  <c r="L41" i="39" s="1"/>
  <c r="X81" i="3"/>
  <c r="V81" i="3"/>
  <c r="W81" i="3" s="1"/>
  <c r="O81" i="3"/>
  <c r="J148" i="22"/>
  <c r="L148" i="22" s="1"/>
  <c r="C138" i="39"/>
  <c r="Q16" i="39" s="1"/>
  <c r="C137" i="3"/>
  <c r="Z81" i="3"/>
  <c r="Y81" i="3"/>
  <c r="H148" i="22"/>
  <c r="I148" i="22"/>
  <c r="M148" i="22" l="1"/>
  <c r="K148" i="22"/>
  <c r="E149" i="22"/>
  <c r="F149" i="22"/>
  <c r="G149" i="22" s="1"/>
  <c r="I149" i="22" s="1"/>
  <c r="L82" i="3"/>
  <c r="J149" i="22" l="1"/>
  <c r="L149" i="22" s="1"/>
  <c r="R82" i="3"/>
  <c r="M82" i="3"/>
  <c r="H149" i="22"/>
  <c r="N148" i="22"/>
  <c r="O148" i="22" s="1"/>
  <c r="F150" i="22" l="1"/>
  <c r="E150" i="22"/>
  <c r="N82" i="3"/>
  <c r="P82" i="3"/>
  <c r="AA82" i="3" s="1"/>
  <c r="Q82" i="3"/>
  <c r="M149" i="22"/>
  <c r="N149" i="22" s="1"/>
  <c r="O149" i="22" s="1"/>
  <c r="C139" i="39"/>
  <c r="Q17" i="39" s="1"/>
  <c r="C138" i="3"/>
  <c r="K149" i="22"/>
  <c r="C140" i="39" l="1"/>
  <c r="Q18" i="39" s="1"/>
  <c r="C139" i="3"/>
  <c r="Z82" i="3"/>
  <c r="Y82" i="3"/>
  <c r="X82" i="3"/>
  <c r="D83" i="39"/>
  <c r="J83" i="3"/>
  <c r="K83" i="3" s="1"/>
  <c r="V82" i="3"/>
  <c r="W82" i="3" s="1"/>
  <c r="O82" i="3"/>
  <c r="G150" i="22"/>
  <c r="L83" i="3" l="1"/>
  <c r="L42" i="39"/>
  <c r="M30" i="39"/>
  <c r="J150" i="22"/>
  <c r="L150" i="22" s="1"/>
  <c r="I150" i="22"/>
  <c r="H150" i="22"/>
  <c r="E151" i="22" l="1"/>
  <c r="F151" i="22"/>
  <c r="G151" i="22" s="1"/>
  <c r="K150" i="22"/>
  <c r="M150" i="22"/>
  <c r="R83" i="3"/>
  <c r="M83" i="3"/>
  <c r="N83" i="3" l="1"/>
  <c r="Q83" i="3"/>
  <c r="P83" i="3"/>
  <c r="AA83" i="3" s="1"/>
  <c r="N150" i="22"/>
  <c r="O150" i="22" s="1"/>
  <c r="J151" i="22"/>
  <c r="L151" i="22" s="1"/>
  <c r="H151" i="22"/>
  <c r="I151" i="22"/>
  <c r="M151" i="22" l="1"/>
  <c r="K151" i="22"/>
  <c r="Z83" i="3"/>
  <c r="Y83" i="3"/>
  <c r="F152" i="22"/>
  <c r="E152" i="22"/>
  <c r="C140" i="3"/>
  <c r="C141" i="39"/>
  <c r="Q19" i="39" s="1"/>
  <c r="J84" i="3"/>
  <c r="K84" i="3" s="1"/>
  <c r="D84" i="39"/>
  <c r="M31" i="39" s="1"/>
  <c r="X83" i="3"/>
  <c r="V83" i="3"/>
  <c r="W83" i="3" s="1"/>
  <c r="O83" i="3"/>
  <c r="G152" i="22" l="1"/>
  <c r="N151" i="22"/>
  <c r="O151" i="22" s="1"/>
  <c r="L84" i="3"/>
  <c r="R84" i="3" l="1"/>
  <c r="M84" i="3"/>
  <c r="J152" i="22"/>
  <c r="L152" i="22" s="1"/>
  <c r="H152" i="22"/>
  <c r="I152" i="22"/>
  <c r="C142" i="39"/>
  <c r="Q20" i="39" s="1"/>
  <c r="C141" i="3"/>
  <c r="M152" i="22" l="1"/>
  <c r="K152" i="22"/>
  <c r="P84" i="3"/>
  <c r="AA84" i="3" s="1"/>
  <c r="N84" i="3"/>
  <c r="Q84" i="3"/>
  <c r="F153" i="22"/>
  <c r="G153" i="22" s="1"/>
  <c r="E153" i="22"/>
  <c r="J153" i="22" l="1"/>
  <c r="L153" i="22" s="1"/>
  <c r="D85" i="39"/>
  <c r="M32" i="39" s="1"/>
  <c r="J85" i="3"/>
  <c r="K85" i="3" s="1"/>
  <c r="X84" i="3"/>
  <c r="V84" i="3"/>
  <c r="W84" i="3" s="1"/>
  <c r="O84" i="3"/>
  <c r="Z84" i="3"/>
  <c r="Y84" i="3"/>
  <c r="H153" i="22"/>
  <c r="I153" i="22"/>
  <c r="N152" i="22"/>
  <c r="O152" i="22" s="1"/>
  <c r="F154" i="22" l="1"/>
  <c r="G154" i="22" s="1"/>
  <c r="H154" i="22" s="1"/>
  <c r="E154" i="22"/>
  <c r="L85" i="3"/>
  <c r="M153" i="22"/>
  <c r="C143" i="39"/>
  <c r="Q21" i="39" s="1"/>
  <c r="C142" i="3"/>
  <c r="K153" i="22"/>
  <c r="F155" i="22" l="1"/>
  <c r="E155" i="22"/>
  <c r="Q9" i="39"/>
  <c r="Q25" i="39"/>
  <c r="Q26" i="39" s="1"/>
  <c r="J154" i="22"/>
  <c r="L154" i="22" s="1"/>
  <c r="N153" i="22"/>
  <c r="O153" i="22" s="1"/>
  <c r="R85" i="3"/>
  <c r="M85" i="3"/>
  <c r="I154" i="22"/>
  <c r="Q85" i="3" l="1"/>
  <c r="N85" i="3"/>
  <c r="P85" i="3"/>
  <c r="AA85" i="3" s="1"/>
  <c r="C144" i="39"/>
  <c r="R10" i="39" s="1"/>
  <c r="C143" i="3"/>
  <c r="M154" i="22"/>
  <c r="N154" i="22" s="1"/>
  <c r="O154" i="22" s="1"/>
  <c r="K154" i="22"/>
  <c r="G155" i="22"/>
  <c r="C144" i="3" l="1"/>
  <c r="C145" i="39"/>
  <c r="R11" i="39" s="1"/>
  <c r="J155" i="22"/>
  <c r="L155" i="22" s="1"/>
  <c r="I155" i="22"/>
  <c r="H155" i="22"/>
  <c r="X85" i="3"/>
  <c r="D86" i="39"/>
  <c r="M33" i="39" s="1"/>
  <c r="J86" i="3"/>
  <c r="K86" i="3" s="1"/>
  <c r="V85" i="3"/>
  <c r="W85" i="3" s="1"/>
  <c r="O85" i="3"/>
  <c r="Z85" i="3"/>
  <c r="Y85" i="3"/>
  <c r="K155" i="22" l="1"/>
  <c r="M155" i="22"/>
  <c r="N155" i="22" s="1"/>
  <c r="O155" i="22" s="1"/>
  <c r="E156" i="22"/>
  <c r="F156" i="22"/>
  <c r="G156" i="22" s="1"/>
  <c r="L86" i="3"/>
  <c r="J156" i="22" l="1"/>
  <c r="L156" i="22" s="1"/>
  <c r="R86" i="3"/>
  <c r="M86" i="3"/>
  <c r="H156" i="22"/>
  <c r="I156" i="22"/>
  <c r="C145" i="3"/>
  <c r="C146" i="39"/>
  <c r="R12" i="39" s="1"/>
  <c r="F157" i="22" l="1"/>
  <c r="E157" i="22"/>
  <c r="M156" i="22"/>
  <c r="N156" i="22" s="1"/>
  <c r="O156" i="22" s="1"/>
  <c r="Q86" i="3"/>
  <c r="N86" i="3"/>
  <c r="P86" i="3"/>
  <c r="AA86" i="3" s="1"/>
  <c r="K156" i="22"/>
  <c r="Z86" i="3" l="1"/>
  <c r="Y86" i="3"/>
  <c r="C146" i="3"/>
  <c r="C147" i="39"/>
  <c r="R13" i="39" s="1"/>
  <c r="J87" i="3"/>
  <c r="K87" i="3" s="1"/>
  <c r="X86" i="3"/>
  <c r="D87" i="39"/>
  <c r="M34" i="39" s="1"/>
  <c r="V86" i="3"/>
  <c r="W86" i="3" s="1"/>
  <c r="O86" i="3"/>
  <c r="G157" i="22"/>
  <c r="J157" i="22" l="1"/>
  <c r="L157" i="22" s="1"/>
  <c r="H157" i="22"/>
  <c r="I157" i="22"/>
  <c r="L87" i="3"/>
  <c r="R87" i="3" l="1"/>
  <c r="M87" i="3"/>
  <c r="F158" i="22"/>
  <c r="E158" i="22"/>
  <c r="M157" i="22"/>
  <c r="N157" i="22" s="1"/>
  <c r="O157" i="22" s="1"/>
  <c r="K157" i="22"/>
  <c r="G158" i="22" l="1"/>
  <c r="C148" i="39"/>
  <c r="R14" i="39" s="1"/>
  <c r="C147" i="3"/>
  <c r="N87" i="3"/>
  <c r="Q87" i="3"/>
  <c r="P87" i="3"/>
  <c r="AA87" i="3" s="1"/>
  <c r="Z87" i="3" l="1"/>
  <c r="Y87" i="3"/>
  <c r="D88" i="39"/>
  <c r="M35" i="39" s="1"/>
  <c r="X87" i="3"/>
  <c r="J88" i="3"/>
  <c r="K88" i="3" s="1"/>
  <c r="V87" i="3"/>
  <c r="W87" i="3" s="1"/>
  <c r="O87" i="3"/>
  <c r="K158" i="22"/>
  <c r="J158" i="22"/>
  <c r="L158" i="22" s="1"/>
  <c r="I158" i="22"/>
  <c r="H158" i="22"/>
  <c r="L88" i="3" l="1"/>
  <c r="R88" i="3" s="1"/>
  <c r="M88" i="3"/>
  <c r="F159" i="22"/>
  <c r="E159" i="22"/>
  <c r="M158" i="22"/>
  <c r="N158" i="22" s="1"/>
  <c r="O158" i="22" s="1"/>
  <c r="G159" i="22" l="1"/>
  <c r="C148" i="3"/>
  <c r="C149" i="39"/>
  <c r="R15" i="39" s="1"/>
  <c r="Q88" i="3"/>
  <c r="P88" i="3"/>
  <c r="AA88" i="3" s="1"/>
  <c r="N88" i="3"/>
  <c r="X88" i="3" l="1"/>
  <c r="J89" i="3"/>
  <c r="K89" i="3" s="1"/>
  <c r="D89" i="39"/>
  <c r="M36" i="39" s="1"/>
  <c r="V88" i="3"/>
  <c r="W88" i="3" s="1"/>
  <c r="O88" i="3"/>
  <c r="Z88" i="3"/>
  <c r="Y88" i="3"/>
  <c r="R24" i="39"/>
  <c r="K159" i="22"/>
  <c r="J159" i="22"/>
  <c r="L159" i="22" s="1"/>
  <c r="I159" i="22"/>
  <c r="H159" i="22"/>
  <c r="E160" i="22" l="1"/>
  <c r="F160" i="22"/>
  <c r="G160" i="22" s="1"/>
  <c r="I160" i="22" s="1"/>
  <c r="L89" i="3"/>
  <c r="M159" i="22"/>
  <c r="N159" i="22" s="1"/>
  <c r="O159" i="22" s="1"/>
  <c r="C149" i="3" l="1"/>
  <c r="C150" i="39"/>
  <c r="R16" i="39" s="1"/>
  <c r="R89" i="3"/>
  <c r="M89" i="3"/>
  <c r="H160" i="22"/>
  <c r="J160" i="22"/>
  <c r="L160" i="22" s="1"/>
  <c r="M160" i="22" l="1"/>
  <c r="E161" i="22"/>
  <c r="F161" i="22"/>
  <c r="P89" i="3"/>
  <c r="AA89" i="3" s="1"/>
  <c r="N89" i="3"/>
  <c r="Q89" i="3"/>
  <c r="K160" i="22"/>
  <c r="J90" i="3" l="1"/>
  <c r="K90" i="3" s="1"/>
  <c r="D90" i="39"/>
  <c r="M37" i="39" s="1"/>
  <c r="X89" i="3"/>
  <c r="V89" i="3"/>
  <c r="W89" i="3" s="1"/>
  <c r="O89" i="3"/>
  <c r="Z89" i="3"/>
  <c r="Y89" i="3"/>
  <c r="N160" i="22"/>
  <c r="O160" i="22" s="1"/>
  <c r="G161" i="22"/>
  <c r="J161" i="22" l="1"/>
  <c r="L161" i="22" s="1"/>
  <c r="I161" i="22"/>
  <c r="H161" i="22"/>
  <c r="C150" i="3"/>
  <c r="C151" i="39"/>
  <c r="R17" i="39" s="1"/>
  <c r="L90" i="3"/>
  <c r="R90" i="3" l="1"/>
  <c r="M90" i="3"/>
  <c r="E162" i="22"/>
  <c r="F162" i="22"/>
  <c r="G162" i="22" s="1"/>
  <c r="I162" i="22" s="1"/>
  <c r="M161" i="22"/>
  <c r="N161" i="22" s="1"/>
  <c r="O161" i="22" s="1"/>
  <c r="K161" i="22"/>
  <c r="C152" i="39" l="1"/>
  <c r="R18" i="39" s="1"/>
  <c r="C151" i="3"/>
  <c r="H162" i="22"/>
  <c r="J162" i="22"/>
  <c r="L162" i="22" s="1"/>
  <c r="K162" i="22"/>
  <c r="Q90" i="3"/>
  <c r="P90" i="3"/>
  <c r="AA90" i="3" s="1"/>
  <c r="N90" i="3"/>
  <c r="Z90" i="3" l="1"/>
  <c r="Y90" i="3"/>
  <c r="M162" i="22"/>
  <c r="N162" i="22" s="1"/>
  <c r="O162" i="22" s="1"/>
  <c r="J91" i="3"/>
  <c r="K91" i="3" s="1"/>
  <c r="D91" i="39"/>
  <c r="M38" i="39" s="1"/>
  <c r="X90" i="3"/>
  <c r="V90" i="3"/>
  <c r="W90" i="3" s="1"/>
  <c r="O90" i="3"/>
  <c r="F163" i="22"/>
  <c r="E163" i="22"/>
  <c r="L91" i="3" l="1"/>
  <c r="C152" i="3"/>
  <c r="C153" i="39"/>
  <c r="R19" i="39" s="1"/>
  <c r="G163" i="22"/>
  <c r="J163" i="22" l="1"/>
  <c r="L163" i="22" s="1"/>
  <c r="K163" i="22"/>
  <c r="H163" i="22"/>
  <c r="I163" i="22"/>
  <c r="R91" i="3"/>
  <c r="M91" i="3"/>
  <c r="P91" i="3" l="1"/>
  <c r="AA91" i="3" s="1"/>
  <c r="Q91" i="3"/>
  <c r="N91" i="3"/>
  <c r="F164" i="22"/>
  <c r="E164" i="22"/>
  <c r="M163" i="22"/>
  <c r="N163" i="22" s="1"/>
  <c r="O163" i="22" s="1"/>
  <c r="C153" i="3" l="1"/>
  <c r="C154" i="39"/>
  <c r="R20" i="39" s="1"/>
  <c r="J92" i="3"/>
  <c r="K92" i="3" s="1"/>
  <c r="D92" i="39"/>
  <c r="M39" i="39" s="1"/>
  <c r="X91" i="3"/>
  <c r="V91" i="3"/>
  <c r="W91" i="3" s="1"/>
  <c r="O91" i="3"/>
  <c r="G164" i="22"/>
  <c r="Z91" i="3"/>
  <c r="Y91" i="3"/>
  <c r="J164" i="22" l="1"/>
  <c r="L164" i="22" s="1"/>
  <c r="K164" i="22"/>
  <c r="H164" i="22"/>
  <c r="I164" i="22"/>
  <c r="L92" i="3"/>
  <c r="R92" i="3" l="1"/>
  <c r="M92" i="3"/>
  <c r="F165" i="22"/>
  <c r="G165" i="22" s="1"/>
  <c r="I165" i="22" s="1"/>
  <c r="E165" i="22"/>
  <c r="H165" i="22"/>
  <c r="M164" i="22"/>
  <c r="N164" i="22" s="1"/>
  <c r="O164" i="22" s="1"/>
  <c r="F166" i="22" l="1"/>
  <c r="E166" i="22"/>
  <c r="C155" i="39"/>
  <c r="R21" i="39" s="1"/>
  <c r="C154" i="3"/>
  <c r="J165" i="22"/>
  <c r="L165" i="22" s="1"/>
  <c r="N92" i="3"/>
  <c r="P92" i="3"/>
  <c r="AA92" i="3" s="1"/>
  <c r="Q92" i="3"/>
  <c r="J93" i="3" l="1"/>
  <c r="K93" i="3" s="1"/>
  <c r="X92" i="3"/>
  <c r="D93" i="39"/>
  <c r="M40" i="39" s="1"/>
  <c r="V92" i="3"/>
  <c r="W92" i="3" s="1"/>
  <c r="O92" i="3"/>
  <c r="K165" i="22"/>
  <c r="Z92" i="3"/>
  <c r="Y92" i="3"/>
  <c r="M165" i="22"/>
  <c r="R9" i="39"/>
  <c r="R25" i="39"/>
  <c r="R26" i="39" s="1"/>
  <c r="G166" i="22"/>
  <c r="J166" i="22" l="1"/>
  <c r="L166" i="22" s="1"/>
  <c r="K166" i="22"/>
  <c r="H166" i="22"/>
  <c r="I166" i="22"/>
  <c r="L93" i="3"/>
  <c r="N165" i="22"/>
  <c r="O165" i="22" s="1"/>
  <c r="C156" i="39" l="1"/>
  <c r="S10" i="39" s="1"/>
  <c r="C155" i="3"/>
  <c r="F167" i="22"/>
  <c r="G167" i="22" s="1"/>
  <c r="E167" i="22"/>
  <c r="I167" i="22"/>
  <c r="R93" i="3"/>
  <c r="M93" i="3"/>
  <c r="M166" i="22"/>
  <c r="N166" i="22" s="1"/>
  <c r="O166" i="22" s="1"/>
  <c r="C156" i="3" l="1"/>
  <c r="C157" i="39"/>
  <c r="S11" i="39" s="1"/>
  <c r="J167" i="22"/>
  <c r="L167" i="22" s="1"/>
  <c r="Q93" i="3"/>
  <c r="N93" i="3"/>
  <c r="P93" i="3"/>
  <c r="AA93" i="3" s="1"/>
  <c r="H167" i="22"/>
  <c r="F168" i="22" l="1"/>
  <c r="E168" i="22"/>
  <c r="Z93" i="3"/>
  <c r="Y93" i="3"/>
  <c r="M167" i="22"/>
  <c r="N167" i="22" s="1"/>
  <c r="O167" i="22" s="1"/>
  <c r="D94" i="39"/>
  <c r="M41" i="39" s="1"/>
  <c r="X93" i="3"/>
  <c r="J94" i="3"/>
  <c r="K94" i="3" s="1"/>
  <c r="V93" i="3"/>
  <c r="W93" i="3" s="1"/>
  <c r="O93" i="3"/>
  <c r="K167" i="22"/>
  <c r="L94" i="3" l="1"/>
  <c r="R94" i="3" s="1"/>
  <c r="G168" i="22"/>
  <c r="C158" i="39"/>
  <c r="S12" i="39" s="1"/>
  <c r="C157" i="3"/>
  <c r="M94" i="3"/>
  <c r="N94" i="3" l="1"/>
  <c r="P94" i="3"/>
  <c r="AA94" i="3" s="1"/>
  <c r="Q94" i="3"/>
  <c r="J168" i="22"/>
  <c r="L168" i="22" s="1"/>
  <c r="H168" i="22"/>
  <c r="I168" i="22"/>
  <c r="K168" i="22" l="1"/>
  <c r="M168" i="22"/>
  <c r="N168" i="22" s="1"/>
  <c r="O168" i="22" s="1"/>
  <c r="Z94" i="3"/>
  <c r="Y94" i="3"/>
  <c r="E169" i="22"/>
  <c r="F169" i="22"/>
  <c r="G169" i="22" s="1"/>
  <c r="H169" i="22" s="1"/>
  <c r="J95" i="3"/>
  <c r="K95" i="3" s="1"/>
  <c r="D95" i="39"/>
  <c r="X94" i="3"/>
  <c r="V94" i="3"/>
  <c r="W94" i="3" s="1"/>
  <c r="O94" i="3"/>
  <c r="L95" i="3" l="1"/>
  <c r="R95" i="3" s="1"/>
  <c r="F170" i="22"/>
  <c r="G170" i="22" s="1"/>
  <c r="I170" i="22" s="1"/>
  <c r="E170" i="22"/>
  <c r="C158" i="3"/>
  <c r="C159" i="39"/>
  <c r="S13" i="39" s="1"/>
  <c r="J169" i="22"/>
  <c r="L169" i="22" s="1"/>
  <c r="M95" i="3"/>
  <c r="N30" i="39"/>
  <c r="M42" i="39"/>
  <c r="I169" i="22"/>
  <c r="Q95" i="3" l="1"/>
  <c r="N95" i="3"/>
  <c r="P95" i="3"/>
  <c r="AA95" i="3" s="1"/>
  <c r="M169" i="22"/>
  <c r="J170" i="22"/>
  <c r="L170" i="22" s="1"/>
  <c r="K169" i="22"/>
  <c r="H170" i="22"/>
  <c r="M170" i="22" l="1"/>
  <c r="K170" i="22"/>
  <c r="N169" i="22"/>
  <c r="O169" i="22" s="1"/>
  <c r="D96" i="39"/>
  <c r="N31" i="39" s="1"/>
  <c r="J96" i="3"/>
  <c r="K96" i="3" s="1"/>
  <c r="X95" i="3"/>
  <c r="V95" i="3"/>
  <c r="W95" i="3" s="1"/>
  <c r="O95" i="3"/>
  <c r="E171" i="22"/>
  <c r="F171" i="22"/>
  <c r="Z95" i="3"/>
  <c r="Y95" i="3"/>
  <c r="L96" i="3" l="1"/>
  <c r="N170" i="22"/>
  <c r="O170" i="22" s="1"/>
  <c r="C159" i="3"/>
  <c r="C160" i="39"/>
  <c r="S14" i="39" s="1"/>
  <c r="G171" i="22"/>
  <c r="C161" i="39" l="1"/>
  <c r="S15" i="39" s="1"/>
  <c r="C160" i="3"/>
  <c r="J171" i="22"/>
  <c r="L171" i="22" s="1"/>
  <c r="I171" i="22"/>
  <c r="H171" i="22"/>
  <c r="R96" i="3"/>
  <c r="M96" i="3"/>
  <c r="K171" i="22" l="1"/>
  <c r="F172" i="22"/>
  <c r="E172" i="22"/>
  <c r="M171" i="22"/>
  <c r="N171" i="22" s="1"/>
  <c r="O171" i="22" s="1"/>
  <c r="S24" i="39"/>
  <c r="P96" i="3"/>
  <c r="AA96" i="3" s="1"/>
  <c r="N96" i="3"/>
  <c r="Q96" i="3"/>
  <c r="G172" i="22" l="1"/>
  <c r="Z96" i="3"/>
  <c r="Y96" i="3"/>
  <c r="C162" i="39"/>
  <c r="S16" i="39" s="1"/>
  <c r="C161" i="3"/>
  <c r="J97" i="3"/>
  <c r="K97" i="3" s="1"/>
  <c r="X96" i="3"/>
  <c r="D97" i="39"/>
  <c r="N32" i="39" s="1"/>
  <c r="V96" i="3"/>
  <c r="W96" i="3" s="1"/>
  <c r="O96" i="3"/>
  <c r="L97" i="3" l="1"/>
  <c r="J172" i="22"/>
  <c r="L172" i="22" s="1"/>
  <c r="I172" i="22"/>
  <c r="H172" i="22"/>
  <c r="F173" i="22" l="1"/>
  <c r="E173" i="22"/>
  <c r="M172" i="22"/>
  <c r="K172" i="22"/>
  <c r="R97" i="3"/>
  <c r="M97" i="3"/>
  <c r="P97" i="3" l="1"/>
  <c r="AA97" i="3" s="1"/>
  <c r="Q97" i="3"/>
  <c r="N97" i="3"/>
  <c r="N172" i="22"/>
  <c r="O172" i="22" s="1"/>
  <c r="G173" i="22"/>
  <c r="J173" i="22" l="1"/>
  <c r="L173" i="22" s="1"/>
  <c r="I173" i="22"/>
  <c r="H173" i="22"/>
  <c r="J98" i="3"/>
  <c r="K98" i="3" s="1"/>
  <c r="X97" i="3"/>
  <c r="D98" i="39"/>
  <c r="N33" i="39" s="1"/>
  <c r="V97" i="3"/>
  <c r="W97" i="3" s="1"/>
  <c r="O97" i="3"/>
  <c r="C162" i="3"/>
  <c r="C163" i="39"/>
  <c r="S17" i="39" s="1"/>
  <c r="Z97" i="3"/>
  <c r="Y97" i="3"/>
  <c r="F174" i="22" l="1"/>
  <c r="G174" i="22" s="1"/>
  <c r="I174" i="22" s="1"/>
  <c r="E174" i="22"/>
  <c r="L98" i="3"/>
  <c r="K173" i="22"/>
  <c r="M173" i="22"/>
  <c r="N173" i="22" s="1"/>
  <c r="O173" i="22" s="1"/>
  <c r="R98" i="3" l="1"/>
  <c r="M98" i="3"/>
  <c r="J174" i="22"/>
  <c r="L174" i="22" s="1"/>
  <c r="C164" i="39"/>
  <c r="S18" i="39" s="1"/>
  <c r="C163" i="3"/>
  <c r="H174" i="22"/>
  <c r="M174" i="22" l="1"/>
  <c r="K174" i="22"/>
  <c r="F175" i="22"/>
  <c r="E175" i="22"/>
  <c r="P98" i="3"/>
  <c r="AA98" i="3" s="1"/>
  <c r="N98" i="3"/>
  <c r="Q98" i="3"/>
  <c r="Z98" i="3" l="1"/>
  <c r="Y98" i="3"/>
  <c r="G175" i="22"/>
  <c r="X98" i="3"/>
  <c r="J99" i="3"/>
  <c r="K99" i="3" s="1"/>
  <c r="D99" i="39"/>
  <c r="N34" i="39" s="1"/>
  <c r="V98" i="3"/>
  <c r="W98" i="3" s="1"/>
  <c r="O98" i="3"/>
  <c r="N174" i="22"/>
  <c r="O174" i="22" s="1"/>
  <c r="C165" i="39" l="1"/>
  <c r="S19" i="39" s="1"/>
  <c r="C164" i="3"/>
  <c r="L99" i="3"/>
  <c r="J175" i="22"/>
  <c r="L175" i="22" s="1"/>
  <c r="I175" i="22"/>
  <c r="H175" i="22"/>
  <c r="M175" i="22" l="1"/>
  <c r="R99" i="3"/>
  <c r="M99" i="3"/>
  <c r="F176" i="22"/>
  <c r="G176" i="22" s="1"/>
  <c r="E176" i="22"/>
  <c r="K175" i="22"/>
  <c r="P99" i="3" l="1"/>
  <c r="AA99" i="3" s="1"/>
  <c r="Q99" i="3"/>
  <c r="N99" i="3"/>
  <c r="J176" i="22"/>
  <c r="L176" i="22" s="1"/>
  <c r="I176" i="22"/>
  <c r="H176" i="22"/>
  <c r="N175" i="22"/>
  <c r="O175" i="22" s="1"/>
  <c r="C166" i="39" l="1"/>
  <c r="S20" i="39" s="1"/>
  <c r="C165" i="3"/>
  <c r="X99" i="3"/>
  <c r="D100" i="39"/>
  <c r="N35" i="39" s="1"/>
  <c r="J100" i="3"/>
  <c r="K100" i="3" s="1"/>
  <c r="V99" i="3"/>
  <c r="W99" i="3" s="1"/>
  <c r="O99" i="3"/>
  <c r="M176" i="22"/>
  <c r="N176" i="22" s="1"/>
  <c r="O176" i="22" s="1"/>
  <c r="K176" i="22"/>
  <c r="Z99" i="3"/>
  <c r="Y99" i="3"/>
  <c r="F177" i="22"/>
  <c r="E177" i="22"/>
  <c r="C166" i="3" l="1"/>
  <c r="C167" i="39"/>
  <c r="S21" i="39" s="1"/>
  <c r="G177" i="22"/>
  <c r="L100" i="3"/>
  <c r="R100" i="3" l="1"/>
  <c r="M100" i="3"/>
  <c r="S9" i="39"/>
  <c r="S25" i="39"/>
  <c r="S26" i="39" s="1"/>
  <c r="J177" i="22"/>
  <c r="L177" i="22" s="1"/>
  <c r="I177" i="22"/>
  <c r="H177" i="22"/>
  <c r="F178" i="22" l="1"/>
  <c r="E178" i="22"/>
  <c r="K177" i="22"/>
  <c r="M177" i="22"/>
  <c r="N177" i="22" s="1"/>
  <c r="O177" i="22" s="1"/>
  <c r="Q100" i="3"/>
  <c r="N100" i="3"/>
  <c r="P100" i="3"/>
  <c r="AA100" i="3" s="1"/>
  <c r="Z100" i="3" l="1"/>
  <c r="Y100" i="3"/>
  <c r="X100" i="3"/>
  <c r="J101" i="3"/>
  <c r="K101" i="3" s="1"/>
  <c r="D101" i="39"/>
  <c r="N36" i="39" s="1"/>
  <c r="V100" i="3"/>
  <c r="W100" i="3" s="1"/>
  <c r="O100" i="3"/>
  <c r="G178" i="22"/>
  <c r="C168" i="39"/>
  <c r="T10" i="39" s="1"/>
  <c r="C167" i="3"/>
  <c r="J178" i="22" l="1"/>
  <c r="L178" i="22" s="1"/>
  <c r="H178" i="22"/>
  <c r="I178" i="22"/>
  <c r="L101" i="3"/>
  <c r="R101" i="3" l="1"/>
  <c r="M101" i="3"/>
  <c r="M178" i="22"/>
  <c r="K178" i="22"/>
  <c r="F179" i="22"/>
  <c r="E179" i="22"/>
  <c r="N178" i="22" l="1"/>
  <c r="O178" i="22" s="1"/>
  <c r="N101" i="3"/>
  <c r="P101" i="3"/>
  <c r="AA101" i="3" s="1"/>
  <c r="Q101" i="3"/>
  <c r="G179" i="22"/>
  <c r="J179" i="22" l="1"/>
  <c r="L179" i="22" s="1"/>
  <c r="K179" i="22"/>
  <c r="H179" i="22"/>
  <c r="I179" i="22"/>
  <c r="Z101" i="3"/>
  <c r="Y101" i="3"/>
  <c r="X101" i="3"/>
  <c r="J102" i="3"/>
  <c r="K102" i="3" s="1"/>
  <c r="D102" i="39"/>
  <c r="N37" i="39" s="1"/>
  <c r="V101" i="3"/>
  <c r="W101" i="3" s="1"/>
  <c r="O101" i="3"/>
  <c r="C169" i="39"/>
  <c r="T11" i="39" s="1"/>
  <c r="C168" i="3"/>
  <c r="E180" i="22" l="1"/>
  <c r="F180" i="22"/>
  <c r="G180" i="22" s="1"/>
  <c r="L102" i="3"/>
  <c r="M179" i="22"/>
  <c r="N179" i="22" s="1"/>
  <c r="O179" i="22" s="1"/>
  <c r="C169" i="3" l="1"/>
  <c r="C170" i="39"/>
  <c r="T12" i="39" s="1"/>
  <c r="J180" i="22"/>
  <c r="L180" i="22" s="1"/>
  <c r="I180" i="22"/>
  <c r="R102" i="3"/>
  <c r="M102" i="3"/>
  <c r="H180" i="22"/>
  <c r="Q102" i="3" l="1"/>
  <c r="N102" i="3"/>
  <c r="P102" i="3"/>
  <c r="AA102" i="3" s="1"/>
  <c r="F181" i="22"/>
  <c r="G181" i="22" s="1"/>
  <c r="I181" i="22" s="1"/>
  <c r="E181" i="22"/>
  <c r="K180" i="22"/>
  <c r="M180" i="22"/>
  <c r="J181" i="22" l="1"/>
  <c r="L181" i="22" s="1"/>
  <c r="H181" i="22"/>
  <c r="J103" i="3"/>
  <c r="K103" i="3" s="1"/>
  <c r="D103" i="39"/>
  <c r="N38" i="39" s="1"/>
  <c r="X102" i="3"/>
  <c r="V102" i="3"/>
  <c r="W102" i="3" s="1"/>
  <c r="O102" i="3"/>
  <c r="N180" i="22"/>
  <c r="O180" i="22" s="1"/>
  <c r="Z102" i="3"/>
  <c r="Y102" i="3"/>
  <c r="C171" i="39" l="1"/>
  <c r="T13" i="39" s="1"/>
  <c r="C170" i="3"/>
  <c r="E182" i="22"/>
  <c r="F182" i="22"/>
  <c r="G182" i="22" s="1"/>
  <c r="I182" i="22" s="1"/>
  <c r="L103" i="3"/>
  <c r="K181" i="22"/>
  <c r="M181" i="22"/>
  <c r="N181" i="22" s="1"/>
  <c r="O181" i="22" s="1"/>
  <c r="R103" i="3" l="1"/>
  <c r="M103" i="3"/>
  <c r="H182" i="22"/>
  <c r="J182" i="22"/>
  <c r="L182" i="22" s="1"/>
  <c r="C172" i="39"/>
  <c r="T14" i="39" s="1"/>
  <c r="C171" i="3"/>
  <c r="M182" i="22" l="1"/>
  <c r="N182" i="22" s="1"/>
  <c r="O182" i="22" s="1"/>
  <c r="F183" i="22"/>
  <c r="E183" i="22"/>
  <c r="N103" i="3"/>
  <c r="Q103" i="3"/>
  <c r="P103" i="3"/>
  <c r="AA103" i="3" s="1"/>
  <c r="K182" i="22"/>
  <c r="J104" i="3" l="1"/>
  <c r="K104" i="3" s="1"/>
  <c r="X103" i="3"/>
  <c r="D104" i="39"/>
  <c r="N39" i="39" s="1"/>
  <c r="V103" i="3"/>
  <c r="W103" i="3" s="1"/>
  <c r="O103" i="3"/>
  <c r="C172" i="3"/>
  <c r="C173" i="39"/>
  <c r="T15" i="39" s="1"/>
  <c r="T24" i="39" s="1"/>
  <c r="Y103" i="3"/>
  <c r="Z103" i="3"/>
  <c r="G183" i="22"/>
  <c r="J183" i="22" l="1"/>
  <c r="L183" i="22" s="1"/>
  <c r="H183" i="22"/>
  <c r="I183" i="22"/>
  <c r="L104" i="3"/>
  <c r="R104" i="3" l="1"/>
  <c r="M104" i="3"/>
  <c r="F184" i="22"/>
  <c r="E184" i="22"/>
  <c r="K183" i="22"/>
  <c r="M183" i="22"/>
  <c r="N183" i="22" s="1"/>
  <c r="O183" i="22" s="1"/>
  <c r="G184" i="22" l="1"/>
  <c r="P104" i="3"/>
  <c r="AA104" i="3" s="1"/>
  <c r="Q104" i="3"/>
  <c r="N104" i="3"/>
  <c r="C173" i="3"/>
  <c r="C174" i="39"/>
  <c r="T16" i="39" s="1"/>
  <c r="J105" i="3" l="1"/>
  <c r="K105" i="3" s="1"/>
  <c r="D105" i="39"/>
  <c r="N40" i="39" s="1"/>
  <c r="X104" i="3"/>
  <c r="V104" i="3"/>
  <c r="W104" i="3" s="1"/>
  <c r="O104" i="3"/>
  <c r="Z104" i="3"/>
  <c r="Y104" i="3"/>
  <c r="J184" i="22"/>
  <c r="L184" i="22" s="1"/>
  <c r="H184" i="22"/>
  <c r="I184" i="22"/>
  <c r="M184" i="22" l="1"/>
  <c r="K184" i="22"/>
  <c r="L105" i="3"/>
  <c r="F185" i="22"/>
  <c r="E185" i="22"/>
  <c r="R105" i="3" l="1"/>
  <c r="M105" i="3"/>
  <c r="G185" i="22"/>
  <c r="N184" i="22"/>
  <c r="O184" i="22" s="1"/>
  <c r="J185" i="22" l="1"/>
  <c r="L185" i="22" s="1"/>
  <c r="K185" i="22"/>
  <c r="I185" i="22"/>
  <c r="H185" i="22"/>
  <c r="N105" i="3"/>
  <c r="P105" i="3"/>
  <c r="AA105" i="3" s="1"/>
  <c r="Q105" i="3"/>
  <c r="C174" i="3"/>
  <c r="C175" i="39"/>
  <c r="T17" i="39" s="1"/>
  <c r="Z105" i="3" l="1"/>
  <c r="Y105" i="3"/>
  <c r="F186" i="22"/>
  <c r="E186" i="22"/>
  <c r="X105" i="3"/>
  <c r="J106" i="3"/>
  <c r="K106" i="3" s="1"/>
  <c r="D106" i="39"/>
  <c r="N41" i="39" s="1"/>
  <c r="V105" i="3"/>
  <c r="W105" i="3" s="1"/>
  <c r="O105" i="3"/>
  <c r="M185" i="22"/>
  <c r="N185" i="22" s="1"/>
  <c r="O185" i="22" s="1"/>
  <c r="L106" i="3" l="1"/>
  <c r="R106" i="3" s="1"/>
  <c r="C175" i="3"/>
  <c r="C176" i="39"/>
  <c r="T18" i="39" s="1"/>
  <c r="M106" i="3"/>
  <c r="G186" i="22"/>
  <c r="N106" i="3" l="1"/>
  <c r="P106" i="3"/>
  <c r="AA106" i="3" s="1"/>
  <c r="Q106" i="3"/>
  <c r="J186" i="22"/>
  <c r="L186" i="22" s="1"/>
  <c r="I186" i="22"/>
  <c r="H186" i="22"/>
  <c r="M186" i="22" l="1"/>
  <c r="E187" i="22"/>
  <c r="F187" i="22"/>
  <c r="G187" i="22" s="1"/>
  <c r="H187" i="22" s="1"/>
  <c r="K186" i="22"/>
  <c r="Z106" i="3"/>
  <c r="Y106" i="3"/>
  <c r="J107" i="3"/>
  <c r="K107" i="3" s="1"/>
  <c r="D107" i="39"/>
  <c r="X106" i="3"/>
  <c r="V106" i="3"/>
  <c r="W106" i="3" s="1"/>
  <c r="O106" i="3"/>
  <c r="L107" i="3" l="1"/>
  <c r="R107" i="3" s="1"/>
  <c r="E188" i="22"/>
  <c r="F188" i="22"/>
  <c r="G188" i="22" s="1"/>
  <c r="H188" i="22" s="1"/>
  <c r="J187" i="22"/>
  <c r="L187" i="22" s="1"/>
  <c r="I187" i="22"/>
  <c r="N42" i="39"/>
  <c r="O30" i="39"/>
  <c r="N186" i="22"/>
  <c r="O186" i="22" s="1"/>
  <c r="M107" i="3"/>
  <c r="E189" i="22" l="1"/>
  <c r="F189" i="22"/>
  <c r="G189" i="22" s="1"/>
  <c r="C176" i="3"/>
  <c r="C177" i="39"/>
  <c r="T19" i="39" s="1"/>
  <c r="K187" i="22"/>
  <c r="L188" i="22"/>
  <c r="M187" i="22"/>
  <c r="N187" i="22" s="1"/>
  <c r="O187" i="22" s="1"/>
  <c r="I188" i="22"/>
  <c r="N107" i="3"/>
  <c r="P107" i="3"/>
  <c r="AA107" i="3" s="1"/>
  <c r="Q107" i="3"/>
  <c r="J188" i="22"/>
  <c r="K188" i="22"/>
  <c r="C177" i="3" l="1"/>
  <c r="C178" i="39"/>
  <c r="T20" i="39" s="1"/>
  <c r="J189" i="22"/>
  <c r="K189" i="22" s="1"/>
  <c r="H189" i="22"/>
  <c r="L189" i="22"/>
  <c r="Z107" i="3"/>
  <c r="Y107" i="3"/>
  <c r="J108" i="3"/>
  <c r="K108" i="3" s="1"/>
  <c r="X107" i="3"/>
  <c r="D108" i="39"/>
  <c r="O31" i="39" s="1"/>
  <c r="V107" i="3"/>
  <c r="W107" i="3" s="1"/>
  <c r="O107" i="3"/>
  <c r="M188" i="22"/>
  <c r="N188" i="22" s="1"/>
  <c r="O188" i="22" s="1"/>
  <c r="I189" i="22"/>
  <c r="L108" i="3" l="1"/>
  <c r="R108" i="3" s="1"/>
  <c r="E190" i="22"/>
  <c r="F190" i="22"/>
  <c r="G190" i="22" s="1"/>
  <c r="M108" i="3"/>
  <c r="M189" i="22"/>
  <c r="N189" i="22" s="1"/>
  <c r="O189" i="22" s="1"/>
  <c r="C179" i="39"/>
  <c r="T21" i="39" s="1"/>
  <c r="C178" i="3"/>
  <c r="N108" i="3" l="1"/>
  <c r="P108" i="3"/>
  <c r="AA108" i="3" s="1"/>
  <c r="Q108" i="3"/>
  <c r="C179" i="3"/>
  <c r="C180" i="39"/>
  <c r="U10" i="39" s="1"/>
  <c r="T9" i="39"/>
  <c r="T25" i="39"/>
  <c r="T26" i="39" s="1"/>
  <c r="J190" i="22"/>
  <c r="L190" i="22" s="1"/>
  <c r="I190" i="22"/>
  <c r="H190" i="22"/>
  <c r="M190" i="22" l="1"/>
  <c r="K190" i="22"/>
  <c r="F191" i="22"/>
  <c r="G191" i="22" s="1"/>
  <c r="E191" i="22"/>
  <c r="H191" i="22"/>
  <c r="D109" i="39"/>
  <c r="O32" i="39" s="1"/>
  <c r="J109" i="3"/>
  <c r="K109" i="3" s="1"/>
  <c r="X108" i="3"/>
  <c r="V108" i="3"/>
  <c r="W108" i="3" s="1"/>
  <c r="O108" i="3"/>
  <c r="Z108" i="3"/>
  <c r="Y108" i="3"/>
  <c r="J191" i="22" l="1"/>
  <c r="L191" i="22" s="1"/>
  <c r="N190" i="22"/>
  <c r="O190" i="22" s="1"/>
  <c r="E192" i="22"/>
  <c r="F192" i="22"/>
  <c r="G192" i="22" s="1"/>
  <c r="I191" i="22"/>
  <c r="L109" i="3"/>
  <c r="J192" i="22" l="1"/>
  <c r="K192" i="22"/>
  <c r="C181" i="39"/>
  <c r="U11" i="39" s="1"/>
  <c r="C180" i="3"/>
  <c r="R109" i="3"/>
  <c r="M109" i="3"/>
  <c r="I192" i="22"/>
  <c r="K191" i="22"/>
  <c r="H192" i="22"/>
  <c r="L192" i="22"/>
  <c r="M191" i="22"/>
  <c r="N191" i="22" l="1"/>
  <c r="O191" i="22" s="1"/>
  <c r="M192" i="22"/>
  <c r="N192" i="22" s="1"/>
  <c r="O192" i="22" s="1"/>
  <c r="E193" i="22"/>
  <c r="F193" i="22"/>
  <c r="G193" i="22" s="1"/>
  <c r="I193" i="22" s="1"/>
  <c r="P109" i="3"/>
  <c r="AA109" i="3" s="1"/>
  <c r="N109" i="3"/>
  <c r="Q109" i="3"/>
  <c r="X109" i="3" l="1"/>
  <c r="D110" i="39"/>
  <c r="O33" i="39" s="1"/>
  <c r="J110" i="3"/>
  <c r="K110" i="3" s="1"/>
  <c r="V109" i="3"/>
  <c r="W109" i="3" s="1"/>
  <c r="O109" i="3"/>
  <c r="J193" i="22"/>
  <c r="L193" i="22" s="1"/>
  <c r="C181" i="3"/>
  <c r="C182" i="39"/>
  <c r="U12" i="39" s="1"/>
  <c r="Z109" i="3"/>
  <c r="Y109" i="3"/>
  <c r="C183" i="39"/>
  <c r="U13" i="39" s="1"/>
  <c r="C182" i="3"/>
  <c r="H193" i="22"/>
  <c r="L110" i="3" l="1"/>
  <c r="R110" i="3" s="1"/>
  <c r="K193" i="22"/>
  <c r="E194" i="22"/>
  <c r="F194" i="22"/>
  <c r="G194" i="22" s="1"/>
  <c r="I194" i="22" s="1"/>
  <c r="M193" i="22"/>
  <c r="N193" i="22" s="1"/>
  <c r="O193" i="22" s="1"/>
  <c r="M110" i="3"/>
  <c r="C183" i="3" l="1"/>
  <c r="C184" i="39"/>
  <c r="U14" i="39" s="1"/>
  <c r="H194" i="22"/>
  <c r="J194" i="22"/>
  <c r="L194" i="22" s="1"/>
  <c r="N110" i="3"/>
  <c r="Q110" i="3"/>
  <c r="P110" i="3"/>
  <c r="AA110" i="3" s="1"/>
  <c r="M194" i="22" l="1"/>
  <c r="E195" i="22"/>
  <c r="F195" i="22"/>
  <c r="G195" i="22" s="1"/>
  <c r="X110" i="3"/>
  <c r="D111" i="39"/>
  <c r="O34" i="39" s="1"/>
  <c r="J111" i="3"/>
  <c r="K111" i="3" s="1"/>
  <c r="V110" i="3"/>
  <c r="W110" i="3" s="1"/>
  <c r="O110" i="3"/>
  <c r="Z110" i="3"/>
  <c r="Y110" i="3"/>
  <c r="K194" i="22"/>
  <c r="L111" i="3" l="1"/>
  <c r="R111" i="3" s="1"/>
  <c r="J195" i="22"/>
  <c r="L195" i="22" s="1"/>
  <c r="I195" i="22"/>
  <c r="N194" i="22"/>
  <c r="O194" i="22" s="1"/>
  <c r="H195" i="22"/>
  <c r="M111" i="3"/>
  <c r="E196" i="22" l="1"/>
  <c r="F196" i="22"/>
  <c r="G196" i="22" s="1"/>
  <c r="H196" i="22" s="1"/>
  <c r="C184" i="3"/>
  <c r="C185" i="39"/>
  <c r="U15" i="39" s="1"/>
  <c r="K195" i="22"/>
  <c r="P111" i="3"/>
  <c r="AA111" i="3" s="1"/>
  <c r="Q111" i="3"/>
  <c r="N111" i="3"/>
  <c r="M195" i="22"/>
  <c r="E197" i="22" l="1"/>
  <c r="F197" i="22"/>
  <c r="G197" i="22" s="1"/>
  <c r="I197" i="22" s="1"/>
  <c r="Y111" i="3"/>
  <c r="Z111" i="3"/>
  <c r="U24" i="39"/>
  <c r="D112" i="39"/>
  <c r="O35" i="39" s="1"/>
  <c r="J112" i="3"/>
  <c r="K112" i="3" s="1"/>
  <c r="X111" i="3"/>
  <c r="V111" i="3"/>
  <c r="W111" i="3" s="1"/>
  <c r="O111" i="3"/>
  <c r="J196" i="22"/>
  <c r="L196" i="22" s="1"/>
  <c r="K196" i="22"/>
  <c r="I196" i="22"/>
  <c r="N195" i="22"/>
  <c r="O195" i="22" s="1"/>
  <c r="L112" i="3" l="1"/>
  <c r="R112" i="3" s="1"/>
  <c r="C185" i="3"/>
  <c r="C186" i="39"/>
  <c r="U16" i="39" s="1"/>
  <c r="M112" i="3"/>
  <c r="M196" i="22"/>
  <c r="N196" i="22" s="1"/>
  <c r="O196" i="22" s="1"/>
  <c r="H197" i="22"/>
  <c r="J197" i="22"/>
  <c r="L197" i="22" s="1"/>
  <c r="M197" i="22" l="1"/>
  <c r="C186" i="3"/>
  <c r="C187" i="39"/>
  <c r="U17" i="39" s="1"/>
  <c r="K197" i="22"/>
  <c r="E198" i="22"/>
  <c r="F198" i="22"/>
  <c r="G198" i="22" s="1"/>
  <c r="N112" i="3"/>
  <c r="P112" i="3"/>
  <c r="AA112" i="3" s="1"/>
  <c r="Q112" i="3"/>
  <c r="J198" i="22" l="1"/>
  <c r="L198" i="22" s="1"/>
  <c r="H198" i="22"/>
  <c r="N197" i="22"/>
  <c r="O197" i="22" s="1"/>
  <c r="Y112" i="3"/>
  <c r="Z112" i="3"/>
  <c r="X112" i="3"/>
  <c r="D113" i="39"/>
  <c r="O36" i="39" s="1"/>
  <c r="J113" i="3"/>
  <c r="K113" i="3" s="1"/>
  <c r="V112" i="3"/>
  <c r="W112" i="3" s="1"/>
  <c r="O112" i="3"/>
  <c r="I198" i="22"/>
  <c r="L113" i="3" l="1"/>
  <c r="R113" i="3" s="1"/>
  <c r="M113" i="3"/>
  <c r="E199" i="22"/>
  <c r="F199" i="22"/>
  <c r="G199" i="22" s="1"/>
  <c r="I199" i="22" s="1"/>
  <c r="M198" i="22"/>
  <c r="N198" i="22" s="1"/>
  <c r="O198" i="22" s="1"/>
  <c r="K198" i="22"/>
  <c r="C188" i="39"/>
  <c r="U18" i="39" s="1"/>
  <c r="C187" i="3"/>
  <c r="C188" i="3" l="1"/>
  <c r="C189" i="39"/>
  <c r="U19" i="39" s="1"/>
  <c r="H199" i="22"/>
  <c r="J199" i="22"/>
  <c r="L199" i="22" s="1"/>
  <c r="P113" i="3"/>
  <c r="AA113" i="3" s="1"/>
  <c r="N113" i="3"/>
  <c r="Q113" i="3"/>
  <c r="D114" i="39" l="1"/>
  <c r="O37" i="39" s="1"/>
  <c r="J114" i="3"/>
  <c r="K114" i="3" s="1"/>
  <c r="X113" i="3"/>
  <c r="V113" i="3"/>
  <c r="W113" i="3" s="1"/>
  <c r="O113" i="3"/>
  <c r="K199" i="22"/>
  <c r="M199" i="22"/>
  <c r="N199" i="22" s="1"/>
  <c r="O199" i="22" s="1"/>
  <c r="Z113" i="3"/>
  <c r="Y113" i="3"/>
  <c r="F200" i="22"/>
  <c r="E200" i="22"/>
  <c r="C189" i="3" l="1"/>
  <c r="C190" i="39"/>
  <c r="U20" i="39" s="1"/>
  <c r="L114" i="3"/>
  <c r="G200" i="22"/>
  <c r="R114" i="3" l="1"/>
  <c r="M114" i="3"/>
  <c r="J200" i="22"/>
  <c r="L200" i="22" s="1"/>
  <c r="I200" i="22"/>
  <c r="H200" i="22"/>
  <c r="E201" i="22" l="1"/>
  <c r="F201" i="22"/>
  <c r="G201" i="22" s="1"/>
  <c r="Q114" i="3"/>
  <c r="N114" i="3"/>
  <c r="P114" i="3"/>
  <c r="AA114" i="3" s="1"/>
  <c r="M200" i="22"/>
  <c r="N200" i="22" s="1"/>
  <c r="O200" i="22" s="1"/>
  <c r="K200" i="22"/>
  <c r="Z114" i="3" l="1"/>
  <c r="Y114" i="3"/>
  <c r="J201" i="22"/>
  <c r="L201" i="22" s="1"/>
  <c r="K201" i="22"/>
  <c r="H201" i="22"/>
  <c r="C190" i="3"/>
  <c r="C191" i="39"/>
  <c r="U21" i="39" s="1"/>
  <c r="D115" i="39"/>
  <c r="O38" i="39" s="1"/>
  <c r="J115" i="3"/>
  <c r="K115" i="3" s="1"/>
  <c r="X114" i="3"/>
  <c r="V114" i="3"/>
  <c r="W114" i="3" s="1"/>
  <c r="O114" i="3"/>
  <c r="I201" i="22"/>
  <c r="L115" i="3" l="1"/>
  <c r="R115" i="3" s="1"/>
  <c r="E202" i="22"/>
  <c r="F202" i="22"/>
  <c r="G202" i="22" s="1"/>
  <c r="H202" i="22" s="1"/>
  <c r="M115" i="3"/>
  <c r="M201" i="22"/>
  <c r="N201" i="22" s="1"/>
  <c r="O201" i="22" s="1"/>
  <c r="U9" i="39"/>
  <c r="U25" i="39"/>
  <c r="U26" i="39" s="1"/>
  <c r="F203" i="22" l="1"/>
  <c r="E203" i="22"/>
  <c r="Q115" i="3"/>
  <c r="N115" i="3"/>
  <c r="P115" i="3"/>
  <c r="AA115" i="3" s="1"/>
  <c r="J202" i="22"/>
  <c r="L202" i="22" s="1"/>
  <c r="C192" i="39"/>
  <c r="V10" i="39" s="1"/>
  <c r="C191" i="3"/>
  <c r="I202" i="22"/>
  <c r="M202" i="22" l="1"/>
  <c r="K202" i="22"/>
  <c r="D116" i="39"/>
  <c r="O39" i="39" s="1"/>
  <c r="J116" i="3"/>
  <c r="K116" i="3" s="1"/>
  <c r="X115" i="3"/>
  <c r="V115" i="3"/>
  <c r="W115" i="3" s="1"/>
  <c r="O115" i="3"/>
  <c r="Z115" i="3"/>
  <c r="Y115" i="3"/>
  <c r="G203" i="22"/>
  <c r="J203" i="22" l="1"/>
  <c r="L203" i="22" s="1"/>
  <c r="H203" i="22"/>
  <c r="I203" i="22"/>
  <c r="L116" i="3"/>
  <c r="N202" i="22"/>
  <c r="O202" i="22" s="1"/>
  <c r="C193" i="39" l="1"/>
  <c r="V11" i="39" s="1"/>
  <c r="C192" i="3"/>
  <c r="F204" i="22"/>
  <c r="E204" i="22"/>
  <c r="K203" i="22"/>
  <c r="R116" i="3"/>
  <c r="M116" i="3"/>
  <c r="M203" i="22"/>
  <c r="N203" i="22" s="1"/>
  <c r="O203" i="22" s="1"/>
  <c r="Q116" i="3" l="1"/>
  <c r="N116" i="3"/>
  <c r="P116" i="3"/>
  <c r="AA116" i="3" s="1"/>
  <c r="C193" i="3"/>
  <c r="C194" i="39"/>
  <c r="V12" i="39" s="1"/>
  <c r="G204" i="22"/>
  <c r="J204" i="22" l="1"/>
  <c r="L204" i="22" s="1"/>
  <c r="K204" i="22"/>
  <c r="I204" i="22"/>
  <c r="H204" i="22"/>
  <c r="D117" i="39"/>
  <c r="O40" i="39" s="1"/>
  <c r="X116" i="3"/>
  <c r="J117" i="3"/>
  <c r="K117" i="3" s="1"/>
  <c r="V116" i="3"/>
  <c r="W116" i="3" s="1"/>
  <c r="O116" i="3"/>
  <c r="Z116" i="3"/>
  <c r="Y116" i="3"/>
  <c r="L117" i="3" l="1"/>
  <c r="R117" i="3" s="1"/>
  <c r="M117" i="3"/>
  <c r="E205" i="22"/>
  <c r="F205" i="22"/>
  <c r="G205" i="22" s="1"/>
  <c r="M204" i="22"/>
  <c r="N204" i="22" s="1"/>
  <c r="O204" i="22" s="1"/>
  <c r="J205" i="22" l="1"/>
  <c r="L205" i="22" s="1"/>
  <c r="K205" i="22"/>
  <c r="C195" i="39"/>
  <c r="V13" i="39" s="1"/>
  <c r="C194" i="3"/>
  <c r="I205" i="22"/>
  <c r="H205" i="22"/>
  <c r="N117" i="3"/>
  <c r="Q117" i="3"/>
  <c r="P117" i="3"/>
  <c r="AA117" i="3" s="1"/>
  <c r="Z117" i="3" l="1"/>
  <c r="Y117" i="3"/>
  <c r="E206" i="22"/>
  <c r="F206" i="22"/>
  <c r="G206" i="22" s="1"/>
  <c r="D118" i="39"/>
  <c r="O41" i="39" s="1"/>
  <c r="X117" i="3"/>
  <c r="J118" i="3"/>
  <c r="K118" i="3" s="1"/>
  <c r="V117" i="3"/>
  <c r="W117" i="3" s="1"/>
  <c r="O117" i="3"/>
  <c r="M205" i="22"/>
  <c r="N205" i="22" s="1"/>
  <c r="O205" i="22" s="1"/>
  <c r="L118" i="3" l="1"/>
  <c r="J206" i="22"/>
  <c r="L206" i="22" s="1"/>
  <c r="K206" i="22"/>
  <c r="H206" i="22"/>
  <c r="I206" i="22"/>
  <c r="C195" i="3"/>
  <c r="C196" i="39"/>
  <c r="V14" i="39" s="1"/>
  <c r="R118" i="3" l="1"/>
  <c r="M118" i="3"/>
  <c r="F207" i="22"/>
  <c r="G207" i="22" s="1"/>
  <c r="I207" i="22" s="1"/>
  <c r="E207" i="22"/>
  <c r="M206" i="22"/>
  <c r="N206" i="22" s="1"/>
  <c r="O206" i="22" s="1"/>
  <c r="Q118" i="3" l="1"/>
  <c r="P118" i="3"/>
  <c r="AA118" i="3" s="1"/>
  <c r="N118" i="3"/>
  <c r="C196" i="3"/>
  <c r="C197" i="39"/>
  <c r="V15" i="39" s="1"/>
  <c r="J207" i="22"/>
  <c r="L207" i="22" s="1"/>
  <c r="H207" i="22"/>
  <c r="D119" i="39" l="1"/>
  <c r="X118" i="3"/>
  <c r="O118" i="3"/>
  <c r="J119" i="3"/>
  <c r="K119" i="3" s="1"/>
  <c r="L119" i="3" s="1"/>
  <c r="V118" i="3"/>
  <c r="W118" i="3" s="1"/>
  <c r="Z118" i="3"/>
  <c r="Y118" i="3"/>
  <c r="E208" i="22"/>
  <c r="F208" i="22"/>
  <c r="G208" i="22" s="1"/>
  <c r="I208" i="22" s="1"/>
  <c r="H208" i="22"/>
  <c r="K207" i="22"/>
  <c r="V24" i="39"/>
  <c r="M207" i="22"/>
  <c r="N207" i="22" s="1"/>
  <c r="O207" i="22" s="1"/>
  <c r="R119" i="3" l="1"/>
  <c r="M119" i="3"/>
  <c r="P30" i="39"/>
  <c r="O42" i="39"/>
  <c r="E209" i="22"/>
  <c r="F209" i="22"/>
  <c r="G209" i="22" s="1"/>
  <c r="C198" i="39"/>
  <c r="V16" i="39" s="1"/>
  <c r="C197" i="3"/>
  <c r="J208" i="22"/>
  <c r="L208" i="22" s="1"/>
  <c r="P119" i="3" l="1"/>
  <c r="AA119" i="3" s="1"/>
  <c r="Q119" i="3"/>
  <c r="N119" i="3"/>
  <c r="J209" i="22"/>
  <c r="K209" i="22" s="1"/>
  <c r="H209" i="22"/>
  <c r="L209" i="22"/>
  <c r="M208" i="22"/>
  <c r="K208" i="22"/>
  <c r="I209" i="22"/>
  <c r="O119" i="3" l="1"/>
  <c r="D120" i="39"/>
  <c r="P31" i="39" s="1"/>
  <c r="X119" i="3"/>
  <c r="J120" i="3"/>
  <c r="K120" i="3" s="1"/>
  <c r="L120" i="3" s="1"/>
  <c r="M120" i="3" s="1"/>
  <c r="V119" i="3"/>
  <c r="W119" i="3" s="1"/>
  <c r="Z119" i="3"/>
  <c r="Y119" i="3"/>
  <c r="N208" i="22"/>
  <c r="O208" i="22" s="1"/>
  <c r="M209" i="22"/>
  <c r="N209" i="22" s="1"/>
  <c r="O209" i="22" s="1"/>
  <c r="E210" i="22"/>
  <c r="F210" i="22"/>
  <c r="G210" i="22" s="1"/>
  <c r="I210" i="22" s="1"/>
  <c r="R120" i="3"/>
  <c r="P120" i="3" l="1"/>
  <c r="AA120" i="3" s="1"/>
  <c r="Q120" i="3"/>
  <c r="N120" i="3"/>
  <c r="H210" i="22"/>
  <c r="C200" i="39"/>
  <c r="V18" i="39" s="1"/>
  <c r="C199" i="3"/>
  <c r="J210" i="22"/>
  <c r="L210" i="22" s="1"/>
  <c r="C199" i="39"/>
  <c r="V17" i="39" s="1"/>
  <c r="C198" i="3"/>
  <c r="M210" i="22" l="1"/>
  <c r="K210" i="22"/>
  <c r="E211" i="22"/>
  <c r="F211" i="22"/>
  <c r="G211" i="22" s="1"/>
  <c r="J121" i="3"/>
  <c r="K121" i="3" s="1"/>
  <c r="X120" i="3"/>
  <c r="D121" i="39"/>
  <c r="P32" i="39" s="1"/>
  <c r="V120" i="3"/>
  <c r="W120" i="3" s="1"/>
  <c r="O120" i="3"/>
  <c r="Z120" i="3"/>
  <c r="Y120" i="3"/>
  <c r="L121" i="3" l="1"/>
  <c r="R121" i="3" s="1"/>
  <c r="J211" i="22"/>
  <c r="L211" i="22" s="1"/>
  <c r="N210" i="22"/>
  <c r="O210" i="22" s="1"/>
  <c r="I211" i="22"/>
  <c r="M121" i="3"/>
  <c r="H211" i="22"/>
  <c r="P121" i="3" l="1"/>
  <c r="AA121" i="3" s="1"/>
  <c r="Q121" i="3"/>
  <c r="N121" i="3"/>
  <c r="F212" i="22"/>
  <c r="E212" i="22"/>
  <c r="C201" i="39"/>
  <c r="V19" i="39" s="1"/>
  <c r="C200" i="3"/>
  <c r="K211" i="22"/>
  <c r="M211" i="22"/>
  <c r="N211" i="22" s="1"/>
  <c r="O211" i="22" s="1"/>
  <c r="J122" i="3" l="1"/>
  <c r="K122" i="3" s="1"/>
  <c r="X121" i="3"/>
  <c r="D122" i="39"/>
  <c r="P33" i="39" s="1"/>
  <c r="V121" i="3"/>
  <c r="W121" i="3" s="1"/>
  <c r="O121" i="3"/>
  <c r="G212" i="22"/>
  <c r="Z121" i="3"/>
  <c r="Y121" i="3"/>
  <c r="C201" i="3"/>
  <c r="C202" i="39"/>
  <c r="V20" i="39" s="1"/>
  <c r="J212" i="22" l="1"/>
  <c r="L212" i="22" s="1"/>
  <c r="I212" i="22"/>
  <c r="H212" i="22"/>
  <c r="L122" i="3"/>
  <c r="F213" i="22" l="1"/>
  <c r="E213" i="22"/>
  <c r="M212" i="22"/>
  <c r="R122" i="3"/>
  <c r="M122" i="3"/>
  <c r="K212" i="22"/>
  <c r="N212" i="22" l="1"/>
  <c r="O212" i="22" s="1"/>
  <c r="P122" i="3"/>
  <c r="AA122" i="3" s="1"/>
  <c r="Q122" i="3"/>
  <c r="N122" i="3"/>
  <c r="G213" i="22"/>
  <c r="J213" i="22" l="1"/>
  <c r="L213" i="22" s="1"/>
  <c r="I213" i="22"/>
  <c r="H213" i="22"/>
  <c r="X122" i="3"/>
  <c r="D123" i="39"/>
  <c r="P34" i="39" s="1"/>
  <c r="J123" i="3"/>
  <c r="K123" i="3" s="1"/>
  <c r="V122" i="3"/>
  <c r="W122" i="3" s="1"/>
  <c r="O122" i="3"/>
  <c r="Z122" i="3"/>
  <c r="Y122" i="3"/>
  <c r="C202" i="3"/>
  <c r="C203" i="39"/>
  <c r="V21" i="39" s="1"/>
  <c r="L123" i="3" l="1"/>
  <c r="F214" i="22"/>
  <c r="G214" i="22" s="1"/>
  <c r="I214" i="22" s="1"/>
  <c r="E214" i="22"/>
  <c r="M213" i="22"/>
  <c r="V9" i="39"/>
  <c r="V25" i="39"/>
  <c r="V26" i="39" s="1"/>
  <c r="K213" i="22"/>
  <c r="H214" i="22" l="1"/>
  <c r="N213" i="22"/>
  <c r="O213" i="22" s="1"/>
  <c r="J214" i="22"/>
  <c r="L214" i="22" s="1"/>
  <c r="R123" i="3"/>
  <c r="M123" i="3"/>
  <c r="N123" i="3" l="1"/>
  <c r="Q123" i="3"/>
  <c r="P123" i="3"/>
  <c r="AA123" i="3" s="1"/>
  <c r="K214" i="22"/>
  <c r="C204" i="39"/>
  <c r="W10" i="39" s="1"/>
  <c r="C203" i="3"/>
  <c r="M214" i="22"/>
  <c r="N214" i="22" s="1"/>
  <c r="O214" i="22" s="1"/>
  <c r="E215" i="22"/>
  <c r="F215" i="22"/>
  <c r="Y123" i="3" l="1"/>
  <c r="Z123" i="3"/>
  <c r="C205" i="39"/>
  <c r="W11" i="39" s="1"/>
  <c r="C204" i="3"/>
  <c r="G215" i="22"/>
  <c r="J124" i="3"/>
  <c r="K124" i="3" s="1"/>
  <c r="X123" i="3"/>
  <c r="D124" i="39"/>
  <c r="P35" i="39" s="1"/>
  <c r="V123" i="3"/>
  <c r="W123" i="3" s="1"/>
  <c r="O123" i="3"/>
  <c r="L124" i="3" l="1"/>
  <c r="R124" i="3" s="1"/>
  <c r="M124" i="3"/>
  <c r="J215" i="22"/>
  <c r="L215" i="22" s="1"/>
  <c r="H215" i="22"/>
  <c r="I215" i="22"/>
  <c r="M215" i="22" l="1"/>
  <c r="E216" i="22"/>
  <c r="F216" i="22"/>
  <c r="G216" i="22" s="1"/>
  <c r="K215" i="22"/>
  <c r="N124" i="3"/>
  <c r="P124" i="3"/>
  <c r="AA124" i="3" s="1"/>
  <c r="Q124" i="3"/>
  <c r="J216" i="22" l="1"/>
  <c r="L216" i="22" s="1"/>
  <c r="K216" i="22"/>
  <c r="Z124" i="3"/>
  <c r="Y124" i="3"/>
  <c r="X124" i="3"/>
  <c r="J125" i="3"/>
  <c r="K125" i="3" s="1"/>
  <c r="D125" i="39"/>
  <c r="P36" i="39" s="1"/>
  <c r="V124" i="3"/>
  <c r="W124" i="3" s="1"/>
  <c r="O124" i="3"/>
  <c r="H216" i="22"/>
  <c r="I216" i="22"/>
  <c r="N215" i="22"/>
  <c r="O215" i="22" s="1"/>
  <c r="F217" i="22" l="1"/>
  <c r="E217" i="22"/>
  <c r="L125" i="3"/>
  <c r="C206" i="39"/>
  <c r="W12" i="39" s="1"/>
  <c r="C205" i="3"/>
  <c r="M216" i="22"/>
  <c r="N216" i="22" s="1"/>
  <c r="O216" i="22" s="1"/>
  <c r="C206" i="3" l="1"/>
  <c r="C207" i="39"/>
  <c r="W13" i="39" s="1"/>
  <c r="R125" i="3"/>
  <c r="M125" i="3"/>
  <c r="G217" i="22"/>
  <c r="N125" i="3" l="1"/>
  <c r="Q125" i="3"/>
  <c r="P125" i="3"/>
  <c r="AA125" i="3" s="1"/>
  <c r="J217" i="22"/>
  <c r="L217" i="22" s="1"/>
  <c r="I217" i="22"/>
  <c r="H217" i="22"/>
  <c r="F218" i="22" l="1"/>
  <c r="E218" i="22"/>
  <c r="M217" i="22"/>
  <c r="K217" i="22"/>
  <c r="Z125" i="3"/>
  <c r="Y125" i="3"/>
  <c r="D126" i="39"/>
  <c r="P37" i="39" s="1"/>
  <c r="J126" i="3"/>
  <c r="K126" i="3" s="1"/>
  <c r="X125" i="3"/>
  <c r="V125" i="3"/>
  <c r="W125" i="3" s="1"/>
  <c r="O125" i="3"/>
  <c r="L126" i="3" l="1"/>
  <c r="R126" i="3" s="1"/>
  <c r="N217" i="22"/>
  <c r="O217" i="22" s="1"/>
  <c r="M126" i="3"/>
  <c r="G218" i="22"/>
  <c r="J218" i="22" l="1"/>
  <c r="L218" i="22" s="1"/>
  <c r="K218" i="22"/>
  <c r="H218" i="22"/>
  <c r="I218" i="22"/>
  <c r="P126" i="3"/>
  <c r="AA126" i="3" s="1"/>
  <c r="N126" i="3"/>
  <c r="Q126" i="3"/>
  <c r="C208" i="39"/>
  <c r="W14" i="39" s="1"/>
  <c r="C207" i="3"/>
  <c r="D127" i="39" l="1"/>
  <c r="P38" i="39" s="1"/>
  <c r="J127" i="3"/>
  <c r="K127" i="3" s="1"/>
  <c r="X126" i="3"/>
  <c r="V126" i="3"/>
  <c r="W126" i="3" s="1"/>
  <c r="O126" i="3"/>
  <c r="Z126" i="3"/>
  <c r="Y126" i="3"/>
  <c r="E219" i="22"/>
  <c r="F219" i="22"/>
  <c r="G219" i="22" s="1"/>
  <c r="M218" i="22"/>
  <c r="N218" i="22" s="1"/>
  <c r="O218" i="22" s="1"/>
  <c r="L127" i="3" l="1"/>
  <c r="R127" i="3" s="1"/>
  <c r="J219" i="22"/>
  <c r="L219" i="22" s="1"/>
  <c r="C208" i="3"/>
  <c r="C209" i="39"/>
  <c r="W15" i="39" s="1"/>
  <c r="W24" i="39" s="1"/>
  <c r="M127" i="3"/>
  <c r="H219" i="22"/>
  <c r="I219" i="22"/>
  <c r="E220" i="22" l="1"/>
  <c r="F220" i="22"/>
  <c r="G220" i="22" s="1"/>
  <c r="I220" i="22" s="1"/>
  <c r="M219" i="22"/>
  <c r="Q127" i="3"/>
  <c r="N127" i="3"/>
  <c r="P127" i="3"/>
  <c r="AA127" i="3" s="1"/>
  <c r="K219" i="22"/>
  <c r="Z127" i="3" l="1"/>
  <c r="Y127" i="3"/>
  <c r="N219" i="22"/>
  <c r="O219" i="22" s="1"/>
  <c r="D128" i="39"/>
  <c r="P39" i="39" s="1"/>
  <c r="J128" i="3"/>
  <c r="K128" i="3" s="1"/>
  <c r="X127" i="3"/>
  <c r="V127" i="3"/>
  <c r="W127" i="3" s="1"/>
  <c r="O127" i="3"/>
  <c r="J220" i="22"/>
  <c r="L220" i="22" s="1"/>
  <c r="H220" i="22"/>
  <c r="L128" i="3" l="1"/>
  <c r="R128" i="3" s="1"/>
  <c r="F221" i="22"/>
  <c r="G221" i="22" s="1"/>
  <c r="H221" i="22" s="1"/>
  <c r="E221" i="22"/>
  <c r="K220" i="22"/>
  <c r="M220" i="22"/>
  <c r="N220" i="22" s="1"/>
  <c r="O220" i="22" s="1"/>
  <c r="M128" i="3"/>
  <c r="C209" i="3"/>
  <c r="C210" i="39"/>
  <c r="W16" i="39" s="1"/>
  <c r="E222" i="22" l="1"/>
  <c r="F222" i="22"/>
  <c r="G222" i="22" s="1"/>
  <c r="H222" i="22" s="1"/>
  <c r="C210" i="3"/>
  <c r="C211" i="39"/>
  <c r="W17" i="39" s="1"/>
  <c r="J221" i="22"/>
  <c r="L221" i="22" s="1"/>
  <c r="P128" i="3"/>
  <c r="AA128" i="3" s="1"/>
  <c r="N128" i="3"/>
  <c r="Q128" i="3"/>
  <c r="I221" i="22"/>
  <c r="E223" i="22" l="1"/>
  <c r="F223" i="22"/>
  <c r="G223" i="22" s="1"/>
  <c r="H223" i="22" s="1"/>
  <c r="J129" i="3"/>
  <c r="K129" i="3" s="1"/>
  <c r="D129" i="39"/>
  <c r="P40" i="39" s="1"/>
  <c r="X128" i="3"/>
  <c r="V128" i="3"/>
  <c r="W128" i="3" s="1"/>
  <c r="O128" i="3"/>
  <c r="I222" i="22"/>
  <c r="M221" i="22"/>
  <c r="J222" i="22"/>
  <c r="L222" i="22" s="1"/>
  <c r="K221" i="22"/>
  <c r="Z128" i="3"/>
  <c r="Y128" i="3"/>
  <c r="M222" i="22" l="1"/>
  <c r="E224" i="22"/>
  <c r="F224" i="22"/>
  <c r="G224" i="22" s="1"/>
  <c r="I224" i="22" s="1"/>
  <c r="J223" i="22"/>
  <c r="K223" i="22" s="1"/>
  <c r="L129" i="3"/>
  <c r="K222" i="22"/>
  <c r="N221" i="22"/>
  <c r="O221" i="22" s="1"/>
  <c r="I223" i="22"/>
  <c r="C212" i="39" l="1"/>
  <c r="W18" i="39" s="1"/>
  <c r="C211" i="3"/>
  <c r="R129" i="3"/>
  <c r="M129" i="3"/>
  <c r="N222" i="22"/>
  <c r="O222" i="22" s="1"/>
  <c r="J224" i="22"/>
  <c r="K224" i="22"/>
  <c r="H224" i="22"/>
  <c r="L223" i="22"/>
  <c r="N129" i="3" l="1"/>
  <c r="Q129" i="3"/>
  <c r="P129" i="3"/>
  <c r="AA129" i="3" s="1"/>
  <c r="F225" i="22"/>
  <c r="G225" i="22" s="1"/>
  <c r="E225" i="22"/>
  <c r="L224" i="22"/>
  <c r="M223" i="22"/>
  <c r="N223" i="22" s="1"/>
  <c r="O223" i="22" s="1"/>
  <c r="C212" i="3"/>
  <c r="C213" i="39"/>
  <c r="W19" i="39" s="1"/>
  <c r="J225" i="22" l="1"/>
  <c r="K225" i="22" s="1"/>
  <c r="H225" i="22"/>
  <c r="L225" i="22"/>
  <c r="M224" i="22"/>
  <c r="N224" i="22" s="1"/>
  <c r="O224" i="22" s="1"/>
  <c r="I225" i="22"/>
  <c r="Y129" i="3"/>
  <c r="Z129" i="3"/>
  <c r="C213" i="3"/>
  <c r="C214" i="39"/>
  <c r="W20" i="39" s="1"/>
  <c r="J130" i="3"/>
  <c r="K130" i="3" s="1"/>
  <c r="X129" i="3"/>
  <c r="D130" i="39"/>
  <c r="P41" i="39" s="1"/>
  <c r="V129" i="3"/>
  <c r="W129" i="3" s="1"/>
  <c r="O129" i="3"/>
  <c r="C214" i="3" l="1"/>
  <c r="C215" i="39"/>
  <c r="W21" i="39" s="1"/>
  <c r="F226" i="22"/>
  <c r="G226" i="22" s="1"/>
  <c r="H226" i="22" s="1"/>
  <c r="E226" i="22"/>
  <c r="M225" i="22"/>
  <c r="N225" i="22" s="1"/>
  <c r="O225" i="22" s="1"/>
  <c r="L130" i="3"/>
  <c r="F227" i="22" l="1"/>
  <c r="E227" i="22"/>
  <c r="R130" i="3"/>
  <c r="M130" i="3"/>
  <c r="W9" i="39"/>
  <c r="W25" i="39"/>
  <c r="W26" i="39" s="1"/>
  <c r="J226" i="22"/>
  <c r="L226" i="22" s="1"/>
  <c r="I226" i="22"/>
  <c r="C216" i="39"/>
  <c r="X10" i="39" s="1"/>
  <c r="C215" i="3"/>
  <c r="K226" i="22" l="1"/>
  <c r="M226" i="22"/>
  <c r="N226" i="22" s="1"/>
  <c r="O226" i="22" s="1"/>
  <c r="G227" i="22"/>
  <c r="P130" i="3"/>
  <c r="AA130" i="3" s="1"/>
  <c r="Q130" i="3"/>
  <c r="N130" i="3"/>
  <c r="J131" i="3" l="1"/>
  <c r="K131" i="3" s="1"/>
  <c r="D131" i="39"/>
  <c r="X130" i="3"/>
  <c r="V130" i="3"/>
  <c r="W130" i="3" s="1"/>
  <c r="O130" i="3"/>
  <c r="J227" i="22"/>
  <c r="L227" i="22" s="1"/>
  <c r="H227" i="22"/>
  <c r="I227" i="22"/>
  <c r="C217" i="39"/>
  <c r="X11" i="39" s="1"/>
  <c r="C216" i="3"/>
  <c r="Z130" i="3"/>
  <c r="Y130" i="3"/>
  <c r="E228" i="22" l="1"/>
  <c r="F228" i="22"/>
  <c r="G228" i="22" s="1"/>
  <c r="H228" i="22" s="1"/>
  <c r="M227" i="22"/>
  <c r="K227" i="22"/>
  <c r="P42" i="39"/>
  <c r="Q30" i="39"/>
  <c r="L131" i="3"/>
  <c r="E229" i="22" l="1"/>
  <c r="F229" i="22"/>
  <c r="J228" i="22"/>
  <c r="L228" i="22" s="1"/>
  <c r="R131" i="3"/>
  <c r="M131" i="3"/>
  <c r="I228" i="22"/>
  <c r="N227" i="22"/>
  <c r="O227" i="22" s="1"/>
  <c r="C218" i="39" l="1"/>
  <c r="X12" i="39" s="1"/>
  <c r="C217" i="3"/>
  <c r="K228" i="22"/>
  <c r="M228" i="22"/>
  <c r="N228" i="22" s="1"/>
  <c r="O228" i="22" s="1"/>
  <c r="N131" i="3"/>
  <c r="P131" i="3"/>
  <c r="AA131" i="3" s="1"/>
  <c r="Q131" i="3"/>
  <c r="G229" i="22"/>
  <c r="J229" i="22" l="1"/>
  <c r="L229" i="22" s="1"/>
  <c r="K229" i="22"/>
  <c r="H229" i="22"/>
  <c r="I229" i="22"/>
  <c r="C219" i="39"/>
  <c r="X13" i="39" s="1"/>
  <c r="C218" i="3"/>
  <c r="X131" i="3"/>
  <c r="D132" i="39"/>
  <c r="Q31" i="39" s="1"/>
  <c r="J132" i="3"/>
  <c r="K132" i="3" s="1"/>
  <c r="V131" i="3"/>
  <c r="W131" i="3" s="1"/>
  <c r="O131" i="3"/>
  <c r="Z131" i="3"/>
  <c r="Y131" i="3"/>
  <c r="F230" i="22" l="1"/>
  <c r="G230" i="22" s="1"/>
  <c r="H230" i="22" s="1"/>
  <c r="E230" i="22"/>
  <c r="L132" i="3"/>
  <c r="M229" i="22"/>
  <c r="N229" i="22" s="1"/>
  <c r="O229" i="22" s="1"/>
  <c r="E231" i="22" l="1"/>
  <c r="F231" i="22"/>
  <c r="G231" i="22" s="1"/>
  <c r="C219" i="3"/>
  <c r="C220" i="39"/>
  <c r="X14" i="39" s="1"/>
  <c r="I230" i="22"/>
  <c r="R132" i="3"/>
  <c r="M132" i="3"/>
  <c r="J230" i="22"/>
  <c r="L230" i="22" s="1"/>
  <c r="M230" i="22" l="1"/>
  <c r="N132" i="3"/>
  <c r="P132" i="3"/>
  <c r="AA132" i="3" s="1"/>
  <c r="Q132" i="3"/>
  <c r="K230" i="22"/>
  <c r="J231" i="22"/>
  <c r="L231" i="22" s="1"/>
  <c r="I231" i="22"/>
  <c r="H231" i="22"/>
  <c r="M231" i="22" l="1"/>
  <c r="Z132" i="3"/>
  <c r="Y132" i="3"/>
  <c r="K231" i="22"/>
  <c r="N230" i="22"/>
  <c r="O230" i="22" s="1"/>
  <c r="J133" i="3"/>
  <c r="K133" i="3" s="1"/>
  <c r="X132" i="3"/>
  <c r="D133" i="39"/>
  <c r="Q32" i="39" s="1"/>
  <c r="V132" i="3"/>
  <c r="W132" i="3" s="1"/>
  <c r="O132" i="3"/>
  <c r="E232" i="22"/>
  <c r="F232" i="22"/>
  <c r="G232" i="22" s="1"/>
  <c r="H232" i="22" s="1"/>
  <c r="L133" i="3" l="1"/>
  <c r="R133" i="3" s="1"/>
  <c r="F233" i="22"/>
  <c r="E233" i="22"/>
  <c r="C221" i="39"/>
  <c r="X15" i="39" s="1"/>
  <c r="X24" i="39" s="1"/>
  <c r="C220" i="3"/>
  <c r="N231" i="22"/>
  <c r="O231" i="22" s="1"/>
  <c r="M133" i="3"/>
  <c r="J232" i="22"/>
  <c r="L232" i="22" s="1"/>
  <c r="K232" i="22"/>
  <c r="I232" i="22"/>
  <c r="M232" i="22" l="1"/>
  <c r="N232" i="22" s="1"/>
  <c r="O232" i="22" s="1"/>
  <c r="N133" i="3"/>
  <c r="Q133" i="3"/>
  <c r="P133" i="3"/>
  <c r="AA133" i="3" s="1"/>
  <c r="C222" i="39"/>
  <c r="X16" i="39" s="1"/>
  <c r="C221" i="3"/>
  <c r="G233" i="22"/>
  <c r="J233" i="22" l="1"/>
  <c r="L233" i="22" s="1"/>
  <c r="I233" i="22"/>
  <c r="H233" i="22"/>
  <c r="Y133" i="3"/>
  <c r="Z133" i="3"/>
  <c r="C223" i="39"/>
  <c r="X17" i="39" s="1"/>
  <c r="C222" i="3"/>
  <c r="X133" i="3"/>
  <c r="J134" i="3"/>
  <c r="K134" i="3" s="1"/>
  <c r="D134" i="39"/>
  <c r="Q33" i="39" s="1"/>
  <c r="V133" i="3"/>
  <c r="W133" i="3" s="1"/>
  <c r="O133" i="3"/>
  <c r="F234" i="22" l="1"/>
  <c r="E234" i="22"/>
  <c r="K233" i="22"/>
  <c r="M233" i="22"/>
  <c r="N233" i="22" s="1"/>
  <c r="O233" i="22" s="1"/>
  <c r="L134" i="3"/>
  <c r="R134" i="3" l="1"/>
  <c r="M134" i="3"/>
  <c r="C223" i="3"/>
  <c r="C224" i="39"/>
  <c r="X18" i="39" s="1"/>
  <c r="G234" i="22"/>
  <c r="J234" i="22" l="1"/>
  <c r="L234" i="22" s="1"/>
  <c r="K234" i="22"/>
  <c r="I234" i="22"/>
  <c r="H234" i="22"/>
  <c r="Q134" i="3"/>
  <c r="N134" i="3"/>
  <c r="P134" i="3"/>
  <c r="AA134" i="3" s="1"/>
  <c r="Y134" i="3" l="1"/>
  <c r="Z134" i="3"/>
  <c r="D135" i="39"/>
  <c r="Q34" i="39" s="1"/>
  <c r="J135" i="3"/>
  <c r="K135" i="3" s="1"/>
  <c r="X134" i="3"/>
  <c r="V134" i="3"/>
  <c r="W134" i="3" s="1"/>
  <c r="O134" i="3"/>
  <c r="F235" i="22"/>
  <c r="E235" i="22"/>
  <c r="M234" i="22"/>
  <c r="N234" i="22" s="1"/>
  <c r="O234" i="22" s="1"/>
  <c r="L135" i="3" l="1"/>
  <c r="R135" i="3" s="1"/>
  <c r="G235" i="22"/>
  <c r="M135" i="3"/>
  <c r="C225" i="39"/>
  <c r="X19" i="39" s="1"/>
  <c r="C224" i="3"/>
  <c r="Q135" i="3" l="1"/>
  <c r="N135" i="3"/>
  <c r="P135" i="3"/>
  <c r="AA135" i="3" s="1"/>
  <c r="J235" i="22"/>
  <c r="L235" i="22" s="1"/>
  <c r="H235" i="22"/>
  <c r="I235" i="22"/>
  <c r="F236" i="22" l="1"/>
  <c r="E236" i="22"/>
  <c r="M235" i="22"/>
  <c r="Z135" i="3"/>
  <c r="Y135" i="3"/>
  <c r="K235" i="22"/>
  <c r="D136" i="39"/>
  <c r="Q35" i="39" s="1"/>
  <c r="J136" i="3"/>
  <c r="K136" i="3" s="1"/>
  <c r="X135" i="3"/>
  <c r="V135" i="3"/>
  <c r="W135" i="3" s="1"/>
  <c r="O135" i="3"/>
  <c r="L136" i="3" l="1"/>
  <c r="R136" i="3" s="1"/>
  <c r="N235" i="22"/>
  <c r="O235" i="22" s="1"/>
  <c r="M136" i="3"/>
  <c r="G236" i="22"/>
  <c r="N136" i="3" l="1"/>
  <c r="Q136" i="3"/>
  <c r="P136" i="3"/>
  <c r="AA136" i="3" s="1"/>
  <c r="J236" i="22"/>
  <c r="L236" i="22" s="1"/>
  <c r="H236" i="22"/>
  <c r="I236" i="22"/>
  <c r="C225" i="3"/>
  <c r="C226" i="39"/>
  <c r="X20" i="39" s="1"/>
  <c r="E237" i="22" l="1"/>
  <c r="F237" i="22"/>
  <c r="G237" i="22" s="1"/>
  <c r="K236" i="22"/>
  <c r="M236" i="22"/>
  <c r="N236" i="22" s="1"/>
  <c r="O236" i="22" s="1"/>
  <c r="Z136" i="3"/>
  <c r="Y136" i="3"/>
  <c r="X136" i="3"/>
  <c r="J137" i="3"/>
  <c r="K137" i="3" s="1"/>
  <c r="D137" i="39"/>
  <c r="Q36" i="39" s="1"/>
  <c r="V136" i="3"/>
  <c r="W136" i="3" s="1"/>
  <c r="O136" i="3"/>
  <c r="C226" i="3" l="1"/>
  <c r="C227" i="39"/>
  <c r="X21" i="39" s="1"/>
  <c r="J237" i="22"/>
  <c r="L237" i="22" s="1"/>
  <c r="I237" i="22"/>
  <c r="L137" i="3"/>
  <c r="H237" i="22"/>
  <c r="E238" i="22" l="1"/>
  <c r="F238" i="22"/>
  <c r="G238" i="22" s="1"/>
  <c r="R137" i="3"/>
  <c r="M137" i="3"/>
  <c r="K237" i="22"/>
  <c r="M237" i="22"/>
  <c r="N237" i="22" s="1"/>
  <c r="O237" i="22" s="1"/>
  <c r="X9" i="39"/>
  <c r="X25" i="39"/>
  <c r="X26" i="39" s="1"/>
  <c r="C227" i="3" l="1"/>
  <c r="C228" i="39"/>
  <c r="Y10" i="39" s="1"/>
  <c r="Q137" i="3"/>
  <c r="P137" i="3"/>
  <c r="AA137" i="3" s="1"/>
  <c r="N137" i="3"/>
  <c r="J238" i="22"/>
  <c r="L238" i="22" s="1"/>
  <c r="I238" i="22"/>
  <c r="H238" i="22"/>
  <c r="X137" i="3" l="1"/>
  <c r="D138" i="39"/>
  <c r="Q37" i="39" s="1"/>
  <c r="J138" i="3"/>
  <c r="K138" i="3" s="1"/>
  <c r="V137" i="3"/>
  <c r="W137" i="3" s="1"/>
  <c r="O137" i="3"/>
  <c r="M238" i="22"/>
  <c r="N238" i="22" s="1"/>
  <c r="O238" i="22" s="1"/>
  <c r="Z137" i="3"/>
  <c r="Y137" i="3"/>
  <c r="F239" i="22"/>
  <c r="E239" i="22"/>
  <c r="K238" i="22"/>
  <c r="L138" i="3" l="1"/>
  <c r="C229" i="39"/>
  <c r="Y11" i="39" s="1"/>
  <c r="C228" i="3"/>
  <c r="G239" i="22"/>
  <c r="J239" i="22" l="1"/>
  <c r="L239" i="22" s="1"/>
  <c r="H239" i="22"/>
  <c r="I239" i="22"/>
  <c r="R138" i="3"/>
  <c r="M138" i="3"/>
  <c r="Q138" i="3" l="1"/>
  <c r="N138" i="3"/>
  <c r="P138" i="3"/>
  <c r="AA138" i="3" s="1"/>
  <c r="K239" i="22"/>
  <c r="M239" i="22"/>
  <c r="N239" i="22" s="1"/>
  <c r="O239" i="22" s="1"/>
  <c r="E240" i="22"/>
  <c r="F240" i="22"/>
  <c r="G240" i="22" s="1"/>
  <c r="J240" i="22" l="1"/>
  <c r="L240" i="22" s="1"/>
  <c r="C229" i="3"/>
  <c r="C230" i="39"/>
  <c r="Y12" i="39" s="1"/>
  <c r="I240" i="22"/>
  <c r="H240" i="22"/>
  <c r="D139" i="39"/>
  <c r="Q38" i="39" s="1"/>
  <c r="J139" i="3"/>
  <c r="K139" i="3" s="1"/>
  <c r="X138" i="3"/>
  <c r="V138" i="3"/>
  <c r="W138" i="3" s="1"/>
  <c r="O138" i="3"/>
  <c r="Z138" i="3"/>
  <c r="Y138" i="3"/>
  <c r="L139" i="3" l="1"/>
  <c r="R139" i="3" s="1"/>
  <c r="M139" i="3"/>
  <c r="F241" i="22"/>
  <c r="E241" i="22"/>
  <c r="K240" i="22"/>
  <c r="M240" i="22"/>
  <c r="N240" i="22" s="1"/>
  <c r="O240" i="22" s="1"/>
  <c r="C231" i="39" l="1"/>
  <c r="Y13" i="39" s="1"/>
  <c r="C230" i="3"/>
  <c r="G241" i="22"/>
  <c r="N139" i="3"/>
  <c r="P139" i="3"/>
  <c r="AA139" i="3" s="1"/>
  <c r="Q139" i="3"/>
  <c r="Z139" i="3" l="1"/>
  <c r="Y139" i="3"/>
  <c r="J241" i="22"/>
  <c r="L241" i="22" s="1"/>
  <c r="K241" i="22"/>
  <c r="H241" i="22"/>
  <c r="I241" i="22"/>
  <c r="D140" i="39"/>
  <c r="Q39" i="39" s="1"/>
  <c r="X139" i="3"/>
  <c r="J140" i="3"/>
  <c r="K140" i="3" s="1"/>
  <c r="V139" i="3"/>
  <c r="W139" i="3" s="1"/>
  <c r="O139" i="3"/>
  <c r="L140" i="3" l="1"/>
  <c r="R140" i="3" s="1"/>
  <c r="E242" i="22"/>
  <c r="F242" i="22"/>
  <c r="G242" i="22" s="1"/>
  <c r="M140" i="3"/>
  <c r="M241" i="22"/>
  <c r="N241" i="22" s="1"/>
  <c r="O241" i="22" s="1"/>
  <c r="N140" i="3" l="1"/>
  <c r="P140" i="3"/>
  <c r="AA140" i="3" s="1"/>
  <c r="Q140" i="3"/>
  <c r="J242" i="22"/>
  <c r="L242" i="22" s="1"/>
  <c r="I242" i="22"/>
  <c r="C231" i="3"/>
  <c r="C232" i="39"/>
  <c r="Y14" i="39" s="1"/>
  <c r="H242" i="22"/>
  <c r="M242" i="22" l="1"/>
  <c r="N242" i="22" s="1"/>
  <c r="O242" i="22" s="1"/>
  <c r="Z140" i="3"/>
  <c r="Y140" i="3"/>
  <c r="F243" i="22"/>
  <c r="G243" i="22" s="1"/>
  <c r="E243" i="22"/>
  <c r="K242" i="22"/>
  <c r="X140" i="3"/>
  <c r="D141" i="39"/>
  <c r="Q40" i="39" s="1"/>
  <c r="J141" i="3"/>
  <c r="K141" i="3" s="1"/>
  <c r="V140" i="3"/>
  <c r="W140" i="3" s="1"/>
  <c r="O140" i="3"/>
  <c r="J243" i="22" l="1"/>
  <c r="L243" i="22" s="1"/>
  <c r="L141" i="3"/>
  <c r="H243" i="22"/>
  <c r="I243" i="22"/>
  <c r="C232" i="3"/>
  <c r="C233" i="39"/>
  <c r="Y15" i="39" s="1"/>
  <c r="Y24" i="39" s="1"/>
  <c r="F244" i="22" l="1"/>
  <c r="G244" i="22" s="1"/>
  <c r="I244" i="22" s="1"/>
  <c r="E244" i="22"/>
  <c r="M243" i="22"/>
  <c r="R141" i="3"/>
  <c r="M141" i="3"/>
  <c r="K243" i="22"/>
  <c r="N141" i="3" l="1"/>
  <c r="P141" i="3"/>
  <c r="AA141" i="3" s="1"/>
  <c r="Q141" i="3"/>
  <c r="N243" i="22"/>
  <c r="O243" i="22" s="1"/>
  <c r="J244" i="22"/>
  <c r="L244" i="22" s="1"/>
  <c r="H244" i="22"/>
  <c r="E245" i="22" l="1"/>
  <c r="F245" i="22"/>
  <c r="G245" i="22" s="1"/>
  <c r="I245" i="22" s="1"/>
  <c r="M244" i="22"/>
  <c r="C234" i="39"/>
  <c r="Y16" i="39" s="1"/>
  <c r="C233" i="3"/>
  <c r="Y141" i="3"/>
  <c r="Z141" i="3"/>
  <c r="K244" i="22"/>
  <c r="X141" i="3"/>
  <c r="D142" i="39"/>
  <c r="Q41" i="39" s="1"/>
  <c r="J142" i="3"/>
  <c r="K142" i="3" s="1"/>
  <c r="L142" i="3" s="1"/>
  <c r="R142" i="3" s="1"/>
  <c r="V141" i="3"/>
  <c r="W141" i="3" s="1"/>
  <c r="O141" i="3"/>
  <c r="N244" i="22" l="1"/>
  <c r="O244" i="22" s="1"/>
  <c r="J245" i="22"/>
  <c r="L245" i="22" s="1"/>
  <c r="M142" i="3"/>
  <c r="H245" i="22"/>
  <c r="E246" i="22" l="1"/>
  <c r="F246" i="22"/>
  <c r="G246" i="22" s="1"/>
  <c r="K245" i="22"/>
  <c r="Q142" i="3"/>
  <c r="P142" i="3"/>
  <c r="AA142" i="3" s="1"/>
  <c r="N142" i="3"/>
  <c r="C234" i="3"/>
  <c r="C235" i="39"/>
  <c r="Y17" i="39" s="1"/>
  <c r="M245" i="22"/>
  <c r="X142" i="3" l="1"/>
  <c r="D143" i="39"/>
  <c r="J143" i="3"/>
  <c r="K143" i="3" s="1"/>
  <c r="V142" i="3"/>
  <c r="W142" i="3" s="1"/>
  <c r="O142" i="3"/>
  <c r="J246" i="22"/>
  <c r="L246" i="22" s="1"/>
  <c r="H246" i="22"/>
  <c r="Z142" i="3"/>
  <c r="Y142" i="3"/>
  <c r="N245" i="22"/>
  <c r="O245" i="22" s="1"/>
  <c r="I246" i="22"/>
  <c r="L143" i="3" l="1"/>
  <c r="K246" i="22"/>
  <c r="R30" i="39"/>
  <c r="Q42" i="39"/>
  <c r="M246" i="22"/>
  <c r="N246" i="22" s="1"/>
  <c r="O246" i="22" s="1"/>
  <c r="F247" i="22"/>
  <c r="G247" i="22" s="1"/>
  <c r="E247" i="22"/>
  <c r="C236" i="39"/>
  <c r="Y18" i="39" s="1"/>
  <c r="C235" i="3"/>
  <c r="J247" i="22" l="1"/>
  <c r="L247" i="22" s="1"/>
  <c r="H247" i="22"/>
  <c r="C237" i="39"/>
  <c r="Y19" i="39" s="1"/>
  <c r="C236" i="3"/>
  <c r="I247" i="22"/>
  <c r="R143" i="3"/>
  <c r="M143" i="3"/>
  <c r="Q143" i="3" l="1"/>
  <c r="P143" i="3"/>
  <c r="AA143" i="3" s="1"/>
  <c r="N143" i="3"/>
  <c r="E248" i="22"/>
  <c r="F248" i="22"/>
  <c r="G248" i="22" s="1"/>
  <c r="M247" i="22"/>
  <c r="K247" i="22"/>
  <c r="J248" i="22" l="1"/>
  <c r="L248" i="22" s="1"/>
  <c r="D144" i="39"/>
  <c r="R31" i="39" s="1"/>
  <c r="X143" i="3"/>
  <c r="J144" i="3"/>
  <c r="K144" i="3" s="1"/>
  <c r="V143" i="3"/>
  <c r="W143" i="3" s="1"/>
  <c r="O143" i="3"/>
  <c r="N247" i="22"/>
  <c r="O247" i="22" s="1"/>
  <c r="I248" i="22"/>
  <c r="H248" i="22"/>
  <c r="Z143" i="3"/>
  <c r="Y143" i="3"/>
  <c r="L144" i="3" l="1"/>
  <c r="E249" i="22"/>
  <c r="F249" i="22"/>
  <c r="G249" i="22" s="1"/>
  <c r="I249" i="22" s="1"/>
  <c r="M248" i="22"/>
  <c r="C237" i="3"/>
  <c r="C238" i="39"/>
  <c r="Y20" i="39" s="1"/>
  <c r="K248" i="22"/>
  <c r="N248" i="22" l="1"/>
  <c r="O248" i="22" s="1"/>
  <c r="J249" i="22"/>
  <c r="L249" i="22" s="1"/>
  <c r="H249" i="22"/>
  <c r="R144" i="3"/>
  <c r="M144" i="3"/>
  <c r="F250" i="22" l="1"/>
  <c r="E250" i="22"/>
  <c r="K249" i="22"/>
  <c r="P144" i="3"/>
  <c r="AA144" i="3" s="1"/>
  <c r="Q144" i="3"/>
  <c r="N144" i="3"/>
  <c r="C239" i="39"/>
  <c r="Y21" i="39" s="1"/>
  <c r="C238" i="3"/>
  <c r="M249" i="22"/>
  <c r="N249" i="22" s="1"/>
  <c r="O249" i="22" s="1"/>
  <c r="X144" i="3" l="1"/>
  <c r="J145" i="3"/>
  <c r="K145" i="3" s="1"/>
  <c r="D145" i="39"/>
  <c r="R32" i="39" s="1"/>
  <c r="V144" i="3"/>
  <c r="W144" i="3" s="1"/>
  <c r="O144" i="3"/>
  <c r="Y9" i="39"/>
  <c r="Y25" i="39"/>
  <c r="Y26" i="39" s="1"/>
  <c r="Z144" i="3"/>
  <c r="Y144" i="3"/>
  <c r="C239" i="3"/>
  <c r="C240" i="39"/>
  <c r="Z10" i="39" s="1"/>
  <c r="G250" i="22"/>
  <c r="L145" i="3" l="1"/>
  <c r="J250" i="22"/>
  <c r="L250" i="22" s="1"/>
  <c r="H250" i="22"/>
  <c r="I250" i="22"/>
  <c r="E251" i="22" l="1"/>
  <c r="F251" i="22"/>
  <c r="G251" i="22" s="1"/>
  <c r="I251" i="22" s="1"/>
  <c r="M250" i="22"/>
  <c r="N250" i="22" s="1"/>
  <c r="O250" i="22" s="1"/>
  <c r="K250" i="22"/>
  <c r="R145" i="3"/>
  <c r="M145" i="3"/>
  <c r="C240" i="3" l="1"/>
  <c r="C241" i="39"/>
  <c r="Z11" i="39" s="1"/>
  <c r="H251" i="22"/>
  <c r="Q145" i="3"/>
  <c r="N145" i="3"/>
  <c r="P145" i="3"/>
  <c r="AA145" i="3" s="1"/>
  <c r="J251" i="22"/>
  <c r="L251" i="22" s="1"/>
  <c r="D146" i="39" l="1"/>
  <c r="R33" i="39" s="1"/>
  <c r="J146" i="3"/>
  <c r="K146" i="3" s="1"/>
  <c r="X145" i="3"/>
  <c r="V145" i="3"/>
  <c r="W145" i="3" s="1"/>
  <c r="O145" i="3"/>
  <c r="K251" i="22"/>
  <c r="E252" i="22"/>
  <c r="F252" i="22"/>
  <c r="G252" i="22" s="1"/>
  <c r="H252" i="22" s="1"/>
  <c r="M251" i="22"/>
  <c r="Z145" i="3"/>
  <c r="Y145" i="3"/>
  <c r="F253" i="22" l="1"/>
  <c r="E253" i="22"/>
  <c r="I252" i="22"/>
  <c r="L146" i="3"/>
  <c r="N251" i="22"/>
  <c r="O251" i="22" s="1"/>
  <c r="J252" i="22"/>
  <c r="L252" i="22" s="1"/>
  <c r="C241" i="3" l="1"/>
  <c r="C242" i="39"/>
  <c r="Z12" i="39" s="1"/>
  <c r="M252" i="22"/>
  <c r="R146" i="3"/>
  <c r="M146" i="3"/>
  <c r="K252" i="22"/>
  <c r="G253" i="22"/>
  <c r="J253" i="22" l="1"/>
  <c r="L253" i="22" s="1"/>
  <c r="I253" i="22"/>
  <c r="H253" i="22"/>
  <c r="Q146" i="3"/>
  <c r="N146" i="3"/>
  <c r="P146" i="3"/>
  <c r="AA146" i="3" s="1"/>
  <c r="N252" i="22"/>
  <c r="O252" i="22" s="1"/>
  <c r="E254" i="22" l="1"/>
  <c r="F254" i="22"/>
  <c r="G254" i="22" s="1"/>
  <c r="Z146" i="3"/>
  <c r="Y146" i="3"/>
  <c r="D147" i="39"/>
  <c r="R34" i="39" s="1"/>
  <c r="J147" i="3"/>
  <c r="K147" i="3" s="1"/>
  <c r="X146" i="3"/>
  <c r="V146" i="3"/>
  <c r="W146" i="3" s="1"/>
  <c r="O146" i="3"/>
  <c r="K253" i="22"/>
  <c r="C242" i="3"/>
  <c r="C243" i="39"/>
  <c r="Z13" i="39" s="1"/>
  <c r="M253" i="22"/>
  <c r="N253" i="22" s="1"/>
  <c r="O253" i="22" s="1"/>
  <c r="L147" i="3" l="1"/>
  <c r="R147" i="3" s="1"/>
  <c r="M147" i="3"/>
  <c r="J254" i="22"/>
  <c r="L254" i="22" s="1"/>
  <c r="I254" i="22"/>
  <c r="C244" i="39"/>
  <c r="Z14" i="39" s="1"/>
  <c r="C243" i="3"/>
  <c r="H254" i="22"/>
  <c r="E255" i="22" l="1"/>
  <c r="F255" i="22"/>
  <c r="G255" i="22" s="1"/>
  <c r="I255" i="22" s="1"/>
  <c r="M254" i="22"/>
  <c r="K254" i="22"/>
  <c r="Q147" i="3"/>
  <c r="N147" i="3"/>
  <c r="P147" i="3"/>
  <c r="AA147" i="3" s="1"/>
  <c r="Z147" i="3" l="1"/>
  <c r="Y147" i="3"/>
  <c r="H255" i="22"/>
  <c r="J255" i="22"/>
  <c r="L255" i="22" s="1"/>
  <c r="N254" i="22"/>
  <c r="O254" i="22" s="1"/>
  <c r="J148" i="3"/>
  <c r="K148" i="3" s="1"/>
  <c r="X147" i="3"/>
  <c r="D148" i="39"/>
  <c r="R35" i="39" s="1"/>
  <c r="V147" i="3"/>
  <c r="W147" i="3" s="1"/>
  <c r="O147" i="3"/>
  <c r="M255" i="22" l="1"/>
  <c r="E256" i="22"/>
  <c r="F256" i="22"/>
  <c r="G256" i="22" s="1"/>
  <c r="H256" i="22" s="1"/>
  <c r="L148" i="3"/>
  <c r="C244" i="3"/>
  <c r="C245" i="39"/>
  <c r="Z15" i="39" s="1"/>
  <c r="Z24" i="39" s="1"/>
  <c r="K255" i="22"/>
  <c r="E257" i="22" l="1"/>
  <c r="F257" i="22"/>
  <c r="G257" i="22" s="1"/>
  <c r="I256" i="22"/>
  <c r="R148" i="3"/>
  <c r="M148" i="3"/>
  <c r="J256" i="22"/>
  <c r="L256" i="22" s="1"/>
  <c r="N255" i="22"/>
  <c r="O255" i="22" s="1"/>
  <c r="M256" i="22" l="1"/>
  <c r="N256" i="22" s="1"/>
  <c r="O256" i="22" s="1"/>
  <c r="K256" i="22"/>
  <c r="P148" i="3"/>
  <c r="AA148" i="3" s="1"/>
  <c r="Q148" i="3"/>
  <c r="N148" i="3"/>
  <c r="J257" i="22"/>
  <c r="L257" i="22" s="1"/>
  <c r="H257" i="22"/>
  <c r="C245" i="3"/>
  <c r="C246" i="39"/>
  <c r="Z16" i="39" s="1"/>
  <c r="I257" i="22"/>
  <c r="M257" i="22" l="1"/>
  <c r="E258" i="22"/>
  <c r="F258" i="22"/>
  <c r="G258" i="22" s="1"/>
  <c r="I258" i="22" s="1"/>
  <c r="K257" i="22"/>
  <c r="X148" i="3"/>
  <c r="J149" i="3"/>
  <c r="K149" i="3" s="1"/>
  <c r="D149" i="39"/>
  <c r="R36" i="39" s="1"/>
  <c r="V148" i="3"/>
  <c r="W148" i="3" s="1"/>
  <c r="O148" i="3"/>
  <c r="C247" i="39"/>
  <c r="Z17" i="39" s="1"/>
  <c r="C246" i="3"/>
  <c r="Z148" i="3"/>
  <c r="Y148" i="3"/>
  <c r="L149" i="3" l="1"/>
  <c r="R149" i="3" s="1"/>
  <c r="M149" i="3"/>
  <c r="H258" i="22"/>
  <c r="N257" i="22"/>
  <c r="O257" i="22" s="1"/>
  <c r="J258" i="22"/>
  <c r="L258" i="22" s="1"/>
  <c r="M258" i="22" l="1"/>
  <c r="K258" i="22"/>
  <c r="F259" i="22"/>
  <c r="G259" i="22" s="1"/>
  <c r="H259" i="22" s="1"/>
  <c r="E259" i="22"/>
  <c r="C247" i="3"/>
  <c r="C248" i="39"/>
  <c r="Z18" i="39" s="1"/>
  <c r="N149" i="3"/>
  <c r="P149" i="3"/>
  <c r="AA149" i="3" s="1"/>
  <c r="Q149" i="3"/>
  <c r="F260" i="22" l="1"/>
  <c r="E260" i="22"/>
  <c r="D150" i="39"/>
  <c r="R37" i="39" s="1"/>
  <c r="J150" i="3"/>
  <c r="K150" i="3" s="1"/>
  <c r="X149" i="3"/>
  <c r="V149" i="3"/>
  <c r="W149" i="3" s="1"/>
  <c r="O149" i="3"/>
  <c r="N258" i="22"/>
  <c r="O258" i="22" s="1"/>
  <c r="J259" i="22"/>
  <c r="L259" i="22" s="1"/>
  <c r="K259" i="22"/>
  <c r="I259" i="22"/>
  <c r="Z149" i="3"/>
  <c r="Y149" i="3"/>
  <c r="L150" i="3" l="1"/>
  <c r="C249" i="39"/>
  <c r="Z19" i="39" s="1"/>
  <c r="C248" i="3"/>
  <c r="G260" i="22"/>
  <c r="M259" i="22"/>
  <c r="N259" i="22" s="1"/>
  <c r="O259" i="22" s="1"/>
  <c r="C250" i="39" l="1"/>
  <c r="Z20" i="39" s="1"/>
  <c r="C249" i="3"/>
  <c r="J260" i="22"/>
  <c r="L260" i="22" s="1"/>
  <c r="H260" i="22"/>
  <c r="I260" i="22"/>
  <c r="R150" i="3"/>
  <c r="M150" i="3"/>
  <c r="N150" i="3" l="1"/>
  <c r="P150" i="3"/>
  <c r="AA150" i="3" s="1"/>
  <c r="Q150" i="3"/>
  <c r="K260" i="22"/>
  <c r="F261" i="22"/>
  <c r="G261" i="22" s="1"/>
  <c r="H261" i="22" s="1"/>
  <c r="E261" i="22"/>
  <c r="M260" i="22"/>
  <c r="N260" i="22" s="1"/>
  <c r="O260" i="22" s="1"/>
  <c r="E262" i="22" l="1"/>
  <c r="F262" i="22"/>
  <c r="G262" i="22" s="1"/>
  <c r="I261" i="22"/>
  <c r="C251" i="39"/>
  <c r="Z21" i="39" s="1"/>
  <c r="C250" i="3"/>
  <c r="J261" i="22"/>
  <c r="L261" i="22" s="1"/>
  <c r="Z150" i="3"/>
  <c r="Y150" i="3"/>
  <c r="J151" i="3"/>
  <c r="K151" i="3" s="1"/>
  <c r="D151" i="39"/>
  <c r="R38" i="39" s="1"/>
  <c r="X150" i="3"/>
  <c r="V150" i="3"/>
  <c r="W150" i="3" s="1"/>
  <c r="O150" i="3"/>
  <c r="K261" i="22" l="1"/>
  <c r="Z9" i="39"/>
  <c r="Z25" i="39"/>
  <c r="Z26" i="39" s="1"/>
  <c r="J262" i="22"/>
  <c r="L262" i="22" s="1"/>
  <c r="H262" i="22"/>
  <c r="M261" i="22"/>
  <c r="N261" i="22" s="1"/>
  <c r="O261" i="22" s="1"/>
  <c r="L151" i="3"/>
  <c r="I262" i="22"/>
  <c r="M262" i="22" l="1"/>
  <c r="C251" i="3"/>
  <c r="C252" i="39"/>
  <c r="AA10" i="39" s="1"/>
  <c r="K262" i="22"/>
  <c r="R151" i="3"/>
  <c r="M151" i="3"/>
  <c r="F263" i="22"/>
  <c r="E263" i="22"/>
  <c r="P151" i="3" l="1"/>
  <c r="AA151" i="3" s="1"/>
  <c r="N151" i="3"/>
  <c r="Q151" i="3"/>
  <c r="G263" i="22"/>
  <c r="N262" i="22"/>
  <c r="O262" i="22" s="1"/>
  <c r="J263" i="22" l="1"/>
  <c r="L263" i="22" s="1"/>
  <c r="H263" i="22"/>
  <c r="I263" i="22"/>
  <c r="C252" i="3"/>
  <c r="C253" i="39"/>
  <c r="AA11" i="39" s="1"/>
  <c r="Z151" i="3"/>
  <c r="Y151" i="3"/>
  <c r="D152" i="39"/>
  <c r="R39" i="39" s="1"/>
  <c r="X151" i="3"/>
  <c r="J152" i="3"/>
  <c r="K152" i="3" s="1"/>
  <c r="V151" i="3"/>
  <c r="W151" i="3" s="1"/>
  <c r="O151" i="3"/>
  <c r="L152" i="3" l="1"/>
  <c r="R152" i="3" s="1"/>
  <c r="F264" i="22"/>
  <c r="G264" i="22" s="1"/>
  <c r="I264" i="22" s="1"/>
  <c r="E264" i="22"/>
  <c r="M263" i="22"/>
  <c r="N263" i="22" s="1"/>
  <c r="O263" i="22" s="1"/>
  <c r="M152" i="3"/>
  <c r="K263" i="22"/>
  <c r="C253" i="3" l="1"/>
  <c r="C254" i="39"/>
  <c r="AA12" i="39" s="1"/>
  <c r="H264" i="22"/>
  <c r="N152" i="3"/>
  <c r="Q152" i="3"/>
  <c r="P152" i="3"/>
  <c r="AA152" i="3" s="1"/>
  <c r="J264" i="22"/>
  <c r="L264" i="22" s="1"/>
  <c r="K264" i="22" l="1"/>
  <c r="Y152" i="3"/>
  <c r="Z152" i="3"/>
  <c r="M264" i="22"/>
  <c r="N264" i="22" s="1"/>
  <c r="O264" i="22" s="1"/>
  <c r="F265" i="22"/>
  <c r="E265" i="22"/>
  <c r="X152" i="3"/>
  <c r="D153" i="39"/>
  <c r="R40" i="39" s="1"/>
  <c r="J153" i="3"/>
  <c r="K153" i="3" s="1"/>
  <c r="V152" i="3"/>
  <c r="W152" i="3" s="1"/>
  <c r="O152" i="3"/>
  <c r="L153" i="3" l="1"/>
  <c r="C254" i="3"/>
  <c r="C255" i="39"/>
  <c r="AA13" i="39" s="1"/>
  <c r="G265" i="22"/>
  <c r="J265" i="22" l="1"/>
  <c r="L265" i="22" s="1"/>
  <c r="I265" i="22"/>
  <c r="H265" i="22"/>
  <c r="R153" i="3"/>
  <c r="M153" i="3"/>
  <c r="N153" i="3" l="1"/>
  <c r="Q153" i="3"/>
  <c r="P153" i="3"/>
  <c r="AA153" i="3" s="1"/>
  <c r="F266" i="22"/>
  <c r="E266" i="22"/>
  <c r="M265" i="22"/>
  <c r="N265" i="22" s="1"/>
  <c r="O265" i="22" s="1"/>
  <c r="K265" i="22"/>
  <c r="G266" i="22" l="1"/>
  <c r="Z153" i="3"/>
  <c r="Y153" i="3"/>
  <c r="C256" i="39"/>
  <c r="AA14" i="39" s="1"/>
  <c r="C255" i="3"/>
  <c r="X153" i="3"/>
  <c r="J154" i="3"/>
  <c r="K154" i="3" s="1"/>
  <c r="D154" i="39"/>
  <c r="R41" i="39" s="1"/>
  <c r="V153" i="3"/>
  <c r="W153" i="3" s="1"/>
  <c r="O153" i="3"/>
  <c r="L154" i="3" l="1"/>
  <c r="R154" i="3" s="1"/>
  <c r="M154" i="3"/>
  <c r="J266" i="22"/>
  <c r="L266" i="22" s="1"/>
  <c r="K266" i="22"/>
  <c r="I266" i="22"/>
  <c r="H266" i="22"/>
  <c r="F267" i="22" l="1"/>
  <c r="E267" i="22"/>
  <c r="P154" i="3"/>
  <c r="AA154" i="3" s="1"/>
  <c r="Q154" i="3"/>
  <c r="N154" i="3"/>
  <c r="M266" i="22"/>
  <c r="N266" i="22" s="1"/>
  <c r="O266" i="22" s="1"/>
  <c r="C256" i="3" l="1"/>
  <c r="C257" i="39"/>
  <c r="AA15" i="39" s="1"/>
  <c r="AA24" i="39" s="1"/>
  <c r="Z154" i="3"/>
  <c r="Y154" i="3"/>
  <c r="J155" i="3"/>
  <c r="K155" i="3" s="1"/>
  <c r="X154" i="3"/>
  <c r="D155" i="39"/>
  <c r="V154" i="3"/>
  <c r="W154" i="3" s="1"/>
  <c r="O154" i="3"/>
  <c r="G267" i="22"/>
  <c r="L155" i="3" l="1"/>
  <c r="J267" i="22"/>
  <c r="L267" i="22" s="1"/>
  <c r="I267" i="22"/>
  <c r="H267" i="22"/>
  <c r="S30" i="39"/>
  <c r="R42" i="39"/>
  <c r="F268" i="22" l="1"/>
  <c r="E268" i="22"/>
  <c r="K267" i="22"/>
  <c r="M267" i="22"/>
  <c r="N267" i="22" s="1"/>
  <c r="O267" i="22" s="1"/>
  <c r="R155" i="3"/>
  <c r="M155" i="3"/>
  <c r="N155" i="3" l="1"/>
  <c r="Q155" i="3"/>
  <c r="P155" i="3"/>
  <c r="AA155" i="3" s="1"/>
  <c r="C257" i="3"/>
  <c r="C258" i="39"/>
  <c r="AA16" i="39" s="1"/>
  <c r="G268" i="22"/>
  <c r="J268" i="22" l="1"/>
  <c r="L268" i="22" s="1"/>
  <c r="I268" i="22"/>
  <c r="H268" i="22"/>
  <c r="Z155" i="3"/>
  <c r="Y155" i="3"/>
  <c r="X155" i="3"/>
  <c r="D156" i="39"/>
  <c r="S31" i="39" s="1"/>
  <c r="J156" i="3"/>
  <c r="K156" i="3" s="1"/>
  <c r="V155" i="3"/>
  <c r="W155" i="3" s="1"/>
  <c r="O155" i="3"/>
  <c r="L156" i="3" l="1"/>
  <c r="R156" i="3" s="1"/>
  <c r="M156" i="3"/>
  <c r="E269" i="22"/>
  <c r="F269" i="22"/>
  <c r="G269" i="22" s="1"/>
  <c r="H269" i="22" s="1"/>
  <c r="K268" i="22"/>
  <c r="M268" i="22"/>
  <c r="N268" i="22" s="1"/>
  <c r="O268" i="22" s="1"/>
  <c r="F270" i="22" l="1"/>
  <c r="G270" i="22" s="1"/>
  <c r="H270" i="22" s="1"/>
  <c r="E270" i="22"/>
  <c r="C258" i="3"/>
  <c r="C259" i="39"/>
  <c r="AA17" i="39" s="1"/>
  <c r="I269" i="22"/>
  <c r="J269" i="22"/>
  <c r="L269" i="22" s="1"/>
  <c r="N156" i="3"/>
  <c r="P156" i="3"/>
  <c r="AA156" i="3" s="1"/>
  <c r="Q156" i="3"/>
  <c r="E271" i="22" l="1"/>
  <c r="F271" i="22"/>
  <c r="G271" i="22" s="1"/>
  <c r="H271" i="22" s="1"/>
  <c r="Z156" i="3"/>
  <c r="Y156" i="3"/>
  <c r="M269" i="22"/>
  <c r="N269" i="22" s="1"/>
  <c r="O269" i="22" s="1"/>
  <c r="J270" i="22"/>
  <c r="L270" i="22" s="1"/>
  <c r="X156" i="3"/>
  <c r="J157" i="3"/>
  <c r="K157" i="3" s="1"/>
  <c r="D157" i="39"/>
  <c r="S32" i="39" s="1"/>
  <c r="V156" i="3"/>
  <c r="W156" i="3" s="1"/>
  <c r="O156" i="3"/>
  <c r="K269" i="22"/>
  <c r="I270" i="22"/>
  <c r="M270" i="22" l="1"/>
  <c r="F272" i="22"/>
  <c r="G272" i="22" s="1"/>
  <c r="H272" i="22" s="1"/>
  <c r="E272" i="22"/>
  <c r="C259" i="3"/>
  <c r="C260" i="39"/>
  <c r="AA18" i="39" s="1"/>
  <c r="K270" i="22"/>
  <c r="J271" i="22"/>
  <c r="L271" i="22" s="1"/>
  <c r="L157" i="3"/>
  <c r="I271" i="22"/>
  <c r="M271" i="22" l="1"/>
  <c r="F273" i="22"/>
  <c r="G273" i="22" s="1"/>
  <c r="E273" i="22"/>
  <c r="J272" i="22"/>
  <c r="L272" i="22" s="1"/>
  <c r="K271" i="22"/>
  <c r="I272" i="22"/>
  <c r="N270" i="22"/>
  <c r="O270" i="22" s="1"/>
  <c r="R157" i="3"/>
  <c r="M157" i="3"/>
  <c r="M272" i="22" l="1"/>
  <c r="N272" i="22" s="1"/>
  <c r="O272" i="22" s="1"/>
  <c r="J273" i="22"/>
  <c r="L273" i="22" s="1"/>
  <c r="K273" i="22"/>
  <c r="I273" i="22"/>
  <c r="H273" i="22"/>
  <c r="N271" i="22"/>
  <c r="O271" i="22" s="1"/>
  <c r="Q157" i="3"/>
  <c r="P157" i="3"/>
  <c r="AA157" i="3" s="1"/>
  <c r="N157" i="3"/>
  <c r="C260" i="3"/>
  <c r="C261" i="39"/>
  <c r="AA19" i="39" s="1"/>
  <c r="K272" i="22"/>
  <c r="M273" i="22" l="1"/>
  <c r="N273" i="22" s="1"/>
  <c r="O273" i="22" s="1"/>
  <c r="Z157" i="3"/>
  <c r="Y157" i="3"/>
  <c r="C262" i="39"/>
  <c r="AA20" i="39" s="1"/>
  <c r="C261" i="3"/>
  <c r="C262" i="3"/>
  <c r="C263" i="39"/>
  <c r="AA21" i="39" s="1"/>
  <c r="J158" i="3"/>
  <c r="K158" i="3" s="1"/>
  <c r="X157" i="3"/>
  <c r="D158" i="39"/>
  <c r="S33" i="39" s="1"/>
  <c r="V157" i="3"/>
  <c r="W157" i="3" s="1"/>
  <c r="O157" i="3"/>
  <c r="F274" i="22"/>
  <c r="G274" i="22" s="1"/>
  <c r="E274" i="22"/>
  <c r="L158" i="3" l="1"/>
  <c r="R158" i="3" s="1"/>
  <c r="AA9" i="39"/>
  <c r="AA25" i="39"/>
  <c r="AA26" i="39" s="1"/>
  <c r="J274" i="22"/>
  <c r="L274" i="22" s="1"/>
  <c r="I274" i="22"/>
  <c r="C263" i="3"/>
  <c r="C264" i="39"/>
  <c r="AB10" i="39" s="1"/>
  <c r="H274" i="22"/>
  <c r="M158" i="3"/>
  <c r="P158" i="3" l="1"/>
  <c r="AA158" i="3" s="1"/>
  <c r="Q158" i="3"/>
  <c r="N158" i="3"/>
  <c r="E275" i="22"/>
  <c r="F275" i="22"/>
  <c r="G275" i="22" s="1"/>
  <c r="K274" i="22"/>
  <c r="M274" i="22"/>
  <c r="J275" i="22" l="1"/>
  <c r="L275" i="22" s="1"/>
  <c r="K275" i="22"/>
  <c r="X158" i="3"/>
  <c r="D159" i="39"/>
  <c r="S34" i="39" s="1"/>
  <c r="J159" i="3"/>
  <c r="K159" i="3" s="1"/>
  <c r="V158" i="3"/>
  <c r="W158" i="3" s="1"/>
  <c r="O158" i="3"/>
  <c r="N274" i="22"/>
  <c r="O274" i="22" s="1"/>
  <c r="Y158" i="3"/>
  <c r="Z158" i="3"/>
  <c r="I275" i="22"/>
  <c r="H275" i="22"/>
  <c r="L159" i="3" l="1"/>
  <c r="R159" i="3" s="1"/>
  <c r="C264" i="3"/>
  <c r="C265" i="39"/>
  <c r="AB11" i="39" s="1"/>
  <c r="M159" i="3"/>
  <c r="E276" i="22"/>
  <c r="F276" i="22"/>
  <c r="G276" i="22" s="1"/>
  <c r="H276" i="22" s="1"/>
  <c r="M275" i="22"/>
  <c r="N275" i="22" s="1"/>
  <c r="O275" i="22" s="1"/>
  <c r="E277" i="22" l="1"/>
  <c r="F277" i="22"/>
  <c r="G277" i="22" s="1"/>
  <c r="C266" i="39"/>
  <c r="AB12" i="39" s="1"/>
  <c r="C265" i="3"/>
  <c r="Q159" i="3"/>
  <c r="N159" i="3"/>
  <c r="P159" i="3"/>
  <c r="AA159" i="3" s="1"/>
  <c r="J276" i="22"/>
  <c r="L276" i="22" s="1"/>
  <c r="I276" i="22"/>
  <c r="Z159" i="3" l="1"/>
  <c r="Y159" i="3"/>
  <c r="J277" i="22"/>
  <c r="L277" i="22" s="1"/>
  <c r="J160" i="3"/>
  <c r="K160" i="3" s="1"/>
  <c r="X159" i="3"/>
  <c r="D160" i="39"/>
  <c r="S35" i="39" s="1"/>
  <c r="V159" i="3"/>
  <c r="W159" i="3" s="1"/>
  <c r="O159" i="3"/>
  <c r="H277" i="22"/>
  <c r="M276" i="22"/>
  <c r="N276" i="22" s="1"/>
  <c r="O276" i="22" s="1"/>
  <c r="K276" i="22"/>
  <c r="I277" i="22"/>
  <c r="M277" i="22" l="1"/>
  <c r="L160" i="3"/>
  <c r="K277" i="22"/>
  <c r="F278" i="22"/>
  <c r="E278" i="22"/>
  <c r="C267" i="39"/>
  <c r="AB13" i="39" s="1"/>
  <c r="C266" i="3"/>
  <c r="G278" i="22" l="1"/>
  <c r="R160" i="3"/>
  <c r="M160" i="3"/>
  <c r="N277" i="22"/>
  <c r="O277" i="22" s="1"/>
  <c r="C267" i="3" l="1"/>
  <c r="C268" i="39"/>
  <c r="AB14" i="39" s="1"/>
  <c r="J278" i="22"/>
  <c r="L278" i="22" s="1"/>
  <c r="H278" i="22"/>
  <c r="I278" i="22"/>
  <c r="N160" i="3"/>
  <c r="P160" i="3"/>
  <c r="AA160" i="3" s="1"/>
  <c r="Q160" i="3"/>
  <c r="Z160" i="3" l="1"/>
  <c r="Y160" i="3"/>
  <c r="E279" i="22"/>
  <c r="F279" i="22"/>
  <c r="G279" i="22" s="1"/>
  <c r="H279" i="22" s="1"/>
  <c r="K278" i="22"/>
  <c r="J161" i="3"/>
  <c r="K161" i="3" s="1"/>
  <c r="X160" i="3"/>
  <c r="D161" i="39"/>
  <c r="S36" i="39" s="1"/>
  <c r="V160" i="3"/>
  <c r="W160" i="3" s="1"/>
  <c r="O160" i="3"/>
  <c r="M278" i="22"/>
  <c r="L161" i="3" l="1"/>
  <c r="R161" i="3" s="1"/>
  <c r="F280" i="22"/>
  <c r="G280" i="22" s="1"/>
  <c r="E280" i="22"/>
  <c r="M161" i="3"/>
  <c r="I279" i="22"/>
  <c r="J279" i="22"/>
  <c r="L279" i="22" s="1"/>
  <c r="K279" i="22"/>
  <c r="N278" i="22"/>
  <c r="O278" i="22" s="1"/>
  <c r="C269" i="39" l="1"/>
  <c r="AB15" i="39" s="1"/>
  <c r="C268" i="3"/>
  <c r="M279" i="22"/>
  <c r="N279" i="22" s="1"/>
  <c r="O279" i="22" s="1"/>
  <c r="J280" i="22"/>
  <c r="L280" i="22" s="1"/>
  <c r="Q161" i="3"/>
  <c r="N161" i="3"/>
  <c r="P161" i="3"/>
  <c r="AA161" i="3" s="1"/>
  <c r="I280" i="22"/>
  <c r="H280" i="22"/>
  <c r="M280" i="22" l="1"/>
  <c r="C269" i="3"/>
  <c r="C270" i="39"/>
  <c r="AB16" i="39" s="1"/>
  <c r="Z161" i="3"/>
  <c r="Y161" i="3"/>
  <c r="E281" i="22"/>
  <c r="F281" i="22"/>
  <c r="G281" i="22" s="1"/>
  <c r="H281" i="22" s="1"/>
  <c r="D162" i="39"/>
  <c r="S37" i="39" s="1"/>
  <c r="X161" i="3"/>
  <c r="J162" i="3"/>
  <c r="K162" i="3" s="1"/>
  <c r="V161" i="3"/>
  <c r="W161" i="3" s="1"/>
  <c r="O161" i="3"/>
  <c r="K280" i="22"/>
  <c r="AB24" i="39"/>
  <c r="F282" i="22" l="1"/>
  <c r="E282" i="22"/>
  <c r="I281" i="22"/>
  <c r="J281" i="22"/>
  <c r="L281" i="22" s="1"/>
  <c r="K281" i="22"/>
  <c r="N280" i="22"/>
  <c r="O280" i="22" s="1"/>
  <c r="L162" i="3"/>
  <c r="C271" i="39" l="1"/>
  <c r="AB17" i="39" s="1"/>
  <c r="C270" i="3"/>
  <c r="R162" i="3"/>
  <c r="M162" i="3"/>
  <c r="M281" i="22"/>
  <c r="N281" i="22" s="1"/>
  <c r="O281" i="22" s="1"/>
  <c r="G282" i="22"/>
  <c r="J282" i="22" l="1"/>
  <c r="L282" i="22" s="1"/>
  <c r="I282" i="22"/>
  <c r="H282" i="22"/>
  <c r="P162" i="3"/>
  <c r="AA162" i="3" s="1"/>
  <c r="N162" i="3"/>
  <c r="Q162" i="3"/>
  <c r="C272" i="39"/>
  <c r="AB18" i="39" s="1"/>
  <c r="C271" i="3"/>
  <c r="X162" i="3" l="1"/>
  <c r="J163" i="3"/>
  <c r="K163" i="3" s="1"/>
  <c r="D163" i="39"/>
  <c r="S38" i="39" s="1"/>
  <c r="V162" i="3"/>
  <c r="W162" i="3" s="1"/>
  <c r="O162" i="3"/>
  <c r="Z162" i="3"/>
  <c r="Y162" i="3"/>
  <c r="M282" i="22"/>
  <c r="E283" i="22"/>
  <c r="F283" i="22"/>
  <c r="G283" i="22" s="1"/>
  <c r="K282" i="22"/>
  <c r="L163" i="3" l="1"/>
  <c r="J283" i="22"/>
  <c r="L283" i="22" s="1"/>
  <c r="H283" i="22"/>
  <c r="I283" i="22"/>
  <c r="N282" i="22"/>
  <c r="O282" i="22" s="1"/>
  <c r="C272" i="3" l="1"/>
  <c r="C273" i="39"/>
  <c r="AB19" i="39" s="1"/>
  <c r="F284" i="22"/>
  <c r="G284" i="22" s="1"/>
  <c r="H284" i="22" s="1"/>
  <c r="E284" i="22"/>
  <c r="M283" i="22"/>
  <c r="N283" i="22" s="1"/>
  <c r="O283" i="22" s="1"/>
  <c r="K283" i="22"/>
  <c r="R163" i="3"/>
  <c r="M163" i="3"/>
  <c r="E285" i="22" l="1"/>
  <c r="F285" i="22"/>
  <c r="G285" i="22" s="1"/>
  <c r="H285" i="22" s="1"/>
  <c r="C273" i="3"/>
  <c r="C274" i="39"/>
  <c r="AB20" i="39" s="1"/>
  <c r="P163" i="3"/>
  <c r="AA163" i="3" s="1"/>
  <c r="Q163" i="3"/>
  <c r="N163" i="3"/>
  <c r="I284" i="22"/>
  <c r="J284" i="22"/>
  <c r="L284" i="22" s="1"/>
  <c r="E286" i="22" l="1"/>
  <c r="F286" i="22"/>
  <c r="G286" i="22" s="1"/>
  <c r="L285" i="22"/>
  <c r="M284" i="22"/>
  <c r="N284" i="22" s="1"/>
  <c r="O284" i="22" s="1"/>
  <c r="X163" i="3"/>
  <c r="D164" i="39"/>
  <c r="S39" i="39" s="1"/>
  <c r="J164" i="3"/>
  <c r="K164" i="3" s="1"/>
  <c r="V163" i="3"/>
  <c r="W163" i="3" s="1"/>
  <c r="O163" i="3"/>
  <c r="K284" i="22"/>
  <c r="J285" i="22"/>
  <c r="K285" i="22" s="1"/>
  <c r="I285" i="22"/>
  <c r="Z163" i="3"/>
  <c r="Y163" i="3"/>
  <c r="L164" i="3" l="1"/>
  <c r="R164" i="3" s="1"/>
  <c r="M164" i="3"/>
  <c r="C275" i="39"/>
  <c r="AB21" i="39" s="1"/>
  <c r="C274" i="3"/>
  <c r="J286" i="22"/>
  <c r="K286" i="22" s="1"/>
  <c r="M285" i="22"/>
  <c r="N285" i="22" s="1"/>
  <c r="O285" i="22" s="1"/>
  <c r="H286" i="22"/>
  <c r="I286" i="22"/>
  <c r="L286" i="22" l="1"/>
  <c r="E287" i="22"/>
  <c r="F287" i="22"/>
  <c r="G287" i="22" s="1"/>
  <c r="I287" i="22" s="1"/>
  <c r="AB9" i="39"/>
  <c r="AB25" i="39"/>
  <c r="AB26" i="39" s="1"/>
  <c r="C275" i="3"/>
  <c r="C276" i="39"/>
  <c r="AC10" i="39" s="1"/>
  <c r="N164" i="3"/>
  <c r="Q164" i="3"/>
  <c r="P164" i="3"/>
  <c r="AA164" i="3" s="1"/>
  <c r="D165" i="39" l="1"/>
  <c r="S40" i="39" s="1"/>
  <c r="J165" i="3"/>
  <c r="K165" i="3" s="1"/>
  <c r="X164" i="3"/>
  <c r="V164" i="3"/>
  <c r="W164" i="3" s="1"/>
  <c r="O164" i="3"/>
  <c r="J287" i="22"/>
  <c r="L287" i="22" s="1"/>
  <c r="H287" i="22"/>
  <c r="Z164" i="3"/>
  <c r="Y164" i="3"/>
  <c r="M286" i="22"/>
  <c r="N286" i="22" s="1"/>
  <c r="O286" i="22" s="1"/>
  <c r="M287" i="22" l="1"/>
  <c r="F288" i="22"/>
  <c r="G288" i="22" s="1"/>
  <c r="I288" i="22" s="1"/>
  <c r="E288" i="22"/>
  <c r="K287" i="22"/>
  <c r="C276" i="3"/>
  <c r="C277" i="39"/>
  <c r="AC11" i="39" s="1"/>
  <c r="L165" i="3"/>
  <c r="R165" i="3" l="1"/>
  <c r="M165" i="3"/>
  <c r="H288" i="22"/>
  <c r="J288" i="22"/>
  <c r="L288" i="22" s="1"/>
  <c r="N287" i="22"/>
  <c r="O287" i="22" s="1"/>
  <c r="M288" i="22" l="1"/>
  <c r="C277" i="3"/>
  <c r="C278" i="39"/>
  <c r="AC12" i="39" s="1"/>
  <c r="K288" i="22"/>
  <c r="Q165" i="3"/>
  <c r="P165" i="3"/>
  <c r="AA165" i="3" s="1"/>
  <c r="N165" i="3"/>
  <c r="F289" i="22"/>
  <c r="G289" i="22" s="1"/>
  <c r="H289" i="22" s="1"/>
  <c r="E289" i="22"/>
  <c r="F290" i="22" l="1"/>
  <c r="G290" i="22" s="1"/>
  <c r="E290" i="22"/>
  <c r="X165" i="3"/>
  <c r="D166" i="39"/>
  <c r="S41" i="39" s="1"/>
  <c r="J166" i="3"/>
  <c r="K166" i="3" s="1"/>
  <c r="V165" i="3"/>
  <c r="W165" i="3" s="1"/>
  <c r="O165" i="3"/>
  <c r="N288" i="22"/>
  <c r="O288" i="22" s="1"/>
  <c r="Z165" i="3"/>
  <c r="Y165" i="3"/>
  <c r="J289" i="22"/>
  <c r="L289" i="22" s="1"/>
  <c r="I289" i="22"/>
  <c r="L166" i="3" l="1"/>
  <c r="R166" i="3" s="1"/>
  <c r="M166" i="3"/>
  <c r="M289" i="22"/>
  <c r="K289" i="22"/>
  <c r="J290" i="22"/>
  <c r="L290" i="22" s="1"/>
  <c r="I290" i="22"/>
  <c r="C278" i="3"/>
  <c r="C279" i="39"/>
  <c r="AC13" i="39" s="1"/>
  <c r="H290" i="22"/>
  <c r="M290" i="22" l="1"/>
  <c r="F291" i="22"/>
  <c r="G291" i="22" s="1"/>
  <c r="I291" i="22" s="1"/>
  <c r="E291" i="22"/>
  <c r="K290" i="22"/>
  <c r="N289" i="22"/>
  <c r="O289" i="22" s="1"/>
  <c r="Q166" i="3"/>
  <c r="N166" i="3"/>
  <c r="P166" i="3"/>
  <c r="AA166" i="3" s="1"/>
  <c r="H291" i="22" l="1"/>
  <c r="N290" i="22"/>
  <c r="O290" i="22" s="1"/>
  <c r="J291" i="22"/>
  <c r="L291" i="22" s="1"/>
  <c r="D167" i="39"/>
  <c r="X166" i="3"/>
  <c r="J167" i="3"/>
  <c r="K167" i="3" s="1"/>
  <c r="V166" i="3"/>
  <c r="W166" i="3" s="1"/>
  <c r="O166" i="3"/>
  <c r="C279" i="3"/>
  <c r="C280" i="39"/>
  <c r="AC14" i="39" s="1"/>
  <c r="Z166" i="3"/>
  <c r="Y166" i="3"/>
  <c r="T30" i="39" l="1"/>
  <c r="S42" i="39"/>
  <c r="K291" i="22"/>
  <c r="M291" i="22"/>
  <c r="N291" i="22" s="1"/>
  <c r="O291" i="22" s="1"/>
  <c r="C280" i="3"/>
  <c r="C281" i="39"/>
  <c r="AC15" i="39" s="1"/>
  <c r="AC24" i="39" s="1"/>
  <c r="L167" i="3"/>
  <c r="E292" i="22"/>
  <c r="F292" i="22"/>
  <c r="G292" i="22" s="1"/>
  <c r="H292" i="22" s="1"/>
  <c r="F293" i="22" l="1"/>
  <c r="E293" i="22"/>
  <c r="R167" i="3"/>
  <c r="M167" i="3"/>
  <c r="J292" i="22"/>
  <c r="L292" i="22" s="1"/>
  <c r="I292" i="22"/>
  <c r="C282" i="39"/>
  <c r="AC16" i="39" s="1"/>
  <c r="C281" i="3"/>
  <c r="M292" i="22" l="1"/>
  <c r="K292" i="22"/>
  <c r="Q167" i="3"/>
  <c r="N167" i="3"/>
  <c r="P167" i="3"/>
  <c r="AA167" i="3" s="1"/>
  <c r="G293" i="22"/>
  <c r="J293" i="22" l="1"/>
  <c r="L293" i="22" s="1"/>
  <c r="I293" i="22"/>
  <c r="H293" i="22"/>
  <c r="J168" i="3"/>
  <c r="K168" i="3" s="1"/>
  <c r="D168" i="39"/>
  <c r="T31" i="39" s="1"/>
  <c r="X167" i="3"/>
  <c r="V167" i="3"/>
  <c r="W167" i="3" s="1"/>
  <c r="O167" i="3"/>
  <c r="Z167" i="3"/>
  <c r="Y167" i="3"/>
  <c r="N292" i="22"/>
  <c r="O292" i="22" s="1"/>
  <c r="L168" i="3" l="1"/>
  <c r="F294" i="22"/>
  <c r="G294" i="22" s="1"/>
  <c r="I294" i="22" s="1"/>
  <c r="E294" i="22"/>
  <c r="H294" i="22"/>
  <c r="K293" i="22"/>
  <c r="C283" i="39"/>
  <c r="AC17" i="39" s="1"/>
  <c r="C282" i="3"/>
  <c r="M293" i="22"/>
  <c r="N293" i="22" s="1"/>
  <c r="O293" i="22" s="1"/>
  <c r="C283" i="3" l="1"/>
  <c r="C284" i="39"/>
  <c r="AC18" i="39" s="1"/>
  <c r="J294" i="22"/>
  <c r="L294" i="22" s="1"/>
  <c r="E295" i="22"/>
  <c r="F295" i="22"/>
  <c r="G295" i="22" s="1"/>
  <c r="I295" i="22" s="1"/>
  <c r="R168" i="3"/>
  <c r="M168" i="3"/>
  <c r="Q168" i="3" l="1"/>
  <c r="N168" i="3"/>
  <c r="P168" i="3"/>
  <c r="AA168" i="3" s="1"/>
  <c r="J295" i="22"/>
  <c r="K295" i="22"/>
  <c r="H295" i="22"/>
  <c r="L295" i="22"/>
  <c r="M294" i="22"/>
  <c r="K294" i="22"/>
  <c r="N294" i="22" l="1"/>
  <c r="O294" i="22" s="1"/>
  <c r="F296" i="22"/>
  <c r="E296" i="22"/>
  <c r="J169" i="3"/>
  <c r="K169" i="3" s="1"/>
  <c r="X168" i="3"/>
  <c r="D169" i="39"/>
  <c r="T32" i="39" s="1"/>
  <c r="V168" i="3"/>
  <c r="W168" i="3" s="1"/>
  <c r="O168" i="3"/>
  <c r="M295" i="22"/>
  <c r="N295" i="22" s="1"/>
  <c r="O295" i="22" s="1"/>
  <c r="Z168" i="3"/>
  <c r="Y168" i="3"/>
  <c r="L169" i="3" l="1"/>
  <c r="R169" i="3" s="1"/>
  <c r="M169" i="3"/>
  <c r="G296" i="22"/>
  <c r="C286" i="39"/>
  <c r="AC20" i="39" s="1"/>
  <c r="C285" i="3"/>
  <c r="C284" i="3"/>
  <c r="C285" i="39"/>
  <c r="AC19" i="39" s="1"/>
  <c r="J296" i="22" l="1"/>
  <c r="L296" i="22" s="1"/>
  <c r="I296" i="22"/>
  <c r="H296" i="22"/>
  <c r="N169" i="3"/>
  <c r="Q169" i="3"/>
  <c r="P169" i="3"/>
  <c r="AA169" i="3" s="1"/>
  <c r="D170" i="39" l="1"/>
  <c r="T33" i="39" s="1"/>
  <c r="X169" i="3"/>
  <c r="J170" i="3"/>
  <c r="K170" i="3" s="1"/>
  <c r="V169" i="3"/>
  <c r="W169" i="3" s="1"/>
  <c r="O169" i="3"/>
  <c r="Z169" i="3"/>
  <c r="Y169" i="3"/>
  <c r="M296" i="22"/>
  <c r="N296" i="22" s="1"/>
  <c r="O296" i="22" s="1"/>
  <c r="F297" i="22"/>
  <c r="G297" i="22" s="1"/>
  <c r="E297" i="22"/>
  <c r="K296" i="22"/>
  <c r="L170" i="3" l="1"/>
  <c r="R170" i="3" s="1"/>
  <c r="J297" i="22"/>
  <c r="L297" i="22" s="1"/>
  <c r="K297" i="22"/>
  <c r="M170" i="3"/>
  <c r="C286" i="3"/>
  <c r="C287" i="39"/>
  <c r="AC21" i="39" s="1"/>
  <c r="I297" i="22"/>
  <c r="H297" i="22"/>
  <c r="P170" i="3" l="1"/>
  <c r="AA170" i="3" s="1"/>
  <c r="N170" i="3"/>
  <c r="Q170" i="3"/>
  <c r="E298" i="22"/>
  <c r="F298" i="22"/>
  <c r="G298" i="22" s="1"/>
  <c r="AC9" i="39"/>
  <c r="AC25" i="39"/>
  <c r="AC26" i="39" s="1"/>
  <c r="M297" i="22"/>
  <c r="N297" i="22" s="1"/>
  <c r="O297" i="22" s="1"/>
  <c r="J298" i="22" l="1"/>
  <c r="L298" i="22" s="1"/>
  <c r="H298" i="22"/>
  <c r="Z170" i="3"/>
  <c r="Y170" i="3"/>
  <c r="I298" i="22"/>
  <c r="J171" i="3"/>
  <c r="K171" i="3" s="1"/>
  <c r="D171" i="39"/>
  <c r="T34" i="39" s="1"/>
  <c r="X170" i="3"/>
  <c r="V170" i="3"/>
  <c r="W170" i="3" s="1"/>
  <c r="O170" i="3"/>
  <c r="C288" i="39"/>
  <c r="AD10" i="39" s="1"/>
  <c r="C287" i="3"/>
  <c r="L171" i="3" l="1"/>
  <c r="R171" i="3" s="1"/>
  <c r="M171" i="3"/>
  <c r="F299" i="22"/>
  <c r="G299" i="22" s="1"/>
  <c r="E299" i="22"/>
  <c r="M298" i="22"/>
  <c r="K298" i="22"/>
  <c r="J299" i="22" l="1"/>
  <c r="L299" i="22" s="1"/>
  <c r="N298" i="22"/>
  <c r="O298" i="22" s="1"/>
  <c r="I299" i="22"/>
  <c r="H299" i="22"/>
  <c r="N171" i="3"/>
  <c r="P171" i="3"/>
  <c r="AA171" i="3" s="1"/>
  <c r="Q171" i="3"/>
  <c r="E300" i="22" l="1"/>
  <c r="F300" i="22"/>
  <c r="G300" i="22" s="1"/>
  <c r="Z171" i="3"/>
  <c r="Y171" i="3"/>
  <c r="C289" i="39"/>
  <c r="AD11" i="39" s="1"/>
  <c r="C288" i="3"/>
  <c r="K299" i="22"/>
  <c r="J172" i="3"/>
  <c r="K172" i="3" s="1"/>
  <c r="X171" i="3"/>
  <c r="D172" i="39"/>
  <c r="T35" i="39" s="1"/>
  <c r="V171" i="3"/>
  <c r="W171" i="3" s="1"/>
  <c r="O171" i="3"/>
  <c r="M299" i="22"/>
  <c r="L172" i="3" l="1"/>
  <c r="R172" i="3" s="1"/>
  <c r="J300" i="22"/>
  <c r="L300" i="22" s="1"/>
  <c r="N299" i="22"/>
  <c r="O299" i="22" s="1"/>
  <c r="H300" i="22"/>
  <c r="M172" i="3"/>
  <c r="I300" i="22"/>
  <c r="E301" i="22" l="1"/>
  <c r="F301" i="22"/>
  <c r="G301" i="22" s="1"/>
  <c r="I301" i="22" s="1"/>
  <c r="N172" i="3"/>
  <c r="Q172" i="3"/>
  <c r="P172" i="3"/>
  <c r="AA172" i="3" s="1"/>
  <c r="K300" i="22"/>
  <c r="M300" i="22"/>
  <c r="N300" i="22" s="1"/>
  <c r="O300" i="22" s="1"/>
  <c r="C289" i="3"/>
  <c r="C290" i="39"/>
  <c r="AD12" i="39" s="1"/>
  <c r="C290" i="3" l="1"/>
  <c r="C291" i="39"/>
  <c r="AD13" i="39" s="1"/>
  <c r="Y172" i="3"/>
  <c r="Z172" i="3"/>
  <c r="X172" i="3"/>
  <c r="D173" i="39"/>
  <c r="T36" i="39" s="1"/>
  <c r="J173" i="3"/>
  <c r="K173" i="3" s="1"/>
  <c r="V172" i="3"/>
  <c r="W172" i="3" s="1"/>
  <c r="O172" i="3"/>
  <c r="K301" i="22"/>
  <c r="J301" i="22"/>
  <c r="L301" i="22" s="1"/>
  <c r="H301" i="22"/>
  <c r="F302" i="22" l="1"/>
  <c r="E302" i="22"/>
  <c r="L173" i="3"/>
  <c r="M301" i="22"/>
  <c r="N301" i="22" s="1"/>
  <c r="O301" i="22" s="1"/>
  <c r="R173" i="3" l="1"/>
  <c r="M173" i="3"/>
  <c r="C292" i="39"/>
  <c r="AD14" i="39" s="1"/>
  <c r="C291" i="3"/>
  <c r="G302" i="22"/>
  <c r="J302" i="22" l="1"/>
  <c r="L302" i="22" s="1"/>
  <c r="K302" i="22"/>
  <c r="H302" i="22"/>
  <c r="I302" i="22"/>
  <c r="Q173" i="3"/>
  <c r="N173" i="3"/>
  <c r="P173" i="3"/>
  <c r="AA173" i="3" s="1"/>
  <c r="Z173" i="3" l="1"/>
  <c r="Y173" i="3"/>
  <c r="F303" i="22"/>
  <c r="E303" i="22"/>
  <c r="J174" i="3"/>
  <c r="K174" i="3" s="1"/>
  <c r="D174" i="39"/>
  <c r="T37" i="39" s="1"/>
  <c r="X173" i="3"/>
  <c r="V173" i="3"/>
  <c r="W173" i="3" s="1"/>
  <c r="O173" i="3"/>
  <c r="M302" i="22"/>
  <c r="N302" i="22" s="1"/>
  <c r="O302" i="22" s="1"/>
  <c r="L174" i="3" l="1"/>
  <c r="R174" i="3" s="1"/>
  <c r="M174" i="3"/>
  <c r="G303" i="22"/>
  <c r="C292" i="3"/>
  <c r="C293" i="39"/>
  <c r="AD15" i="39" s="1"/>
  <c r="AD24" i="39" l="1"/>
  <c r="J303" i="22"/>
  <c r="L303" i="22" s="1"/>
  <c r="I303" i="22"/>
  <c r="H303" i="22"/>
  <c r="N174" i="3"/>
  <c r="P174" i="3"/>
  <c r="AA174" i="3" s="1"/>
  <c r="Q174" i="3"/>
  <c r="F304" i="22" l="1"/>
  <c r="E304" i="22"/>
  <c r="Z174" i="3"/>
  <c r="Y174" i="3"/>
  <c r="D175" i="39"/>
  <c r="T38" i="39" s="1"/>
  <c r="X174" i="3"/>
  <c r="J175" i="3"/>
  <c r="K175" i="3" s="1"/>
  <c r="V174" i="3"/>
  <c r="W174" i="3" s="1"/>
  <c r="O174" i="3"/>
  <c r="K303" i="22"/>
  <c r="M303" i="22"/>
  <c r="N303" i="22" s="1"/>
  <c r="O303" i="22" s="1"/>
  <c r="L175" i="3" l="1"/>
  <c r="C293" i="3"/>
  <c r="C294" i="39"/>
  <c r="AD16" i="39" s="1"/>
  <c r="G304" i="22"/>
  <c r="J304" i="22" l="1"/>
  <c r="L304" i="22" s="1"/>
  <c r="K304" i="22"/>
  <c r="H304" i="22"/>
  <c r="I304" i="22"/>
  <c r="R175" i="3"/>
  <c r="M175" i="3"/>
  <c r="N175" i="3" l="1"/>
  <c r="Q175" i="3"/>
  <c r="P175" i="3"/>
  <c r="AA175" i="3" s="1"/>
  <c r="F305" i="22"/>
  <c r="E305" i="22"/>
  <c r="M304" i="22"/>
  <c r="N304" i="22" s="1"/>
  <c r="O304" i="22" s="1"/>
  <c r="Y175" i="3" l="1"/>
  <c r="Z175" i="3"/>
  <c r="C294" i="3"/>
  <c r="C295" i="39"/>
  <c r="AD17" i="39" s="1"/>
  <c r="G305" i="22"/>
  <c r="X175" i="3"/>
  <c r="D176" i="39"/>
  <c r="T39" i="39" s="1"/>
  <c r="J176" i="3"/>
  <c r="K176" i="3" s="1"/>
  <c r="V175" i="3"/>
  <c r="W175" i="3" s="1"/>
  <c r="O175" i="3"/>
  <c r="L176" i="3" l="1"/>
  <c r="J305" i="22"/>
  <c r="L305" i="22" s="1"/>
  <c r="I305" i="22"/>
  <c r="H305" i="22"/>
  <c r="M305" i="22" l="1"/>
  <c r="E306" i="22"/>
  <c r="F306" i="22"/>
  <c r="G306" i="22" s="1"/>
  <c r="H306" i="22" s="1"/>
  <c r="K305" i="22"/>
  <c r="R176" i="3"/>
  <c r="M176" i="3"/>
  <c r="E307" i="22" l="1"/>
  <c r="F307" i="22"/>
  <c r="G307" i="22" s="1"/>
  <c r="I307" i="22" s="1"/>
  <c r="I306" i="22"/>
  <c r="P176" i="3"/>
  <c r="AA176" i="3" s="1"/>
  <c r="Q176" i="3"/>
  <c r="N176" i="3"/>
  <c r="J306" i="22"/>
  <c r="L306" i="22" s="1"/>
  <c r="N305" i="22"/>
  <c r="O305" i="22" s="1"/>
  <c r="M306" i="22" l="1"/>
  <c r="Y176" i="3"/>
  <c r="Z176" i="3"/>
  <c r="C295" i="3"/>
  <c r="C296" i="39"/>
  <c r="AD18" i="39" s="1"/>
  <c r="K306" i="22"/>
  <c r="J307" i="22"/>
  <c r="L307" i="22" s="1"/>
  <c r="J177" i="3"/>
  <c r="K177" i="3" s="1"/>
  <c r="X176" i="3"/>
  <c r="D177" i="39"/>
  <c r="T40" i="39" s="1"/>
  <c r="V176" i="3"/>
  <c r="W176" i="3" s="1"/>
  <c r="O176" i="3"/>
  <c r="H307" i="22"/>
  <c r="L177" i="3" l="1"/>
  <c r="R177" i="3" s="1"/>
  <c r="M307" i="22"/>
  <c r="M177" i="3"/>
  <c r="K307" i="22"/>
  <c r="N306" i="22"/>
  <c r="O306" i="22" s="1"/>
  <c r="E308" i="22"/>
  <c r="F308" i="22"/>
  <c r="G308" i="22" s="1"/>
  <c r="C296" i="3" l="1"/>
  <c r="C297" i="39"/>
  <c r="AD19" i="39" s="1"/>
  <c r="N177" i="3"/>
  <c r="Q177" i="3"/>
  <c r="P177" i="3"/>
  <c r="AA177" i="3" s="1"/>
  <c r="J308" i="22"/>
  <c r="L308" i="22" s="1"/>
  <c r="H308" i="22"/>
  <c r="I308" i="22"/>
  <c r="N307" i="22"/>
  <c r="O307" i="22" s="1"/>
  <c r="F309" i="22" l="1"/>
  <c r="E309" i="22"/>
  <c r="M308" i="22"/>
  <c r="C298" i="39"/>
  <c r="AD20" i="39" s="1"/>
  <c r="C297" i="3"/>
  <c r="K308" i="22"/>
  <c r="D178" i="39"/>
  <c r="T41" i="39" s="1"/>
  <c r="J178" i="3"/>
  <c r="K178" i="3" s="1"/>
  <c r="X177" i="3"/>
  <c r="V177" i="3"/>
  <c r="W177" i="3" s="1"/>
  <c r="O177" i="3"/>
  <c r="Z177" i="3"/>
  <c r="Y177" i="3"/>
  <c r="L178" i="3" l="1"/>
  <c r="R178" i="3" s="1"/>
  <c r="N308" i="22"/>
  <c r="O308" i="22" s="1"/>
  <c r="M178" i="3"/>
  <c r="G309" i="22"/>
  <c r="J309" i="22" l="1"/>
  <c r="L309" i="22" s="1"/>
  <c r="H309" i="22"/>
  <c r="I309" i="22"/>
  <c r="C298" i="3"/>
  <c r="C299" i="39"/>
  <c r="AD21" i="39" s="1"/>
  <c r="N178" i="3"/>
  <c r="P178" i="3"/>
  <c r="AA178" i="3" s="1"/>
  <c r="Q178" i="3"/>
  <c r="Y178" i="3" l="1"/>
  <c r="Z178" i="3"/>
  <c r="F310" i="22"/>
  <c r="G310" i="22" s="1"/>
  <c r="E310" i="22"/>
  <c r="AD9" i="39"/>
  <c r="AD25" i="39"/>
  <c r="AD26" i="39" s="1"/>
  <c r="K309" i="22"/>
  <c r="X178" i="3"/>
  <c r="D179" i="39"/>
  <c r="J179" i="3"/>
  <c r="K179" i="3" s="1"/>
  <c r="V178" i="3"/>
  <c r="W178" i="3" s="1"/>
  <c r="O178" i="3"/>
  <c r="M309" i="22"/>
  <c r="L179" i="3" l="1"/>
  <c r="R179" i="3" s="1"/>
  <c r="M179" i="3"/>
  <c r="N179" i="3" s="1"/>
  <c r="J310" i="22"/>
  <c r="L310" i="22" s="1"/>
  <c r="Q179" i="3"/>
  <c r="P179" i="3"/>
  <c r="AA179" i="3" s="1"/>
  <c r="H310" i="22"/>
  <c r="I310" i="22"/>
  <c r="N309" i="22"/>
  <c r="O309" i="22" s="1"/>
  <c r="U30" i="39"/>
  <c r="T42" i="39"/>
  <c r="X179" i="3" l="1"/>
  <c r="D180" i="39"/>
  <c r="U31" i="39" s="1"/>
  <c r="J180" i="3"/>
  <c r="K180" i="3" s="1"/>
  <c r="V179" i="3"/>
  <c r="W179" i="3" s="1"/>
  <c r="O179" i="3"/>
  <c r="E311" i="22"/>
  <c r="F311" i="22"/>
  <c r="G311" i="22" s="1"/>
  <c r="H311" i="22" s="1"/>
  <c r="Z179" i="3"/>
  <c r="Y179" i="3"/>
  <c r="K310" i="22"/>
  <c r="C300" i="39"/>
  <c r="AE10" i="39" s="1"/>
  <c r="C299" i="3"/>
  <c r="M310" i="22"/>
  <c r="N310" i="22" s="1"/>
  <c r="O310" i="22" s="1"/>
  <c r="F312" i="22" l="1"/>
  <c r="E312" i="22"/>
  <c r="L180" i="3"/>
  <c r="J311" i="22"/>
  <c r="L311" i="22" s="1"/>
  <c r="I311" i="22"/>
  <c r="C301" i="39"/>
  <c r="AE11" i="39" s="1"/>
  <c r="C300" i="3"/>
  <c r="M311" i="22" l="1"/>
  <c r="K311" i="22"/>
  <c r="R180" i="3"/>
  <c r="M180" i="3"/>
  <c r="G312" i="22"/>
  <c r="J312" i="22" l="1"/>
  <c r="L312" i="22" s="1"/>
  <c r="H312" i="22"/>
  <c r="I312" i="22"/>
  <c r="Q180" i="3"/>
  <c r="N180" i="3"/>
  <c r="P180" i="3"/>
  <c r="AA180" i="3" s="1"/>
  <c r="N311" i="22"/>
  <c r="O311" i="22" s="1"/>
  <c r="Z180" i="3" l="1"/>
  <c r="Y180" i="3"/>
  <c r="C301" i="3"/>
  <c r="C302" i="39"/>
  <c r="AE12" i="39" s="1"/>
  <c r="E313" i="22"/>
  <c r="F313" i="22"/>
  <c r="G313" i="22" s="1"/>
  <c r="I313" i="22" s="1"/>
  <c r="J181" i="3"/>
  <c r="K181" i="3" s="1"/>
  <c r="X180" i="3"/>
  <c r="D181" i="39"/>
  <c r="U32" i="39" s="1"/>
  <c r="V180" i="3"/>
  <c r="W180" i="3" s="1"/>
  <c r="O180" i="3"/>
  <c r="K312" i="22"/>
  <c r="M312" i="22"/>
  <c r="N312" i="22" s="1"/>
  <c r="O312" i="22" s="1"/>
  <c r="L181" i="3" l="1"/>
  <c r="R181" i="3" s="1"/>
  <c r="M181" i="3"/>
  <c r="H313" i="22"/>
  <c r="C302" i="3"/>
  <c r="C303" i="39"/>
  <c r="AE13" i="39" s="1"/>
  <c r="J313" i="22"/>
  <c r="L313" i="22" s="1"/>
  <c r="K313" i="22" l="1"/>
  <c r="M313" i="22"/>
  <c r="N313" i="22" s="1"/>
  <c r="O313" i="22" s="1"/>
  <c r="F314" i="22"/>
  <c r="E314" i="22"/>
  <c r="Q181" i="3"/>
  <c r="P181" i="3"/>
  <c r="AA181" i="3" s="1"/>
  <c r="N181" i="3"/>
  <c r="Z181" i="3" l="1"/>
  <c r="Y181" i="3"/>
  <c r="C303" i="3"/>
  <c r="C304" i="39"/>
  <c r="AE14" i="39" s="1"/>
  <c r="G314" i="22"/>
  <c r="D182" i="39"/>
  <c r="U33" i="39" s="1"/>
  <c r="X181" i="3"/>
  <c r="J182" i="3"/>
  <c r="K182" i="3" s="1"/>
  <c r="V181" i="3"/>
  <c r="W181" i="3" s="1"/>
  <c r="O181" i="3"/>
  <c r="L182" i="3" l="1"/>
  <c r="R182" i="3" s="1"/>
  <c r="M182" i="3"/>
  <c r="J314" i="22"/>
  <c r="L314" i="22" s="1"/>
  <c r="I314" i="22"/>
  <c r="H314" i="22"/>
  <c r="M314" i="22" l="1"/>
  <c r="K314" i="22"/>
  <c r="E315" i="22"/>
  <c r="F315" i="22"/>
  <c r="G315" i="22" s="1"/>
  <c r="I315" i="22" s="1"/>
  <c r="N182" i="3"/>
  <c r="P182" i="3"/>
  <c r="AA182" i="3" s="1"/>
  <c r="Q182" i="3"/>
  <c r="Z182" i="3" l="1"/>
  <c r="Y182" i="3"/>
  <c r="D183" i="39"/>
  <c r="U34" i="39" s="1"/>
  <c r="X182" i="3"/>
  <c r="J183" i="3"/>
  <c r="K183" i="3" s="1"/>
  <c r="V182" i="3"/>
  <c r="W182" i="3" s="1"/>
  <c r="O182" i="3"/>
  <c r="J315" i="22"/>
  <c r="L315" i="22" s="1"/>
  <c r="H315" i="22"/>
  <c r="N314" i="22"/>
  <c r="O314" i="22" s="1"/>
  <c r="M315" i="22" l="1"/>
  <c r="L183" i="3"/>
  <c r="F316" i="22"/>
  <c r="G316" i="22" s="1"/>
  <c r="H316" i="22" s="1"/>
  <c r="E316" i="22"/>
  <c r="K315" i="22"/>
  <c r="C305" i="39"/>
  <c r="AE15" i="39" s="1"/>
  <c r="AE24" i="39" s="1"/>
  <c r="C304" i="3"/>
  <c r="E317" i="22" l="1"/>
  <c r="F317" i="22"/>
  <c r="G317" i="22" s="1"/>
  <c r="I316" i="22"/>
  <c r="R183" i="3"/>
  <c r="M183" i="3"/>
  <c r="J316" i="22"/>
  <c r="L316" i="22" s="1"/>
  <c r="N315" i="22"/>
  <c r="O315" i="22" s="1"/>
  <c r="C306" i="39" l="1"/>
  <c r="AE16" i="39" s="1"/>
  <c r="C305" i="3"/>
  <c r="P183" i="3"/>
  <c r="AA183" i="3" s="1"/>
  <c r="Q183" i="3"/>
  <c r="N183" i="3"/>
  <c r="K316" i="22"/>
  <c r="J317" i="22"/>
  <c r="K317" i="22" s="1"/>
  <c r="H317" i="22"/>
  <c r="L317" i="22"/>
  <c r="M316" i="22"/>
  <c r="N316" i="22" s="1"/>
  <c r="O316" i="22" s="1"/>
  <c r="I317" i="22"/>
  <c r="C307" i="39" l="1"/>
  <c r="AE17" i="39" s="1"/>
  <c r="C306" i="3"/>
  <c r="Y183" i="3"/>
  <c r="Z183" i="3"/>
  <c r="E318" i="22"/>
  <c r="F318" i="22"/>
  <c r="G318" i="22" s="1"/>
  <c r="I318" i="22" s="1"/>
  <c r="D184" i="39"/>
  <c r="U35" i="39" s="1"/>
  <c r="X183" i="3"/>
  <c r="J184" i="3"/>
  <c r="K184" i="3" s="1"/>
  <c r="V183" i="3"/>
  <c r="W183" i="3" s="1"/>
  <c r="O183" i="3"/>
  <c r="M317" i="22"/>
  <c r="N317" i="22" s="1"/>
  <c r="O317" i="22" s="1"/>
  <c r="L184" i="3" l="1"/>
  <c r="R184" i="3" s="1"/>
  <c r="J318" i="22"/>
  <c r="L318" i="22" s="1"/>
  <c r="K318" i="22"/>
  <c r="C307" i="3"/>
  <c r="C308" i="39"/>
  <c r="AE18" i="39" s="1"/>
  <c r="H318" i="22"/>
  <c r="M184" i="3"/>
  <c r="N184" i="3" l="1"/>
  <c r="Q184" i="3"/>
  <c r="P184" i="3"/>
  <c r="AA184" i="3" s="1"/>
  <c r="F319" i="22"/>
  <c r="E319" i="22"/>
  <c r="M318" i="22"/>
  <c r="N318" i="22" s="1"/>
  <c r="O318" i="22" s="1"/>
  <c r="C309" i="39" l="1"/>
  <c r="AE19" i="39" s="1"/>
  <c r="C308" i="3"/>
  <c r="Z184" i="3"/>
  <c r="Y184" i="3"/>
  <c r="G319" i="22"/>
  <c r="D185" i="39"/>
  <c r="U36" i="39" s="1"/>
  <c r="X184" i="3"/>
  <c r="J185" i="3"/>
  <c r="K185" i="3" s="1"/>
  <c r="V184" i="3"/>
  <c r="W184" i="3" s="1"/>
  <c r="O184" i="3"/>
  <c r="L185" i="3" l="1"/>
  <c r="J319" i="22"/>
  <c r="L319" i="22" s="1"/>
  <c r="H319" i="22"/>
  <c r="I319" i="22"/>
  <c r="M319" i="22" l="1"/>
  <c r="E320" i="22"/>
  <c r="F320" i="22"/>
  <c r="G320" i="22" s="1"/>
  <c r="H320" i="22" s="1"/>
  <c r="K319" i="22"/>
  <c r="R185" i="3"/>
  <c r="M185" i="3"/>
  <c r="E321" i="22" l="1"/>
  <c r="F321" i="22"/>
  <c r="G321" i="22" s="1"/>
  <c r="I320" i="22"/>
  <c r="P185" i="3"/>
  <c r="AA185" i="3" s="1"/>
  <c r="Q185" i="3"/>
  <c r="N185" i="3"/>
  <c r="J320" i="22"/>
  <c r="L320" i="22" s="1"/>
  <c r="N319" i="22"/>
  <c r="O319" i="22" s="1"/>
  <c r="M320" i="22" l="1"/>
  <c r="N320" i="22" s="1"/>
  <c r="O320" i="22" s="1"/>
  <c r="C309" i="3"/>
  <c r="C310" i="39"/>
  <c r="AE20" i="39" s="1"/>
  <c r="Z185" i="3"/>
  <c r="Y185" i="3"/>
  <c r="D186" i="39"/>
  <c r="U37" i="39" s="1"/>
  <c r="X185" i="3"/>
  <c r="J186" i="3"/>
  <c r="K186" i="3" s="1"/>
  <c r="V185" i="3"/>
  <c r="W185" i="3" s="1"/>
  <c r="O185" i="3"/>
  <c r="K320" i="22"/>
  <c r="J321" i="22"/>
  <c r="L321" i="22" s="1"/>
  <c r="K321" i="22"/>
  <c r="H321" i="22"/>
  <c r="I321" i="22"/>
  <c r="L186" i="3" l="1"/>
  <c r="R186" i="3" s="1"/>
  <c r="M321" i="22"/>
  <c r="N321" i="22" s="1"/>
  <c r="O321" i="22" s="1"/>
  <c r="E322" i="22"/>
  <c r="F322" i="22"/>
  <c r="G322" i="22" s="1"/>
  <c r="H322" i="22" s="1"/>
  <c r="M186" i="3"/>
  <c r="C310" i="3"/>
  <c r="C311" i="39"/>
  <c r="AE21" i="39" s="1"/>
  <c r="F323" i="22" l="1"/>
  <c r="E323" i="22"/>
  <c r="P186" i="3"/>
  <c r="AA186" i="3" s="1"/>
  <c r="Q186" i="3"/>
  <c r="N186" i="3"/>
  <c r="I322" i="22"/>
  <c r="AE9" i="39"/>
  <c r="AE25" i="39"/>
  <c r="AE26" i="39" s="1"/>
  <c r="J322" i="22"/>
  <c r="L322" i="22" s="1"/>
  <c r="C311" i="3"/>
  <c r="C312" i="39"/>
  <c r="AF10" i="39" s="1"/>
  <c r="M322" i="22" l="1"/>
  <c r="Z186" i="3"/>
  <c r="Y186" i="3"/>
  <c r="X186" i="3"/>
  <c r="D187" i="39"/>
  <c r="U38" i="39" s="1"/>
  <c r="J187" i="3"/>
  <c r="K187" i="3" s="1"/>
  <c r="V186" i="3"/>
  <c r="W186" i="3" s="1"/>
  <c r="O186" i="3"/>
  <c r="K322" i="22"/>
  <c r="G323" i="22"/>
  <c r="L187" i="3" l="1"/>
  <c r="R187" i="3" s="1"/>
  <c r="M187" i="3"/>
  <c r="J323" i="22"/>
  <c r="L323" i="22" s="1"/>
  <c r="K323" i="22"/>
  <c r="I323" i="22"/>
  <c r="H323" i="22"/>
  <c r="N322" i="22"/>
  <c r="O322" i="22" s="1"/>
  <c r="C312" i="3" l="1"/>
  <c r="C313" i="39"/>
  <c r="AF11" i="39" s="1"/>
  <c r="M323" i="22"/>
  <c r="N323" i="22" s="1"/>
  <c r="O323" i="22" s="1"/>
  <c r="E324" i="22"/>
  <c r="F324" i="22"/>
  <c r="G324" i="22" s="1"/>
  <c r="H324" i="22" s="1"/>
  <c r="P187" i="3"/>
  <c r="AA187" i="3" s="1"/>
  <c r="N187" i="3"/>
  <c r="Q187" i="3"/>
  <c r="E325" i="22" l="1"/>
  <c r="F325" i="22"/>
  <c r="G325" i="22" s="1"/>
  <c r="D188" i="39"/>
  <c r="U39" i="39" s="1"/>
  <c r="X187" i="3"/>
  <c r="J188" i="3"/>
  <c r="K188" i="3" s="1"/>
  <c r="V187" i="3"/>
  <c r="W187" i="3" s="1"/>
  <c r="O187" i="3"/>
  <c r="J324" i="22"/>
  <c r="L324" i="22" s="1"/>
  <c r="I324" i="22"/>
  <c r="C313" i="3"/>
  <c r="C314" i="39"/>
  <c r="AF12" i="39" s="1"/>
  <c r="Z187" i="3"/>
  <c r="Y187" i="3"/>
  <c r="L188" i="3" l="1"/>
  <c r="R188" i="3" s="1"/>
  <c r="M324" i="22"/>
  <c r="J325" i="22"/>
  <c r="L325" i="22" s="1"/>
  <c r="K325" i="22"/>
  <c r="M188" i="3"/>
  <c r="K324" i="22"/>
  <c r="I325" i="22"/>
  <c r="H325" i="22"/>
  <c r="M325" i="22" l="1"/>
  <c r="N325" i="22" s="1"/>
  <c r="O325" i="22" s="1"/>
  <c r="P188" i="3"/>
  <c r="AA188" i="3" s="1"/>
  <c r="N188" i="3"/>
  <c r="Q188" i="3"/>
  <c r="E326" i="22"/>
  <c r="F326" i="22"/>
  <c r="G326" i="22" s="1"/>
  <c r="I326" i="22" s="1"/>
  <c r="N324" i="22"/>
  <c r="O324" i="22" s="1"/>
  <c r="J326" i="22" l="1"/>
  <c r="L326" i="22" s="1"/>
  <c r="K326" i="22"/>
  <c r="Z188" i="3"/>
  <c r="Y188" i="3"/>
  <c r="C315" i="39"/>
  <c r="AF13" i="39" s="1"/>
  <c r="C314" i="3"/>
  <c r="H326" i="22"/>
  <c r="J189" i="3"/>
  <c r="K189" i="3" s="1"/>
  <c r="D189" i="39"/>
  <c r="U40" i="39" s="1"/>
  <c r="X188" i="3"/>
  <c r="V188" i="3"/>
  <c r="W188" i="3" s="1"/>
  <c r="O188" i="3"/>
  <c r="C315" i="3"/>
  <c r="C316" i="39"/>
  <c r="AF14" i="39" s="1"/>
  <c r="L189" i="3" l="1"/>
  <c r="R189" i="3" s="1"/>
  <c r="M189" i="3"/>
  <c r="F327" i="22"/>
  <c r="G327" i="22" s="1"/>
  <c r="I327" i="22" s="1"/>
  <c r="E327" i="22"/>
  <c r="H327" i="22"/>
  <c r="M326" i="22"/>
  <c r="N326" i="22" s="1"/>
  <c r="O326" i="22" s="1"/>
  <c r="F328" i="22" l="1"/>
  <c r="E328" i="22"/>
  <c r="P189" i="3"/>
  <c r="AA189" i="3" s="1"/>
  <c r="N189" i="3"/>
  <c r="Q189" i="3"/>
  <c r="J327" i="22"/>
  <c r="L327" i="22" s="1"/>
  <c r="K327" i="22"/>
  <c r="C317" i="39"/>
  <c r="AF15" i="39" s="1"/>
  <c r="C316" i="3"/>
  <c r="AF24" i="39" l="1"/>
  <c r="Z189" i="3"/>
  <c r="Y189" i="3"/>
  <c r="M327" i="22"/>
  <c r="N327" i="22" s="1"/>
  <c r="O327" i="22" s="1"/>
  <c r="J190" i="3"/>
  <c r="K190" i="3" s="1"/>
  <c r="X189" i="3"/>
  <c r="D190" i="39"/>
  <c r="U41" i="39" s="1"/>
  <c r="V189" i="3"/>
  <c r="W189" i="3" s="1"/>
  <c r="O189" i="3"/>
  <c r="G328" i="22"/>
  <c r="L190" i="3" l="1"/>
  <c r="R190" i="3" s="1"/>
  <c r="C318" i="39"/>
  <c r="AF16" i="39" s="1"/>
  <c r="C317" i="3"/>
  <c r="M190" i="3"/>
  <c r="J328" i="22"/>
  <c r="L328" i="22" s="1"/>
  <c r="H328" i="22"/>
  <c r="I328" i="22"/>
  <c r="E329" i="22" l="1"/>
  <c r="F329" i="22"/>
  <c r="G329" i="22" s="1"/>
  <c r="I329" i="22" s="1"/>
  <c r="K328" i="22"/>
  <c r="M328" i="22"/>
  <c r="N328" i="22" s="1"/>
  <c r="O328" i="22" s="1"/>
  <c r="N190" i="3"/>
  <c r="P190" i="3"/>
  <c r="AA190" i="3" s="1"/>
  <c r="Q190" i="3"/>
  <c r="D191" i="39" l="1"/>
  <c r="J191" i="3"/>
  <c r="K191" i="3" s="1"/>
  <c r="X190" i="3"/>
  <c r="V190" i="3"/>
  <c r="W190" i="3" s="1"/>
  <c r="O190" i="3"/>
  <c r="Z190" i="3"/>
  <c r="Y190" i="3"/>
  <c r="J329" i="22"/>
  <c r="L329" i="22" s="1"/>
  <c r="C319" i="39"/>
  <c r="AF17" i="39" s="1"/>
  <c r="C318" i="3"/>
  <c r="H329" i="22"/>
  <c r="M329" i="22" l="1"/>
  <c r="N329" i="22" s="1"/>
  <c r="O329" i="22" s="1"/>
  <c r="K329" i="22"/>
  <c r="L191" i="3"/>
  <c r="E330" i="22"/>
  <c r="F330" i="22"/>
  <c r="G330" i="22" s="1"/>
  <c r="U42" i="39"/>
  <c r="V30" i="39"/>
  <c r="J330" i="22" l="1"/>
  <c r="L330" i="22" s="1"/>
  <c r="I330" i="22"/>
  <c r="C319" i="3"/>
  <c r="C320" i="39"/>
  <c r="AF18" i="39" s="1"/>
  <c r="H330" i="22"/>
  <c r="R191" i="3"/>
  <c r="M191" i="3"/>
  <c r="F331" i="22" l="1"/>
  <c r="E331" i="22"/>
  <c r="N191" i="3"/>
  <c r="Q191" i="3"/>
  <c r="P191" i="3"/>
  <c r="AA191" i="3" s="1"/>
  <c r="M330" i="22"/>
  <c r="N330" i="22" s="1"/>
  <c r="O330" i="22" s="1"/>
  <c r="K330" i="22"/>
  <c r="D192" i="39" l="1"/>
  <c r="V31" i="39" s="1"/>
  <c r="X191" i="3"/>
  <c r="J192" i="3"/>
  <c r="K192" i="3" s="1"/>
  <c r="V191" i="3"/>
  <c r="W191" i="3" s="1"/>
  <c r="O191" i="3"/>
  <c r="C320" i="3"/>
  <c r="C321" i="39"/>
  <c r="AF19" i="39" s="1"/>
  <c r="Y191" i="3"/>
  <c r="Z191" i="3"/>
  <c r="G331" i="22"/>
  <c r="L192" i="3" l="1"/>
  <c r="R192" i="3" s="1"/>
  <c r="J331" i="22"/>
  <c r="L331" i="22" s="1"/>
  <c r="K331" i="22"/>
  <c r="H331" i="22"/>
  <c r="I331" i="22"/>
  <c r="M192" i="3"/>
  <c r="F332" i="22" l="1"/>
  <c r="E332" i="22"/>
  <c r="P192" i="3"/>
  <c r="AA192" i="3" s="1"/>
  <c r="N192" i="3"/>
  <c r="Q192" i="3"/>
  <c r="M331" i="22"/>
  <c r="N331" i="22" s="1"/>
  <c r="O331" i="22" s="1"/>
  <c r="D193" i="39" l="1"/>
  <c r="V32" i="39" s="1"/>
  <c r="X192" i="3"/>
  <c r="J193" i="3"/>
  <c r="K193" i="3" s="1"/>
  <c r="V192" i="3"/>
  <c r="W192" i="3" s="1"/>
  <c r="O192" i="3"/>
  <c r="Z192" i="3"/>
  <c r="Y192" i="3"/>
  <c r="C322" i="39"/>
  <c r="AF20" i="39" s="1"/>
  <c r="C321" i="3"/>
  <c r="G332" i="22"/>
  <c r="L193" i="3" l="1"/>
  <c r="J332" i="22"/>
  <c r="L332" i="22" s="1"/>
  <c r="H332" i="22"/>
  <c r="I332" i="22"/>
  <c r="E333" i="22" l="1"/>
  <c r="F333" i="22"/>
  <c r="G333" i="22" s="1"/>
  <c r="I333" i="22" s="1"/>
  <c r="R193" i="3"/>
  <c r="M193" i="3"/>
  <c r="M332" i="22"/>
  <c r="K332" i="22"/>
  <c r="P193" i="3" l="1"/>
  <c r="AA193" i="3" s="1"/>
  <c r="Q193" i="3"/>
  <c r="N193" i="3"/>
  <c r="H333" i="22"/>
  <c r="N332" i="22"/>
  <c r="O332" i="22" s="1"/>
  <c r="J333" i="22"/>
  <c r="L333" i="22" s="1"/>
  <c r="F334" i="22" l="1"/>
  <c r="E334" i="22"/>
  <c r="K333" i="22"/>
  <c r="J194" i="3"/>
  <c r="K194" i="3" s="1"/>
  <c r="X193" i="3"/>
  <c r="D194" i="39"/>
  <c r="V33" i="39" s="1"/>
  <c r="V193" i="3"/>
  <c r="W193" i="3" s="1"/>
  <c r="O193" i="3"/>
  <c r="C322" i="3"/>
  <c r="C323" i="39"/>
  <c r="AF21" i="39" s="1"/>
  <c r="Y193" i="3"/>
  <c r="Z193" i="3"/>
  <c r="M333" i="22"/>
  <c r="N333" i="22" s="1"/>
  <c r="O333" i="22" s="1"/>
  <c r="L194" i="3" l="1"/>
  <c r="C324" i="39"/>
  <c r="AG10" i="39" s="1"/>
  <c r="C323" i="3"/>
  <c r="AF9" i="39"/>
  <c r="AF25" i="39"/>
  <c r="AF26" i="39" s="1"/>
  <c r="G334" i="22"/>
  <c r="J334" i="22" l="1"/>
  <c r="L334" i="22" s="1"/>
  <c r="I334" i="22"/>
  <c r="H334" i="22"/>
  <c r="R194" i="3"/>
  <c r="M194" i="3"/>
  <c r="N194" i="3" l="1"/>
  <c r="Q194" i="3"/>
  <c r="P194" i="3"/>
  <c r="AA194" i="3" s="1"/>
  <c r="F335" i="22"/>
  <c r="E335" i="22"/>
  <c r="K334" i="22"/>
  <c r="M334" i="22"/>
  <c r="N334" i="22" s="1"/>
  <c r="O334" i="22" s="1"/>
  <c r="Z194" i="3" l="1"/>
  <c r="Y194" i="3"/>
  <c r="C324" i="3"/>
  <c r="C325" i="39"/>
  <c r="AG11" i="39" s="1"/>
  <c r="G335" i="22"/>
  <c r="D195" i="39"/>
  <c r="V34" i="39" s="1"/>
  <c r="J195" i="3"/>
  <c r="K195" i="3" s="1"/>
  <c r="X194" i="3"/>
  <c r="V194" i="3"/>
  <c r="W194" i="3" s="1"/>
  <c r="O194" i="3"/>
  <c r="L195" i="3" l="1"/>
  <c r="R195" i="3" s="1"/>
  <c r="M195" i="3"/>
  <c r="J335" i="22"/>
  <c r="L335" i="22" s="1"/>
  <c r="H335" i="22"/>
  <c r="I335" i="22"/>
  <c r="M335" i="22" l="1"/>
  <c r="E336" i="22"/>
  <c r="F336" i="22"/>
  <c r="G336" i="22" s="1"/>
  <c r="I336" i="22" s="1"/>
  <c r="K335" i="22"/>
  <c r="P195" i="3"/>
  <c r="AA195" i="3" s="1"/>
  <c r="Q195" i="3"/>
  <c r="N195" i="3"/>
  <c r="X195" i="3" l="1"/>
  <c r="J196" i="3"/>
  <c r="K196" i="3" s="1"/>
  <c r="D196" i="39"/>
  <c r="V35" i="39" s="1"/>
  <c r="V195" i="3"/>
  <c r="W195" i="3" s="1"/>
  <c r="O195" i="3"/>
  <c r="Z195" i="3"/>
  <c r="Y195" i="3"/>
  <c r="H336" i="22"/>
  <c r="N335" i="22"/>
  <c r="O335" i="22" s="1"/>
  <c r="J336" i="22"/>
  <c r="L336" i="22" s="1"/>
  <c r="K336" i="22"/>
  <c r="C325" i="3" l="1"/>
  <c r="C326" i="39"/>
  <c r="AG12" i="39" s="1"/>
  <c r="M336" i="22"/>
  <c r="N336" i="22" s="1"/>
  <c r="O336" i="22" s="1"/>
  <c r="F337" i="22"/>
  <c r="E337" i="22"/>
  <c r="L196" i="3"/>
  <c r="R196" i="3" l="1"/>
  <c r="M196" i="3"/>
  <c r="C327" i="39"/>
  <c r="AG13" i="39" s="1"/>
  <c r="C326" i="3"/>
  <c r="G337" i="22"/>
  <c r="J337" i="22" l="1"/>
  <c r="L337" i="22" s="1"/>
  <c r="H337" i="22"/>
  <c r="I337" i="22"/>
  <c r="Q196" i="3"/>
  <c r="N196" i="3"/>
  <c r="P196" i="3"/>
  <c r="AA196" i="3" s="1"/>
  <c r="J197" i="3" l="1"/>
  <c r="K197" i="3" s="1"/>
  <c r="X196" i="3"/>
  <c r="D197" i="39"/>
  <c r="V36" i="39" s="1"/>
  <c r="V196" i="3"/>
  <c r="W196" i="3" s="1"/>
  <c r="O196" i="3"/>
  <c r="M337" i="22"/>
  <c r="N337" i="22" s="1"/>
  <c r="O337" i="22" s="1"/>
  <c r="Z196" i="3"/>
  <c r="Y196" i="3"/>
  <c r="I338" i="22"/>
  <c r="E338" i="22"/>
  <c r="F338" i="22"/>
  <c r="G338" i="22" s="1"/>
  <c r="H338" i="22" s="1"/>
  <c r="K337" i="22"/>
  <c r="F339" i="22" l="1"/>
  <c r="G339" i="22" s="1"/>
  <c r="E339" i="22"/>
  <c r="J338" i="22"/>
  <c r="L338" i="22" s="1"/>
  <c r="C328" i="39"/>
  <c r="AG14" i="39" s="1"/>
  <c r="C327" i="3"/>
  <c r="L197" i="3"/>
  <c r="M338" i="22" l="1"/>
  <c r="R197" i="3"/>
  <c r="M197" i="3"/>
  <c r="J339" i="22"/>
  <c r="L339" i="22" s="1"/>
  <c r="K338" i="22"/>
  <c r="I339" i="22"/>
  <c r="H339" i="22"/>
  <c r="M339" i="22" l="1"/>
  <c r="K339" i="22"/>
  <c r="N338" i="22"/>
  <c r="O338" i="22" s="1"/>
  <c r="P197" i="3"/>
  <c r="AA197" i="3" s="1"/>
  <c r="N197" i="3"/>
  <c r="Q197" i="3"/>
  <c r="E340" i="22"/>
  <c r="F340" i="22"/>
  <c r="G340" i="22" s="1"/>
  <c r="H340" i="22" s="1"/>
  <c r="E341" i="22" l="1"/>
  <c r="F341" i="22"/>
  <c r="G341" i="22" s="1"/>
  <c r="J340" i="22"/>
  <c r="L340" i="22" s="1"/>
  <c r="K340" i="22"/>
  <c r="Z197" i="3"/>
  <c r="Y197" i="3"/>
  <c r="C328" i="3"/>
  <c r="C329" i="39"/>
  <c r="AG15" i="39" s="1"/>
  <c r="I340" i="22"/>
  <c r="X197" i="3"/>
  <c r="D198" i="39"/>
  <c r="V37" i="39" s="1"/>
  <c r="J198" i="3"/>
  <c r="K198" i="3" s="1"/>
  <c r="V197" i="3"/>
  <c r="W197" i="3" s="1"/>
  <c r="O197" i="3"/>
  <c r="N339" i="22"/>
  <c r="O339" i="22" s="1"/>
  <c r="AG24" i="39" l="1"/>
  <c r="J341" i="22"/>
  <c r="K341" i="22" s="1"/>
  <c r="L341" i="22"/>
  <c r="M340" i="22"/>
  <c r="N340" i="22" s="1"/>
  <c r="O340" i="22" s="1"/>
  <c r="I341" i="22"/>
  <c r="C329" i="3"/>
  <c r="C330" i="39"/>
  <c r="AG16" i="39" s="1"/>
  <c r="L198" i="3"/>
  <c r="H341" i="22"/>
  <c r="R198" i="3" l="1"/>
  <c r="M198" i="3"/>
  <c r="C331" i="39"/>
  <c r="AG17" i="39" s="1"/>
  <c r="C330" i="3"/>
  <c r="M341" i="22"/>
  <c r="N341" i="22" s="1"/>
  <c r="O341" i="22" s="1"/>
  <c r="E342" i="22"/>
  <c r="F342" i="22"/>
  <c r="G342" i="22" s="1"/>
  <c r="I342" i="22" s="1"/>
  <c r="C332" i="39" l="1"/>
  <c r="AG18" i="39" s="1"/>
  <c r="C331" i="3"/>
  <c r="J342" i="22"/>
  <c r="L342" i="22" s="1"/>
  <c r="Q198" i="3"/>
  <c r="N198" i="3"/>
  <c r="P198" i="3"/>
  <c r="AA198" i="3" s="1"/>
  <c r="H342" i="22"/>
  <c r="D199" i="39" l="1"/>
  <c r="V38" i="39" s="1"/>
  <c r="X198" i="3"/>
  <c r="J199" i="3"/>
  <c r="K199" i="3" s="1"/>
  <c r="V198" i="3"/>
  <c r="W198" i="3" s="1"/>
  <c r="O198" i="3"/>
  <c r="E343" i="22"/>
  <c r="F343" i="22"/>
  <c r="G343" i="22" s="1"/>
  <c r="H343" i="22" s="1"/>
  <c r="Z198" i="3"/>
  <c r="Y198" i="3"/>
  <c r="K342" i="22"/>
  <c r="M342" i="22"/>
  <c r="N342" i="22" s="1"/>
  <c r="O342" i="22" s="1"/>
  <c r="L199" i="3" l="1"/>
  <c r="R199" i="3" s="1"/>
  <c r="F344" i="22"/>
  <c r="E344" i="22"/>
  <c r="I343" i="22"/>
  <c r="M199" i="3"/>
  <c r="J343" i="22"/>
  <c r="L343" i="22" s="1"/>
  <c r="C332" i="3"/>
  <c r="C333" i="39"/>
  <c r="AG19" i="39" s="1"/>
  <c r="M343" i="22" l="1"/>
  <c r="Q199" i="3"/>
  <c r="P199" i="3"/>
  <c r="AA199" i="3" s="1"/>
  <c r="N199" i="3"/>
  <c r="K343" i="22"/>
  <c r="G344" i="22"/>
  <c r="J344" i="22" l="1"/>
  <c r="L344" i="22" s="1"/>
  <c r="I344" i="22"/>
  <c r="H344" i="22"/>
  <c r="Z199" i="3"/>
  <c r="Y199" i="3"/>
  <c r="D200" i="39"/>
  <c r="V39" i="39" s="1"/>
  <c r="X199" i="3"/>
  <c r="J200" i="3"/>
  <c r="K200" i="3" s="1"/>
  <c r="V199" i="3"/>
  <c r="W199" i="3" s="1"/>
  <c r="O199" i="3"/>
  <c r="N343" i="22"/>
  <c r="O343" i="22" s="1"/>
  <c r="L200" i="3" l="1"/>
  <c r="F345" i="22"/>
  <c r="G345" i="22" s="1"/>
  <c r="E345" i="22"/>
  <c r="K344" i="22"/>
  <c r="C334" i="39"/>
  <c r="AG20" i="39" s="1"/>
  <c r="C333" i="3"/>
  <c r="M344" i="22"/>
  <c r="N344" i="22" s="1"/>
  <c r="O344" i="22" s="1"/>
  <c r="J345" i="22" l="1"/>
  <c r="L345" i="22" s="1"/>
  <c r="C334" i="3"/>
  <c r="C335" i="39"/>
  <c r="AG21" i="39" s="1"/>
  <c r="I345" i="22"/>
  <c r="H345" i="22"/>
  <c r="R200" i="3"/>
  <c r="M200" i="3"/>
  <c r="AG9" i="39" l="1"/>
  <c r="AG25" i="39"/>
  <c r="AG26" i="39" s="1"/>
  <c r="N200" i="3"/>
  <c r="P200" i="3"/>
  <c r="AA200" i="3" s="1"/>
  <c r="Q200" i="3"/>
  <c r="K345" i="22"/>
  <c r="E346" i="22"/>
  <c r="F346" i="22"/>
  <c r="G346" i="22" s="1"/>
  <c r="M345" i="22"/>
  <c r="J346" i="22" l="1"/>
  <c r="L346" i="22" s="1"/>
  <c r="H346" i="22"/>
  <c r="I346" i="22"/>
  <c r="X200" i="3"/>
  <c r="D201" i="39"/>
  <c r="V40" i="39" s="1"/>
  <c r="J201" i="3"/>
  <c r="K201" i="3" s="1"/>
  <c r="V200" i="3"/>
  <c r="W200" i="3" s="1"/>
  <c r="O200" i="3"/>
  <c r="N345" i="22"/>
  <c r="O345" i="22" s="1"/>
  <c r="Z200" i="3"/>
  <c r="Y200" i="3"/>
  <c r="L201" i="3" l="1"/>
  <c r="R201" i="3" s="1"/>
  <c r="C336" i="39"/>
  <c r="AH10" i="39" s="1"/>
  <c r="C335" i="3"/>
  <c r="M201" i="3"/>
  <c r="E347" i="22"/>
  <c r="F347" i="22"/>
  <c r="G347" i="22" s="1"/>
  <c r="H347" i="22" s="1"/>
  <c r="M346" i="22"/>
  <c r="N346" i="22" s="1"/>
  <c r="O346" i="22" s="1"/>
  <c r="K346" i="22"/>
  <c r="F348" i="22" l="1"/>
  <c r="E348" i="22"/>
  <c r="N201" i="3"/>
  <c r="Q201" i="3"/>
  <c r="P201" i="3"/>
  <c r="AA201" i="3" s="1"/>
  <c r="J347" i="22"/>
  <c r="L347" i="22" s="1"/>
  <c r="C336" i="3"/>
  <c r="C337" i="39"/>
  <c r="AH11" i="39" s="1"/>
  <c r="I347" i="22"/>
  <c r="K347" i="22" l="1"/>
  <c r="M347" i="22"/>
  <c r="N347" i="22" s="1"/>
  <c r="O347" i="22" s="1"/>
  <c r="G348" i="22"/>
  <c r="Z201" i="3"/>
  <c r="Y201" i="3"/>
  <c r="X201" i="3"/>
  <c r="D202" i="39"/>
  <c r="V41" i="39" s="1"/>
  <c r="J202" i="3"/>
  <c r="K202" i="3" s="1"/>
  <c r="V201" i="3"/>
  <c r="W201" i="3" s="1"/>
  <c r="O201" i="3"/>
  <c r="J348" i="22" l="1"/>
  <c r="L348" i="22" s="1"/>
  <c r="I348" i="22"/>
  <c r="H348" i="22"/>
  <c r="C337" i="3"/>
  <c r="C338" i="39"/>
  <c r="AH12" i="39" s="1"/>
  <c r="L202" i="3"/>
  <c r="R202" i="3" l="1"/>
  <c r="M202" i="3"/>
  <c r="F349" i="22"/>
  <c r="G349" i="22" s="1"/>
  <c r="H349" i="22" s="1"/>
  <c r="E349" i="22"/>
  <c r="M348" i="22"/>
  <c r="N348" i="22" s="1"/>
  <c r="O348" i="22" s="1"/>
  <c r="K348" i="22"/>
  <c r="E350" i="22" l="1"/>
  <c r="F350" i="22"/>
  <c r="G350" i="22" s="1"/>
  <c r="I350" i="22" s="1"/>
  <c r="C338" i="3"/>
  <c r="C339" i="39"/>
  <c r="AH13" i="39" s="1"/>
  <c r="J349" i="22"/>
  <c r="L349" i="22" s="1"/>
  <c r="I349" i="22"/>
  <c r="P202" i="3"/>
  <c r="AA202" i="3" s="1"/>
  <c r="N202" i="3"/>
  <c r="Q202" i="3"/>
  <c r="X202" i="3" l="1"/>
  <c r="D203" i="39"/>
  <c r="J203" i="3"/>
  <c r="K203" i="3" s="1"/>
  <c r="V202" i="3"/>
  <c r="W202" i="3" s="1"/>
  <c r="O202" i="3"/>
  <c r="K349" i="22"/>
  <c r="Y202" i="3"/>
  <c r="Z202" i="3"/>
  <c r="L350" i="22"/>
  <c r="M349" i="22"/>
  <c r="J350" i="22"/>
  <c r="K350" i="22" s="1"/>
  <c r="H350" i="22"/>
  <c r="L203" i="3" l="1"/>
  <c r="R203" i="3" s="1"/>
  <c r="E351" i="22"/>
  <c r="F351" i="22"/>
  <c r="G351" i="22" s="1"/>
  <c r="H351" i="22" s="1"/>
  <c r="V42" i="39"/>
  <c r="W30" i="39"/>
  <c r="N349" i="22"/>
  <c r="O349" i="22" s="1"/>
  <c r="M350" i="22"/>
  <c r="N350" i="22" s="1"/>
  <c r="O350" i="22" s="1"/>
  <c r="M203" i="3"/>
  <c r="F352" i="22" l="1"/>
  <c r="E352" i="22"/>
  <c r="P203" i="3"/>
  <c r="AA203" i="3" s="1"/>
  <c r="N203" i="3"/>
  <c r="Q203" i="3"/>
  <c r="C340" i="39"/>
  <c r="AH14" i="39" s="1"/>
  <c r="C339" i="3"/>
  <c r="I351" i="22"/>
  <c r="C341" i="39"/>
  <c r="AH15" i="39" s="1"/>
  <c r="AH24" i="39" s="1"/>
  <c r="C340" i="3"/>
  <c r="J351" i="22"/>
  <c r="L351" i="22" s="1"/>
  <c r="J204" i="3" l="1"/>
  <c r="K204" i="3" s="1"/>
  <c r="D204" i="39"/>
  <c r="W31" i="39" s="1"/>
  <c r="X203" i="3"/>
  <c r="V203" i="3"/>
  <c r="W203" i="3" s="1"/>
  <c r="O203" i="3"/>
  <c r="Z203" i="3"/>
  <c r="Y203" i="3"/>
  <c r="K351" i="22"/>
  <c r="M351" i="22"/>
  <c r="G352" i="22"/>
  <c r="L204" i="3" l="1"/>
  <c r="J352" i="22"/>
  <c r="L352" i="22" s="1"/>
  <c r="H352" i="22"/>
  <c r="I352" i="22"/>
  <c r="N351" i="22"/>
  <c r="O351" i="22" s="1"/>
  <c r="C342" i="39" l="1"/>
  <c r="AH16" i="39" s="1"/>
  <c r="C341" i="3"/>
  <c r="E353" i="22"/>
  <c r="F353" i="22"/>
  <c r="G353" i="22" s="1"/>
  <c r="K352" i="22"/>
  <c r="M352" i="22"/>
  <c r="N352" i="22" s="1"/>
  <c r="O352" i="22" s="1"/>
  <c r="R204" i="3"/>
  <c r="M204" i="3"/>
  <c r="C343" i="39" l="1"/>
  <c r="AH17" i="39" s="1"/>
  <c r="C342" i="3"/>
  <c r="J353" i="22"/>
  <c r="L353" i="22" s="1"/>
  <c r="H353" i="22"/>
  <c r="P204" i="3"/>
  <c r="AA204" i="3" s="1"/>
  <c r="Q204" i="3"/>
  <c r="N204" i="3"/>
  <c r="I353" i="22"/>
  <c r="D205" i="39" l="1"/>
  <c r="W32" i="39" s="1"/>
  <c r="X204" i="3"/>
  <c r="J205" i="3"/>
  <c r="K205" i="3" s="1"/>
  <c r="V204" i="3"/>
  <c r="W204" i="3" s="1"/>
  <c r="O204" i="3"/>
  <c r="Z204" i="3"/>
  <c r="Y204" i="3"/>
  <c r="K353" i="22"/>
  <c r="F354" i="22"/>
  <c r="G354" i="22" s="1"/>
  <c r="E354" i="22"/>
  <c r="M353" i="22"/>
  <c r="J354" i="22" l="1"/>
  <c r="L354" i="22" s="1"/>
  <c r="H354" i="22"/>
  <c r="I354" i="22"/>
  <c r="L205" i="3"/>
  <c r="N353" i="22"/>
  <c r="O353" i="22" s="1"/>
  <c r="C343" i="3" l="1"/>
  <c r="C344" i="39"/>
  <c r="AH18" i="39" s="1"/>
  <c r="E355" i="22"/>
  <c r="F355" i="22"/>
  <c r="G355" i="22" s="1"/>
  <c r="H355" i="22" s="1"/>
  <c r="K354" i="22"/>
  <c r="R205" i="3"/>
  <c r="M205" i="3"/>
  <c r="M354" i="22"/>
  <c r="N354" i="22" s="1"/>
  <c r="O354" i="22" s="1"/>
  <c r="E356" i="22" l="1"/>
  <c r="F356" i="22"/>
  <c r="G356" i="22" s="1"/>
  <c r="Q205" i="3"/>
  <c r="P205" i="3"/>
  <c r="AA205" i="3" s="1"/>
  <c r="N205" i="3"/>
  <c r="I355" i="22"/>
  <c r="J355" i="22"/>
  <c r="L355" i="22" s="1"/>
  <c r="C344" i="3"/>
  <c r="C345" i="39"/>
  <c r="AH19" i="39" s="1"/>
  <c r="M355" i="22" l="1"/>
  <c r="Z205" i="3"/>
  <c r="Y205" i="3"/>
  <c r="K355" i="22"/>
  <c r="J356" i="22"/>
  <c r="K356" i="22" s="1"/>
  <c r="X205" i="3"/>
  <c r="D206" i="39"/>
  <c r="W33" i="39" s="1"/>
  <c r="J206" i="3"/>
  <c r="K206" i="3" s="1"/>
  <c r="V205" i="3"/>
  <c r="W205" i="3" s="1"/>
  <c r="O205" i="3"/>
  <c r="I356" i="22"/>
  <c r="H356" i="22"/>
  <c r="E357" i="22" l="1"/>
  <c r="F357" i="22"/>
  <c r="G357" i="22" s="1"/>
  <c r="H357" i="22" s="1"/>
  <c r="N355" i="22"/>
  <c r="O355" i="22" s="1"/>
  <c r="L356" i="22"/>
  <c r="L206" i="3"/>
  <c r="E358" i="22" l="1"/>
  <c r="F358" i="22"/>
  <c r="G358" i="22" s="1"/>
  <c r="I358" i="22" s="1"/>
  <c r="R206" i="3"/>
  <c r="M206" i="3"/>
  <c r="C346" i="39"/>
  <c r="AH20" i="39" s="1"/>
  <c r="C345" i="3"/>
  <c r="L357" i="22"/>
  <c r="M357" i="22" s="1"/>
  <c r="N357" i="22" s="1"/>
  <c r="O357" i="22" s="1"/>
  <c r="M356" i="22"/>
  <c r="N356" i="22" s="1"/>
  <c r="O356" i="22" s="1"/>
  <c r="K357" i="22"/>
  <c r="J357" i="22"/>
  <c r="I357" i="22"/>
  <c r="C347" i="3" l="1"/>
  <c r="C348" i="39"/>
  <c r="AI10" i="39" s="1"/>
  <c r="C347" i="39"/>
  <c r="AH21" i="39" s="1"/>
  <c r="AH9" i="39" s="1"/>
  <c r="C346" i="3"/>
  <c r="J358" i="22"/>
  <c r="L358" i="22" s="1"/>
  <c r="P206" i="3"/>
  <c r="AA206" i="3" s="1"/>
  <c r="N206" i="3"/>
  <c r="Q206" i="3"/>
  <c r="H358" i="22"/>
  <c r="M358" i="22" l="1"/>
  <c r="J207" i="3"/>
  <c r="K207" i="3" s="1"/>
  <c r="D207" i="39"/>
  <c r="W34" i="39" s="1"/>
  <c r="X206" i="3"/>
  <c r="V206" i="3"/>
  <c r="W206" i="3" s="1"/>
  <c r="O206" i="3"/>
  <c r="AH25" i="39"/>
  <c r="AH26" i="39" s="1"/>
  <c r="F359" i="22"/>
  <c r="G359" i="22" s="1"/>
  <c r="E359" i="22"/>
  <c r="K358" i="22"/>
  <c r="Z206" i="3"/>
  <c r="Y206" i="3"/>
  <c r="J359" i="22" l="1"/>
  <c r="L359" i="22" s="1"/>
  <c r="N358" i="22"/>
  <c r="O358" i="22" s="1"/>
  <c r="L207" i="3"/>
  <c r="H359" i="22"/>
  <c r="I359" i="22"/>
  <c r="C348" i="3" l="1"/>
  <c r="C349" i="39"/>
  <c r="AI11" i="39" s="1"/>
  <c r="F360" i="22"/>
  <c r="G360" i="22" s="1"/>
  <c r="H360" i="22" s="1"/>
  <c r="E360" i="22"/>
  <c r="R207" i="3"/>
  <c r="M207" i="3"/>
  <c r="K359" i="22"/>
  <c r="M359" i="22"/>
  <c r="N359" i="22" s="1"/>
  <c r="O359" i="22" s="1"/>
  <c r="F361" i="22" l="1"/>
  <c r="E361" i="22"/>
  <c r="C349" i="3"/>
  <c r="C350" i="39"/>
  <c r="AI12" i="39" s="1"/>
  <c r="N207" i="3"/>
  <c r="P207" i="3"/>
  <c r="AA207" i="3" s="1"/>
  <c r="Q207" i="3"/>
  <c r="I360" i="22"/>
  <c r="J360" i="22"/>
  <c r="L360" i="22" s="1"/>
  <c r="Z207" i="3" l="1"/>
  <c r="Y207" i="3"/>
  <c r="G361" i="22"/>
  <c r="K360" i="22"/>
  <c r="X207" i="3"/>
  <c r="J208" i="3"/>
  <c r="K208" i="3" s="1"/>
  <c r="D208" i="39"/>
  <c r="W35" i="39" s="1"/>
  <c r="V207" i="3"/>
  <c r="W207" i="3" s="1"/>
  <c r="O207" i="3"/>
  <c r="M360" i="22"/>
  <c r="N360" i="22" s="1"/>
  <c r="O360" i="22" s="1"/>
  <c r="L208" i="3" l="1"/>
  <c r="J361" i="22"/>
  <c r="L361" i="22" s="1"/>
  <c r="H361" i="22"/>
  <c r="I361" i="22"/>
  <c r="C350" i="3"/>
  <c r="C351" i="39"/>
  <c r="AI13" i="39" s="1"/>
  <c r="F362" i="22" l="1"/>
  <c r="E362" i="22"/>
  <c r="K361" i="22"/>
  <c r="M361" i="22"/>
  <c r="N361" i="22" s="1"/>
  <c r="O361" i="22" s="1"/>
  <c r="R208" i="3"/>
  <c r="M208" i="3"/>
  <c r="C352" i="39" l="1"/>
  <c r="AI14" i="39" s="1"/>
  <c r="C351" i="3"/>
  <c r="G362" i="22"/>
  <c r="Q208" i="3"/>
  <c r="P208" i="3"/>
  <c r="AA208" i="3" s="1"/>
  <c r="N208" i="3"/>
  <c r="Y208" i="3" l="1"/>
  <c r="Z208" i="3"/>
  <c r="J209" i="3"/>
  <c r="K209" i="3" s="1"/>
  <c r="D209" i="39"/>
  <c r="W36" i="39" s="1"/>
  <c r="X208" i="3"/>
  <c r="V208" i="3"/>
  <c r="W208" i="3" s="1"/>
  <c r="O208" i="3"/>
  <c r="J362" i="22"/>
  <c r="L362" i="22" s="1"/>
  <c r="H362" i="22"/>
  <c r="I362" i="22"/>
  <c r="E363" i="22" l="1"/>
  <c r="F363" i="22"/>
  <c r="G363" i="22" s="1"/>
  <c r="H363" i="22" s="1"/>
  <c r="L209" i="3"/>
  <c r="M362" i="22"/>
  <c r="K362" i="22"/>
  <c r="E364" i="22" l="1"/>
  <c r="F364" i="22"/>
  <c r="G364" i="22" s="1"/>
  <c r="R209" i="3"/>
  <c r="M209" i="3"/>
  <c r="N362" i="22"/>
  <c r="O362" i="22" s="1"/>
  <c r="J363" i="22"/>
  <c r="L363" i="22" s="1"/>
  <c r="I363" i="22"/>
  <c r="C352" i="3" l="1"/>
  <c r="C353" i="39"/>
  <c r="AI15" i="39" s="1"/>
  <c r="K363" i="22"/>
  <c r="M363" i="22"/>
  <c r="N363" i="22" s="1"/>
  <c r="O363" i="22" s="1"/>
  <c r="J364" i="22"/>
  <c r="K364" i="22" s="1"/>
  <c r="N209" i="3"/>
  <c r="Q209" i="3"/>
  <c r="P209" i="3"/>
  <c r="AA209" i="3" s="1"/>
  <c r="H364" i="22"/>
  <c r="I364" i="22"/>
  <c r="X209" i="3" l="1"/>
  <c r="J210" i="3"/>
  <c r="K210" i="3" s="1"/>
  <c r="D210" i="39"/>
  <c r="W37" i="39" s="1"/>
  <c r="V209" i="3"/>
  <c r="W209" i="3" s="1"/>
  <c r="O209" i="3"/>
  <c r="Z209" i="3"/>
  <c r="Y209" i="3"/>
  <c r="L364" i="22"/>
  <c r="F365" i="22"/>
  <c r="G365" i="22" s="1"/>
  <c r="H365" i="22" s="1"/>
  <c r="E365" i="22"/>
  <c r="AI24" i="39"/>
  <c r="C354" i="39"/>
  <c r="AI16" i="39" s="1"/>
  <c r="C353" i="3"/>
  <c r="E366" i="22" l="1"/>
  <c r="F366" i="22"/>
  <c r="G366" i="22" s="1"/>
  <c r="M364" i="22"/>
  <c r="N364" i="22" s="1"/>
  <c r="O364" i="22" s="1"/>
  <c r="J365" i="22"/>
  <c r="L365" i="22" s="1"/>
  <c r="L210" i="3"/>
  <c r="I365" i="22"/>
  <c r="M365" i="22" l="1"/>
  <c r="K365" i="22"/>
  <c r="R210" i="3"/>
  <c r="M210" i="3"/>
  <c r="J366" i="22"/>
  <c r="L366" i="22" s="1"/>
  <c r="C355" i="39"/>
  <c r="AI17" i="39" s="1"/>
  <c r="C354" i="3"/>
  <c r="H366" i="22"/>
  <c r="I366" i="22"/>
  <c r="M366" i="22" l="1"/>
  <c r="N366" i="22" s="1"/>
  <c r="O366" i="22" s="1"/>
  <c r="E367" i="22"/>
  <c r="F367" i="22"/>
  <c r="G367" i="22" s="1"/>
  <c r="P210" i="3"/>
  <c r="AA210" i="3" s="1"/>
  <c r="N210" i="3"/>
  <c r="Q210" i="3"/>
  <c r="K366" i="22"/>
  <c r="N365" i="22"/>
  <c r="O365" i="22" s="1"/>
  <c r="J367" i="22" l="1"/>
  <c r="L367" i="22" s="1"/>
  <c r="J211" i="3"/>
  <c r="K211" i="3" s="1"/>
  <c r="D211" i="39"/>
  <c r="W38" i="39" s="1"/>
  <c r="X210" i="3"/>
  <c r="V210" i="3"/>
  <c r="W210" i="3" s="1"/>
  <c r="O210" i="3"/>
  <c r="C357" i="39"/>
  <c r="AI19" i="39" s="1"/>
  <c r="C356" i="3"/>
  <c r="H367" i="22"/>
  <c r="I367" i="22"/>
  <c r="Z210" i="3"/>
  <c r="Y210" i="3"/>
  <c r="C356" i="39"/>
  <c r="AI18" i="39" s="1"/>
  <c r="C355" i="3"/>
  <c r="L211" i="3" l="1"/>
  <c r="E368" i="22"/>
  <c r="F368" i="22"/>
  <c r="G368" i="22" s="1"/>
  <c r="H368" i="22" s="1"/>
  <c r="M367" i="22"/>
  <c r="N367" i="22" s="1"/>
  <c r="O367" i="22" s="1"/>
  <c r="K367" i="22"/>
  <c r="F369" i="22" l="1"/>
  <c r="E369" i="22"/>
  <c r="C357" i="3"/>
  <c r="C358" i="39"/>
  <c r="AI20" i="39" s="1"/>
  <c r="J368" i="22"/>
  <c r="L368" i="22" s="1"/>
  <c r="R211" i="3"/>
  <c r="M211" i="3"/>
  <c r="I368" i="22"/>
  <c r="N211" i="3" l="1"/>
  <c r="P211" i="3"/>
  <c r="AA211" i="3" s="1"/>
  <c r="Q211" i="3"/>
  <c r="K368" i="22"/>
  <c r="M368" i="22"/>
  <c r="N368" i="22" s="1"/>
  <c r="O368" i="22" s="1"/>
  <c r="G369" i="22"/>
  <c r="J369" i="22" l="1"/>
  <c r="L369" i="22" s="1"/>
  <c r="K369" i="22"/>
  <c r="H369" i="22"/>
  <c r="I369" i="22"/>
  <c r="Z211" i="3"/>
  <c r="Y211" i="3"/>
  <c r="C359" i="39"/>
  <c r="AI21" i="39" s="1"/>
  <c r="C358" i="3"/>
  <c r="X211" i="3"/>
  <c r="J212" i="3"/>
  <c r="K212" i="3" s="1"/>
  <c r="L212" i="3" s="1"/>
  <c r="R212" i="3" s="1"/>
  <c r="D212" i="39"/>
  <c r="W39" i="39" s="1"/>
  <c r="V211" i="3"/>
  <c r="W211" i="3" s="1"/>
  <c r="O211" i="3"/>
  <c r="M212" i="3" l="1"/>
  <c r="F370" i="22"/>
  <c r="E370" i="22"/>
  <c r="AI9" i="39"/>
  <c r="AI25" i="39"/>
  <c r="AI26" i="39" s="1"/>
  <c r="M369" i="22"/>
  <c r="N369" i="22" s="1"/>
  <c r="O369" i="22" s="1"/>
  <c r="G370" i="22" l="1"/>
  <c r="C360" i="39"/>
  <c r="AJ10" i="39" s="1"/>
  <c r="C359" i="3"/>
  <c r="P212" i="3"/>
  <c r="AA212" i="3" s="1"/>
  <c r="Q212" i="3"/>
  <c r="N212" i="3"/>
  <c r="Y212" i="3" l="1"/>
  <c r="Z212" i="3"/>
  <c r="X212" i="3"/>
  <c r="J213" i="3"/>
  <c r="K213" i="3" s="1"/>
  <c r="D213" i="39"/>
  <c r="W40" i="39" s="1"/>
  <c r="V212" i="3"/>
  <c r="W212" i="3" s="1"/>
  <c r="O212" i="3"/>
  <c r="J370" i="22"/>
  <c r="L370" i="22" s="1"/>
  <c r="I370" i="22"/>
  <c r="H370" i="22"/>
  <c r="M370" i="22" l="1"/>
  <c r="F371" i="22"/>
  <c r="G371" i="22" s="1"/>
  <c r="H371" i="22" s="1"/>
  <c r="E371" i="22"/>
  <c r="L213" i="3"/>
  <c r="K370" i="22"/>
  <c r="F372" i="22" l="1"/>
  <c r="G372" i="22" s="1"/>
  <c r="H372" i="22" s="1"/>
  <c r="E372" i="22"/>
  <c r="R213" i="3"/>
  <c r="M213" i="3"/>
  <c r="J371" i="22"/>
  <c r="L371" i="22" s="1"/>
  <c r="K371" i="22"/>
  <c r="I371" i="22"/>
  <c r="N370" i="22"/>
  <c r="O370" i="22" s="1"/>
  <c r="E373" i="22" l="1"/>
  <c r="F373" i="22"/>
  <c r="G373" i="22" s="1"/>
  <c r="H373" i="22" s="1"/>
  <c r="I373" i="22"/>
  <c r="C360" i="3"/>
  <c r="C361" i="39"/>
  <c r="AJ11" i="39" s="1"/>
  <c r="Q213" i="3"/>
  <c r="P213" i="3"/>
  <c r="AA213" i="3" s="1"/>
  <c r="N213" i="3"/>
  <c r="L372" i="22"/>
  <c r="M371" i="22"/>
  <c r="N371" i="22" s="1"/>
  <c r="O371" i="22" s="1"/>
  <c r="J372" i="22"/>
  <c r="K372" i="22"/>
  <c r="I372" i="22"/>
  <c r="E374" i="22" l="1"/>
  <c r="F374" i="22"/>
  <c r="G374" i="22" s="1"/>
  <c r="J214" i="3"/>
  <c r="K214" i="3" s="1"/>
  <c r="D214" i="39"/>
  <c r="W41" i="39" s="1"/>
  <c r="X213" i="3"/>
  <c r="V213" i="3"/>
  <c r="W213" i="3" s="1"/>
  <c r="O213" i="3"/>
  <c r="Z213" i="3"/>
  <c r="Y213" i="3"/>
  <c r="C361" i="3"/>
  <c r="C362" i="39"/>
  <c r="AJ12" i="39" s="1"/>
  <c r="J373" i="22"/>
  <c r="L373" i="22" s="1"/>
  <c r="M372" i="22"/>
  <c r="N372" i="22" s="1"/>
  <c r="O372" i="22" s="1"/>
  <c r="M373" i="22" l="1"/>
  <c r="K373" i="22"/>
  <c r="C363" i="39"/>
  <c r="AJ13" i="39" s="1"/>
  <c r="C362" i="3"/>
  <c r="J374" i="22"/>
  <c r="L374" i="22" s="1"/>
  <c r="H374" i="22"/>
  <c r="L214" i="3"/>
  <c r="I374" i="22"/>
  <c r="M374" i="22" l="1"/>
  <c r="N374" i="22" s="1"/>
  <c r="O374" i="22" s="1"/>
  <c r="R214" i="3"/>
  <c r="M214" i="3"/>
  <c r="E375" i="22"/>
  <c r="F375" i="22"/>
  <c r="G375" i="22" s="1"/>
  <c r="H375" i="22" s="1"/>
  <c r="K374" i="22"/>
  <c r="N373" i="22"/>
  <c r="O373" i="22" s="1"/>
  <c r="F376" i="22" l="1"/>
  <c r="E376" i="22"/>
  <c r="J375" i="22"/>
  <c r="L375" i="22" s="1"/>
  <c r="I375" i="22"/>
  <c r="C364" i="3"/>
  <c r="C365" i="39"/>
  <c r="AJ15" i="39" s="1"/>
  <c r="P214" i="3"/>
  <c r="AA214" i="3" s="1"/>
  <c r="N214" i="3"/>
  <c r="Q214" i="3"/>
  <c r="C364" i="39"/>
  <c r="AJ14" i="39" s="1"/>
  <c r="C363" i="3"/>
  <c r="M375" i="22" l="1"/>
  <c r="X214" i="3"/>
  <c r="D215" i="39"/>
  <c r="J215" i="3"/>
  <c r="K215" i="3" s="1"/>
  <c r="V214" i="3"/>
  <c r="W214" i="3" s="1"/>
  <c r="O214" i="3"/>
  <c r="K375" i="22"/>
  <c r="Z214" i="3"/>
  <c r="Y214" i="3"/>
  <c r="AJ24" i="39"/>
  <c r="G376" i="22"/>
  <c r="L215" i="3" l="1"/>
  <c r="R215" i="3" s="1"/>
  <c r="M215" i="3"/>
  <c r="X30" i="39"/>
  <c r="W42" i="39"/>
  <c r="N375" i="22"/>
  <c r="O375" i="22" s="1"/>
  <c r="J376" i="22"/>
  <c r="L376" i="22" s="1"/>
  <c r="I376" i="22"/>
  <c r="H376" i="22"/>
  <c r="M376" i="22" l="1"/>
  <c r="C366" i="39"/>
  <c r="AJ16" i="39" s="1"/>
  <c r="C365" i="3"/>
  <c r="E377" i="22"/>
  <c r="F377" i="22"/>
  <c r="G377" i="22" s="1"/>
  <c r="K376" i="22"/>
  <c r="N215" i="3"/>
  <c r="P215" i="3"/>
  <c r="AA215" i="3" s="1"/>
  <c r="Q215" i="3"/>
  <c r="J377" i="22" l="1"/>
  <c r="L377" i="22" s="1"/>
  <c r="N376" i="22"/>
  <c r="O376" i="22" s="1"/>
  <c r="I377" i="22"/>
  <c r="X215" i="3"/>
  <c r="J216" i="3"/>
  <c r="K216" i="3" s="1"/>
  <c r="D216" i="39"/>
  <c r="X31" i="39" s="1"/>
  <c r="V215" i="3"/>
  <c r="W215" i="3" s="1"/>
  <c r="O215" i="3"/>
  <c r="H377" i="22"/>
  <c r="Z215" i="3"/>
  <c r="Y215" i="3"/>
  <c r="L216" i="3" l="1"/>
  <c r="R216" i="3" s="1"/>
  <c r="F378" i="22"/>
  <c r="E378" i="22"/>
  <c r="M216" i="3"/>
  <c r="C367" i="39"/>
  <c r="AJ17" i="39" s="1"/>
  <c r="C366" i="3"/>
  <c r="M377" i="22"/>
  <c r="K377" i="22"/>
  <c r="N377" i="22" l="1"/>
  <c r="O377" i="22" s="1"/>
  <c r="Q216" i="3"/>
  <c r="P216" i="3"/>
  <c r="AA216" i="3" s="1"/>
  <c r="N216" i="3"/>
  <c r="G378" i="22"/>
  <c r="J378" i="22" l="1"/>
  <c r="L378" i="22" s="1"/>
  <c r="I378" i="22"/>
  <c r="H378" i="22"/>
  <c r="Z216" i="3"/>
  <c r="Y216" i="3"/>
  <c r="X216" i="3"/>
  <c r="D217" i="39"/>
  <c r="X32" i="39" s="1"/>
  <c r="J217" i="3"/>
  <c r="K217" i="3" s="1"/>
  <c r="V216" i="3"/>
  <c r="W216" i="3" s="1"/>
  <c r="O216" i="3"/>
  <c r="C368" i="39"/>
  <c r="AJ18" i="39" s="1"/>
  <c r="C367" i="3"/>
  <c r="L217" i="3" l="1"/>
  <c r="R217" i="3" s="1"/>
  <c r="M217" i="3"/>
  <c r="E379" i="22"/>
  <c r="F379" i="22"/>
  <c r="G379" i="22" s="1"/>
  <c r="H379" i="22" s="1"/>
  <c r="M378" i="22"/>
  <c r="N378" i="22" s="1"/>
  <c r="O378" i="22" s="1"/>
  <c r="K378" i="22"/>
  <c r="F380" i="22" l="1"/>
  <c r="E380" i="22"/>
  <c r="C368" i="3"/>
  <c r="C369" i="39"/>
  <c r="AJ19" i="39" s="1"/>
  <c r="J379" i="22"/>
  <c r="L379" i="22" s="1"/>
  <c r="I379" i="22"/>
  <c r="N217" i="3"/>
  <c r="P217" i="3"/>
  <c r="AA217" i="3" s="1"/>
  <c r="Q217" i="3"/>
  <c r="M379" i="22" l="1"/>
  <c r="X217" i="3"/>
  <c r="J218" i="3"/>
  <c r="K218" i="3" s="1"/>
  <c r="D218" i="39"/>
  <c r="X33" i="39" s="1"/>
  <c r="V217" i="3"/>
  <c r="W217" i="3" s="1"/>
  <c r="O217" i="3"/>
  <c r="K379" i="22"/>
  <c r="Z217" i="3"/>
  <c r="Y217" i="3"/>
  <c r="G380" i="22"/>
  <c r="L218" i="3" l="1"/>
  <c r="N379" i="22"/>
  <c r="O379" i="22" s="1"/>
  <c r="J380" i="22"/>
  <c r="L380" i="22" s="1"/>
  <c r="I380" i="22"/>
  <c r="H380" i="22"/>
  <c r="F381" i="22" l="1"/>
  <c r="G381" i="22" s="1"/>
  <c r="H381" i="22" s="1"/>
  <c r="E381" i="22"/>
  <c r="C369" i="3"/>
  <c r="C370" i="39"/>
  <c r="AJ20" i="39" s="1"/>
  <c r="M380" i="22"/>
  <c r="K380" i="22"/>
  <c r="R218" i="3"/>
  <c r="M218" i="3"/>
  <c r="F382" i="22" l="1"/>
  <c r="E382" i="22"/>
  <c r="P218" i="3"/>
  <c r="AA218" i="3" s="1"/>
  <c r="Q218" i="3"/>
  <c r="N218" i="3"/>
  <c r="N380" i="22"/>
  <c r="O380" i="22" s="1"/>
  <c r="J381" i="22"/>
  <c r="L381" i="22" s="1"/>
  <c r="I381" i="22"/>
  <c r="M381" i="22" l="1"/>
  <c r="C370" i="3"/>
  <c r="C371" i="39"/>
  <c r="AJ21" i="39" s="1"/>
  <c r="K381" i="22"/>
  <c r="Z218" i="3"/>
  <c r="Y218" i="3"/>
  <c r="D219" i="39"/>
  <c r="X34" i="39" s="1"/>
  <c r="J219" i="3"/>
  <c r="K219" i="3" s="1"/>
  <c r="X218" i="3"/>
  <c r="V218" i="3"/>
  <c r="W218" i="3" s="1"/>
  <c r="O218" i="3"/>
  <c r="G382" i="22"/>
  <c r="L219" i="3" l="1"/>
  <c r="R219" i="3" s="1"/>
  <c r="AJ9" i="39"/>
  <c r="AJ25" i="39"/>
  <c r="AJ26" i="39" s="1"/>
  <c r="M219" i="3"/>
  <c r="J382" i="22"/>
  <c r="L382" i="22" s="1"/>
  <c r="H382" i="22"/>
  <c r="I382" i="22"/>
  <c r="N381" i="22"/>
  <c r="O381" i="22" s="1"/>
  <c r="C371" i="3" l="1"/>
  <c r="C372" i="39"/>
  <c r="AK10" i="39" s="1"/>
  <c r="M382" i="22"/>
  <c r="F383" i="22"/>
  <c r="G383" i="22" s="1"/>
  <c r="E383" i="22"/>
  <c r="K382" i="22"/>
  <c r="P219" i="3"/>
  <c r="AA219" i="3" s="1"/>
  <c r="N219" i="3"/>
  <c r="Q219" i="3"/>
  <c r="J383" i="22" l="1"/>
  <c r="L383" i="22" s="1"/>
  <c r="I383" i="22"/>
  <c r="H383" i="22"/>
  <c r="J220" i="3"/>
  <c r="K220" i="3" s="1"/>
  <c r="D220" i="39"/>
  <c r="X35" i="39" s="1"/>
  <c r="X219" i="3"/>
  <c r="V219" i="3"/>
  <c r="W219" i="3" s="1"/>
  <c r="O219" i="3"/>
  <c r="N382" i="22"/>
  <c r="O382" i="22" s="1"/>
  <c r="Y219" i="3"/>
  <c r="Z219" i="3"/>
  <c r="F384" i="22" l="1"/>
  <c r="E384" i="22"/>
  <c r="L220" i="3"/>
  <c r="M383" i="22"/>
  <c r="C373" i="39"/>
  <c r="AK11" i="39" s="1"/>
  <c r="C372" i="3"/>
  <c r="K383" i="22"/>
  <c r="N383" i="22" l="1"/>
  <c r="O383" i="22" s="1"/>
  <c r="R220" i="3"/>
  <c r="M220" i="3"/>
  <c r="G384" i="22"/>
  <c r="J384" i="22" l="1"/>
  <c r="L384" i="22" s="1"/>
  <c r="I384" i="22"/>
  <c r="H384" i="22"/>
  <c r="Q220" i="3"/>
  <c r="N220" i="3"/>
  <c r="P220" i="3"/>
  <c r="AA220" i="3" s="1"/>
  <c r="C374" i="39"/>
  <c r="AK12" i="39" s="1"/>
  <c r="C373" i="3"/>
  <c r="X220" i="3" l="1"/>
  <c r="J221" i="3"/>
  <c r="K221" i="3" s="1"/>
  <c r="D221" i="39"/>
  <c r="X36" i="39" s="1"/>
  <c r="V220" i="3"/>
  <c r="W220" i="3" s="1"/>
  <c r="O220" i="3"/>
  <c r="F385" i="22"/>
  <c r="G385" i="22" s="1"/>
  <c r="H385" i="22" s="1"/>
  <c r="E385" i="22"/>
  <c r="M384" i="22"/>
  <c r="Z220" i="3"/>
  <c r="Y220" i="3"/>
  <c r="K384" i="22"/>
  <c r="E386" i="22" l="1"/>
  <c r="F386" i="22"/>
  <c r="G386" i="22" s="1"/>
  <c r="H386" i="22" s="1"/>
  <c r="I385" i="22"/>
  <c r="L221" i="3"/>
  <c r="J385" i="22"/>
  <c r="L385" i="22" s="1"/>
  <c r="N384" i="22"/>
  <c r="O384" i="22" s="1"/>
  <c r="E387" i="22" l="1"/>
  <c r="F387" i="22"/>
  <c r="G387" i="22" s="1"/>
  <c r="K385" i="22"/>
  <c r="C374" i="3"/>
  <c r="C375" i="39"/>
  <c r="AK13" i="39" s="1"/>
  <c r="R221" i="3"/>
  <c r="M221" i="3"/>
  <c r="L386" i="22"/>
  <c r="M386" i="22" s="1"/>
  <c r="M385" i="22"/>
  <c r="N385" i="22" s="1"/>
  <c r="O385" i="22" s="1"/>
  <c r="J386" i="22"/>
  <c r="K386" i="22" s="1"/>
  <c r="I386" i="22"/>
  <c r="N386" i="22" l="1"/>
  <c r="O386" i="22" s="1"/>
  <c r="Q221" i="3"/>
  <c r="N221" i="3"/>
  <c r="P221" i="3"/>
  <c r="AA221" i="3" s="1"/>
  <c r="J387" i="22"/>
  <c r="K387" i="22" s="1"/>
  <c r="I387" i="22"/>
  <c r="H387" i="22"/>
  <c r="C375" i="3"/>
  <c r="C376" i="39"/>
  <c r="AK14" i="39" s="1"/>
  <c r="E388" i="22" l="1"/>
  <c r="F388" i="22"/>
  <c r="G388" i="22" s="1"/>
  <c r="L387" i="22"/>
  <c r="X221" i="3"/>
  <c r="J222" i="3"/>
  <c r="K222" i="3" s="1"/>
  <c r="D222" i="39"/>
  <c r="X37" i="39" s="1"/>
  <c r="V221" i="3"/>
  <c r="W221" i="3" s="1"/>
  <c r="O221" i="3"/>
  <c r="Y221" i="3"/>
  <c r="Z221" i="3"/>
  <c r="C376" i="3"/>
  <c r="C377" i="39"/>
  <c r="AK15" i="39" s="1"/>
  <c r="J388" i="22" l="1"/>
  <c r="K388" i="22" s="1"/>
  <c r="AK24" i="39"/>
  <c r="H388" i="22"/>
  <c r="L388" i="22"/>
  <c r="M388" i="22" s="1"/>
  <c r="N388" i="22" s="1"/>
  <c r="O388" i="22" s="1"/>
  <c r="M387" i="22"/>
  <c r="N387" i="22" s="1"/>
  <c r="O387" i="22" s="1"/>
  <c r="I388" i="22"/>
  <c r="L222" i="3"/>
  <c r="C378" i="3" l="1"/>
  <c r="C379" i="39"/>
  <c r="AK17" i="39" s="1"/>
  <c r="R222" i="3"/>
  <c r="M222" i="3"/>
  <c r="C378" i="39"/>
  <c r="AK16" i="39" s="1"/>
  <c r="C377" i="3"/>
  <c r="F389" i="22"/>
  <c r="E389" i="22"/>
  <c r="N222" i="3" l="1"/>
  <c r="P222" i="3"/>
  <c r="AA222" i="3" s="1"/>
  <c r="Q222" i="3"/>
  <c r="G389" i="22"/>
  <c r="J389" i="22" l="1"/>
  <c r="L389" i="22" s="1"/>
  <c r="H389" i="22"/>
  <c r="I389" i="22"/>
  <c r="Y222" i="3"/>
  <c r="Z222" i="3"/>
  <c r="D223" i="39"/>
  <c r="X38" i="39" s="1"/>
  <c r="X222" i="3"/>
  <c r="J223" i="3"/>
  <c r="K223" i="3" s="1"/>
  <c r="L223" i="3" s="1"/>
  <c r="R223" i="3" s="1"/>
  <c r="V222" i="3"/>
  <c r="W222" i="3" s="1"/>
  <c r="O222" i="3"/>
  <c r="M223" i="3" l="1"/>
  <c r="M389" i="22"/>
  <c r="F390" i="22"/>
  <c r="G390" i="22" s="1"/>
  <c r="H390" i="22" s="1"/>
  <c r="E390" i="22"/>
  <c r="K389" i="22"/>
  <c r="E391" i="22" l="1"/>
  <c r="F391" i="22"/>
  <c r="G391" i="22" s="1"/>
  <c r="I390" i="22"/>
  <c r="N389" i="22"/>
  <c r="O389" i="22" s="1"/>
  <c r="J390" i="22"/>
  <c r="L390" i="22" s="1"/>
  <c r="P223" i="3"/>
  <c r="AA223" i="3" s="1"/>
  <c r="Q223" i="3"/>
  <c r="N223" i="3"/>
  <c r="Z223" i="3" l="1"/>
  <c r="Y223" i="3"/>
  <c r="K390" i="22"/>
  <c r="L391" i="22"/>
  <c r="M390" i="22"/>
  <c r="N390" i="22" s="1"/>
  <c r="O390" i="22" s="1"/>
  <c r="D224" i="39"/>
  <c r="X39" i="39" s="1"/>
  <c r="J224" i="3"/>
  <c r="K224" i="3" s="1"/>
  <c r="X223" i="3"/>
  <c r="V223" i="3"/>
  <c r="W223" i="3" s="1"/>
  <c r="O223" i="3"/>
  <c r="J391" i="22"/>
  <c r="K391" i="22" s="1"/>
  <c r="H391" i="22"/>
  <c r="C379" i="3"/>
  <c r="C380" i="39"/>
  <c r="AK18" i="39" s="1"/>
  <c r="I391" i="22"/>
  <c r="L224" i="3" l="1"/>
  <c r="M391" i="22"/>
  <c r="N391" i="22" s="1"/>
  <c r="O391" i="22" s="1"/>
  <c r="E392" i="22"/>
  <c r="F392" i="22"/>
  <c r="G392" i="22" s="1"/>
  <c r="C381" i="39"/>
  <c r="AK19" i="39" s="1"/>
  <c r="C380" i="3"/>
  <c r="J392" i="22" l="1"/>
  <c r="L392" i="22" s="1"/>
  <c r="H392" i="22"/>
  <c r="I392" i="22"/>
  <c r="C382" i="39"/>
  <c r="AK20" i="39" s="1"/>
  <c r="C381" i="3"/>
  <c r="R224" i="3"/>
  <c r="M224" i="3"/>
  <c r="Q224" i="3" l="1"/>
  <c r="P224" i="3"/>
  <c r="AA224" i="3" s="1"/>
  <c r="N224" i="3"/>
  <c r="E393" i="22"/>
  <c r="F393" i="22"/>
  <c r="G393" i="22" s="1"/>
  <c r="H393" i="22" s="1"/>
  <c r="K392" i="22"/>
  <c r="M392" i="22"/>
  <c r="N392" i="22" s="1"/>
  <c r="O392" i="22" s="1"/>
  <c r="F394" i="22" l="1"/>
  <c r="G394" i="22" s="1"/>
  <c r="H394" i="22" s="1"/>
  <c r="E394" i="22"/>
  <c r="C382" i="3"/>
  <c r="C383" i="39"/>
  <c r="AK21" i="39" s="1"/>
  <c r="I393" i="22"/>
  <c r="X224" i="3"/>
  <c r="D225" i="39"/>
  <c r="X40" i="39" s="1"/>
  <c r="J225" i="3"/>
  <c r="K225" i="3" s="1"/>
  <c r="L225" i="3" s="1"/>
  <c r="R225" i="3" s="1"/>
  <c r="V224" i="3"/>
  <c r="W224" i="3" s="1"/>
  <c r="O224" i="3"/>
  <c r="J393" i="22"/>
  <c r="L393" i="22" s="1"/>
  <c r="Z224" i="3"/>
  <c r="Y224" i="3"/>
  <c r="F395" i="22" l="1"/>
  <c r="E395" i="22"/>
  <c r="M225" i="3"/>
  <c r="M393" i="22"/>
  <c r="N393" i="22" s="1"/>
  <c r="O393" i="22" s="1"/>
  <c r="AK9" i="39"/>
  <c r="AK25" i="39"/>
  <c r="AK26" i="39" s="1"/>
  <c r="J394" i="22"/>
  <c r="L394" i="22" s="1"/>
  <c r="K393" i="22"/>
  <c r="I394" i="22"/>
  <c r="M394" i="22" l="1"/>
  <c r="C383" i="3"/>
  <c r="C384" i="39"/>
  <c r="AL10" i="39" s="1"/>
  <c r="K394" i="22"/>
  <c r="Q225" i="3"/>
  <c r="P225" i="3"/>
  <c r="AA225" i="3" s="1"/>
  <c r="N225" i="3"/>
  <c r="G395" i="22"/>
  <c r="D226" i="39" l="1"/>
  <c r="X41" i="39" s="1"/>
  <c r="J226" i="3"/>
  <c r="K226" i="3" s="1"/>
  <c r="X225" i="3"/>
  <c r="V225" i="3"/>
  <c r="W225" i="3" s="1"/>
  <c r="O225" i="3"/>
  <c r="J395" i="22"/>
  <c r="L395" i="22" s="1"/>
  <c r="H395" i="22"/>
  <c r="I395" i="22"/>
  <c r="Z225" i="3"/>
  <c r="Y225" i="3"/>
  <c r="N394" i="22"/>
  <c r="O394" i="22" s="1"/>
  <c r="E396" i="22" l="1"/>
  <c r="F396" i="22"/>
  <c r="G396" i="22" s="1"/>
  <c r="I396" i="22" s="1"/>
  <c r="M395" i="22"/>
  <c r="L226" i="3"/>
  <c r="C384" i="3"/>
  <c r="C385" i="39"/>
  <c r="AL11" i="39" s="1"/>
  <c r="K395" i="22"/>
  <c r="R226" i="3" l="1"/>
  <c r="M226" i="3"/>
  <c r="N395" i="22"/>
  <c r="O395" i="22" s="1"/>
  <c r="H396" i="22"/>
  <c r="J396" i="22"/>
  <c r="L396" i="22" s="1"/>
  <c r="M396" i="22" l="1"/>
  <c r="N396" i="22" s="1"/>
  <c r="O396" i="22" s="1"/>
  <c r="K396" i="22"/>
  <c r="F397" i="22"/>
  <c r="E397" i="22"/>
  <c r="P226" i="3"/>
  <c r="AA226" i="3" s="1"/>
  <c r="N226" i="3"/>
  <c r="Q226" i="3"/>
  <c r="C385" i="3"/>
  <c r="C386" i="39"/>
  <c r="AL12" i="39" s="1"/>
  <c r="Y226" i="3" l="1"/>
  <c r="Z226" i="3"/>
  <c r="J227" i="3"/>
  <c r="K227" i="3" s="1"/>
  <c r="X226" i="3"/>
  <c r="D227" i="39"/>
  <c r="V226" i="3"/>
  <c r="W226" i="3" s="1"/>
  <c r="O226" i="3"/>
  <c r="C387" i="39"/>
  <c r="AL13" i="39" s="1"/>
  <c r="C386" i="3"/>
  <c r="G397" i="22"/>
  <c r="J397" i="22" l="1"/>
  <c r="L397" i="22" s="1"/>
  <c r="I397" i="22"/>
  <c r="H397" i="22"/>
  <c r="L227" i="3"/>
  <c r="X42" i="39"/>
  <c r="Y30" i="39"/>
  <c r="R227" i="3" l="1"/>
  <c r="M227" i="3"/>
  <c r="E398" i="22"/>
  <c r="F398" i="22"/>
  <c r="G398" i="22" s="1"/>
  <c r="K397" i="22"/>
  <c r="M397" i="22"/>
  <c r="N397" i="22" s="1"/>
  <c r="O397" i="22" s="1"/>
  <c r="J398" i="22" l="1"/>
  <c r="L398" i="22" s="1"/>
  <c r="H398" i="22"/>
  <c r="Q227" i="3"/>
  <c r="N227" i="3"/>
  <c r="P227" i="3"/>
  <c r="AA227" i="3" s="1"/>
  <c r="C387" i="3"/>
  <c r="C388" i="39"/>
  <c r="AL14" i="39" s="1"/>
  <c r="I398" i="22"/>
  <c r="Z227" i="3" l="1"/>
  <c r="Y227" i="3"/>
  <c r="M398" i="22"/>
  <c r="N398" i="22" s="1"/>
  <c r="O398" i="22" s="1"/>
  <c r="D228" i="39"/>
  <c r="Y31" i="39" s="1"/>
  <c r="X227" i="3"/>
  <c r="J228" i="3"/>
  <c r="K228" i="3" s="1"/>
  <c r="V227" i="3"/>
  <c r="W227" i="3" s="1"/>
  <c r="O227" i="3"/>
  <c r="F399" i="22"/>
  <c r="G399" i="22" s="1"/>
  <c r="I399" i="22" s="1"/>
  <c r="E399" i="22"/>
  <c r="H399" i="22"/>
  <c r="K398" i="22"/>
  <c r="L228" i="3" l="1"/>
  <c r="R228" i="3" s="1"/>
  <c r="E400" i="22"/>
  <c r="F400" i="22"/>
  <c r="G400" i="22" s="1"/>
  <c r="M228" i="3"/>
  <c r="J399" i="22"/>
  <c r="L399" i="22" s="1"/>
  <c r="C388" i="3"/>
  <c r="C389" i="39"/>
  <c r="AL15" i="39" s="1"/>
  <c r="AL24" i="39" s="1"/>
  <c r="K399" i="22" l="1"/>
  <c r="N228" i="3"/>
  <c r="Q228" i="3"/>
  <c r="P228" i="3"/>
  <c r="AA228" i="3" s="1"/>
  <c r="J400" i="22"/>
  <c r="K400" i="22" s="1"/>
  <c r="M399" i="22"/>
  <c r="N399" i="22" s="1"/>
  <c r="O399" i="22" s="1"/>
  <c r="I400" i="22"/>
  <c r="H400" i="22"/>
  <c r="C389" i="3" l="1"/>
  <c r="C390" i="39"/>
  <c r="AL16" i="39" s="1"/>
  <c r="L400" i="22"/>
  <c r="E401" i="22"/>
  <c r="F401" i="22"/>
  <c r="G401" i="22" s="1"/>
  <c r="H401" i="22" s="1"/>
  <c r="X228" i="3"/>
  <c r="J229" i="3"/>
  <c r="K229" i="3" s="1"/>
  <c r="D229" i="39"/>
  <c r="Y32" i="39" s="1"/>
  <c r="V228" i="3"/>
  <c r="W228" i="3" s="1"/>
  <c r="O228" i="3"/>
  <c r="Y228" i="3"/>
  <c r="Z228" i="3"/>
  <c r="L229" i="3" l="1"/>
  <c r="R229" i="3" s="1"/>
  <c r="M229" i="3"/>
  <c r="I401" i="22"/>
  <c r="J401" i="22"/>
  <c r="K401" i="22" s="1"/>
  <c r="M400" i="22"/>
  <c r="N400" i="22" s="1"/>
  <c r="O400" i="22" s="1"/>
  <c r="L401" i="22" l="1"/>
  <c r="M401" i="22" s="1"/>
  <c r="N401" i="22" s="1"/>
  <c r="O401" i="22" s="1"/>
  <c r="C391" i="39"/>
  <c r="AL17" i="39" s="1"/>
  <c r="C390" i="3"/>
  <c r="N229" i="3"/>
  <c r="P229" i="3"/>
  <c r="AA229" i="3" s="1"/>
  <c r="Q229" i="3"/>
  <c r="X229" i="3" l="1"/>
  <c r="D230" i="39"/>
  <c r="Y33" i="39" s="1"/>
  <c r="J230" i="3"/>
  <c r="K230" i="3" s="1"/>
  <c r="V229" i="3"/>
  <c r="W229" i="3" s="1"/>
  <c r="O229" i="3"/>
  <c r="Z229" i="3"/>
  <c r="Y229" i="3"/>
  <c r="C392" i="39"/>
  <c r="C391" i="3"/>
  <c r="K9" i="1"/>
  <c r="AL18" i="39" l="1"/>
  <c r="G22" i="39"/>
  <c r="L230" i="3"/>
  <c r="C13" i="44"/>
  <c r="C17" i="44" s="1"/>
  <c r="F17" i="15"/>
  <c r="H17" i="15"/>
  <c r="D11" i="15" s="1"/>
  <c r="A7" i="39" l="1"/>
  <c r="H22" i="39"/>
  <c r="I22" i="39" s="1"/>
  <c r="J22" i="39" s="1"/>
  <c r="K22" i="39" s="1"/>
  <c r="L22" i="39" s="1"/>
  <c r="M22" i="39" s="1"/>
  <c r="N22" i="39" s="1"/>
  <c r="O22" i="39" s="1"/>
  <c r="P22" i="39" s="1"/>
  <c r="Q22" i="39" s="1"/>
  <c r="R22" i="39" s="1"/>
  <c r="S22" i="39" s="1"/>
  <c r="T22" i="39" s="1"/>
  <c r="U22" i="39" s="1"/>
  <c r="V22" i="39" s="1"/>
  <c r="W22" i="39" s="1"/>
  <c r="X22" i="39" s="1"/>
  <c r="Y22" i="39" s="1"/>
  <c r="Z22" i="39" s="1"/>
  <c r="AA22" i="39" s="1"/>
  <c r="AB22" i="39" s="1"/>
  <c r="AC22" i="39" s="1"/>
  <c r="AD22" i="39" s="1"/>
  <c r="AE22" i="39" s="1"/>
  <c r="AF22" i="39" s="1"/>
  <c r="AG22" i="39" s="1"/>
  <c r="AH22" i="39" s="1"/>
  <c r="AI22" i="39" s="1"/>
  <c r="AJ22" i="39" s="1"/>
  <c r="AK22" i="39" s="1"/>
  <c r="AL22" i="39" s="1"/>
  <c r="AM22" i="39" s="1"/>
  <c r="AN22" i="39" s="1"/>
  <c r="AO22" i="39" s="1"/>
  <c r="AL9" i="39"/>
  <c r="AL25" i="39"/>
  <c r="AL26" i="39" s="1"/>
  <c r="R230" i="3"/>
  <c r="M230" i="3"/>
  <c r="P230" i="3" l="1"/>
  <c r="AA230" i="3" s="1"/>
  <c r="Q230" i="3"/>
  <c r="N230" i="3"/>
  <c r="X230" i="3" l="1"/>
  <c r="D231" i="39"/>
  <c r="Y34" i="39" s="1"/>
  <c r="J231" i="3"/>
  <c r="K231" i="3" s="1"/>
  <c r="V230" i="3"/>
  <c r="W230" i="3" s="1"/>
  <c r="O230" i="3"/>
  <c r="Y230" i="3"/>
  <c r="Z230" i="3"/>
  <c r="L231" i="3" l="1"/>
  <c r="R231" i="3" s="1"/>
  <c r="M231" i="3"/>
  <c r="P231" i="3" l="1"/>
  <c r="AA231" i="3" s="1"/>
  <c r="N231" i="3"/>
  <c r="Q231" i="3"/>
  <c r="Z231" i="3" l="1"/>
  <c r="Y231" i="3"/>
  <c r="D232" i="39"/>
  <c r="Y35" i="39" s="1"/>
  <c r="J232" i="3"/>
  <c r="K232" i="3" s="1"/>
  <c r="X231" i="3"/>
  <c r="V231" i="3"/>
  <c r="W231" i="3" s="1"/>
  <c r="O231" i="3"/>
  <c r="L232" i="3" l="1"/>
  <c r="R232" i="3" l="1"/>
  <c r="M232" i="3"/>
  <c r="P232" i="3" l="1"/>
  <c r="AA232" i="3" s="1"/>
  <c r="N232" i="3"/>
  <c r="Q232" i="3"/>
  <c r="Z232" i="3" l="1"/>
  <c r="Y232" i="3"/>
  <c r="D233" i="39"/>
  <c r="Y36" i="39" s="1"/>
  <c r="J233" i="3"/>
  <c r="K233" i="3" s="1"/>
  <c r="X232" i="3"/>
  <c r="V232" i="3"/>
  <c r="W232" i="3" s="1"/>
  <c r="O232" i="3"/>
  <c r="L233" i="3" l="1"/>
  <c r="R233" i="3" l="1"/>
  <c r="M233" i="3"/>
  <c r="Q233" i="3" l="1"/>
  <c r="P233" i="3"/>
  <c r="AA233" i="3" s="1"/>
  <c r="N233" i="3"/>
  <c r="J234" i="3" l="1"/>
  <c r="K234" i="3" s="1"/>
  <c r="X233" i="3"/>
  <c r="D234" i="39"/>
  <c r="Y37" i="39" s="1"/>
  <c r="V233" i="3"/>
  <c r="W233" i="3" s="1"/>
  <c r="O233" i="3"/>
  <c r="Z233" i="3"/>
  <c r="Y233" i="3"/>
  <c r="L234" i="3" l="1"/>
  <c r="R234" i="3" l="1"/>
  <c r="M234" i="3"/>
  <c r="Q234" i="3" l="1"/>
  <c r="N234" i="3"/>
  <c r="P234" i="3"/>
  <c r="AA234" i="3" s="1"/>
  <c r="D235" i="39" l="1"/>
  <c r="Y38" i="39" s="1"/>
  <c r="J235" i="3"/>
  <c r="K235" i="3" s="1"/>
  <c r="X234" i="3"/>
  <c r="V234" i="3"/>
  <c r="W234" i="3" s="1"/>
  <c r="O234" i="3"/>
  <c r="Z234" i="3"/>
  <c r="Y234" i="3"/>
  <c r="L235" i="3" l="1"/>
  <c r="R235" i="3" l="1"/>
  <c r="M235" i="3"/>
  <c r="Q235" i="3" l="1"/>
  <c r="N235" i="3"/>
  <c r="P235" i="3"/>
  <c r="AA235" i="3" s="1"/>
  <c r="D236" i="39" l="1"/>
  <c r="Y39" i="39" s="1"/>
  <c r="X235" i="3"/>
  <c r="J236" i="3"/>
  <c r="K236" i="3" s="1"/>
  <c r="V235" i="3"/>
  <c r="W235" i="3" s="1"/>
  <c r="O235" i="3"/>
  <c r="Z235" i="3"/>
  <c r="Y235" i="3"/>
  <c r="L236" i="3" l="1"/>
  <c r="R236" i="3" l="1"/>
  <c r="M236" i="3"/>
  <c r="N236" i="3" l="1"/>
  <c r="Q236" i="3"/>
  <c r="P236" i="3"/>
  <c r="AA236" i="3" s="1"/>
  <c r="Z236" i="3" l="1"/>
  <c r="Y236" i="3"/>
  <c r="J237" i="3"/>
  <c r="K237" i="3" s="1"/>
  <c r="D237" i="39"/>
  <c r="Y40" i="39" s="1"/>
  <c r="X236" i="3"/>
  <c r="V236" i="3"/>
  <c r="W236" i="3" s="1"/>
  <c r="O236" i="3"/>
  <c r="L237" i="3" l="1"/>
  <c r="R237" i="3" l="1"/>
  <c r="M237" i="3"/>
  <c r="N237" i="3" l="1"/>
  <c r="Q237" i="3"/>
  <c r="P237" i="3"/>
  <c r="AA237" i="3" s="1"/>
  <c r="Z237" i="3" l="1"/>
  <c r="Y237" i="3"/>
  <c r="X237" i="3"/>
  <c r="D238" i="39"/>
  <c r="Y41" i="39" s="1"/>
  <c r="J238" i="3"/>
  <c r="K238" i="3" s="1"/>
  <c r="V237" i="3"/>
  <c r="W237" i="3" s="1"/>
  <c r="O237" i="3"/>
  <c r="L238" i="3" l="1"/>
  <c r="R238" i="3" s="1"/>
  <c r="M238" i="3"/>
  <c r="Q238" i="3" l="1"/>
  <c r="P238" i="3"/>
  <c r="AA238" i="3" s="1"/>
  <c r="N238" i="3"/>
  <c r="X238" i="3" l="1"/>
  <c r="D239" i="39"/>
  <c r="J239" i="3"/>
  <c r="K239" i="3" s="1"/>
  <c r="V238" i="3"/>
  <c r="W238" i="3" s="1"/>
  <c r="O238" i="3"/>
  <c r="Z238" i="3"/>
  <c r="Y238" i="3"/>
  <c r="L239" i="3" l="1"/>
  <c r="R239" i="3" s="1"/>
  <c r="Y42" i="39"/>
  <c r="Z30" i="39"/>
  <c r="M239" i="3"/>
  <c r="Q239" i="3" l="1"/>
  <c r="P239" i="3"/>
  <c r="AA239" i="3" s="1"/>
  <c r="N239" i="3"/>
  <c r="J240" i="3" l="1"/>
  <c r="K240" i="3" s="1"/>
  <c r="D240" i="39"/>
  <c r="Z31" i="39" s="1"/>
  <c r="X239" i="3"/>
  <c r="V239" i="3"/>
  <c r="W239" i="3" s="1"/>
  <c r="O239" i="3"/>
  <c r="Z239" i="3"/>
  <c r="Y239" i="3"/>
  <c r="L240" i="3" l="1"/>
  <c r="R240" i="3" l="1"/>
  <c r="M240" i="3"/>
  <c r="Q240" i="3" l="1"/>
  <c r="N240" i="3"/>
  <c r="P240" i="3"/>
  <c r="AA240" i="3" s="1"/>
  <c r="J241" i="3" l="1"/>
  <c r="K241" i="3" s="1"/>
  <c r="X240" i="3"/>
  <c r="D241" i="39"/>
  <c r="Z32" i="39" s="1"/>
  <c r="V240" i="3"/>
  <c r="W240" i="3" s="1"/>
  <c r="O240" i="3"/>
  <c r="Z240" i="3"/>
  <c r="Y240" i="3"/>
  <c r="L241" i="3" l="1"/>
  <c r="R241" i="3" l="1"/>
  <c r="M241" i="3"/>
  <c r="Q241" i="3" l="1"/>
  <c r="P241" i="3"/>
  <c r="AA241" i="3" s="1"/>
  <c r="N241" i="3"/>
  <c r="X241" i="3" l="1"/>
  <c r="J242" i="3"/>
  <c r="K242" i="3" s="1"/>
  <c r="D242" i="39"/>
  <c r="Z33" i="39" s="1"/>
  <c r="V241" i="3"/>
  <c r="W241" i="3" s="1"/>
  <c r="O241" i="3"/>
  <c r="Z241" i="3"/>
  <c r="Y241" i="3"/>
  <c r="L242" i="3" l="1"/>
  <c r="R242" i="3" l="1"/>
  <c r="M242" i="3"/>
  <c r="N242" i="3" l="1"/>
  <c r="Q242" i="3"/>
  <c r="P242" i="3"/>
  <c r="AA242" i="3" s="1"/>
  <c r="Y242" i="3" l="1"/>
  <c r="Z242" i="3"/>
  <c r="X242" i="3"/>
  <c r="J243" i="3"/>
  <c r="K243" i="3" s="1"/>
  <c r="D243" i="39"/>
  <c r="Z34" i="39" s="1"/>
  <c r="V242" i="3"/>
  <c r="W242" i="3" s="1"/>
  <c r="O242" i="3"/>
  <c r="L243" i="3" l="1"/>
  <c r="R243" i="3" l="1"/>
  <c r="M243" i="3"/>
  <c r="P243" i="3" l="1"/>
  <c r="AA243" i="3" s="1"/>
  <c r="N243" i="3"/>
  <c r="Q243" i="3"/>
  <c r="Z243" i="3" l="1"/>
  <c r="Y243" i="3"/>
  <c r="D244" i="39"/>
  <c r="Z35" i="39" s="1"/>
  <c r="X243" i="3"/>
  <c r="J244" i="3"/>
  <c r="K244" i="3" s="1"/>
  <c r="V243" i="3"/>
  <c r="W243" i="3" s="1"/>
  <c r="O243" i="3"/>
  <c r="L244" i="3" l="1"/>
  <c r="R244" i="3" l="1"/>
  <c r="M244" i="3"/>
  <c r="P244" i="3" l="1"/>
  <c r="AA244" i="3" s="1"/>
  <c r="N244" i="3"/>
  <c r="Q244" i="3"/>
  <c r="Z244" i="3" l="1"/>
  <c r="Y244" i="3"/>
  <c r="D245" i="39"/>
  <c r="Z36" i="39" s="1"/>
  <c r="X244" i="3"/>
  <c r="J245" i="3"/>
  <c r="K245" i="3" s="1"/>
  <c r="V244" i="3"/>
  <c r="W244" i="3" s="1"/>
  <c r="O244" i="3"/>
  <c r="L245" i="3" l="1"/>
  <c r="R245" i="3" l="1"/>
  <c r="M245" i="3"/>
  <c r="Q245" i="3" l="1"/>
  <c r="P245" i="3"/>
  <c r="AA245" i="3" s="1"/>
  <c r="N245" i="3"/>
  <c r="J246" i="3" l="1"/>
  <c r="K246" i="3" s="1"/>
  <c r="D246" i="39"/>
  <c r="Z37" i="39" s="1"/>
  <c r="X245" i="3"/>
  <c r="V245" i="3"/>
  <c r="W245" i="3" s="1"/>
  <c r="O245" i="3"/>
  <c r="Z245" i="3"/>
  <c r="Y245" i="3"/>
  <c r="L246" i="3" l="1"/>
  <c r="R246" i="3" l="1"/>
  <c r="M246" i="3"/>
  <c r="N246" i="3" l="1"/>
  <c r="Q246" i="3"/>
  <c r="P246" i="3"/>
  <c r="AA246" i="3" s="1"/>
  <c r="Z246" i="3" l="1"/>
  <c r="Y246" i="3"/>
  <c r="J247" i="3"/>
  <c r="K247" i="3" s="1"/>
  <c r="D247" i="39"/>
  <c r="Z38" i="39" s="1"/>
  <c r="X246" i="3"/>
  <c r="V246" i="3"/>
  <c r="W246" i="3" s="1"/>
  <c r="O246" i="3"/>
  <c r="L247" i="3" l="1"/>
  <c r="R247" i="3" l="1"/>
  <c r="M247" i="3"/>
  <c r="P247" i="3" l="1"/>
  <c r="AA247" i="3" s="1"/>
  <c r="N247" i="3"/>
  <c r="Q247" i="3"/>
  <c r="Z247" i="3" l="1"/>
  <c r="Y247" i="3"/>
  <c r="J248" i="3"/>
  <c r="K248" i="3" s="1"/>
  <c r="X247" i="3"/>
  <c r="D248" i="39"/>
  <c r="Z39" i="39" s="1"/>
  <c r="V247" i="3"/>
  <c r="W247" i="3" s="1"/>
  <c r="O247" i="3"/>
  <c r="L248" i="3" l="1"/>
  <c r="R248" i="3" l="1"/>
  <c r="M248" i="3"/>
  <c r="Q248" i="3" l="1"/>
  <c r="N248" i="3"/>
  <c r="P248" i="3"/>
  <c r="AA248" i="3" s="1"/>
  <c r="X248" i="3" l="1"/>
  <c r="J249" i="3"/>
  <c r="K249" i="3" s="1"/>
  <c r="D249" i="39"/>
  <c r="Z40" i="39" s="1"/>
  <c r="V248" i="3"/>
  <c r="W248" i="3" s="1"/>
  <c r="O248" i="3"/>
  <c r="Z248" i="3"/>
  <c r="Y248" i="3"/>
  <c r="L249" i="3" l="1"/>
  <c r="R249" i="3" l="1"/>
  <c r="M249" i="3"/>
  <c r="Q249" i="3" l="1"/>
  <c r="N249" i="3"/>
  <c r="P249" i="3"/>
  <c r="AA249" i="3" s="1"/>
  <c r="D250" i="39" l="1"/>
  <c r="Z41" i="39" s="1"/>
  <c r="X249" i="3"/>
  <c r="J250" i="3"/>
  <c r="K250" i="3" s="1"/>
  <c r="V249" i="3"/>
  <c r="W249" i="3" s="1"/>
  <c r="O249" i="3"/>
  <c r="Z249" i="3"/>
  <c r="Y249" i="3"/>
  <c r="L250" i="3" l="1"/>
  <c r="R250" i="3" l="1"/>
  <c r="M250" i="3"/>
  <c r="Q250" i="3" l="1"/>
  <c r="P250" i="3"/>
  <c r="AA250" i="3" s="1"/>
  <c r="N250" i="3"/>
  <c r="J251" i="3" l="1"/>
  <c r="K251" i="3" s="1"/>
  <c r="X250" i="3"/>
  <c r="D251" i="39"/>
  <c r="V250" i="3"/>
  <c r="W250" i="3" s="1"/>
  <c r="O250" i="3"/>
  <c r="Z250" i="3"/>
  <c r="Y250" i="3"/>
  <c r="AA30" i="39" l="1"/>
  <c r="Z42" i="39"/>
  <c r="L251" i="3"/>
  <c r="R251" i="3" l="1"/>
  <c r="M251" i="3"/>
  <c r="P251" i="3" l="1"/>
  <c r="AA251" i="3" s="1"/>
  <c r="Q251" i="3"/>
  <c r="N251" i="3"/>
  <c r="X251" i="3" l="1"/>
  <c r="D252" i="39"/>
  <c r="AA31" i="39" s="1"/>
  <c r="J252" i="3"/>
  <c r="K252" i="3" s="1"/>
  <c r="V251" i="3"/>
  <c r="W251" i="3" s="1"/>
  <c r="O251" i="3"/>
  <c r="Z251" i="3"/>
  <c r="Y251" i="3"/>
  <c r="L252" i="3" l="1"/>
  <c r="R252" i="3" l="1"/>
  <c r="M252" i="3"/>
  <c r="Q252" i="3" l="1"/>
  <c r="N252" i="3"/>
  <c r="P252" i="3"/>
  <c r="AA252" i="3" s="1"/>
  <c r="D253" i="39" l="1"/>
  <c r="AA32" i="39" s="1"/>
  <c r="J253" i="3"/>
  <c r="K253" i="3" s="1"/>
  <c r="X252" i="3"/>
  <c r="V252" i="3"/>
  <c r="W252" i="3" s="1"/>
  <c r="O252" i="3"/>
  <c r="Z252" i="3"/>
  <c r="Y252" i="3"/>
  <c r="L253" i="3" l="1"/>
  <c r="R253" i="3" l="1"/>
  <c r="M253" i="3"/>
  <c r="P253" i="3" l="1"/>
  <c r="AA253" i="3" s="1"/>
  <c r="Q253" i="3"/>
  <c r="N253" i="3"/>
  <c r="J254" i="3" l="1"/>
  <c r="K254" i="3" s="1"/>
  <c r="X253" i="3"/>
  <c r="D254" i="39"/>
  <c r="AA33" i="39" s="1"/>
  <c r="V253" i="3"/>
  <c r="W253" i="3" s="1"/>
  <c r="O253" i="3"/>
  <c r="Z253" i="3"/>
  <c r="Y253" i="3"/>
  <c r="L254" i="3" l="1"/>
  <c r="R254" i="3" l="1"/>
  <c r="M254" i="3"/>
  <c r="Q254" i="3" l="1"/>
  <c r="N254" i="3"/>
  <c r="P254" i="3"/>
  <c r="AA254" i="3" s="1"/>
  <c r="X254" i="3" l="1"/>
  <c r="D255" i="39"/>
  <c r="AA34" i="39" s="1"/>
  <c r="J255" i="3"/>
  <c r="K255" i="3" s="1"/>
  <c r="V254" i="3"/>
  <c r="W254" i="3" s="1"/>
  <c r="O254" i="3"/>
  <c r="Z254" i="3"/>
  <c r="Y254" i="3"/>
  <c r="L255" i="3" l="1"/>
  <c r="R255" i="3" l="1"/>
  <c r="M255" i="3"/>
  <c r="N255" i="3" l="1"/>
  <c r="P255" i="3"/>
  <c r="AA255" i="3" s="1"/>
  <c r="Q255" i="3"/>
  <c r="Z255" i="3" l="1"/>
  <c r="Y255" i="3"/>
  <c r="D256" i="39"/>
  <c r="AA35" i="39" s="1"/>
  <c r="J256" i="3"/>
  <c r="K256" i="3" s="1"/>
  <c r="X255" i="3"/>
  <c r="V255" i="3"/>
  <c r="W255" i="3" s="1"/>
  <c r="O255" i="3"/>
  <c r="L256" i="3" l="1"/>
  <c r="R256" i="3" s="1"/>
  <c r="M256" i="3"/>
  <c r="P256" i="3" l="1"/>
  <c r="AA256" i="3" s="1"/>
  <c r="N256" i="3"/>
  <c r="Q256" i="3"/>
  <c r="Y256" i="3" l="1"/>
  <c r="Z256" i="3"/>
  <c r="J257" i="3"/>
  <c r="K257" i="3" s="1"/>
  <c r="X256" i="3"/>
  <c r="D257" i="39"/>
  <c r="AA36" i="39" s="1"/>
  <c r="V256" i="3"/>
  <c r="W256" i="3" s="1"/>
  <c r="O256" i="3"/>
  <c r="L257" i="3" l="1"/>
  <c r="R257" i="3" l="1"/>
  <c r="M257" i="3"/>
  <c r="N257" i="3" l="1"/>
  <c r="Q257" i="3"/>
  <c r="P257" i="3"/>
  <c r="AA257" i="3" s="1"/>
  <c r="Z257" i="3" l="1"/>
  <c r="Y257" i="3"/>
  <c r="D258" i="39"/>
  <c r="AA37" i="39" s="1"/>
  <c r="X257" i="3"/>
  <c r="J258" i="3"/>
  <c r="K258" i="3" s="1"/>
  <c r="V257" i="3"/>
  <c r="W257" i="3" s="1"/>
  <c r="O257" i="3"/>
  <c r="L258" i="3" l="1"/>
  <c r="R258" i="3" s="1"/>
  <c r="M258" i="3"/>
  <c r="P258" i="3" l="1"/>
  <c r="AA258" i="3" s="1"/>
  <c r="Q258" i="3"/>
  <c r="N258" i="3"/>
  <c r="X258" i="3" l="1"/>
  <c r="D259" i="39"/>
  <c r="AA38" i="39" s="1"/>
  <c r="J259" i="3"/>
  <c r="K259" i="3" s="1"/>
  <c r="V258" i="3"/>
  <c r="W258" i="3" s="1"/>
  <c r="O258" i="3"/>
  <c r="Z258" i="3"/>
  <c r="Y258" i="3"/>
  <c r="L259" i="3" l="1"/>
  <c r="R259" i="3" l="1"/>
  <c r="M259" i="3"/>
  <c r="P259" i="3" l="1"/>
  <c r="AA259" i="3" s="1"/>
  <c r="N259" i="3"/>
  <c r="Q259" i="3"/>
  <c r="Z259" i="3" l="1"/>
  <c r="Y259" i="3"/>
  <c r="X259" i="3"/>
  <c r="J260" i="3"/>
  <c r="K260" i="3" s="1"/>
  <c r="D260" i="39"/>
  <c r="AA39" i="39" s="1"/>
  <c r="V259" i="3"/>
  <c r="W259" i="3" s="1"/>
  <c r="O259" i="3"/>
  <c r="L260" i="3" l="1"/>
  <c r="R260" i="3" s="1"/>
  <c r="M260" i="3"/>
  <c r="N260" i="3" l="1"/>
  <c r="P260" i="3"/>
  <c r="AA260" i="3" s="1"/>
  <c r="Q260" i="3"/>
  <c r="Z260" i="3" l="1"/>
  <c r="Y260" i="3"/>
  <c r="D261" i="39"/>
  <c r="AA40" i="39" s="1"/>
  <c r="J261" i="3"/>
  <c r="K261" i="3" s="1"/>
  <c r="X260" i="3"/>
  <c r="V260" i="3"/>
  <c r="W260" i="3" s="1"/>
  <c r="O260" i="3"/>
  <c r="L261" i="3" l="1"/>
  <c r="R261" i="3" l="1"/>
  <c r="M261" i="3"/>
  <c r="P261" i="3" l="1"/>
  <c r="AA261" i="3" s="1"/>
  <c r="Q261" i="3"/>
  <c r="N261" i="3"/>
  <c r="X261" i="3" l="1"/>
  <c r="D262" i="39"/>
  <c r="AA41" i="39" s="1"/>
  <c r="J262" i="3"/>
  <c r="K262" i="3" s="1"/>
  <c r="V261" i="3"/>
  <c r="W261" i="3" s="1"/>
  <c r="O261" i="3"/>
  <c r="Z261" i="3"/>
  <c r="Y261" i="3"/>
  <c r="L262" i="3" l="1"/>
  <c r="R262" i="3" l="1"/>
  <c r="M262" i="3"/>
  <c r="P262" i="3" l="1"/>
  <c r="AA262" i="3" s="1"/>
  <c r="Q262" i="3"/>
  <c r="N262" i="3"/>
  <c r="J263" i="3" l="1"/>
  <c r="K263" i="3" s="1"/>
  <c r="D263" i="39"/>
  <c r="X262" i="3"/>
  <c r="V262" i="3"/>
  <c r="W262" i="3" s="1"/>
  <c r="O262" i="3"/>
  <c r="Z262" i="3"/>
  <c r="Y262" i="3"/>
  <c r="L263" i="3" l="1"/>
  <c r="AA42" i="39"/>
  <c r="AB30" i="39"/>
  <c r="R263" i="3" l="1"/>
  <c r="M263" i="3"/>
  <c r="Q263" i="3" l="1"/>
  <c r="N263" i="3"/>
  <c r="P263" i="3"/>
  <c r="AA263" i="3" s="1"/>
  <c r="X263" i="3" l="1"/>
  <c r="D264" i="39"/>
  <c r="AB31" i="39" s="1"/>
  <c r="J264" i="3"/>
  <c r="K264" i="3" s="1"/>
  <c r="V263" i="3"/>
  <c r="W263" i="3" s="1"/>
  <c r="O263" i="3"/>
  <c r="Z263" i="3"/>
  <c r="Y263" i="3"/>
  <c r="L264" i="3" l="1"/>
  <c r="R264" i="3" l="1"/>
  <c r="M264" i="3"/>
  <c r="Q264" i="3" l="1"/>
  <c r="N264" i="3"/>
  <c r="P264" i="3"/>
  <c r="AA264" i="3" s="1"/>
  <c r="X264" i="3" l="1"/>
  <c r="J265" i="3"/>
  <c r="K265" i="3" s="1"/>
  <c r="D265" i="39"/>
  <c r="AB32" i="39" s="1"/>
  <c r="V264" i="3"/>
  <c r="W264" i="3" s="1"/>
  <c r="O264" i="3"/>
  <c r="Z264" i="3"/>
  <c r="Y264" i="3"/>
  <c r="L265" i="3" l="1"/>
  <c r="R265" i="3" l="1"/>
  <c r="M265" i="3"/>
  <c r="Q265" i="3" l="1"/>
  <c r="P265" i="3"/>
  <c r="AA265" i="3" s="1"/>
  <c r="N265" i="3"/>
  <c r="J266" i="3" l="1"/>
  <c r="K266" i="3" s="1"/>
  <c r="X265" i="3"/>
  <c r="D266" i="39"/>
  <c r="AB33" i="39" s="1"/>
  <c r="V265" i="3"/>
  <c r="W265" i="3" s="1"/>
  <c r="O265" i="3"/>
  <c r="Z265" i="3"/>
  <c r="Y265" i="3"/>
  <c r="L266" i="3" l="1"/>
  <c r="R266" i="3" l="1"/>
  <c r="M266" i="3"/>
  <c r="P266" i="3" l="1"/>
  <c r="AA266" i="3" s="1"/>
  <c r="N266" i="3"/>
  <c r="Q266" i="3"/>
  <c r="Z266" i="3" l="1"/>
  <c r="Y266" i="3"/>
  <c r="D267" i="39"/>
  <c r="AB34" i="39" s="1"/>
  <c r="X266" i="3"/>
  <c r="J267" i="3"/>
  <c r="K267" i="3" s="1"/>
  <c r="V266" i="3"/>
  <c r="W266" i="3" s="1"/>
  <c r="O266" i="3"/>
  <c r="L267" i="3" l="1"/>
  <c r="R267" i="3" l="1"/>
  <c r="M267" i="3"/>
  <c r="N267" i="3" l="1"/>
  <c r="P267" i="3"/>
  <c r="AA267" i="3" s="1"/>
  <c r="Q267" i="3"/>
  <c r="Z267" i="3" l="1"/>
  <c r="Y267" i="3"/>
  <c r="J268" i="3"/>
  <c r="K268" i="3" s="1"/>
  <c r="D268" i="39"/>
  <c r="AB35" i="39" s="1"/>
  <c r="X267" i="3"/>
  <c r="V267" i="3"/>
  <c r="W267" i="3" s="1"/>
  <c r="O267" i="3"/>
  <c r="L268" i="3" l="1"/>
  <c r="R268" i="3" l="1"/>
  <c r="M268" i="3"/>
  <c r="N268" i="3" l="1"/>
  <c r="Q268" i="3"/>
  <c r="P268" i="3"/>
  <c r="AA268" i="3" s="1"/>
  <c r="Z268" i="3" l="1"/>
  <c r="Y268" i="3"/>
  <c r="J269" i="3"/>
  <c r="K269" i="3" s="1"/>
  <c r="X268" i="3"/>
  <c r="D269" i="39"/>
  <c r="AB36" i="39" s="1"/>
  <c r="V268" i="3"/>
  <c r="W268" i="3" s="1"/>
  <c r="O268" i="3"/>
  <c r="L269" i="3" l="1"/>
  <c r="R269" i="3" l="1"/>
  <c r="M269" i="3"/>
  <c r="N269" i="3" l="1"/>
  <c r="P269" i="3"/>
  <c r="AA269" i="3" s="1"/>
  <c r="Q269" i="3"/>
  <c r="Z269" i="3" l="1"/>
  <c r="Y269" i="3"/>
  <c r="X269" i="3"/>
  <c r="D270" i="39"/>
  <c r="AB37" i="39" s="1"/>
  <c r="J270" i="3"/>
  <c r="K270" i="3" s="1"/>
  <c r="V269" i="3"/>
  <c r="W269" i="3" s="1"/>
  <c r="O269" i="3"/>
  <c r="L270" i="3" l="1"/>
  <c r="R270" i="3" s="1"/>
  <c r="M270" i="3"/>
  <c r="N270" i="3" l="1"/>
  <c r="P270" i="3"/>
  <c r="AA270" i="3" s="1"/>
  <c r="Q270" i="3"/>
  <c r="Y270" i="3" l="1"/>
  <c r="Z270" i="3"/>
  <c r="J271" i="3"/>
  <c r="K271" i="3" s="1"/>
  <c r="X270" i="3"/>
  <c r="D271" i="39"/>
  <c r="AB38" i="39" s="1"/>
  <c r="V270" i="3"/>
  <c r="W270" i="3" s="1"/>
  <c r="O270" i="3"/>
  <c r="L271" i="3" l="1"/>
  <c r="R271" i="3" l="1"/>
  <c r="M271" i="3"/>
  <c r="N271" i="3" l="1"/>
  <c r="Q271" i="3"/>
  <c r="P271" i="3"/>
  <c r="AA271" i="3" s="1"/>
  <c r="Z271" i="3" l="1"/>
  <c r="Y271" i="3"/>
  <c r="J272" i="3"/>
  <c r="K272" i="3" s="1"/>
  <c r="X271" i="3"/>
  <c r="D272" i="39"/>
  <c r="AB39" i="39" s="1"/>
  <c r="V271" i="3"/>
  <c r="W271" i="3" s="1"/>
  <c r="O271" i="3"/>
  <c r="L272" i="3" l="1"/>
  <c r="R272" i="3" l="1"/>
  <c r="M272" i="3"/>
  <c r="P272" i="3" l="1"/>
  <c r="AA272" i="3" s="1"/>
  <c r="N272" i="3"/>
  <c r="Q272" i="3"/>
  <c r="Z272" i="3" l="1"/>
  <c r="Y272" i="3"/>
  <c r="J273" i="3"/>
  <c r="K273" i="3" s="1"/>
  <c r="X272" i="3"/>
  <c r="D273" i="39"/>
  <c r="AB40" i="39" s="1"/>
  <c r="V272" i="3"/>
  <c r="W272" i="3" s="1"/>
  <c r="O272" i="3"/>
  <c r="L273" i="3" l="1"/>
  <c r="R273" i="3" s="1"/>
  <c r="M273" i="3"/>
  <c r="Q273" i="3" l="1"/>
  <c r="N273" i="3"/>
  <c r="P273" i="3"/>
  <c r="AA273" i="3" s="1"/>
  <c r="X273" i="3" l="1"/>
  <c r="J274" i="3"/>
  <c r="K274" i="3" s="1"/>
  <c r="D274" i="39"/>
  <c r="AB41" i="39" s="1"/>
  <c r="V273" i="3"/>
  <c r="W273" i="3" s="1"/>
  <c r="O273" i="3"/>
  <c r="Z273" i="3"/>
  <c r="Y273" i="3"/>
  <c r="L274" i="3" l="1"/>
  <c r="R274" i="3" l="1"/>
  <c r="M274" i="3"/>
  <c r="Q274" i="3" l="1"/>
  <c r="N274" i="3"/>
  <c r="P274" i="3"/>
  <c r="AA274" i="3" s="1"/>
  <c r="J275" i="3" l="1"/>
  <c r="K275" i="3" s="1"/>
  <c r="D275" i="39"/>
  <c r="X274" i="3"/>
  <c r="V274" i="3"/>
  <c r="W274" i="3" s="1"/>
  <c r="O274" i="3"/>
  <c r="Z274" i="3"/>
  <c r="Y274" i="3"/>
  <c r="AC30" i="39" l="1"/>
  <c r="AB42" i="39"/>
  <c r="L275" i="3"/>
  <c r="R275" i="3" l="1"/>
  <c r="M275" i="3"/>
  <c r="Q275" i="3" l="1"/>
  <c r="P275" i="3"/>
  <c r="AA275" i="3" s="1"/>
  <c r="N275" i="3"/>
  <c r="J276" i="3" l="1"/>
  <c r="K276" i="3" s="1"/>
  <c r="X275" i="3"/>
  <c r="D276" i="39"/>
  <c r="AC31" i="39" s="1"/>
  <c r="V275" i="3"/>
  <c r="W275" i="3" s="1"/>
  <c r="O275" i="3"/>
  <c r="Z275" i="3"/>
  <c r="Y275" i="3"/>
  <c r="L276" i="3" l="1"/>
  <c r="R276" i="3" l="1"/>
  <c r="M276" i="3"/>
  <c r="N276" i="3" l="1"/>
  <c r="Q276" i="3"/>
  <c r="P276" i="3"/>
  <c r="AA276" i="3" s="1"/>
  <c r="Y276" i="3" l="1"/>
  <c r="Z276" i="3"/>
  <c r="J277" i="3"/>
  <c r="K277" i="3" s="1"/>
  <c r="D277" i="39"/>
  <c r="AC32" i="39" s="1"/>
  <c r="X276" i="3"/>
  <c r="V276" i="3"/>
  <c r="W276" i="3" s="1"/>
  <c r="O276" i="3"/>
  <c r="L277" i="3" l="1"/>
  <c r="R277" i="3" s="1"/>
  <c r="M277" i="3"/>
  <c r="Q277" i="3" l="1"/>
  <c r="N277" i="3"/>
  <c r="P277" i="3"/>
  <c r="AA277" i="3" s="1"/>
  <c r="J278" i="3" l="1"/>
  <c r="K278" i="3" s="1"/>
  <c r="X277" i="3"/>
  <c r="D278" i="39"/>
  <c r="AC33" i="39" s="1"/>
  <c r="V277" i="3"/>
  <c r="W277" i="3" s="1"/>
  <c r="O277" i="3"/>
  <c r="Z277" i="3"/>
  <c r="Y277" i="3"/>
  <c r="L278" i="3" l="1"/>
  <c r="R278" i="3" l="1"/>
  <c r="M278" i="3"/>
  <c r="Q278" i="3" l="1"/>
  <c r="N278" i="3"/>
  <c r="P278" i="3"/>
  <c r="AA278" i="3" s="1"/>
  <c r="D279" i="39" l="1"/>
  <c r="AC34" i="39" s="1"/>
  <c r="X278" i="3"/>
  <c r="J279" i="3"/>
  <c r="K279" i="3" s="1"/>
  <c r="V278" i="3"/>
  <c r="W278" i="3" s="1"/>
  <c r="O278" i="3"/>
  <c r="Z278" i="3"/>
  <c r="Y278" i="3"/>
  <c r="L279" i="3" l="1"/>
  <c r="R279" i="3" s="1"/>
  <c r="M279" i="3"/>
  <c r="N279" i="3" l="1"/>
  <c r="Q279" i="3"/>
  <c r="P279" i="3"/>
  <c r="AA279" i="3" s="1"/>
  <c r="Y279" i="3" l="1"/>
  <c r="Z279" i="3"/>
  <c r="J280" i="3"/>
  <c r="K280" i="3" s="1"/>
  <c r="D280" i="39"/>
  <c r="AC35" i="39" s="1"/>
  <c r="X279" i="3"/>
  <c r="V279" i="3"/>
  <c r="W279" i="3" s="1"/>
  <c r="O279" i="3"/>
  <c r="L280" i="3" l="1"/>
  <c r="R280" i="3" l="1"/>
  <c r="M280" i="3"/>
  <c r="N280" i="3" l="1"/>
  <c r="Q280" i="3"/>
  <c r="P280" i="3"/>
  <c r="AA280" i="3" s="1"/>
  <c r="Z280" i="3" l="1"/>
  <c r="Y280" i="3"/>
  <c r="D281" i="39"/>
  <c r="AC36" i="39" s="1"/>
  <c r="X280" i="3"/>
  <c r="J281" i="3"/>
  <c r="K281" i="3" s="1"/>
  <c r="V280" i="3"/>
  <c r="W280" i="3" s="1"/>
  <c r="O280" i="3"/>
  <c r="L281" i="3" l="1"/>
  <c r="R281" i="3" l="1"/>
  <c r="M281" i="3"/>
  <c r="N281" i="3" l="1"/>
  <c r="Q281" i="3"/>
  <c r="P281" i="3"/>
  <c r="AA281" i="3" s="1"/>
  <c r="Z281" i="3" l="1"/>
  <c r="Y281" i="3"/>
  <c r="X281" i="3"/>
  <c r="D282" i="39"/>
  <c r="AC37" i="39" s="1"/>
  <c r="J282" i="3"/>
  <c r="K282" i="3" s="1"/>
  <c r="V281" i="3"/>
  <c r="W281" i="3" s="1"/>
  <c r="O281" i="3"/>
  <c r="L282" i="3" l="1"/>
  <c r="R282" i="3" s="1"/>
  <c r="M282" i="3"/>
  <c r="N282" i="3" l="1"/>
  <c r="Q282" i="3"/>
  <c r="P282" i="3"/>
  <c r="AA282" i="3" s="1"/>
  <c r="Z282" i="3" l="1"/>
  <c r="Y282" i="3"/>
  <c r="D283" i="39"/>
  <c r="AC38" i="39" s="1"/>
  <c r="X282" i="3"/>
  <c r="J283" i="3"/>
  <c r="K283" i="3" s="1"/>
  <c r="V282" i="3"/>
  <c r="W282" i="3" s="1"/>
  <c r="O282" i="3"/>
  <c r="L283" i="3" l="1"/>
  <c r="R283" i="3" s="1"/>
  <c r="M283" i="3"/>
  <c r="N283" i="3" l="1"/>
  <c r="Q283" i="3"/>
  <c r="P283" i="3"/>
  <c r="AA283" i="3" s="1"/>
  <c r="Z283" i="3" l="1"/>
  <c r="Y283" i="3"/>
  <c r="X283" i="3"/>
  <c r="D284" i="39"/>
  <c r="AC39" i="39" s="1"/>
  <c r="J284" i="3"/>
  <c r="K284" i="3" s="1"/>
  <c r="V283" i="3"/>
  <c r="W283" i="3" s="1"/>
  <c r="O283" i="3"/>
  <c r="L284" i="3" l="1"/>
  <c r="R284" i="3" s="1"/>
  <c r="M284" i="3"/>
  <c r="Q284" i="3" l="1"/>
  <c r="P284" i="3"/>
  <c r="AA284" i="3" s="1"/>
  <c r="N284" i="3"/>
  <c r="J285" i="3" l="1"/>
  <c r="K285" i="3" s="1"/>
  <c r="X284" i="3"/>
  <c r="D285" i="39"/>
  <c r="AC40" i="39" s="1"/>
  <c r="V284" i="3"/>
  <c r="W284" i="3" s="1"/>
  <c r="O284" i="3"/>
  <c r="Z284" i="3"/>
  <c r="Y284" i="3"/>
  <c r="L285" i="3" l="1"/>
  <c r="R285" i="3" l="1"/>
  <c r="M285" i="3"/>
  <c r="Q285" i="3" l="1"/>
  <c r="N285" i="3"/>
  <c r="P285" i="3"/>
  <c r="AA285" i="3" s="1"/>
  <c r="D286" i="39" l="1"/>
  <c r="AC41" i="39" s="1"/>
  <c r="X285" i="3"/>
  <c r="J286" i="3"/>
  <c r="K286" i="3" s="1"/>
  <c r="V285" i="3"/>
  <c r="W285" i="3" s="1"/>
  <c r="O285" i="3"/>
  <c r="Z285" i="3"/>
  <c r="Y285" i="3"/>
  <c r="L286" i="3" l="1"/>
  <c r="R286" i="3" l="1"/>
  <c r="M286" i="3"/>
  <c r="N286" i="3" l="1"/>
  <c r="P286" i="3"/>
  <c r="AA286" i="3" s="1"/>
  <c r="Q286" i="3"/>
  <c r="Z286" i="3" l="1"/>
  <c r="Y286" i="3"/>
  <c r="X286" i="3"/>
  <c r="D287" i="39"/>
  <c r="J287" i="3"/>
  <c r="K287" i="3" s="1"/>
  <c r="V286" i="3"/>
  <c r="W286" i="3" s="1"/>
  <c r="O286" i="3"/>
  <c r="L287" i="3" l="1"/>
  <c r="R287" i="3" s="1"/>
  <c r="AC42" i="39"/>
  <c r="AD30" i="39"/>
  <c r="M287" i="3"/>
  <c r="N287" i="3" l="1"/>
  <c r="Q287" i="3"/>
  <c r="P287" i="3"/>
  <c r="AA287" i="3" s="1"/>
  <c r="Y287" i="3" l="1"/>
  <c r="Z287" i="3"/>
  <c r="J288" i="3"/>
  <c r="K288" i="3" s="1"/>
  <c r="D288" i="39"/>
  <c r="AD31" i="39" s="1"/>
  <c r="X287" i="3"/>
  <c r="V287" i="3"/>
  <c r="W287" i="3" s="1"/>
  <c r="O287" i="3"/>
  <c r="L288" i="3" l="1"/>
  <c r="R288" i="3" l="1"/>
  <c r="M288" i="3"/>
  <c r="P288" i="3" l="1"/>
  <c r="AA288" i="3" s="1"/>
  <c r="Q288" i="3"/>
  <c r="N288" i="3"/>
  <c r="X288" i="3" l="1"/>
  <c r="J289" i="3"/>
  <c r="K289" i="3" s="1"/>
  <c r="D289" i="39"/>
  <c r="AD32" i="39" s="1"/>
  <c r="V288" i="3"/>
  <c r="W288" i="3" s="1"/>
  <c r="O288" i="3"/>
  <c r="Z288" i="3"/>
  <c r="Y288" i="3"/>
  <c r="L289" i="3" l="1"/>
  <c r="R289" i="3" l="1"/>
  <c r="M289" i="3"/>
  <c r="Q289" i="3" l="1"/>
  <c r="P289" i="3"/>
  <c r="AA289" i="3" s="1"/>
  <c r="N289" i="3"/>
  <c r="D290" i="39" l="1"/>
  <c r="AD33" i="39" s="1"/>
  <c r="J290" i="3"/>
  <c r="K290" i="3" s="1"/>
  <c r="X289" i="3"/>
  <c r="V289" i="3"/>
  <c r="W289" i="3" s="1"/>
  <c r="O289" i="3"/>
  <c r="Z289" i="3"/>
  <c r="Y289" i="3"/>
  <c r="L290" i="3" l="1"/>
  <c r="R290" i="3" l="1"/>
  <c r="M290" i="3"/>
  <c r="N290" i="3" l="1"/>
  <c r="Q290" i="3"/>
  <c r="P290" i="3"/>
  <c r="AA290" i="3" s="1"/>
  <c r="Z290" i="3" l="1"/>
  <c r="Y290" i="3"/>
  <c r="X290" i="3"/>
  <c r="D291" i="39"/>
  <c r="AD34" i="39" s="1"/>
  <c r="J291" i="3"/>
  <c r="K291" i="3" s="1"/>
  <c r="V290" i="3"/>
  <c r="W290" i="3" s="1"/>
  <c r="O290" i="3"/>
  <c r="L291" i="3" l="1"/>
  <c r="R291" i="3" l="1"/>
  <c r="M291" i="3"/>
  <c r="N291" i="3" l="1"/>
  <c r="Q291" i="3"/>
  <c r="P291" i="3"/>
  <c r="AA291" i="3" s="1"/>
  <c r="Y291" i="3" l="1"/>
  <c r="Z291" i="3"/>
  <c r="X291" i="3"/>
  <c r="J292" i="3"/>
  <c r="K292" i="3" s="1"/>
  <c r="D292" i="39"/>
  <c r="AD35" i="39" s="1"/>
  <c r="V291" i="3"/>
  <c r="W291" i="3" s="1"/>
  <c r="O291" i="3"/>
  <c r="L292" i="3" l="1"/>
  <c r="R292" i="3" s="1"/>
  <c r="M292" i="3"/>
  <c r="Q292" i="3" l="1"/>
  <c r="N292" i="3"/>
  <c r="P292" i="3"/>
  <c r="AA292" i="3" s="1"/>
  <c r="J293" i="3" l="1"/>
  <c r="K293" i="3" s="1"/>
  <c r="X292" i="3"/>
  <c r="D293" i="39"/>
  <c r="AD36" i="39" s="1"/>
  <c r="V292" i="3"/>
  <c r="W292" i="3" s="1"/>
  <c r="O292" i="3"/>
  <c r="Z292" i="3"/>
  <c r="Y292" i="3"/>
  <c r="L293" i="3" l="1"/>
  <c r="R293" i="3" l="1"/>
  <c r="M293" i="3"/>
  <c r="Q293" i="3" l="1"/>
  <c r="N293" i="3"/>
  <c r="P293" i="3"/>
  <c r="AA293" i="3" s="1"/>
  <c r="D294" i="39" l="1"/>
  <c r="AD37" i="39" s="1"/>
  <c r="J294" i="3"/>
  <c r="K294" i="3" s="1"/>
  <c r="X293" i="3"/>
  <c r="V293" i="3"/>
  <c r="W293" i="3" s="1"/>
  <c r="O293" i="3"/>
  <c r="Z293" i="3"/>
  <c r="Y293" i="3"/>
  <c r="L294" i="3" l="1"/>
  <c r="R294" i="3" l="1"/>
  <c r="M294" i="3"/>
  <c r="N294" i="3" l="1"/>
  <c r="Q294" i="3"/>
  <c r="P294" i="3"/>
  <c r="AA294" i="3" s="1"/>
  <c r="Z294" i="3" l="1"/>
  <c r="Y294" i="3"/>
  <c r="X294" i="3"/>
  <c r="D295" i="39"/>
  <c r="AD38" i="39" s="1"/>
  <c r="J295" i="3"/>
  <c r="K295" i="3" s="1"/>
  <c r="V294" i="3"/>
  <c r="W294" i="3" s="1"/>
  <c r="O294" i="3"/>
  <c r="L295" i="3" l="1"/>
  <c r="R295" i="3" l="1"/>
  <c r="M295" i="3"/>
  <c r="P295" i="3" l="1"/>
  <c r="AA295" i="3" s="1"/>
  <c r="N295" i="3"/>
  <c r="Q295" i="3"/>
  <c r="Y295" i="3" l="1"/>
  <c r="Z295" i="3"/>
  <c r="J296" i="3"/>
  <c r="K296" i="3" s="1"/>
  <c r="X295" i="3"/>
  <c r="D296" i="39"/>
  <c r="AD39" i="39" s="1"/>
  <c r="V295" i="3"/>
  <c r="W295" i="3" s="1"/>
  <c r="O295" i="3"/>
  <c r="L296" i="3" l="1"/>
  <c r="R296" i="3" l="1"/>
  <c r="M296" i="3"/>
  <c r="N296" i="3" l="1"/>
  <c r="Q296" i="3"/>
  <c r="P296" i="3"/>
  <c r="AA296" i="3" s="1"/>
  <c r="Z296" i="3" l="1"/>
  <c r="Y296" i="3"/>
  <c r="X296" i="3"/>
  <c r="J297" i="3"/>
  <c r="K297" i="3" s="1"/>
  <c r="D297" i="39"/>
  <c r="AD40" i="39" s="1"/>
  <c r="V296" i="3"/>
  <c r="W296" i="3" s="1"/>
  <c r="O296" i="3"/>
  <c r="L297" i="3" l="1"/>
  <c r="R297" i="3" l="1"/>
  <c r="M297" i="3"/>
  <c r="N297" i="3" l="1"/>
  <c r="Q297" i="3"/>
  <c r="P297" i="3"/>
  <c r="AA297" i="3" s="1"/>
  <c r="Z297" i="3" l="1"/>
  <c r="Y297" i="3"/>
  <c r="X297" i="3"/>
  <c r="J298" i="3"/>
  <c r="K298" i="3" s="1"/>
  <c r="D298" i="39"/>
  <c r="AD41" i="39" s="1"/>
  <c r="V297" i="3"/>
  <c r="W297" i="3" s="1"/>
  <c r="O297" i="3"/>
  <c r="L298" i="3" l="1"/>
  <c r="R298" i="3" l="1"/>
  <c r="M298" i="3"/>
  <c r="N298" i="3" l="1"/>
  <c r="Q298" i="3"/>
  <c r="P298" i="3"/>
  <c r="AA298" i="3" s="1"/>
  <c r="Z298" i="3" l="1"/>
  <c r="Y298" i="3"/>
  <c r="D299" i="39"/>
  <c r="X298" i="3"/>
  <c r="J299" i="3"/>
  <c r="K299" i="3" s="1"/>
  <c r="V298" i="3"/>
  <c r="W298" i="3" s="1"/>
  <c r="O298" i="3"/>
  <c r="AE30" i="39" l="1"/>
  <c r="AD42" i="39"/>
  <c r="L299" i="3"/>
  <c r="R299" i="3" l="1"/>
  <c r="M299" i="3"/>
  <c r="P299" i="3" l="1"/>
  <c r="AA299" i="3" s="1"/>
  <c r="N299" i="3"/>
  <c r="Q299" i="3"/>
  <c r="Z299" i="3" l="1"/>
  <c r="Y299" i="3"/>
  <c r="D300" i="39"/>
  <c r="AE31" i="39" s="1"/>
  <c r="J300" i="3"/>
  <c r="K300" i="3" s="1"/>
  <c r="X299" i="3"/>
  <c r="V299" i="3"/>
  <c r="W299" i="3" s="1"/>
  <c r="O299" i="3"/>
  <c r="L300" i="3" l="1"/>
  <c r="R300" i="3" s="1"/>
  <c r="M300" i="3"/>
  <c r="P300" i="3" l="1"/>
  <c r="AA300" i="3" s="1"/>
  <c r="N300" i="3"/>
  <c r="Q300" i="3"/>
  <c r="Z300" i="3" l="1"/>
  <c r="Y300" i="3"/>
  <c r="D301" i="39"/>
  <c r="AE32" i="39" s="1"/>
  <c r="X300" i="3"/>
  <c r="J301" i="3"/>
  <c r="K301" i="3" s="1"/>
  <c r="V300" i="3"/>
  <c r="W300" i="3" s="1"/>
  <c r="O300" i="3"/>
  <c r="L301" i="3" l="1"/>
  <c r="R301" i="3" s="1"/>
  <c r="M301" i="3"/>
  <c r="P301" i="3" l="1"/>
  <c r="AA301" i="3" s="1"/>
  <c r="Q301" i="3"/>
  <c r="N301" i="3"/>
  <c r="D302" i="39" l="1"/>
  <c r="AE33" i="39" s="1"/>
  <c r="X301" i="3"/>
  <c r="J302" i="3"/>
  <c r="K302" i="3" s="1"/>
  <c r="V301" i="3"/>
  <c r="W301" i="3" s="1"/>
  <c r="O301" i="3"/>
  <c r="Z301" i="3"/>
  <c r="Y301" i="3"/>
  <c r="L302" i="3" l="1"/>
  <c r="R302" i="3" l="1"/>
  <c r="M302" i="3"/>
  <c r="Q302" i="3" l="1"/>
  <c r="P302" i="3"/>
  <c r="AA302" i="3" s="1"/>
  <c r="N302" i="3"/>
  <c r="D303" i="39" l="1"/>
  <c r="AE34" i="39" s="1"/>
  <c r="X302" i="3"/>
  <c r="J303" i="3"/>
  <c r="K303" i="3" s="1"/>
  <c r="V302" i="3"/>
  <c r="W302" i="3" s="1"/>
  <c r="O302" i="3"/>
  <c r="Z302" i="3"/>
  <c r="Y302" i="3"/>
  <c r="L303" i="3" l="1"/>
  <c r="R303" i="3" l="1"/>
  <c r="M303" i="3"/>
  <c r="Q303" i="3" l="1"/>
  <c r="P303" i="3"/>
  <c r="AA303" i="3" s="1"/>
  <c r="N303" i="3"/>
  <c r="D304" i="39" l="1"/>
  <c r="AE35" i="39" s="1"/>
  <c r="J304" i="3"/>
  <c r="K304" i="3" s="1"/>
  <c r="X303" i="3"/>
  <c r="V303" i="3"/>
  <c r="W303" i="3" s="1"/>
  <c r="O303" i="3"/>
  <c r="Z303" i="3"/>
  <c r="Y303" i="3"/>
  <c r="L304" i="3" l="1"/>
  <c r="R304" i="3" l="1"/>
  <c r="M304" i="3"/>
  <c r="N304" i="3" l="1"/>
  <c r="P304" i="3"/>
  <c r="AA304" i="3" s="1"/>
  <c r="Q304" i="3"/>
  <c r="Z304" i="3" l="1"/>
  <c r="Y304" i="3"/>
  <c r="J305" i="3"/>
  <c r="K305" i="3" s="1"/>
  <c r="X304" i="3"/>
  <c r="D305" i="39"/>
  <c r="AE36" i="39" s="1"/>
  <c r="V304" i="3"/>
  <c r="W304" i="3" s="1"/>
  <c r="O304" i="3"/>
  <c r="L305" i="3" l="1"/>
  <c r="R305" i="3" l="1"/>
  <c r="M305" i="3"/>
  <c r="N305" i="3" l="1"/>
  <c r="P305" i="3"/>
  <c r="AA305" i="3" s="1"/>
  <c r="Q305" i="3"/>
  <c r="Z305" i="3" l="1"/>
  <c r="Y305" i="3"/>
  <c r="X305" i="3"/>
  <c r="D306" i="39"/>
  <c r="AE37" i="39" s="1"/>
  <c r="J306" i="3"/>
  <c r="K306" i="3" s="1"/>
  <c r="L306" i="3" s="1"/>
  <c r="R306" i="3" s="1"/>
  <c r="V305" i="3"/>
  <c r="W305" i="3" s="1"/>
  <c r="O305" i="3"/>
  <c r="M306" i="3" l="1"/>
  <c r="N306" i="3" l="1"/>
  <c r="P306" i="3"/>
  <c r="AA306" i="3" s="1"/>
  <c r="Q306" i="3"/>
  <c r="Y306" i="3" l="1"/>
  <c r="Z306" i="3"/>
  <c r="X306" i="3"/>
  <c r="D307" i="39"/>
  <c r="AE38" i="39" s="1"/>
  <c r="J307" i="3"/>
  <c r="K307" i="3" s="1"/>
  <c r="V306" i="3"/>
  <c r="W306" i="3" s="1"/>
  <c r="O306" i="3"/>
  <c r="L307" i="3" l="1"/>
  <c r="R307" i="3" l="1"/>
  <c r="M307" i="3"/>
  <c r="Q307" i="3" l="1"/>
  <c r="N307" i="3"/>
  <c r="P307" i="3"/>
  <c r="AA307" i="3" s="1"/>
  <c r="X307" i="3" l="1"/>
  <c r="J308" i="3"/>
  <c r="K308" i="3" s="1"/>
  <c r="D308" i="39"/>
  <c r="AE39" i="39" s="1"/>
  <c r="V307" i="3"/>
  <c r="W307" i="3" s="1"/>
  <c r="O307" i="3"/>
  <c r="Z307" i="3"/>
  <c r="Y307" i="3"/>
  <c r="L308" i="3" l="1"/>
  <c r="R308" i="3" l="1"/>
  <c r="M308" i="3"/>
  <c r="N308" i="3" l="1"/>
  <c r="P308" i="3"/>
  <c r="AA308" i="3" s="1"/>
  <c r="Q308" i="3"/>
  <c r="Z308" i="3" l="1"/>
  <c r="Y308" i="3"/>
  <c r="J309" i="3"/>
  <c r="K309" i="3" s="1"/>
  <c r="X308" i="3"/>
  <c r="D309" i="39"/>
  <c r="AE40" i="39" s="1"/>
  <c r="V308" i="3"/>
  <c r="W308" i="3" s="1"/>
  <c r="O308" i="3"/>
  <c r="L309" i="3" l="1"/>
  <c r="R309" i="3" l="1"/>
  <c r="M309" i="3"/>
  <c r="P309" i="3" l="1"/>
  <c r="AA309" i="3" s="1"/>
  <c r="Q309" i="3"/>
  <c r="N309" i="3"/>
  <c r="J310" i="3" l="1"/>
  <c r="K310" i="3" s="1"/>
  <c r="D310" i="39"/>
  <c r="AE41" i="39" s="1"/>
  <c r="X309" i="3"/>
  <c r="V309" i="3"/>
  <c r="W309" i="3" s="1"/>
  <c r="O309" i="3"/>
  <c r="Z309" i="3"/>
  <c r="Y309" i="3"/>
  <c r="L310" i="3" l="1"/>
  <c r="R310" i="3" l="1"/>
  <c r="M310" i="3"/>
  <c r="N310" i="3" l="1"/>
  <c r="P310" i="3"/>
  <c r="AA310" i="3" s="1"/>
  <c r="Q310" i="3"/>
  <c r="Z310" i="3" l="1"/>
  <c r="Y310" i="3"/>
  <c r="X310" i="3"/>
  <c r="J311" i="3"/>
  <c r="K311" i="3" s="1"/>
  <c r="D311" i="39"/>
  <c r="V310" i="3"/>
  <c r="W310" i="3" s="1"/>
  <c r="O310" i="3"/>
  <c r="AE42" i="39" l="1"/>
  <c r="AF30" i="39"/>
  <c r="L311" i="3"/>
  <c r="R311" i="3" l="1"/>
  <c r="M311" i="3"/>
  <c r="N311" i="3" l="1"/>
  <c r="P311" i="3"/>
  <c r="AA311" i="3" s="1"/>
  <c r="Q311" i="3"/>
  <c r="Z311" i="3" l="1"/>
  <c r="Y311" i="3"/>
  <c r="J312" i="3"/>
  <c r="K312" i="3" s="1"/>
  <c r="X311" i="3"/>
  <c r="D312" i="39"/>
  <c r="AF31" i="39" s="1"/>
  <c r="V311" i="3"/>
  <c r="W311" i="3" s="1"/>
  <c r="O311" i="3"/>
  <c r="L312" i="3" l="1"/>
  <c r="R312" i="3" l="1"/>
  <c r="M312" i="3"/>
  <c r="N312" i="3" l="1"/>
  <c r="Q312" i="3"/>
  <c r="P312" i="3"/>
  <c r="AA312" i="3" s="1"/>
  <c r="Z312" i="3" l="1"/>
  <c r="Y312" i="3"/>
  <c r="D313" i="39"/>
  <c r="AF32" i="39" s="1"/>
  <c r="X312" i="3"/>
  <c r="J313" i="3"/>
  <c r="K313" i="3" s="1"/>
  <c r="L313" i="3" s="1"/>
  <c r="R313" i="3" s="1"/>
  <c r="V312" i="3"/>
  <c r="W312" i="3" s="1"/>
  <c r="O312" i="3"/>
  <c r="M313" i="3" l="1"/>
  <c r="P313" i="3" l="1"/>
  <c r="AA313" i="3" s="1"/>
  <c r="Q313" i="3"/>
  <c r="N313" i="3"/>
  <c r="D314" i="39" l="1"/>
  <c r="AF33" i="39" s="1"/>
  <c r="J314" i="3"/>
  <c r="K314" i="3" s="1"/>
  <c r="X313" i="3"/>
  <c r="V313" i="3"/>
  <c r="W313" i="3" s="1"/>
  <c r="O313" i="3"/>
  <c r="Y313" i="3"/>
  <c r="Z313" i="3"/>
  <c r="L314" i="3" l="1"/>
  <c r="R314" i="3" l="1"/>
  <c r="M314" i="3"/>
  <c r="N314" i="3" l="1"/>
  <c r="Q314" i="3"/>
  <c r="P314" i="3"/>
  <c r="AA314" i="3" s="1"/>
  <c r="Y314" i="3" l="1"/>
  <c r="Z314" i="3"/>
  <c r="X314" i="3"/>
  <c r="D315" i="39"/>
  <c r="AF34" i="39" s="1"/>
  <c r="J315" i="3"/>
  <c r="K315" i="3" s="1"/>
  <c r="V314" i="3"/>
  <c r="W314" i="3" s="1"/>
  <c r="O314" i="3"/>
  <c r="L315" i="3" l="1"/>
  <c r="R315" i="3" l="1"/>
  <c r="M315" i="3"/>
  <c r="N315" i="3" l="1"/>
  <c r="P315" i="3"/>
  <c r="AA315" i="3" s="1"/>
  <c r="Q315" i="3"/>
  <c r="Z315" i="3" l="1"/>
  <c r="Y315" i="3"/>
  <c r="D316" i="39"/>
  <c r="AF35" i="39" s="1"/>
  <c r="X315" i="3"/>
  <c r="J316" i="3"/>
  <c r="K316" i="3" s="1"/>
  <c r="V315" i="3"/>
  <c r="W315" i="3" s="1"/>
  <c r="O315" i="3"/>
  <c r="L316" i="3" l="1"/>
  <c r="R316" i="3" l="1"/>
  <c r="M316" i="3"/>
  <c r="P316" i="3" l="1"/>
  <c r="AA316" i="3" s="1"/>
  <c r="Q316" i="3"/>
  <c r="N316" i="3"/>
  <c r="X316" i="3" l="1"/>
  <c r="D317" i="39"/>
  <c r="AF36" i="39" s="1"/>
  <c r="J317" i="3"/>
  <c r="K317" i="3" s="1"/>
  <c r="V316" i="3"/>
  <c r="W316" i="3" s="1"/>
  <c r="O316" i="3"/>
  <c r="Z316" i="3"/>
  <c r="Y316" i="3"/>
  <c r="L317" i="3" l="1"/>
  <c r="R317" i="3" l="1"/>
  <c r="M317" i="3"/>
  <c r="Q317" i="3" l="1"/>
  <c r="P317" i="3"/>
  <c r="AA317" i="3" s="1"/>
  <c r="N317" i="3"/>
  <c r="J318" i="3" l="1"/>
  <c r="K318" i="3" s="1"/>
  <c r="D318" i="39"/>
  <c r="AF37" i="39" s="1"/>
  <c r="X317" i="3"/>
  <c r="V317" i="3"/>
  <c r="W317" i="3" s="1"/>
  <c r="O317" i="3"/>
  <c r="Z317" i="3"/>
  <c r="Y317" i="3"/>
  <c r="L318" i="3" l="1"/>
  <c r="R318" i="3" l="1"/>
  <c r="M318" i="3"/>
  <c r="N318" i="3" l="1"/>
  <c r="P318" i="3"/>
  <c r="AA318" i="3" s="1"/>
  <c r="Q318" i="3"/>
  <c r="Z318" i="3" l="1"/>
  <c r="Y318" i="3"/>
  <c r="J319" i="3"/>
  <c r="K319" i="3" s="1"/>
  <c r="D319" i="39"/>
  <c r="AF38" i="39" s="1"/>
  <c r="X318" i="3"/>
  <c r="V318" i="3"/>
  <c r="W318" i="3" s="1"/>
  <c r="O318" i="3"/>
  <c r="L319" i="3" l="1"/>
  <c r="R319" i="3" l="1"/>
  <c r="M319" i="3"/>
  <c r="N319" i="3" l="1"/>
  <c r="Q319" i="3"/>
  <c r="P319" i="3"/>
  <c r="AA319" i="3" s="1"/>
  <c r="Z319" i="3" l="1"/>
  <c r="Y319" i="3"/>
  <c r="D320" i="39"/>
  <c r="AF39" i="39" s="1"/>
  <c r="J320" i="3"/>
  <c r="K320" i="3" s="1"/>
  <c r="X319" i="3"/>
  <c r="V319" i="3"/>
  <c r="W319" i="3" s="1"/>
  <c r="O319" i="3"/>
  <c r="L320" i="3" l="1"/>
  <c r="R320" i="3" l="1"/>
  <c r="M320" i="3"/>
  <c r="N320" i="3" l="1"/>
  <c r="Q320" i="3"/>
  <c r="P320" i="3"/>
  <c r="AA320" i="3" s="1"/>
  <c r="Z320" i="3" l="1"/>
  <c r="Y320" i="3"/>
  <c r="D321" i="39"/>
  <c r="AF40" i="39" s="1"/>
  <c r="J321" i="3"/>
  <c r="K321" i="3" s="1"/>
  <c r="X320" i="3"/>
  <c r="V320" i="3"/>
  <c r="W320" i="3" s="1"/>
  <c r="O320" i="3"/>
  <c r="L321" i="3" l="1"/>
  <c r="R321" i="3" l="1"/>
  <c r="M321" i="3"/>
  <c r="N321" i="3" l="1"/>
  <c r="P321" i="3"/>
  <c r="AA321" i="3" s="1"/>
  <c r="Q321" i="3"/>
  <c r="Z321" i="3" l="1"/>
  <c r="Y321" i="3"/>
  <c r="J322" i="3"/>
  <c r="K322" i="3" s="1"/>
  <c r="X321" i="3"/>
  <c r="D322" i="39"/>
  <c r="AF41" i="39" s="1"/>
  <c r="V321" i="3"/>
  <c r="W321" i="3" s="1"/>
  <c r="O321" i="3"/>
  <c r="L322" i="3" l="1"/>
  <c r="R322" i="3" l="1"/>
  <c r="M322" i="3"/>
  <c r="N322" i="3" l="1"/>
  <c r="P322" i="3"/>
  <c r="AA322" i="3" s="1"/>
  <c r="Q322" i="3"/>
  <c r="Z322" i="3" l="1"/>
  <c r="Y322" i="3"/>
  <c r="J323" i="3"/>
  <c r="K323" i="3" s="1"/>
  <c r="D323" i="39"/>
  <c r="X322" i="3"/>
  <c r="V322" i="3"/>
  <c r="W322" i="3" s="1"/>
  <c r="O322" i="3"/>
  <c r="AF42" i="39" l="1"/>
  <c r="AG30" i="39"/>
  <c r="L323" i="3"/>
  <c r="R323" i="3" l="1"/>
  <c r="M323" i="3"/>
  <c r="N323" i="3" l="1"/>
  <c r="P323" i="3"/>
  <c r="AA323" i="3" s="1"/>
  <c r="Q323" i="3"/>
  <c r="Y323" i="3" l="1"/>
  <c r="Z323" i="3"/>
  <c r="J324" i="3"/>
  <c r="K324" i="3" s="1"/>
  <c r="D324" i="39"/>
  <c r="AG31" i="39" s="1"/>
  <c r="X323" i="3"/>
  <c r="V323" i="3"/>
  <c r="W323" i="3" s="1"/>
  <c r="O323" i="3"/>
  <c r="L324" i="3" l="1"/>
  <c r="R324" i="3" l="1"/>
  <c r="M324" i="3"/>
  <c r="Q324" i="3" l="1"/>
  <c r="N324" i="3"/>
  <c r="P324" i="3"/>
  <c r="AA324" i="3" s="1"/>
  <c r="J325" i="3" l="1"/>
  <c r="K325" i="3" s="1"/>
  <c r="D325" i="39"/>
  <c r="AG32" i="39" s="1"/>
  <c r="X324" i="3"/>
  <c r="V324" i="3"/>
  <c r="W324" i="3" s="1"/>
  <c r="O324" i="3"/>
  <c r="Z324" i="3"/>
  <c r="Y324" i="3"/>
  <c r="L325" i="3" l="1"/>
  <c r="R325" i="3" l="1"/>
  <c r="M325" i="3"/>
  <c r="N325" i="3" l="1"/>
  <c r="Q325" i="3"/>
  <c r="P325" i="3"/>
  <c r="AA325" i="3" s="1"/>
  <c r="Z325" i="3" l="1"/>
  <c r="Y325" i="3"/>
  <c r="X325" i="3"/>
  <c r="J326" i="3"/>
  <c r="K326" i="3" s="1"/>
  <c r="D326" i="39"/>
  <c r="AG33" i="39" s="1"/>
  <c r="V325" i="3"/>
  <c r="W325" i="3" s="1"/>
  <c r="O325" i="3"/>
  <c r="L326" i="3" l="1"/>
  <c r="R326" i="3" l="1"/>
  <c r="M326" i="3"/>
  <c r="N326" i="3" l="1"/>
  <c r="P326" i="3"/>
  <c r="AA326" i="3" s="1"/>
  <c r="Q326" i="3"/>
  <c r="Z326" i="3" l="1"/>
  <c r="Y326" i="3"/>
  <c r="D327" i="39"/>
  <c r="AG34" i="39" s="1"/>
  <c r="J327" i="3"/>
  <c r="K327" i="3" s="1"/>
  <c r="X326" i="3"/>
  <c r="V326" i="3"/>
  <c r="W326" i="3" s="1"/>
  <c r="O326" i="3"/>
  <c r="L327" i="3" l="1"/>
  <c r="R327" i="3" l="1"/>
  <c r="M327" i="3"/>
  <c r="Q327" i="3" l="1"/>
  <c r="N327" i="3"/>
  <c r="P327" i="3"/>
  <c r="AA327" i="3" s="1"/>
  <c r="J328" i="3" l="1"/>
  <c r="K328" i="3" s="1"/>
  <c r="D328" i="39"/>
  <c r="AG35" i="39" s="1"/>
  <c r="X327" i="3"/>
  <c r="V327" i="3"/>
  <c r="W327" i="3" s="1"/>
  <c r="O327" i="3"/>
  <c r="Z327" i="3"/>
  <c r="Y327" i="3"/>
  <c r="L328" i="3" l="1"/>
  <c r="R328" i="3" l="1"/>
  <c r="M328" i="3"/>
  <c r="P328" i="3" l="1"/>
  <c r="AA328" i="3" s="1"/>
  <c r="Q328" i="3"/>
  <c r="N328" i="3"/>
  <c r="J329" i="3" l="1"/>
  <c r="K329" i="3" s="1"/>
  <c r="X328" i="3"/>
  <c r="D329" i="39"/>
  <c r="AG36" i="39" s="1"/>
  <c r="V328" i="3"/>
  <c r="W328" i="3" s="1"/>
  <c r="O328" i="3"/>
  <c r="Y328" i="3"/>
  <c r="Z328" i="3"/>
  <c r="L329" i="3" l="1"/>
  <c r="R329" i="3" l="1"/>
  <c r="M329" i="3"/>
  <c r="Q329" i="3" l="1"/>
  <c r="P329" i="3"/>
  <c r="AA329" i="3" s="1"/>
  <c r="N329" i="3"/>
  <c r="J330" i="3" l="1"/>
  <c r="K330" i="3" s="1"/>
  <c r="D330" i="39"/>
  <c r="AG37" i="39" s="1"/>
  <c r="X329" i="3"/>
  <c r="V329" i="3"/>
  <c r="W329" i="3" s="1"/>
  <c r="O329" i="3"/>
  <c r="Z329" i="3"/>
  <c r="Y329" i="3"/>
  <c r="L330" i="3" l="1"/>
  <c r="R330" i="3" l="1"/>
  <c r="M330" i="3"/>
  <c r="N330" i="3" l="1"/>
  <c r="Q330" i="3"/>
  <c r="P330" i="3"/>
  <c r="AA330" i="3" s="1"/>
  <c r="Z330" i="3" l="1"/>
  <c r="Y330" i="3"/>
  <c r="J331" i="3"/>
  <c r="K331" i="3" s="1"/>
  <c r="X330" i="3"/>
  <c r="D331" i="39"/>
  <c r="AG38" i="39" s="1"/>
  <c r="V330" i="3"/>
  <c r="W330" i="3" s="1"/>
  <c r="O330" i="3"/>
  <c r="L331" i="3" l="1"/>
  <c r="R331" i="3" l="1"/>
  <c r="M331" i="3"/>
  <c r="N331" i="3" l="1"/>
  <c r="P331" i="3"/>
  <c r="AA331" i="3" s="1"/>
  <c r="Q331" i="3"/>
  <c r="Z331" i="3" l="1"/>
  <c r="Y331" i="3"/>
  <c r="X331" i="3"/>
  <c r="J332" i="3"/>
  <c r="K332" i="3" s="1"/>
  <c r="D332" i="39"/>
  <c r="AG39" i="39" s="1"/>
  <c r="V331" i="3"/>
  <c r="W331" i="3" s="1"/>
  <c r="O331" i="3"/>
  <c r="L332" i="3" l="1"/>
  <c r="R332" i="3" l="1"/>
  <c r="M332" i="3"/>
  <c r="Q332" i="3" l="1"/>
  <c r="P332" i="3"/>
  <c r="AA332" i="3" s="1"/>
  <c r="N332" i="3"/>
  <c r="D333" i="39" l="1"/>
  <c r="AG40" i="39" s="1"/>
  <c r="X332" i="3"/>
  <c r="J333" i="3"/>
  <c r="K333" i="3" s="1"/>
  <c r="V332" i="3"/>
  <c r="W332" i="3" s="1"/>
  <c r="O332" i="3"/>
  <c r="Z332" i="3"/>
  <c r="Y332" i="3"/>
  <c r="L333" i="3" l="1"/>
  <c r="R333" i="3" l="1"/>
  <c r="M333" i="3"/>
  <c r="P333" i="3" l="1"/>
  <c r="AA333" i="3" s="1"/>
  <c r="Q333" i="3"/>
  <c r="N333" i="3"/>
  <c r="X333" i="3" l="1"/>
  <c r="J334" i="3"/>
  <c r="K334" i="3" s="1"/>
  <c r="D334" i="39"/>
  <c r="AG41" i="39" s="1"/>
  <c r="V333" i="3"/>
  <c r="W333" i="3" s="1"/>
  <c r="O333" i="3"/>
  <c r="Z333" i="3"/>
  <c r="Y333" i="3"/>
  <c r="L334" i="3" l="1"/>
  <c r="R334" i="3" l="1"/>
  <c r="M334" i="3"/>
  <c r="N334" i="3" l="1"/>
  <c r="Q334" i="3"/>
  <c r="P334" i="3"/>
  <c r="AA334" i="3" s="1"/>
  <c r="Z334" i="3" l="1"/>
  <c r="Y334" i="3"/>
  <c r="J335" i="3"/>
  <c r="K335" i="3" s="1"/>
  <c r="X334" i="3"/>
  <c r="D335" i="39"/>
  <c r="V334" i="3"/>
  <c r="W334" i="3" s="1"/>
  <c r="O334" i="3"/>
  <c r="AG42" i="39" l="1"/>
  <c r="AH30" i="39"/>
  <c r="L335" i="3"/>
  <c r="R335" i="3" l="1"/>
  <c r="M335" i="3"/>
  <c r="Q335" i="3" l="1"/>
  <c r="N335" i="3"/>
  <c r="P335" i="3"/>
  <c r="AA335" i="3" s="1"/>
  <c r="X335" i="3" l="1"/>
  <c r="J336" i="3"/>
  <c r="K336" i="3" s="1"/>
  <c r="D336" i="39"/>
  <c r="AH31" i="39" s="1"/>
  <c r="V335" i="3"/>
  <c r="W335" i="3" s="1"/>
  <c r="O335" i="3"/>
  <c r="Z335" i="3"/>
  <c r="Y335" i="3"/>
  <c r="L336" i="3" l="1"/>
  <c r="R336" i="3" l="1"/>
  <c r="M336" i="3"/>
  <c r="P336" i="3" l="1"/>
  <c r="AA336" i="3" s="1"/>
  <c r="Q336" i="3"/>
  <c r="N336" i="3"/>
  <c r="J337" i="3" l="1"/>
  <c r="K337" i="3" s="1"/>
  <c r="X336" i="3"/>
  <c r="D337" i="39"/>
  <c r="AH32" i="39" s="1"/>
  <c r="V336" i="3"/>
  <c r="W336" i="3" s="1"/>
  <c r="O336" i="3"/>
  <c r="Y336" i="3"/>
  <c r="Z336" i="3"/>
  <c r="L337" i="3" l="1"/>
  <c r="R337" i="3" l="1"/>
  <c r="M337" i="3"/>
  <c r="N337" i="3" l="1"/>
  <c r="Q337" i="3"/>
  <c r="P337" i="3"/>
  <c r="AA337" i="3" s="1"/>
  <c r="Z337" i="3" l="1"/>
  <c r="Y337" i="3"/>
  <c r="X337" i="3"/>
  <c r="D338" i="39"/>
  <c r="AH33" i="39" s="1"/>
  <c r="J338" i="3"/>
  <c r="K338" i="3" s="1"/>
  <c r="V337" i="3"/>
  <c r="W337" i="3" s="1"/>
  <c r="O337" i="3"/>
  <c r="L338" i="3" l="1"/>
  <c r="R338" i="3" l="1"/>
  <c r="M338" i="3"/>
  <c r="N338" i="3" l="1"/>
  <c r="P338" i="3"/>
  <c r="AA338" i="3" s="1"/>
  <c r="Q338" i="3"/>
  <c r="Y338" i="3" l="1"/>
  <c r="Z338" i="3"/>
  <c r="J339" i="3"/>
  <c r="K339" i="3" s="1"/>
  <c r="X338" i="3"/>
  <c r="D339" i="39"/>
  <c r="AH34" i="39" s="1"/>
  <c r="V338" i="3"/>
  <c r="W338" i="3" s="1"/>
  <c r="O338" i="3"/>
  <c r="L339" i="3" l="1"/>
  <c r="R339" i="3" l="1"/>
  <c r="M339" i="3"/>
  <c r="N339" i="3" l="1"/>
  <c r="Q339" i="3"/>
  <c r="P339" i="3"/>
  <c r="AA339" i="3" s="1"/>
  <c r="Z339" i="3" l="1"/>
  <c r="Y339" i="3"/>
  <c r="J340" i="3"/>
  <c r="K340" i="3" s="1"/>
  <c r="X339" i="3"/>
  <c r="D340" i="39"/>
  <c r="AH35" i="39" s="1"/>
  <c r="V339" i="3"/>
  <c r="W339" i="3" s="1"/>
  <c r="O339" i="3"/>
  <c r="L340" i="3" l="1"/>
  <c r="R340" i="3" l="1"/>
  <c r="M340" i="3"/>
  <c r="P340" i="3" l="1"/>
  <c r="AA340" i="3" s="1"/>
  <c r="N340" i="3"/>
  <c r="Q340" i="3"/>
  <c r="Z340" i="3" l="1"/>
  <c r="Y340" i="3"/>
  <c r="D341" i="39"/>
  <c r="AH36" i="39" s="1"/>
  <c r="X340" i="3"/>
  <c r="J341" i="3"/>
  <c r="K341" i="3" s="1"/>
  <c r="V340" i="3"/>
  <c r="W340" i="3" s="1"/>
  <c r="O340" i="3"/>
  <c r="L341" i="3" l="1"/>
  <c r="R341" i="3" s="1"/>
  <c r="M341" i="3"/>
  <c r="P341" i="3" l="1"/>
  <c r="AA341" i="3" s="1"/>
  <c r="N341" i="3"/>
  <c r="Q341" i="3"/>
  <c r="Z341" i="3" l="1"/>
  <c r="Y341" i="3"/>
  <c r="X341" i="3"/>
  <c r="J342" i="3"/>
  <c r="K342" i="3" s="1"/>
  <c r="D342" i="39"/>
  <c r="AH37" i="39" s="1"/>
  <c r="V341" i="3"/>
  <c r="W341" i="3" s="1"/>
  <c r="O341" i="3"/>
  <c r="L342" i="3" l="1"/>
  <c r="R342" i="3" l="1"/>
  <c r="M342" i="3"/>
  <c r="N342" i="3" l="1"/>
  <c r="P342" i="3"/>
  <c r="AA342" i="3" s="1"/>
  <c r="Q342" i="3"/>
  <c r="Z342" i="3" l="1"/>
  <c r="Y342" i="3"/>
  <c r="J343" i="3"/>
  <c r="K343" i="3" s="1"/>
  <c r="X342" i="3"/>
  <c r="D343" i="39"/>
  <c r="AH38" i="39" s="1"/>
  <c r="V342" i="3"/>
  <c r="W342" i="3" s="1"/>
  <c r="O342" i="3"/>
  <c r="L343" i="3" l="1"/>
  <c r="R343" i="3" l="1"/>
  <c r="M343" i="3"/>
  <c r="P343" i="3" l="1"/>
  <c r="AA343" i="3" s="1"/>
  <c r="Q343" i="3"/>
  <c r="N343" i="3"/>
  <c r="X343" i="3" l="1"/>
  <c r="D344" i="39"/>
  <c r="AH39" i="39" s="1"/>
  <c r="J344" i="3"/>
  <c r="K344" i="3" s="1"/>
  <c r="V343" i="3"/>
  <c r="W343" i="3" s="1"/>
  <c r="O343" i="3"/>
  <c r="Z343" i="3"/>
  <c r="Y343" i="3"/>
  <c r="L344" i="3" l="1"/>
  <c r="R344" i="3" l="1"/>
  <c r="M344" i="3"/>
  <c r="Q344" i="3" l="1"/>
  <c r="N344" i="3"/>
  <c r="P344" i="3"/>
  <c r="AA344" i="3" s="1"/>
  <c r="J345" i="3" l="1"/>
  <c r="K345" i="3" s="1"/>
  <c r="X344" i="3"/>
  <c r="D345" i="39"/>
  <c r="AH40" i="39" s="1"/>
  <c r="V344" i="3"/>
  <c r="W344" i="3" s="1"/>
  <c r="O344" i="3"/>
  <c r="Z344" i="3"/>
  <c r="Y344" i="3"/>
  <c r="L345" i="3" l="1"/>
  <c r="R345" i="3" l="1"/>
  <c r="M345" i="3"/>
  <c r="N345" i="3" l="1"/>
  <c r="P345" i="3"/>
  <c r="AA345" i="3" s="1"/>
  <c r="Q345" i="3"/>
  <c r="Z345" i="3" l="1"/>
  <c r="Y345" i="3"/>
  <c r="X345" i="3"/>
  <c r="J346" i="3"/>
  <c r="K346" i="3" s="1"/>
  <c r="D346" i="39"/>
  <c r="AH41" i="39" s="1"/>
  <c r="V345" i="3"/>
  <c r="W345" i="3" s="1"/>
  <c r="O345" i="3"/>
  <c r="L346" i="3" l="1"/>
  <c r="R346" i="3" s="1"/>
  <c r="M346" i="3"/>
  <c r="Q346" i="3" l="1"/>
  <c r="N346" i="3"/>
  <c r="P346" i="3"/>
  <c r="AA346" i="3" s="1"/>
  <c r="X346" i="3" l="1"/>
  <c r="J347" i="3"/>
  <c r="K347" i="3" s="1"/>
  <c r="D347" i="39"/>
  <c r="V346" i="3"/>
  <c r="W346" i="3" s="1"/>
  <c r="O346" i="3"/>
  <c r="Z346" i="3"/>
  <c r="Y346" i="3"/>
  <c r="AI30" i="39" l="1"/>
  <c r="AH42" i="39"/>
  <c r="L347" i="3"/>
  <c r="R347" i="3" l="1"/>
  <c r="M347" i="3"/>
  <c r="N347" i="3" l="1"/>
  <c r="Q347" i="3"/>
  <c r="P347" i="3"/>
  <c r="AA347" i="3" s="1"/>
  <c r="Z347" i="3" l="1"/>
  <c r="Y347" i="3"/>
  <c r="X347" i="3"/>
  <c r="J348" i="3"/>
  <c r="K348" i="3" s="1"/>
  <c r="D348" i="39"/>
  <c r="AI31" i="39" s="1"/>
  <c r="V347" i="3"/>
  <c r="W347" i="3" s="1"/>
  <c r="O347" i="3"/>
  <c r="L348" i="3" l="1"/>
  <c r="R348" i="3" l="1"/>
  <c r="M348" i="3"/>
  <c r="N348" i="3" l="1"/>
  <c r="Q348" i="3"/>
  <c r="P348" i="3"/>
  <c r="AA348" i="3" s="1"/>
  <c r="Z348" i="3" l="1"/>
  <c r="Y348" i="3"/>
  <c r="J349" i="3"/>
  <c r="K349" i="3" s="1"/>
  <c r="D349" i="39"/>
  <c r="AI32" i="39" s="1"/>
  <c r="X348" i="3"/>
  <c r="V348" i="3"/>
  <c r="W348" i="3" s="1"/>
  <c r="O348" i="3"/>
  <c r="L349" i="3" l="1"/>
  <c r="R349" i="3" l="1"/>
  <c r="M349" i="3"/>
  <c r="N349" i="3" l="1"/>
  <c r="P349" i="3"/>
  <c r="AA349" i="3" s="1"/>
  <c r="Q349" i="3"/>
  <c r="Z349" i="3" l="1"/>
  <c r="Y349" i="3"/>
  <c r="X349" i="3"/>
  <c r="J350" i="3"/>
  <c r="K350" i="3" s="1"/>
  <c r="D350" i="39"/>
  <c r="AI33" i="39" s="1"/>
  <c r="V349" i="3"/>
  <c r="W349" i="3" s="1"/>
  <c r="O349" i="3"/>
  <c r="L350" i="3" l="1"/>
  <c r="R350" i="3" l="1"/>
  <c r="M350" i="3"/>
  <c r="Q350" i="3" l="1"/>
  <c r="N350" i="3"/>
  <c r="P350" i="3"/>
  <c r="AA350" i="3" s="1"/>
  <c r="D351" i="39" l="1"/>
  <c r="AI34" i="39" s="1"/>
  <c r="J351" i="3"/>
  <c r="K351" i="3" s="1"/>
  <c r="X350" i="3"/>
  <c r="V350" i="3"/>
  <c r="W350" i="3" s="1"/>
  <c r="O350" i="3"/>
  <c r="Z350" i="3"/>
  <c r="Y350" i="3"/>
  <c r="L351" i="3" l="1"/>
  <c r="R351" i="3" l="1"/>
  <c r="M351" i="3"/>
  <c r="P351" i="3" l="1"/>
  <c r="AA351" i="3" s="1"/>
  <c r="Q351" i="3"/>
  <c r="N351" i="3"/>
  <c r="X351" i="3" l="1"/>
  <c r="D352" i="39"/>
  <c r="AI35" i="39" s="1"/>
  <c r="J352" i="3"/>
  <c r="K352" i="3" s="1"/>
  <c r="V351" i="3"/>
  <c r="W351" i="3" s="1"/>
  <c r="O351" i="3"/>
  <c r="Z351" i="3"/>
  <c r="Y351" i="3"/>
  <c r="L352" i="3" l="1"/>
  <c r="R352" i="3" l="1"/>
  <c r="M352" i="3"/>
  <c r="P352" i="3" l="1"/>
  <c r="AA352" i="3" s="1"/>
  <c r="N352" i="3"/>
  <c r="Q352" i="3"/>
  <c r="Y352" i="3" l="1"/>
  <c r="Z352" i="3"/>
  <c r="X352" i="3"/>
  <c r="D353" i="39"/>
  <c r="AI36" i="39" s="1"/>
  <c r="J353" i="3"/>
  <c r="K353" i="3" s="1"/>
  <c r="V352" i="3"/>
  <c r="W352" i="3" s="1"/>
  <c r="O352" i="3"/>
  <c r="L353" i="3" l="1"/>
  <c r="R353" i="3" l="1"/>
  <c r="M353" i="3"/>
  <c r="N353" i="3" l="1"/>
  <c r="P353" i="3"/>
  <c r="AA353" i="3" s="1"/>
  <c r="Q353" i="3"/>
  <c r="Z353" i="3" l="1"/>
  <c r="Y353" i="3"/>
  <c r="J354" i="3"/>
  <c r="K354" i="3" s="1"/>
  <c r="X353" i="3"/>
  <c r="D354" i="39"/>
  <c r="AI37" i="39" s="1"/>
  <c r="V353" i="3"/>
  <c r="W353" i="3" s="1"/>
  <c r="O353" i="3"/>
  <c r="L354" i="3" l="1"/>
  <c r="R354" i="3" l="1"/>
  <c r="M354" i="3"/>
  <c r="N354" i="3" l="1"/>
  <c r="Q354" i="3"/>
  <c r="P354" i="3"/>
  <c r="AA354" i="3" s="1"/>
  <c r="Z354" i="3" l="1"/>
  <c r="Y354" i="3"/>
  <c r="J355" i="3"/>
  <c r="K355" i="3" s="1"/>
  <c r="D355" i="39"/>
  <c r="AI38" i="39" s="1"/>
  <c r="X354" i="3"/>
  <c r="V354" i="3"/>
  <c r="W354" i="3" s="1"/>
  <c r="O354" i="3"/>
  <c r="L355" i="3" l="1"/>
  <c r="R355" i="3" l="1"/>
  <c r="M355" i="3"/>
  <c r="N355" i="3" l="1"/>
  <c r="P355" i="3"/>
  <c r="AA355" i="3" s="1"/>
  <c r="Q355" i="3"/>
  <c r="Z355" i="3" l="1"/>
  <c r="Y355" i="3"/>
  <c r="D356" i="39"/>
  <c r="AI39" i="39" s="1"/>
  <c r="J356" i="3"/>
  <c r="K356" i="3" s="1"/>
  <c r="X355" i="3"/>
  <c r="V355" i="3"/>
  <c r="W355" i="3" s="1"/>
  <c r="O355" i="3"/>
  <c r="L356" i="3" l="1"/>
  <c r="R356" i="3" l="1"/>
  <c r="M356" i="3"/>
  <c r="Q356" i="3" l="1"/>
  <c r="P356" i="3"/>
  <c r="AA356" i="3" s="1"/>
  <c r="N356" i="3"/>
  <c r="J357" i="3" l="1"/>
  <c r="K357" i="3" s="1"/>
  <c r="D357" i="39"/>
  <c r="AI40" i="39" s="1"/>
  <c r="X356" i="3"/>
  <c r="V356" i="3"/>
  <c r="W356" i="3" s="1"/>
  <c r="O356" i="3"/>
  <c r="Z356" i="3"/>
  <c r="Y356" i="3"/>
  <c r="L357" i="3" l="1"/>
  <c r="R357" i="3" l="1"/>
  <c r="M357" i="3"/>
  <c r="N357" i="3" l="1"/>
  <c r="P357" i="3"/>
  <c r="AA357" i="3" s="1"/>
  <c r="Q357" i="3"/>
  <c r="Z357" i="3" l="1"/>
  <c r="Y357" i="3"/>
  <c r="J358" i="3"/>
  <c r="K358" i="3" s="1"/>
  <c r="D358" i="39"/>
  <c r="AI41" i="39" s="1"/>
  <c r="X357" i="3"/>
  <c r="V357" i="3"/>
  <c r="W357" i="3" s="1"/>
  <c r="O357" i="3"/>
  <c r="L358" i="3" l="1"/>
  <c r="R358" i="3" l="1"/>
  <c r="M358" i="3"/>
  <c r="Q358" i="3" l="1"/>
  <c r="N358" i="3"/>
  <c r="P358" i="3"/>
  <c r="AA358" i="3" s="1"/>
  <c r="D359" i="39" l="1"/>
  <c r="X358" i="3"/>
  <c r="J359" i="3"/>
  <c r="K359" i="3" s="1"/>
  <c r="V358" i="3"/>
  <c r="W358" i="3" s="1"/>
  <c r="O358" i="3"/>
  <c r="Z358" i="3"/>
  <c r="Y358" i="3"/>
  <c r="L359" i="3" l="1"/>
  <c r="AJ30" i="39"/>
  <c r="AI42" i="39"/>
  <c r="R359" i="3" l="1"/>
  <c r="M359" i="3"/>
  <c r="N359" i="3" l="1"/>
  <c r="Q359" i="3"/>
  <c r="P359" i="3"/>
  <c r="AA359" i="3" s="1"/>
  <c r="Z359" i="3" l="1"/>
  <c r="Y359" i="3"/>
  <c r="J360" i="3"/>
  <c r="K360" i="3" s="1"/>
  <c r="X359" i="3"/>
  <c r="D360" i="39"/>
  <c r="AJ31" i="39" s="1"/>
  <c r="V359" i="3"/>
  <c r="W359" i="3" s="1"/>
  <c r="O359" i="3"/>
  <c r="L360" i="3" l="1"/>
  <c r="R360" i="3" l="1"/>
  <c r="M360" i="3"/>
  <c r="P360" i="3" l="1"/>
  <c r="AA360" i="3" s="1"/>
  <c r="Q360" i="3"/>
  <c r="N360" i="3"/>
  <c r="X360" i="3" l="1"/>
  <c r="D361" i="39"/>
  <c r="AJ32" i="39" s="1"/>
  <c r="J361" i="3"/>
  <c r="K361" i="3" s="1"/>
  <c r="V360" i="3"/>
  <c r="W360" i="3" s="1"/>
  <c r="O360" i="3"/>
  <c r="Z360" i="3"/>
  <c r="Y360" i="3"/>
  <c r="L361" i="3" l="1"/>
  <c r="R361" i="3" l="1"/>
  <c r="M361" i="3"/>
  <c r="N361" i="3" l="1"/>
  <c r="P361" i="3"/>
  <c r="AA361" i="3" s="1"/>
  <c r="Q361" i="3"/>
  <c r="Y361" i="3" l="1"/>
  <c r="Z361" i="3"/>
  <c r="D362" i="39"/>
  <c r="AJ33" i="39" s="1"/>
  <c r="J362" i="3"/>
  <c r="K362" i="3" s="1"/>
  <c r="X361" i="3"/>
  <c r="V361" i="3"/>
  <c r="W361" i="3" s="1"/>
  <c r="O361" i="3"/>
  <c r="L362" i="3" l="1"/>
  <c r="R362" i="3" s="1"/>
  <c r="M362" i="3"/>
  <c r="N362" i="3" l="1"/>
  <c r="Q362" i="3"/>
  <c r="P362" i="3"/>
  <c r="AA362" i="3" s="1"/>
  <c r="Z362" i="3" l="1"/>
  <c r="Y362" i="3"/>
  <c r="J363" i="3"/>
  <c r="K363" i="3" s="1"/>
  <c r="X362" i="3"/>
  <c r="D363" i="39"/>
  <c r="AJ34" i="39" s="1"/>
  <c r="V362" i="3"/>
  <c r="W362" i="3" s="1"/>
  <c r="O362" i="3"/>
  <c r="L363" i="3" l="1"/>
  <c r="R363" i="3" l="1"/>
  <c r="M363" i="3"/>
  <c r="N363" i="3" l="1"/>
  <c r="Q363" i="3"/>
  <c r="P363" i="3"/>
  <c r="AA363" i="3" s="1"/>
  <c r="Y363" i="3" l="1"/>
  <c r="Z363" i="3"/>
  <c r="J364" i="3"/>
  <c r="K364" i="3" s="1"/>
  <c r="D364" i="39"/>
  <c r="AJ35" i="39" s="1"/>
  <c r="X363" i="3"/>
  <c r="V363" i="3"/>
  <c r="W363" i="3" s="1"/>
  <c r="O363" i="3"/>
  <c r="L364" i="3" l="1"/>
  <c r="R364" i="3" l="1"/>
  <c r="M364" i="3"/>
  <c r="P364" i="3" l="1"/>
  <c r="AA364" i="3" s="1"/>
  <c r="Q364" i="3"/>
  <c r="N364" i="3"/>
  <c r="D365" i="39" l="1"/>
  <c r="AJ36" i="39" s="1"/>
  <c r="X364" i="3"/>
  <c r="J365" i="3"/>
  <c r="K365" i="3" s="1"/>
  <c r="V364" i="3"/>
  <c r="W364" i="3" s="1"/>
  <c r="O364" i="3"/>
  <c r="Z364" i="3"/>
  <c r="Y364" i="3"/>
  <c r="L365" i="3" l="1"/>
  <c r="R365" i="3" l="1"/>
  <c r="M365" i="3"/>
  <c r="P365" i="3" l="1"/>
  <c r="AA365" i="3" s="1"/>
  <c r="N365" i="3"/>
  <c r="Q365" i="3"/>
  <c r="Z365" i="3" l="1"/>
  <c r="Y365" i="3"/>
  <c r="D366" i="39"/>
  <c r="AJ37" i="39" s="1"/>
  <c r="J366" i="3"/>
  <c r="K366" i="3" s="1"/>
  <c r="X365" i="3"/>
  <c r="V365" i="3"/>
  <c r="W365" i="3" s="1"/>
  <c r="O365" i="3"/>
  <c r="L366" i="3" l="1"/>
  <c r="R366" i="3" l="1"/>
  <c r="M366" i="3"/>
  <c r="Q366" i="3" l="1"/>
  <c r="N366" i="3"/>
  <c r="P366" i="3"/>
  <c r="AA366" i="3" s="1"/>
  <c r="J367" i="3" l="1"/>
  <c r="K367" i="3" s="1"/>
  <c r="X366" i="3"/>
  <c r="D367" i="39"/>
  <c r="AJ38" i="39" s="1"/>
  <c r="V366" i="3"/>
  <c r="W366" i="3" s="1"/>
  <c r="O366" i="3"/>
  <c r="Z366" i="3"/>
  <c r="Y366" i="3"/>
  <c r="L367" i="3" l="1"/>
  <c r="R367" i="3" l="1"/>
  <c r="M367" i="3"/>
  <c r="Q367" i="3" l="1"/>
  <c r="P367" i="3"/>
  <c r="AA367" i="3" s="1"/>
  <c r="N367" i="3"/>
  <c r="X367" i="3" l="1"/>
  <c r="J368" i="3"/>
  <c r="K368" i="3" s="1"/>
  <c r="D368" i="39"/>
  <c r="AJ39" i="39" s="1"/>
  <c r="V367" i="3"/>
  <c r="W367" i="3" s="1"/>
  <c r="O367" i="3"/>
  <c r="Z367" i="3"/>
  <c r="Y367" i="3"/>
  <c r="Z4" i="3"/>
  <c r="L368" i="3" l="1"/>
  <c r="R368" i="3" l="1"/>
  <c r="M368" i="3"/>
  <c r="N368" i="3" l="1"/>
  <c r="Q368" i="3"/>
  <c r="P368" i="3"/>
  <c r="AA368" i="3" s="1"/>
  <c r="Z368" i="3" l="1"/>
  <c r="Y368" i="3"/>
  <c r="D369" i="39"/>
  <c r="AJ40" i="39" s="1"/>
  <c r="X368" i="3"/>
  <c r="J369" i="3"/>
  <c r="K369" i="3" s="1"/>
  <c r="V368" i="3"/>
  <c r="W368" i="3" s="1"/>
  <c r="O368" i="3"/>
  <c r="L369" i="3" l="1"/>
  <c r="R369" i="3" l="1"/>
  <c r="M369" i="3"/>
  <c r="Q369" i="3" l="1"/>
  <c r="P369" i="3"/>
  <c r="AA369" i="3" s="1"/>
  <c r="N369" i="3"/>
  <c r="D370" i="39" l="1"/>
  <c r="AJ41" i="39" s="1"/>
  <c r="J370" i="3"/>
  <c r="K370" i="3" s="1"/>
  <c r="X369" i="3"/>
  <c r="V369" i="3"/>
  <c r="W369" i="3" s="1"/>
  <c r="O369" i="3"/>
  <c r="Z369" i="3"/>
  <c r="Y369" i="3"/>
  <c r="L370" i="3" l="1"/>
  <c r="R370" i="3" l="1"/>
  <c r="M370" i="3"/>
  <c r="Q370" i="3" l="1"/>
  <c r="N370" i="3"/>
  <c r="P370" i="3"/>
  <c r="AA370" i="3" s="1"/>
  <c r="X370" i="3" l="1"/>
  <c r="D371" i="39"/>
  <c r="J371" i="3"/>
  <c r="K371" i="3" s="1"/>
  <c r="L371" i="3" s="1"/>
  <c r="R371" i="3" s="1"/>
  <c r="V370" i="3"/>
  <c r="W370" i="3" s="1"/>
  <c r="O370" i="3"/>
  <c r="Z370" i="3"/>
  <c r="Y370" i="3"/>
  <c r="M371" i="3" l="1"/>
  <c r="AJ42" i="39"/>
  <c r="AK30" i="39"/>
  <c r="N371" i="3" l="1"/>
  <c r="P371" i="3"/>
  <c r="AA371" i="3" s="1"/>
  <c r="Q371" i="3"/>
  <c r="Y371" i="3" l="1"/>
  <c r="Z371" i="3"/>
  <c r="J372" i="3"/>
  <c r="K372" i="3" s="1"/>
  <c r="X371" i="3"/>
  <c r="D372" i="39"/>
  <c r="AK31" i="39" s="1"/>
  <c r="V371" i="3"/>
  <c r="W371" i="3" s="1"/>
  <c r="O371" i="3"/>
  <c r="L372" i="3" l="1"/>
  <c r="R372" i="3" l="1"/>
  <c r="M372" i="3"/>
  <c r="Q372" i="3" l="1"/>
  <c r="N372" i="3"/>
  <c r="P372" i="3"/>
  <c r="AA372" i="3" s="1"/>
  <c r="X372" i="3" l="1"/>
  <c r="J373" i="3"/>
  <c r="K373" i="3" s="1"/>
  <c r="D373" i="39"/>
  <c r="AK32" i="39" s="1"/>
  <c r="V372" i="3"/>
  <c r="W372" i="3" s="1"/>
  <c r="O372" i="3"/>
  <c r="Z372" i="3"/>
  <c r="Y372" i="3"/>
  <c r="L373" i="3" l="1"/>
  <c r="R373" i="3" l="1"/>
  <c r="M373" i="3"/>
  <c r="P373" i="3" l="1"/>
  <c r="AA373" i="3" s="1"/>
  <c r="Q373" i="3"/>
  <c r="N373" i="3"/>
  <c r="D374" i="39" l="1"/>
  <c r="AK33" i="39" s="1"/>
  <c r="J374" i="3"/>
  <c r="K374" i="3" s="1"/>
  <c r="X373" i="3"/>
  <c r="V373" i="3"/>
  <c r="W373" i="3" s="1"/>
  <c r="O373" i="3"/>
  <c r="Z373" i="3"/>
  <c r="Y373" i="3"/>
  <c r="L374" i="3" l="1"/>
  <c r="R374" i="3" l="1"/>
  <c r="M374" i="3"/>
  <c r="N374" i="3" l="1"/>
  <c r="P374" i="3"/>
  <c r="AA374" i="3" s="1"/>
  <c r="Q374" i="3"/>
  <c r="Z374" i="3" l="1"/>
  <c r="Y374" i="3"/>
  <c r="X374" i="3"/>
  <c r="J375" i="3"/>
  <c r="K375" i="3" s="1"/>
  <c r="D375" i="39"/>
  <c r="AK34" i="39" s="1"/>
  <c r="V374" i="3"/>
  <c r="W374" i="3" s="1"/>
  <c r="O374" i="3"/>
  <c r="L375" i="3" l="1"/>
  <c r="R375" i="3" l="1"/>
  <c r="M375" i="3"/>
  <c r="Q375" i="3" l="1"/>
  <c r="N375" i="3"/>
  <c r="P375" i="3"/>
  <c r="AA375" i="3" s="1"/>
  <c r="D376" i="39" l="1"/>
  <c r="AK35" i="39" s="1"/>
  <c r="X375" i="3"/>
  <c r="J376" i="3"/>
  <c r="K376" i="3" s="1"/>
  <c r="V375" i="3"/>
  <c r="W375" i="3" s="1"/>
  <c r="O375" i="3"/>
  <c r="Z375" i="3"/>
  <c r="Y375" i="3"/>
  <c r="L376" i="3" l="1"/>
  <c r="R376" i="3" s="1"/>
  <c r="M376" i="3"/>
  <c r="Q376" i="3" l="1"/>
  <c r="P376" i="3"/>
  <c r="AA376" i="3" s="1"/>
  <c r="N376" i="3"/>
  <c r="X376" i="3" l="1"/>
  <c r="D377" i="39"/>
  <c r="AK36" i="39" s="1"/>
  <c r="J377" i="3"/>
  <c r="K377" i="3" s="1"/>
  <c r="V376" i="3"/>
  <c r="W376" i="3" s="1"/>
  <c r="O376" i="3"/>
  <c r="Z376" i="3"/>
  <c r="Y376" i="3"/>
  <c r="L377" i="3" l="1"/>
  <c r="R377" i="3" l="1"/>
  <c r="M377" i="3"/>
  <c r="N377" i="3" l="1"/>
  <c r="Q377" i="3"/>
  <c r="P377" i="3"/>
  <c r="AA377" i="3" s="1"/>
  <c r="Z377" i="3" l="1"/>
  <c r="Y377" i="3"/>
  <c r="J378" i="3"/>
  <c r="K378" i="3" s="1"/>
  <c r="X377" i="3"/>
  <c r="D378" i="39"/>
  <c r="AK37" i="39" s="1"/>
  <c r="V377" i="3"/>
  <c r="W377" i="3" s="1"/>
  <c r="O377" i="3"/>
  <c r="L378" i="3" l="1"/>
  <c r="R378" i="3" l="1"/>
  <c r="M378" i="3"/>
  <c r="Q378" i="3" l="1"/>
  <c r="N378" i="3"/>
  <c r="P378" i="3"/>
  <c r="AA378" i="3" s="1"/>
  <c r="D379" i="39" l="1"/>
  <c r="AK38" i="39" s="1"/>
  <c r="J379" i="3"/>
  <c r="K379" i="3" s="1"/>
  <c r="X378" i="3"/>
  <c r="V378" i="3"/>
  <c r="W378" i="3" s="1"/>
  <c r="O378" i="3"/>
  <c r="Z378" i="3"/>
  <c r="Y378" i="3"/>
  <c r="L379" i="3" l="1"/>
  <c r="R379" i="3" l="1"/>
  <c r="M379" i="3"/>
  <c r="P379" i="3" l="1"/>
  <c r="AA379" i="3" s="1"/>
  <c r="Q379" i="3"/>
  <c r="N379" i="3"/>
  <c r="X379" i="3" l="1"/>
  <c r="J380" i="3"/>
  <c r="K380" i="3" s="1"/>
  <c r="D380" i="39"/>
  <c r="AK39" i="39" s="1"/>
  <c r="V379" i="3"/>
  <c r="W379" i="3" s="1"/>
  <c r="O379" i="3"/>
  <c r="Z379" i="3"/>
  <c r="Y379" i="3"/>
  <c r="L380" i="3" l="1"/>
  <c r="R380" i="3" l="1"/>
  <c r="M380" i="3"/>
  <c r="N380" i="3" l="1"/>
  <c r="Q380" i="3"/>
  <c r="P380" i="3"/>
  <c r="AA380" i="3" s="1"/>
  <c r="Z380" i="3" l="1"/>
  <c r="Y380" i="3"/>
  <c r="X380" i="3"/>
  <c r="J381" i="3"/>
  <c r="K381" i="3" s="1"/>
  <c r="D381" i="39"/>
  <c r="AK40" i="39" s="1"/>
  <c r="V380" i="3"/>
  <c r="W380" i="3" s="1"/>
  <c r="O380" i="3"/>
  <c r="L381" i="3" l="1"/>
  <c r="R381" i="3" l="1"/>
  <c r="M381" i="3"/>
  <c r="Q381" i="3" l="1"/>
  <c r="P381" i="3"/>
  <c r="AA381" i="3" s="1"/>
  <c r="N381" i="3"/>
  <c r="D382" i="39" l="1"/>
  <c r="AK41" i="39" s="1"/>
  <c r="J382" i="3"/>
  <c r="K382" i="3" s="1"/>
  <c r="X381" i="3"/>
  <c r="V381" i="3"/>
  <c r="W381" i="3" s="1"/>
  <c r="O381" i="3"/>
  <c r="Z381" i="3"/>
  <c r="Y381" i="3"/>
  <c r="L382" i="3" l="1"/>
  <c r="R382" i="3" l="1"/>
  <c r="M382" i="3"/>
  <c r="P382" i="3" l="1"/>
  <c r="AA382" i="3" s="1"/>
  <c r="Q382" i="3"/>
  <c r="N382" i="3"/>
  <c r="X382" i="3" l="1"/>
  <c r="J383" i="3"/>
  <c r="K383" i="3" s="1"/>
  <c r="D383" i="39"/>
  <c r="V382" i="3"/>
  <c r="W382" i="3" s="1"/>
  <c r="O382" i="3"/>
  <c r="Z382" i="3"/>
  <c r="Y382" i="3"/>
  <c r="L383" i="3" l="1"/>
  <c r="AK42" i="39"/>
  <c r="AL30" i="39"/>
  <c r="R383" i="3" l="1"/>
  <c r="M383" i="3"/>
  <c r="Q383" i="3" l="1"/>
  <c r="P383" i="3"/>
  <c r="AA383" i="3" s="1"/>
  <c r="N383" i="3"/>
  <c r="D384" i="39" l="1"/>
  <c r="AL31" i="39" s="1"/>
  <c r="X383" i="3"/>
  <c r="J384" i="3"/>
  <c r="K384" i="3" s="1"/>
  <c r="V383" i="3"/>
  <c r="W383" i="3" s="1"/>
  <c r="O383" i="3"/>
  <c r="Z383" i="3"/>
  <c r="Y383" i="3"/>
  <c r="L384" i="3" l="1"/>
  <c r="R384" i="3" l="1"/>
  <c r="M384" i="3"/>
  <c r="N384" i="3" l="1"/>
  <c r="P384" i="3"/>
  <c r="AA384" i="3" s="1"/>
  <c r="Q384" i="3"/>
  <c r="Z384" i="3" l="1"/>
  <c r="Y384" i="3"/>
  <c r="J385" i="3"/>
  <c r="K385" i="3" s="1"/>
  <c r="X384" i="3"/>
  <c r="D385" i="39"/>
  <c r="AL32" i="39" s="1"/>
  <c r="V384" i="3"/>
  <c r="W384" i="3" s="1"/>
  <c r="O384" i="3"/>
  <c r="L385" i="3" l="1"/>
  <c r="R385" i="3" l="1"/>
  <c r="M385" i="3"/>
  <c r="Q385" i="3" l="1"/>
  <c r="N385" i="3"/>
  <c r="P385" i="3"/>
  <c r="AA385" i="3" s="1"/>
  <c r="X385" i="3" l="1"/>
  <c r="D386" i="39"/>
  <c r="AL33" i="39" s="1"/>
  <c r="J386" i="3"/>
  <c r="K386" i="3" s="1"/>
  <c r="V385" i="3"/>
  <c r="W385" i="3" s="1"/>
  <c r="O385" i="3"/>
  <c r="Z385" i="3"/>
  <c r="Y385" i="3"/>
  <c r="L386" i="3" l="1"/>
  <c r="R386" i="3" l="1"/>
  <c r="M386" i="3"/>
  <c r="Q386" i="3" l="1"/>
  <c r="N386" i="3"/>
  <c r="P386" i="3"/>
  <c r="AA386" i="3" s="1"/>
  <c r="J387" i="3" l="1"/>
  <c r="K387" i="3" s="1"/>
  <c r="D387" i="39"/>
  <c r="AL34" i="39" s="1"/>
  <c r="X386" i="3"/>
  <c r="V386" i="3"/>
  <c r="W386" i="3" s="1"/>
  <c r="O386" i="3"/>
  <c r="Z386" i="3"/>
  <c r="Y386" i="3"/>
  <c r="L387" i="3" l="1"/>
  <c r="R387" i="3" l="1"/>
  <c r="M387" i="3"/>
  <c r="P387" i="3" l="1"/>
  <c r="AA387" i="3" s="1"/>
  <c r="N387" i="3"/>
  <c r="Q387" i="3"/>
  <c r="Z387" i="3" l="1"/>
  <c r="Y387" i="3"/>
  <c r="J388" i="3"/>
  <c r="K388" i="3" s="1"/>
  <c r="X387" i="3"/>
  <c r="D388" i="39"/>
  <c r="AL35" i="39" s="1"/>
  <c r="V387" i="3"/>
  <c r="W387" i="3" s="1"/>
  <c r="O387" i="3"/>
  <c r="L388" i="3" l="1"/>
  <c r="R388" i="3" l="1"/>
  <c r="M388" i="3"/>
  <c r="N388" i="3" l="1"/>
  <c r="P388" i="3"/>
  <c r="AA388" i="3" s="1"/>
  <c r="Q388" i="3"/>
  <c r="Z388" i="3" l="1"/>
  <c r="Y388" i="3"/>
  <c r="J389" i="3"/>
  <c r="K389" i="3" s="1"/>
  <c r="X388" i="3"/>
  <c r="D389" i="39"/>
  <c r="AL36" i="39" s="1"/>
  <c r="V388" i="3"/>
  <c r="W388" i="3" s="1"/>
  <c r="O388" i="3"/>
  <c r="L389" i="3" l="1"/>
  <c r="R389" i="3" l="1"/>
  <c r="M389" i="3"/>
  <c r="Q389" i="3" l="1"/>
  <c r="N389" i="3"/>
  <c r="P389" i="3"/>
  <c r="AA389" i="3" s="1"/>
  <c r="J390" i="3" l="1"/>
  <c r="K390" i="3" s="1"/>
  <c r="X389" i="3"/>
  <c r="D390" i="39"/>
  <c r="AL37" i="39" s="1"/>
  <c r="V389" i="3"/>
  <c r="W389" i="3" s="1"/>
  <c r="O389" i="3"/>
  <c r="Z389" i="3"/>
  <c r="Y389" i="3"/>
  <c r="L390" i="3" l="1"/>
  <c r="R390" i="3" l="1"/>
  <c r="M390" i="3"/>
  <c r="N390" i="3" l="1"/>
  <c r="P390" i="3"/>
  <c r="AA390" i="3" s="1"/>
  <c r="Q390" i="3"/>
  <c r="Z390" i="3" l="1"/>
  <c r="Y390" i="3"/>
  <c r="D391" i="39"/>
  <c r="AL38" i="39" s="1"/>
  <c r="X390" i="3"/>
  <c r="J391" i="3"/>
  <c r="K391" i="3" s="1"/>
  <c r="V390" i="3"/>
  <c r="W390" i="3" s="1"/>
  <c r="O390" i="3"/>
  <c r="L391" i="3" l="1"/>
  <c r="R391" i="3" l="1"/>
  <c r="M391" i="3"/>
  <c r="P391" i="3" l="1"/>
  <c r="AA391" i="3" s="1"/>
  <c r="Q391" i="3"/>
  <c r="N391" i="3"/>
  <c r="X391" i="3" l="1"/>
  <c r="D392" i="39"/>
  <c r="AL39" i="39" s="1"/>
  <c r="V391" i="3"/>
  <c r="W391" i="3" s="1"/>
  <c r="O391" i="3"/>
  <c r="Z391" i="3"/>
  <c r="Y391" i="3"/>
  <c r="P3" i="3"/>
  <c r="D19" i="15" s="1"/>
  <c r="D32" i="15" l="1"/>
  <c r="D31" i="15"/>
  <c r="D35" i="15"/>
  <c r="D34" i="15"/>
  <c r="D30" i="15"/>
  <c r="D28" i="15"/>
  <c r="D29" i="15"/>
  <c r="D33" i="15"/>
</calcChain>
</file>

<file path=xl/sharedStrings.xml><?xml version="1.0" encoding="utf-8"?>
<sst xmlns="http://schemas.openxmlformats.org/spreadsheetml/2006/main" count="2008" uniqueCount="1029">
  <si>
    <t>Relevamiento topográfico del vaso del embalse. Se debe introducir la tabla obtenida de la medición de campo: Cotas (m) y Áreas (en hectáreas) que definen la geometría del embalse.</t>
  </si>
  <si>
    <t xml:space="preserve"> Ninguna de las COTAS ni ÁREAS debe ser CERO.</t>
  </si>
  <si>
    <t>hasta v1.03</t>
  </si>
  <si>
    <t>Corregido</t>
  </si>
  <si>
    <t>El régimen de flujo queda caracterizado por un factor "K" proporcional al número "F" de Froude, K=</t>
  </si>
  <si>
    <t>Fecha</t>
  </si>
  <si>
    <t>Versión</t>
  </si>
  <si>
    <t>Modificaciones realizadas</t>
  </si>
  <si>
    <t>v1_03</t>
  </si>
  <si>
    <t>Se reordenó el ingreso de datos y la visualización de resultados.</t>
  </si>
  <si>
    <t>Se automatizó la selección de la fuente de datos de evaporación y la ubicación de la cuenca en los mapas de isolíneas.</t>
  </si>
  <si>
    <t>Se incorporaron algunos gráficos adicionales para el análisis de la satisfacción de la demanda.</t>
  </si>
  <si>
    <t>Se corrigió un error en el cálculo de la avenida de proyecto por el Método Racional.</t>
  </si>
  <si>
    <t>Se reordenó el proceso de diseño del vertedero con nuevas gráficas, facilitando la selección de valores de sobreelevación del embalse "E" y ancho "B".</t>
  </si>
  <si>
    <r>
      <t>Se agregó una condición de ancho mínimo de vertedero</t>
    </r>
    <r>
      <rPr>
        <sz val="12"/>
        <color indexed="8"/>
        <rFont val="Times New Roman"/>
        <family val="1"/>
      </rPr>
      <t>.</t>
    </r>
  </si>
  <si>
    <t>v1_02</t>
  </si>
  <si>
    <t>Se corrigió un bug que impedía la apertura del archivo en MS Excel 2007 y 2010</t>
  </si>
  <si>
    <t>v1_01</t>
  </si>
  <si>
    <t>Se agregó la hoja “Pasos” con instrucciones paso a paso para seguir el procedimiento de cálculo.</t>
  </si>
  <si>
    <t>Se agregó un botón para borrar todos los datos y empezar de nuevo el proceso.</t>
  </si>
  <si>
    <t>Se modificaron los gráficos de Cota-Volumen-Altura del embalse</t>
  </si>
  <si>
    <t>Se corrigió la sintaxis de algunos valores de Agua Disponible que bloqueaban el proceso de cálculo.</t>
  </si>
  <si>
    <t>v1_0</t>
  </si>
  <si>
    <t>Primera edición</t>
  </si>
  <si>
    <t>v1_04</t>
  </si>
  <si>
    <t>Unidad Cart de Suelos (Esc 1:1000000)</t>
  </si>
  <si>
    <t>Se corrigió la definición del factor "K" en la Hoja "Diseño Aliv-Canal"</t>
  </si>
  <si>
    <t xml:space="preserve">Nombre del Archivo </t>
  </si>
  <si>
    <t>Contenido</t>
  </si>
  <si>
    <t>Última actualización</t>
  </si>
  <si>
    <t>Manual Pequenas Presas V1-v1_01.pdf</t>
  </si>
  <si>
    <t>Metodologías e información básica para la determinación del escurrimiento de la cuenca, dimensionado del volumen de almacenamiento, del vertedero-canal y de la presa.</t>
  </si>
  <si>
    <t>Manual_pequenas_presas_Mapeos_SIG_CRSU_AD_y_GH.rar</t>
  </si>
  <si>
    <t>Carta de Reconocimiento de Suelos + Agua Disponible en los Suelos + Grupos Hidrológicos de los Suelos del Uruguay.</t>
  </si>
  <si>
    <t>Archivos dbf, shp, sbn, sbx, shx y prj para su uso con un Sistema de Información Geográfica.</t>
  </si>
  <si>
    <t>Manual_pequenas_presas_Mapeos_TIFF_AD_y_GH.rar</t>
  </si>
  <si>
    <t>Mapeo de Agua Disponible en los Suelos del Uruguay + Mapeo de los Grupos Hidrológicos de los Suelos del Uruguay.</t>
  </si>
  <si>
    <t>Archivos “tiff” para su uso como imágenes.</t>
  </si>
  <si>
    <t>Manual Pequenas Presas – Planilla v1_04.xls</t>
  </si>
  <si>
    <t>Versión vigente de cada documento:</t>
  </si>
  <si>
    <t>Novedades de la última actualización de cada documento:</t>
  </si>
  <si>
    <t>Manual Pequenas Presas V1- v1_01.pdf</t>
  </si>
  <si>
    <t>Se unificó en un solo archivo todo el Volumen 1, Diseño Hidrológico e Hidráulico</t>
  </si>
  <si>
    <t>Se reemplazaron las tablas E.2 y E.3 y la Figura E.4 corrigiendo un error de cálculo en el Ejemplo</t>
  </si>
  <si>
    <t>Manual Pequenas Presas – Planilla v1_04.xls  (Esta planilla de cálculo)</t>
  </si>
  <si>
    <t>Se agregó esta hoja</t>
  </si>
  <si>
    <t>Planilla Complementaria, Versión 1.04</t>
  </si>
  <si>
    <t>DINAGUA / MVOTMA / URUGUAY</t>
  </si>
  <si>
    <t>S/I</t>
  </si>
  <si>
    <t>10-11</t>
  </si>
  <si>
    <t>11-12</t>
  </si>
  <si>
    <t>12-13</t>
  </si>
  <si>
    <t>13-14</t>
  </si>
  <si>
    <t>14-15</t>
  </si>
  <si>
    <t>15-16</t>
  </si>
  <si>
    <t>m3/s, Caudal máximo de la avenida extraordinaria S/Método Racional</t>
  </si>
  <si>
    <t>Hm3, Volumen de la Avenida Extraordinaria S/Método Racional</t>
  </si>
  <si>
    <t>m3/s, = Caudal máximo de la avenida extraordinaria S/Método del NRCS</t>
  </si>
  <si>
    <t>Hm3, =Volumen de la avenida extraordinaria S/Método del NRCS</t>
  </si>
  <si>
    <t>Precip 1981-2012</t>
  </si>
  <si>
    <r>
      <t>En la hoja "Intro" (de "</t>
    </r>
    <r>
      <rPr>
        <b/>
        <i/>
        <sz val="11"/>
        <color indexed="8"/>
        <rFont val="Calibri"/>
        <family val="2"/>
      </rPr>
      <t>intro</t>
    </r>
    <r>
      <rPr>
        <i/>
        <sz val="11"/>
        <color indexed="8"/>
        <rFont val="Calibri"/>
        <family val="2"/>
      </rPr>
      <t>ducción") se clarifica el marco en el cual se edita esta planilla de cálculo. Es muy importante su lectura, especialmente los "ASPECTOS IMPORTANTES A TENER EN CUENTA"</t>
    </r>
  </si>
  <si>
    <t xml:space="preserve">valores de precipitaciones acumuladas mensuales a utilizar. Si no se dispusiera de las coordenadas o se quisiera elegir la Estación con otro criterio, se puede seleccionar otra Estación del listado desplegable. </t>
  </si>
  <si>
    <r>
      <t>Lo que se observa como resultado global en la hoja anexa "Esc 1" y en la hoja "Resultados" es el valor del Volumen de Escurrimiento medio anual, en Hm</t>
    </r>
    <r>
      <rPr>
        <i/>
        <vertAlign val="superscript"/>
        <sz val="11"/>
        <color indexed="8"/>
        <rFont val="Calibri"/>
        <family val="2"/>
      </rPr>
      <t>3</t>
    </r>
    <r>
      <rPr>
        <i/>
        <sz val="11"/>
        <color indexed="8"/>
        <rFont val="Calibri"/>
        <family val="2"/>
      </rPr>
      <t xml:space="preserve"> (hectómetros cúbicos = miles de 10</t>
    </r>
    <r>
      <rPr>
        <i/>
        <vertAlign val="superscript"/>
        <sz val="11"/>
        <color indexed="8"/>
        <rFont val="Calibri"/>
        <family val="2"/>
      </rPr>
      <t>3</t>
    </r>
    <r>
      <rPr>
        <i/>
        <sz val="11"/>
        <color indexed="8"/>
        <rFont val="Calibri"/>
        <family val="2"/>
      </rPr>
      <t xml:space="preserve"> m3 = millones de m3).</t>
    </r>
  </si>
  <si>
    <t>Para su selección se debe clasificar el Uso del suelo de la cuenca de aporte, la cubierta vegetal, el tratamiento o método de siembra y la condición hidrológica del suelo (Ver Manual).</t>
  </si>
  <si>
    <t>NO SE DEBE "CORTAR" NI "MOVER" CELDAS. SOLAMENTE "COPIAR Y PEGAR" O "SUPRIMIR"</t>
  </si>
  <si>
    <t>Evaluando el riesgo de no cubrir toda la demanda para cada área media de riego seleccionada, se define entonces "Hv" lo que determina el volumen a almacenar y en definitiva la altura y cota de coronamiento de la presa.</t>
  </si>
  <si>
    <t>se pueden observar gráficamente los niveles de embalse, los volúmenes embalsados, los de déficit de riego, los efectivamente entregados y los vertidos, para cada uno de los meses de los más de 30 años de la serie histórica utilizada</t>
  </si>
  <si>
    <t>en la simulación.</t>
  </si>
  <si>
    <t>Se debe introducir la longitud (en km) del cauce principal de la cuenca, desde el punto más alejado al cierre, hasta el cierre mismo.</t>
  </si>
  <si>
    <t>Se debe introducir la diferencia de cotas entre el punto más alto y el más bajo de la cuenca, que será el punto de cierre.</t>
  </si>
  <si>
    <t>La recurrencia de la avenida de proyecto  en los casos de presas de altura mayor a 5 m y sin consecuencias significativas por su eventual rotura no será menor de 100 años. Ver Manual.</t>
  </si>
  <si>
    <t>ciones en la  "Introduc-ión" del Manual). Valores habituales de "S" están en el orden de 0,01 (cuando el canal baja 1 metro cada 100). Se debe introducir el valor más ajustado posible a la realidad.</t>
  </si>
  <si>
    <t>Se deberá introducir la pendiente longitudinal "S" con que se construirá el vertedero-canal. Se recuerda que este cálculo del vertedero es válido siempre y cuando se construya con esa pendiente en un largo superior a cinco veces su ancho (Ver limita-</t>
  </si>
  <si>
    <t>Según la cobertura de pasto que se espera para el canal vertedero, se deberá seleccionar de la tabla indicada en la hoja "Diseño Aliv-Canal", un Coeficiente de Rugosidad "n".  Se indican allí los valores habituales.</t>
  </si>
  <si>
    <t>a) que el valor K (proporcional al llamado "Número de Froude") se mantenga debajo de "1" (para garantizar una condición de "flujo subcrítico" en el canal)</t>
  </si>
  <si>
    <t>Planilla de cálculo complementaria. Determinación del escurrimiento de la cuenca, dimensionado del volumen de almacenamiento, diseño básico del vertedero-canal y de la presa. Información básica de precipitaciones entre 1981 y 2012 y otras.</t>
  </si>
  <si>
    <t>Los siguientes dos archivos no se publican en el sitio web del MVOTMA. Si los requiere, solicítelos a dinagua@mvotma.gub.uy</t>
  </si>
  <si>
    <t>Se corrigió el Grupo Hidrológico de las siguientes 7 Unidades Cartográficas de Suelos en la Hoja "CRSU-AD-GH" (estaba incorrecto solo en el archivo XLS)</t>
  </si>
  <si>
    <t>Se refuncionalizó la planilla para incorporar en los cálculos los últimos 2 años de información pluviométrica, facilitando esta tarea para años venideros.</t>
  </si>
  <si>
    <t xml:space="preserve">Con el aporte de la DNM se actualizó a dic/2012 la información de precipitaciones mensuales acumuladas de las 35 estaciones meteorológicas o pluviométricas. </t>
  </si>
  <si>
    <t>Portada</t>
  </si>
  <si>
    <t>Notas de la versión</t>
  </si>
  <si>
    <t>"La tapa del libro" de esta Planilla complementaria. La versión de texto del Manual, hasta la versión 1.01 al menos está publicada solamente en formato electrónico PDF.</t>
  </si>
  <si>
    <t>Sin embargo la protección señalada está implementada SIN contraseña, para dejar al usuario la libertad de efectuar cualquier modificación, aunque bajo su total responsabilidad.</t>
  </si>
  <si>
    <t>Se muestran tablas resumen y gráficos que requieren que se complete TODO el proceso para que la información que muestran sea correcta.</t>
  </si>
  <si>
    <t>Un resumen de las mejoras y modificaciones más importantes que ha tenido cada nueva versión publicada de esta planilla complementaria y del texto del Manual.</t>
  </si>
  <si>
    <t>http://www.mvotma.gub.uy/biblioteca/documentos-de-agua/item/10003003</t>
  </si>
  <si>
    <t>Link:</t>
  </si>
  <si>
    <t>Hoja y Datos a Introducir</t>
  </si>
  <si>
    <t>Valores base para el gráfico "Características del flujo en el vertedero-canal con las dimensiones seleccionadas" en la hoja "Diseño Aliv-Canal"</t>
  </si>
  <si>
    <t>El análisis por defecto evalúa el escurrimiento aportado por la cuenca teniendo en cuenta la precipitación y evaporación sobre la superficie del embalse proyectado</t>
  </si>
  <si>
    <t xml:space="preserve">Marque la casilla verde sólo para evaluar el escurrimiento  aportado considerando la cuenca natural sin la existencia del embalse bajo análisis. </t>
  </si>
  <si>
    <t>No afectará los cálculos en otras hojas, solamente los dos gráficos de la hoja "Esc 1"</t>
  </si>
  <si>
    <t>Coordenadas Gauss Kruger (SGM)</t>
  </si>
  <si>
    <t>Versión 1.04, del 01/04/2013</t>
  </si>
  <si>
    <t>Se deberá introducir la dotación de riego mensual, es decir el ciclo anual de demanda de riego en la presa. Se incluirán todas las pérdidas en los canales del sistema para obtener la cantidad bruta de agua que la presa debe abastecer por mes.</t>
  </si>
  <si>
    <t xml:space="preserve"> (baricentro de la cuenca)</t>
  </si>
  <si>
    <t xml:space="preserve">Para analizar la sensibilidad que tiene el sistema, la planilla evalúa el índice de satisfacción de la demanda para el valor introducido de Ht, para un entorno de valores de Cota de Vertido, y para un entorno de valores de Área de riego. </t>
  </si>
  <si>
    <t>Se puede variar también la amplitud de los entornos estudiados. Para ver el gráfico con valores actualizados, por cada valor base que se modifica se debe presionar el botón "ACTUALIZAR BALANCE HÍDRICO" para que se actualice dicho</t>
  </si>
  <si>
    <t>Mayor que</t>
  </si>
  <si>
    <t>NO RECOMENDABLE</t>
  </si>
  <si>
    <t>S=</t>
  </si>
  <si>
    <t>n=</t>
  </si>
  <si>
    <t>Valmac:</t>
  </si>
  <si>
    <t>m3/Há</t>
  </si>
  <si>
    <t>Evapotranspiración media anual ETPm:</t>
  </si>
  <si>
    <t>Agua Disponible según las Unidades de Suelos de la cuenca neta y sus áreas:</t>
  </si>
  <si>
    <t xml:space="preserve">Ar/Ariego </t>
  </si>
  <si>
    <t>Volúmenes escurridos en la cuenca</t>
  </si>
  <si>
    <t>Esc. A tomar</t>
  </si>
  <si>
    <t>Vol Embalsado</t>
  </si>
  <si>
    <t>Reordenamiento del Volumen de Escurrimiento</t>
  </si>
  <si>
    <t>Reordenamiento de los volúmenes embalsados</t>
  </si>
  <si>
    <t>Esc. Total</t>
  </si>
  <si>
    <t>EscMedAnual</t>
  </si>
  <si>
    <t>ANÁLISIS DEL BALANCE HÍDRICO</t>
  </si>
  <si>
    <t>SUM:</t>
  </si>
  <si>
    <t>81-82</t>
  </si>
  <si>
    <t>82-83</t>
  </si>
  <si>
    <t>83-84</t>
  </si>
  <si>
    <t>84-85</t>
  </si>
  <si>
    <t>85-86</t>
  </si>
  <si>
    <t>86-87</t>
  </si>
  <si>
    <t>87-88</t>
  </si>
  <si>
    <t>88-89</t>
  </si>
  <si>
    <t>89-90</t>
  </si>
  <si>
    <t>90-91</t>
  </si>
  <si>
    <t>91-92</t>
  </si>
  <si>
    <t>92-93</t>
  </si>
  <si>
    <t>93-94</t>
  </si>
  <si>
    <t>94-95</t>
  </si>
  <si>
    <t>95-96</t>
  </si>
  <si>
    <t>96-97</t>
  </si>
  <si>
    <t>97-98</t>
  </si>
  <si>
    <t>98-99</t>
  </si>
  <si>
    <t>99-00</t>
  </si>
  <si>
    <t>00-01</t>
  </si>
  <si>
    <t>01-02</t>
  </si>
  <si>
    <t>02-03</t>
  </si>
  <si>
    <t>03-04</t>
  </si>
  <si>
    <t>04-05</t>
  </si>
  <si>
    <t>05-06</t>
  </si>
  <si>
    <t>06-07</t>
  </si>
  <si>
    <t>07-08</t>
  </si>
  <si>
    <t>08-09</t>
  </si>
  <si>
    <t>09-10</t>
  </si>
  <si>
    <t>VolAlm:</t>
  </si>
  <si>
    <t>Aporte total</t>
  </si>
  <si>
    <t>abril a setiembre</t>
  </si>
  <si>
    <t>octubre a marzo</t>
  </si>
  <si>
    <t xml:space="preserve">Si se debe usar el Método Racional o ambos, se deberán sumar las longitudes de todas las curvas de nivel que aparecen en la </t>
  </si>
  <si>
    <t xml:space="preserve">cuenca, identificar la equidistancia de esas curvas de nivel, e identificar el Coeficiente de escorrentía correspondiente a las </t>
  </si>
  <si>
    <t>características de la superficie de la cuenca y al tiempo de recurrencia seleccionado, en la Tabla 3.2 del Manual.</t>
  </si>
  <si>
    <r>
      <t>Está previsto su introducción en su equivalente en "mm", teniendo en cuenta que 1 mm = 10 m</t>
    </r>
    <r>
      <rPr>
        <vertAlign val="superscript"/>
        <sz val="11"/>
        <color indexed="8"/>
        <rFont val="Calibri"/>
        <family val="2"/>
      </rPr>
      <t>3</t>
    </r>
    <r>
      <rPr>
        <sz val="11"/>
        <color theme="1"/>
        <rFont val="Calibri"/>
        <family val="2"/>
        <scheme val="minor"/>
      </rPr>
      <t>/Há</t>
    </r>
  </si>
  <si>
    <t>7.-</t>
  </si>
  <si>
    <t>8.-</t>
  </si>
  <si>
    <t>Pasos</t>
  </si>
  <si>
    <t>Explicación paso a paso del proceso de cálculo con esta planilla. En el Manual se encuentra el detalle de los procedimientos, sus fundamentos y limitaciones.</t>
  </si>
  <si>
    <t>Coeficientes de Distribución de la Evapotranspiración media mensual (según A.4)</t>
  </si>
  <si>
    <r>
      <t>C</t>
    </r>
    <r>
      <rPr>
        <b/>
        <vertAlign val="subscript"/>
        <sz val="11"/>
        <color indexed="9"/>
        <rFont val="Calibri"/>
        <family val="2"/>
      </rPr>
      <t>AD</t>
    </r>
  </si>
  <si>
    <t>Parámetro de proporcionalidad del Agua Disponible en el suelo:</t>
  </si>
  <si>
    <t>Volumen de Escurrimiento medio anual de la cuenca:</t>
  </si>
  <si>
    <t>Mes i</t>
  </si>
  <si>
    <t>ETPi</t>
  </si>
  <si>
    <t>Ene</t>
  </si>
  <si>
    <t>Feb</t>
  </si>
  <si>
    <t>Mar</t>
  </si>
  <si>
    <t>Abr</t>
  </si>
  <si>
    <t>May</t>
  </si>
  <si>
    <t>Jun</t>
  </si>
  <si>
    <t>Jul</t>
  </si>
  <si>
    <t>Ago</t>
  </si>
  <si>
    <t>Sep</t>
  </si>
  <si>
    <t>Oct</t>
  </si>
  <si>
    <t>Nov</t>
  </si>
  <si>
    <t>Dic</t>
  </si>
  <si>
    <t>Año</t>
  </si>
  <si>
    <t>Precip</t>
  </si>
  <si>
    <t>δi</t>
  </si>
  <si>
    <t>Poi</t>
  </si>
  <si>
    <t>Ti</t>
  </si>
  <si>
    <t>Hi</t>
  </si>
  <si>
    <t>ETRi</t>
  </si>
  <si>
    <t>Ii</t>
  </si>
  <si>
    <t>V</t>
  </si>
  <si>
    <t>A</t>
  </si>
  <si>
    <t>i</t>
  </si>
  <si>
    <t>mes</t>
  </si>
  <si>
    <t>CP.o</t>
  </si>
  <si>
    <t>Imax</t>
  </si>
  <si>
    <t>α</t>
  </si>
  <si>
    <t>I</t>
  </si>
  <si>
    <t>II</t>
  </si>
  <si>
    <t>III</t>
  </si>
  <si>
    <t>IV</t>
  </si>
  <si>
    <t>VI</t>
  </si>
  <si>
    <t>VII</t>
  </si>
  <si>
    <t>VIII</t>
  </si>
  <si>
    <t>IX</t>
  </si>
  <si>
    <t>X</t>
  </si>
  <si>
    <t>XI</t>
  </si>
  <si>
    <t>XII</t>
  </si>
  <si>
    <t>XIII</t>
  </si>
  <si>
    <t>mm</t>
  </si>
  <si>
    <t>Hm3</t>
  </si>
  <si>
    <t>m</t>
  </si>
  <si>
    <t>Hás</t>
  </si>
  <si>
    <t>(Hm3)</t>
  </si>
  <si>
    <t>(Ha)</t>
  </si>
  <si>
    <t>Vsi</t>
  </si>
  <si>
    <t>Ht</t>
  </si>
  <si>
    <t>Hv</t>
  </si>
  <si>
    <t>año</t>
  </si>
  <si>
    <t>Prec.</t>
  </si>
  <si>
    <t>Evap.</t>
  </si>
  <si>
    <t>Dem.</t>
  </si>
  <si>
    <t>(mm)</t>
  </si>
  <si>
    <t>AÑO</t>
  </si>
  <si>
    <t>Ln(Alturas)</t>
  </si>
  <si>
    <t>Ln(Áreas)</t>
  </si>
  <si>
    <t>Introducir SOLO AQUELLAS ÁREAS MEDIDAS ENTRE LAS COTAS DE TOMA Y CORONAMIENTO  APROX</t>
  </si>
  <si>
    <t>Cotas     (msnm)</t>
  </si>
  <si>
    <t>Área medida (Há)</t>
  </si>
  <si>
    <t>Raíz (Área)</t>
  </si>
  <si>
    <t>Artigas</t>
  </si>
  <si>
    <t>Ai</t>
  </si>
  <si>
    <t>Bi</t>
  </si>
  <si>
    <t>Vdi</t>
  </si>
  <si>
    <t>Vesci</t>
  </si>
  <si>
    <t>mes i</t>
  </si>
  <si>
    <t>Pi-Evi</t>
  </si>
  <si>
    <t>(Hm3)/Há</t>
  </si>
  <si>
    <t>CURVAS COTA-VOLUMEN-ÁREA ÚTIL DEL VASO DEL EMBALSE</t>
  </si>
  <si>
    <t>D</t>
  </si>
  <si>
    <t>Acumulado mensual de precipitaciones, en mm. Valores mayores a 0,1mm</t>
  </si>
  <si>
    <t>Nombre</t>
  </si>
  <si>
    <t>Salto</t>
  </si>
  <si>
    <t>Paysandú</t>
  </si>
  <si>
    <t>Rivera</t>
  </si>
  <si>
    <t>Mercedes</t>
  </si>
  <si>
    <t>Lago de los Patos</t>
  </si>
  <si>
    <t>Rocha</t>
  </si>
  <si>
    <t>Treinta y Tres</t>
  </si>
  <si>
    <t>Tacuarembó</t>
  </si>
  <si>
    <t>Melo</t>
  </si>
  <si>
    <t>Prado</t>
  </si>
  <si>
    <t>Bernabé Rivera</t>
  </si>
  <si>
    <t>Tomás Gomensoro</t>
  </si>
  <si>
    <t>Sequeira</t>
  </si>
  <si>
    <t>Cuchilla del Carmen</t>
  </si>
  <si>
    <t>José Pedro Varela</t>
  </si>
  <si>
    <t>El Chuy</t>
  </si>
  <si>
    <t>Casupá</t>
  </si>
  <si>
    <t>La planilla calcula el tiempo de concentración con la fórmula de Kirpich en la hoja anexa "Av Proy". Ver limitaciones indicadas en el Manual.</t>
  </si>
  <si>
    <t>Una vez dados estos pasos, queda calculado el Caudal máximo de la Avenida Extraordinaria o de Proyecto, y su Volumen máximo. (Ver hoja "Av Proy")</t>
  </si>
  <si>
    <t>Aiguá</t>
  </si>
  <si>
    <t>Valentín (Pueblo Bazzini)</t>
  </si>
  <si>
    <t>Quebracho</t>
  </si>
  <si>
    <t>Queguay Chico</t>
  </si>
  <si>
    <t>Fraile Muerto</t>
  </si>
  <si>
    <t>Arroyo Malo</t>
  </si>
  <si>
    <t>Molles (Carlos Reyles)</t>
  </si>
  <si>
    <t>Cerro Chato</t>
  </si>
  <si>
    <t>Egaña</t>
  </si>
  <si>
    <t>Puntas de Maciel</t>
  </si>
  <si>
    <t>Pintos (San Gregorio)</t>
  </si>
  <si>
    <t>Barriga Negra (Polanco)</t>
  </si>
  <si>
    <t>Tranqueras</t>
  </si>
  <si>
    <t>Conchillas</t>
  </si>
  <si>
    <t>Moriones</t>
  </si>
  <si>
    <t>Vichadero</t>
  </si>
  <si>
    <t>Cuchilla de Navarro</t>
  </si>
  <si>
    <t>Código</t>
  </si>
  <si>
    <t>2272A</t>
  </si>
  <si>
    <t>2061A</t>
  </si>
  <si>
    <t>2073A</t>
  </si>
  <si>
    <t>2337A</t>
  </si>
  <si>
    <t>Depto</t>
  </si>
  <si>
    <t>Soriano</t>
  </si>
  <si>
    <t>Colonia</t>
  </si>
  <si>
    <t>Cerro Largo</t>
  </si>
  <si>
    <t>Montevideo</t>
  </si>
  <si>
    <t>Lavalleja</t>
  </si>
  <si>
    <t>Florida</t>
  </si>
  <si>
    <t>Maldonado</t>
  </si>
  <si>
    <t>Carro Largo</t>
  </si>
  <si>
    <t>Durazno</t>
  </si>
  <si>
    <t>Flores</t>
  </si>
  <si>
    <t>Río Negro</t>
  </si>
  <si>
    <t>ENE</t>
  </si>
  <si>
    <t>FEB</t>
  </si>
  <si>
    <t>MAR</t>
  </si>
  <si>
    <t>ABR</t>
  </si>
  <si>
    <t>MAY</t>
  </si>
  <si>
    <t>JUN</t>
  </si>
  <si>
    <t>JUL</t>
  </si>
  <si>
    <t>AGO</t>
  </si>
  <si>
    <t>SEP</t>
  </si>
  <si>
    <t>OCT</t>
  </si>
  <si>
    <t>NOV</t>
  </si>
  <si>
    <t>s/dato</t>
  </si>
  <si>
    <t>DIC</t>
  </si>
  <si>
    <t>Vol Esci</t>
  </si>
  <si>
    <t>Asubi</t>
  </si>
  <si>
    <t>Asupi</t>
  </si>
  <si>
    <t>Valor</t>
  </si>
  <si>
    <t>Unidad</t>
  </si>
  <si>
    <t xml:space="preserve"> X</t>
  </si>
  <si>
    <t>Y</t>
  </si>
  <si>
    <t>BALANCE HÍDRICO EN EL EMBALSE ENTRE LA OFERTA Y DEMANDA DE AGUA</t>
  </si>
  <si>
    <t xml:space="preserve">Unidad Cartográfica de Suelos </t>
  </si>
  <si>
    <t>Cuchilla de Haedo – Paso de Los Toros</t>
  </si>
  <si>
    <t>Masoller</t>
  </si>
  <si>
    <t>q</t>
  </si>
  <si>
    <t>v</t>
  </si>
  <si>
    <t>Estación</t>
  </si>
  <si>
    <t>ARTIGAS</t>
  </si>
  <si>
    <t>BELLA UNION</t>
  </si>
  <si>
    <t>MERCEDES</t>
  </si>
  <si>
    <t>MELO</t>
  </si>
  <si>
    <t>PAYSANDU</t>
  </si>
  <si>
    <t>P. DE LOS TOROS</t>
  </si>
  <si>
    <t>ROCHA</t>
  </si>
  <si>
    <t>SALTO</t>
  </si>
  <si>
    <t>TACUAREMBO</t>
  </si>
  <si>
    <t>TREINTA Y TRES</t>
  </si>
  <si>
    <t>TRINIDAD</t>
  </si>
  <si>
    <t>YOUNG</t>
  </si>
  <si>
    <t>%</t>
  </si>
  <si>
    <t>Determinación de la Avenida de Proyecto</t>
  </si>
  <si>
    <t>NRCS</t>
  </si>
  <si>
    <t>C</t>
  </si>
  <si>
    <t>E</t>
  </si>
  <si>
    <t>VL</t>
  </si>
  <si>
    <t>Qvmax</t>
  </si>
  <si>
    <t>k</t>
  </si>
  <si>
    <t>B</t>
  </si>
  <si>
    <t>(m)</t>
  </si>
  <si>
    <t>(m3/s)</t>
  </si>
  <si>
    <t>m/s</t>
  </si>
  <si>
    <t>m3/s/m</t>
  </si>
  <si>
    <t>Cubierta Vegetal</t>
  </si>
  <si>
    <t>Velocidad (m/s)</t>
  </si>
  <si>
    <t>Escasa</t>
  </si>
  <si>
    <t>Menor a 1.0</t>
  </si>
  <si>
    <t>Por siembra</t>
  </si>
  <si>
    <t>1.0 a 1.2</t>
  </si>
  <si>
    <t>Variable</t>
  </si>
  <si>
    <t>1.2 a 1.5</t>
  </si>
  <si>
    <t>Bien establecida</t>
  </si>
  <si>
    <t>1.5 a 1.8</t>
  </si>
  <si>
    <t>Condiciones muy especiales</t>
  </si>
  <si>
    <t>1.8 a 2.1</t>
  </si>
  <si>
    <t>Tabla 3.5  Velocidades máximas en suelos empastados</t>
  </si>
  <si>
    <t>Fuente: Hidráulica de Canales Abiertos, R.H. French, pp. 321 y 323</t>
  </si>
  <si>
    <t>Cota de Toma</t>
  </si>
  <si>
    <t>Cota Vertedero</t>
  </si>
  <si>
    <t>Tc &gt; 20 min</t>
  </si>
  <si>
    <t>Tc &lt; 20 min</t>
  </si>
  <si>
    <t>Ac &lt; 400 hás</t>
  </si>
  <si>
    <t>Ac &gt; 400 hás</t>
  </si>
  <si>
    <t>M. Racional</t>
  </si>
  <si>
    <t>Ambos</t>
  </si>
  <si>
    <t>Corresponde:</t>
  </si>
  <si>
    <t>Por el método del NRCS:</t>
  </si>
  <si>
    <t>hs = Tiempo de Concentración (por Kirpich, válido solamente si la mayor parte del caudal es concentrado)</t>
  </si>
  <si>
    <t>1/mes</t>
  </si>
  <si>
    <t>Columna</t>
  </si>
  <si>
    <t>Parámetro de la precipitación mínima para que exista escurrimiento:</t>
  </si>
  <si>
    <t>Parámetro de descarga de infiltración máxima:</t>
  </si>
  <si>
    <t>Parámetros de descarga del almacenamiento subterráneo:</t>
  </si>
  <si>
    <t>LIBERTAD</t>
  </si>
  <si>
    <t>PRADO</t>
  </si>
  <si>
    <t>Evaporación media mensual de tanque A (mm/mes) en el período 1985-1999</t>
  </si>
  <si>
    <t>Se introduce toda la información necesaria para el proceso general.  Otra información se introduce en las hojas "I Satisfac-Demanda" y en "Diseño Aliv-Canal".</t>
  </si>
  <si>
    <t>Gráfico que muestra cómo hubiera sido en los últimos 30 años la evolución del volumen almacenado con los parámetros seleccionados.</t>
  </si>
  <si>
    <t>Tiempo de Concentración</t>
  </si>
  <si>
    <t>Grupo (s/Tabla 3.4 o Mapa 3.2)</t>
  </si>
  <si>
    <t>Cota de Vertedero</t>
  </si>
  <si>
    <t>Velocidad media del flujo en el vertedero</t>
  </si>
  <si>
    <t>Vel</t>
  </si>
  <si>
    <t>L</t>
  </si>
  <si>
    <r>
      <t>∆</t>
    </r>
    <r>
      <rPr>
        <sz val="13.2"/>
        <color indexed="8"/>
        <rFont val="Calibri"/>
        <family val="2"/>
      </rPr>
      <t>H</t>
    </r>
  </si>
  <si>
    <r>
      <t>P</t>
    </r>
    <r>
      <rPr>
        <vertAlign val="subscript"/>
        <sz val="11"/>
        <color indexed="8"/>
        <rFont val="Calibri"/>
        <family val="2"/>
      </rPr>
      <t>(d=3,Tr=10)</t>
    </r>
  </si>
  <si>
    <t xml:space="preserve"> Tr</t>
  </si>
  <si>
    <r>
      <t>CT</t>
    </r>
    <r>
      <rPr>
        <vertAlign val="subscript"/>
        <sz val="11"/>
        <color indexed="8"/>
        <rFont val="Calibri"/>
        <family val="2"/>
      </rPr>
      <t>(Tr)</t>
    </r>
  </si>
  <si>
    <t>d=tc</t>
  </si>
  <si>
    <t>d=12 tc / 7</t>
  </si>
  <si>
    <t>Para el cálculo del volumen de la crecida extraordinaria:</t>
  </si>
  <si>
    <t>m3/s/mm/Ha, Caudal unitario específico de la avenida extraordinaria</t>
  </si>
  <si>
    <t>(km)</t>
  </si>
  <si>
    <t>m3/s, Caudal máximo de la avenida extraordinaria</t>
  </si>
  <si>
    <t>mm, retención en el suelo al inicio del escurrimiento</t>
  </si>
  <si>
    <t>Coeficiente de corrección según Período de Retorno (Figura 3.3)</t>
  </si>
  <si>
    <t>Coeficiente de corrección según Duración (Figura 3.4)</t>
  </si>
  <si>
    <t>Coeficiente de corrección según superficie de la cuenca (Figura 3.5)</t>
  </si>
  <si>
    <t>Coordenadas "Y" de las estaciones meteorológicas y pluviométricas utilizadas y mostradas en los mapas de la hoja "Ingreso Datos"</t>
  </si>
  <si>
    <t>En la hoja de Anexos "Bal Híd" se pueden apreciar gráficos auxiliares con la evolución mes a mes del Nivel de Embalse, el Volumen embalsado, y los volúmenes de déficit,  riego y  vertido para los valores medios de Ht, Ar y Hv  seleccionados.</t>
  </si>
  <si>
    <t>Área media a regar (Ar) c/demanda unitaria vdi:</t>
  </si>
  <si>
    <t>Con esto se define Hv, lo que determina también (junto con el fetch) la altura de la presa.</t>
  </si>
  <si>
    <t>Ancho mínimo por seguridad  =</t>
  </si>
  <si>
    <t>Nota: Existen otras hojas auxiliares ocultas para ayuda del procesamiento de algunos gráficos.</t>
  </si>
  <si>
    <t>En la hoja "Resultados" se presenta un resumen de los valores calculados, pudiendo observar algunos gráficos de interés en otras hojas de la planilla.</t>
  </si>
  <si>
    <t>En esta hoja se introducen casi todos los datos de entrada del proyecto. Si se quiere reutilizar la planilla para comenzar un nuevo cálculo, se sugiere borrar todos los datos previamente (presionando el botón) para evitar confusiones.</t>
  </si>
  <si>
    <t xml:space="preserve">Esta información se puede observar en los gráficos de  la  hoja anexa "Esc 1" o bien numéricamente en la última columna de la hoja "Esc 2". </t>
  </si>
  <si>
    <t xml:space="preserve">A veces la topografía de los valles tiene una característica determinada en las cotas más bajas y otra totalmente diferente en las que serán las cotas normales de oscilación del embalse (entre la cota de la toma y la del vertedero). </t>
  </si>
  <si>
    <t xml:space="preserve">Una vez introducidos los datos en los grupos 1, 2, 3 y 4, se debe ir a la hoja "I-Satisfac-Demanda" para seleccionar  valores de la cota de toma Ht, de la cota del vertedero Hv y de un área media a regar, actualizando el balance hídrico para cada alternativa. </t>
  </si>
  <si>
    <t>proceso automáticamente para todos los valores cruzados de los entornos señalados en la hoja anexa "Bal Híd". Se destaca que en la hoja anexa "Bal Hid"</t>
  </si>
  <si>
    <t>Si se recomendara solo el método del NRCS, con los datos de "NC" ingresados en el Grupo 2 queda completa la información necesaria, por lo que se puede saltear la introducción de los siguientes datos para el Método Racional, e ir directamente al Grupo 7.</t>
  </si>
  <si>
    <t xml:space="preserve">El valor máximo de sobreelevación del embalse "E" es aquel que se obtiene conteniendo toda la crecida con embalse inicial lleno y sin uso del vertedero. </t>
  </si>
  <si>
    <t>Para una gama de valores de "E" entre el 20 y el 80% del máximo se calculan los demás parámetros hidráulicos equilibrados indicados en el Manual, y se presenta un gráfico al pie de la hoja. Se debe asegurar:</t>
  </si>
  <si>
    <t xml:space="preserve">b) Que el valor de la velocidad del flujo "V" de agua en el vertedero canal esté dentro de los valores admisibles según la cobertura vegetal prevista, de modo que el canal no se erosione. </t>
  </si>
  <si>
    <t>Se muestra un corte longitudinal donde se representa  la sobreelevación en el embalse seleccionada, la pendiente del canal vertedero con su tirante y el coronamiento de la presa tomando en cuenta la "revancha" necesaria según el "fetch" introducido.</t>
  </si>
  <si>
    <t>Se debe verificar que "K"&lt;1 (para que haya un flujo lento) y una velocidad de flujo aceptable, para que se erosione el canal.</t>
  </si>
  <si>
    <t>Finalmente se debe introducir un valor de ancho "B" &gt; "Bmin" que permita darle al vertedero la capacidad suficiente para evacuar el caudal necesario, sin requerir una mayor sobreelevación "E" que la seleccionada. (Se grafican los anchos del vertedero)</t>
  </si>
  <si>
    <t>En el nomograma de más abajo (Figura 3.9 b del Manual) el círculo indica los valores seleccionados y la resolución gráfica de las ecuaciones de flujo en el canal.</t>
  </si>
  <si>
    <t>Se sugiere dar al vertedero canal un ancho mínimo absoluto de 5 metros, para asegurar que no se obstruya por falta de mantenimiento, con la venida de ramas y otros elementos que pueden llegar flotando en medio de tormentas importantes.</t>
  </si>
  <si>
    <t>hs, Duración = Tiempo de concentración</t>
  </si>
  <si>
    <t>hs, Duración = 12*(Tiempo de concentración)/7</t>
  </si>
  <si>
    <t>m  = Diferencia de cotas en el cauce principal</t>
  </si>
  <si>
    <t>km  = Longitud del Cauce Principal</t>
  </si>
  <si>
    <r>
      <t>mm, = P</t>
    </r>
    <r>
      <rPr>
        <vertAlign val="subscript"/>
        <sz val="10"/>
        <color indexed="8"/>
        <rFont val="Calibri"/>
        <family val="2"/>
      </rPr>
      <t>(d=3,Tr=10)</t>
    </r>
    <r>
      <rPr>
        <sz val="10"/>
        <color indexed="8"/>
        <rFont val="Calibri"/>
        <family val="2"/>
      </rPr>
      <t xml:space="preserve"> * CT</t>
    </r>
    <r>
      <rPr>
        <vertAlign val="subscript"/>
        <sz val="10"/>
        <color indexed="8"/>
        <rFont val="Calibri"/>
        <family val="2"/>
      </rPr>
      <t>(Tr)</t>
    </r>
    <r>
      <rPr>
        <sz val="10"/>
        <color indexed="8"/>
        <rFont val="Calibri"/>
        <family val="2"/>
      </rPr>
      <t xml:space="preserve"> * CD</t>
    </r>
    <r>
      <rPr>
        <vertAlign val="subscript"/>
        <sz val="10"/>
        <color indexed="8"/>
        <rFont val="Calibri"/>
        <family val="2"/>
      </rPr>
      <t>(12tc/7)</t>
    </r>
    <r>
      <rPr>
        <sz val="10"/>
        <color indexed="8"/>
        <rFont val="Calibri"/>
        <family val="2"/>
      </rPr>
      <t xml:space="preserve"> * CA</t>
    </r>
    <r>
      <rPr>
        <vertAlign val="subscript"/>
        <sz val="10"/>
        <color indexed="8"/>
        <rFont val="Calibri"/>
        <family val="2"/>
      </rPr>
      <t>(Ac, 12tc/7)</t>
    </r>
  </si>
  <si>
    <t>Para el cálculo del caudal máximo de la crecida extraordinaria:</t>
  </si>
  <si>
    <t>Area ocupada Hás</t>
  </si>
  <si>
    <t>msnm</t>
  </si>
  <si>
    <t>Diseño básico del Aliviadero-Canal</t>
  </si>
  <si>
    <t>Caracterización del terreno donde se implantará el aliviadero-canal:</t>
  </si>
  <si>
    <t>Graficación de los Valores Máximos de Suelos Empastados (según Tabla 3.5)</t>
  </si>
  <si>
    <t>Tablas auxiliares para formación del gráfico:</t>
  </si>
  <si>
    <t>Manual de diseño y construcción de pequeñas presas</t>
  </si>
  <si>
    <t>Volumen 1 - Diseño Hidrológico e Hidráulico</t>
  </si>
  <si>
    <t>DIMENSIONADO DEL VOLUMEN DE EMBALSE</t>
  </si>
  <si>
    <t>Diseño Aliv-Canal</t>
  </si>
  <si>
    <t>INFORMACIÓN BÁSICA</t>
  </si>
  <si>
    <t>Evap Tanque</t>
  </si>
  <si>
    <t>DIMENSIONADO DE LAS OBRAS NECESARIAS</t>
  </si>
  <si>
    <t>El color:</t>
  </si>
  <si>
    <t>Fetch</t>
  </si>
  <si>
    <t>&lt;1,6</t>
  </si>
  <si>
    <t>E=</t>
  </si>
  <si>
    <t>Fetch=</t>
  </si>
  <si>
    <t>DESCRIPCIÓN DE LAS HOJAS DE LA PLANILLA</t>
  </si>
  <si>
    <t>Valores acumulados mensuales de precipitaciones, en mm. Valores mayores a 0,1mm. Fuente: DNM.</t>
  </si>
  <si>
    <t xml:space="preserve">Área </t>
  </si>
  <si>
    <t>AD *</t>
  </si>
  <si>
    <t>* Agua Disponible s/Cuadro 2.1 o Mapa 2.2</t>
  </si>
  <si>
    <t>Hpresa</t>
  </si>
  <si>
    <r>
      <t>Q</t>
    </r>
    <r>
      <rPr>
        <b/>
        <vertAlign val="subscript"/>
        <sz val="10"/>
        <color indexed="8"/>
        <rFont val="Calibri"/>
        <family val="2"/>
      </rPr>
      <t>max</t>
    </r>
  </si>
  <si>
    <r>
      <t>V</t>
    </r>
    <r>
      <rPr>
        <b/>
        <vertAlign val="subscript"/>
        <sz val="10"/>
        <color indexed="8"/>
        <rFont val="Calibri"/>
        <family val="2"/>
      </rPr>
      <t>esc</t>
    </r>
  </si>
  <si>
    <r>
      <t xml:space="preserve">CD </t>
    </r>
    <r>
      <rPr>
        <vertAlign val="subscript"/>
        <sz val="10"/>
        <color indexed="8"/>
        <rFont val="Calibri"/>
        <family val="2"/>
      </rPr>
      <t>(tc)</t>
    </r>
  </si>
  <si>
    <r>
      <t>CA</t>
    </r>
    <r>
      <rPr>
        <vertAlign val="subscript"/>
        <sz val="10"/>
        <color indexed="8"/>
        <rFont val="Calibri"/>
        <family val="2"/>
      </rPr>
      <t>(Ac,Tc)</t>
    </r>
  </si>
  <si>
    <r>
      <t>P</t>
    </r>
    <r>
      <rPr>
        <vertAlign val="subscript"/>
        <sz val="10"/>
        <color indexed="8"/>
        <rFont val="Calibri"/>
        <family val="2"/>
      </rPr>
      <t>(tc,Tr,Ac)</t>
    </r>
  </si>
  <si>
    <r>
      <t xml:space="preserve">CD </t>
    </r>
    <r>
      <rPr>
        <vertAlign val="subscript"/>
        <sz val="10"/>
        <color indexed="8"/>
        <rFont val="Calibri"/>
        <family val="2"/>
      </rPr>
      <t>(12 tc /7)</t>
    </r>
  </si>
  <si>
    <r>
      <t>CA</t>
    </r>
    <r>
      <rPr>
        <vertAlign val="subscript"/>
        <sz val="10"/>
        <color indexed="8"/>
        <rFont val="Calibri"/>
        <family val="2"/>
      </rPr>
      <t>(Ac, 12tc/7)</t>
    </r>
  </si>
  <si>
    <r>
      <t>P</t>
    </r>
    <r>
      <rPr>
        <vertAlign val="subscript"/>
        <sz val="10"/>
        <color indexed="8"/>
        <rFont val="Calibri"/>
        <family val="2"/>
      </rPr>
      <t>(12tc/7,Tr,Ac)</t>
    </r>
  </si>
  <si>
    <r>
      <t>I</t>
    </r>
    <r>
      <rPr>
        <vertAlign val="subscript"/>
        <sz val="10"/>
        <color indexed="8"/>
        <rFont val="Calibri"/>
        <family val="2"/>
      </rPr>
      <t>a</t>
    </r>
  </si>
  <si>
    <r>
      <t>q</t>
    </r>
    <r>
      <rPr>
        <vertAlign val="subscript"/>
        <sz val="10"/>
        <color indexed="8"/>
        <rFont val="Calibri"/>
        <family val="2"/>
      </rPr>
      <t>max</t>
    </r>
  </si>
  <si>
    <t>Resultado:</t>
  </si>
  <si>
    <t>Hm3, Volumen de la avenida extraordinaria</t>
  </si>
  <si>
    <t>Alturas           h = (Hi-H*)</t>
  </si>
  <si>
    <r>
      <t>Area = F</t>
    </r>
    <r>
      <rPr>
        <b/>
        <vertAlign val="subscript"/>
        <sz val="11"/>
        <color indexed="8"/>
        <rFont val="Calibri"/>
        <family val="2"/>
      </rPr>
      <t>1</t>
    </r>
    <r>
      <rPr>
        <b/>
        <sz val="11"/>
        <color indexed="8"/>
        <rFont val="Calibri"/>
        <family val="2"/>
      </rPr>
      <t>(cota)</t>
    </r>
  </si>
  <si>
    <r>
      <t>Cota =F</t>
    </r>
    <r>
      <rPr>
        <b/>
        <vertAlign val="subscript"/>
        <sz val="11"/>
        <color indexed="8"/>
        <rFont val="Calibri"/>
        <family val="2"/>
      </rPr>
      <t>3</t>
    </r>
    <r>
      <rPr>
        <b/>
        <sz val="11"/>
        <color indexed="8"/>
        <rFont val="Calibri"/>
        <family val="2"/>
      </rPr>
      <t>(Volumen)</t>
    </r>
  </si>
  <si>
    <r>
      <t>Área= F</t>
    </r>
    <r>
      <rPr>
        <b/>
        <vertAlign val="subscript"/>
        <sz val="11"/>
        <color indexed="8"/>
        <rFont val="Calibri"/>
        <family val="2"/>
      </rPr>
      <t>4</t>
    </r>
    <r>
      <rPr>
        <b/>
        <sz val="11"/>
        <color indexed="8"/>
        <rFont val="Calibri"/>
        <family val="2"/>
      </rPr>
      <t>(Volumen)</t>
    </r>
  </si>
  <si>
    <r>
      <t>por integración de F</t>
    </r>
    <r>
      <rPr>
        <vertAlign val="subscript"/>
        <sz val="10"/>
        <color indexed="8"/>
        <rFont val="Calibri"/>
        <family val="2"/>
      </rPr>
      <t>1</t>
    </r>
  </si>
  <si>
    <r>
      <t>función inversa de F</t>
    </r>
    <r>
      <rPr>
        <vertAlign val="subscript"/>
        <sz val="10"/>
        <color indexed="8"/>
        <rFont val="Calibri"/>
        <family val="2"/>
      </rPr>
      <t>2</t>
    </r>
  </si>
  <si>
    <r>
      <t>como F</t>
    </r>
    <r>
      <rPr>
        <vertAlign val="subscript"/>
        <sz val="10"/>
        <color indexed="8"/>
        <rFont val="Calibri"/>
        <family val="2"/>
      </rPr>
      <t>1</t>
    </r>
    <r>
      <rPr>
        <sz val="10"/>
        <color indexed="8"/>
        <rFont val="Calibri"/>
        <family val="2"/>
      </rPr>
      <t>(F</t>
    </r>
    <r>
      <rPr>
        <vertAlign val="subscript"/>
        <sz val="10"/>
        <color indexed="8"/>
        <rFont val="Calibri"/>
        <family val="2"/>
      </rPr>
      <t>3</t>
    </r>
    <r>
      <rPr>
        <sz val="10"/>
        <color indexed="8"/>
        <rFont val="Calibri"/>
        <family val="2"/>
      </rPr>
      <t>(Vol))</t>
    </r>
  </si>
  <si>
    <t>Vembauxi</t>
  </si>
  <si>
    <t>Aembaux</t>
  </si>
  <si>
    <t>Vembi</t>
  </si>
  <si>
    <t>Aembi</t>
  </si>
  <si>
    <t>Vvi</t>
  </si>
  <si>
    <t>Vri</t>
  </si>
  <si>
    <t>km</t>
  </si>
  <si>
    <r>
      <t>H</t>
    </r>
    <r>
      <rPr>
        <vertAlign val="subscript"/>
        <sz val="12"/>
        <color indexed="8"/>
        <rFont val="Arial"/>
        <family val="2"/>
      </rPr>
      <t>revancha =</t>
    </r>
  </si>
  <si>
    <r>
      <t>H</t>
    </r>
    <r>
      <rPr>
        <vertAlign val="subscript"/>
        <sz val="12"/>
        <color indexed="8"/>
        <rFont val="Arial"/>
        <family val="2"/>
      </rPr>
      <t>revancha M</t>
    </r>
    <r>
      <rPr>
        <sz val="12"/>
        <color indexed="8"/>
        <rFont val="Arial"/>
        <family val="2"/>
      </rPr>
      <t xml:space="preserve"> = E + BL</t>
    </r>
    <r>
      <rPr>
        <vertAlign val="subscript"/>
        <sz val="12"/>
        <color indexed="8"/>
        <rFont val="Arial"/>
        <family val="2"/>
      </rPr>
      <t>Mínimo =</t>
    </r>
  </si>
  <si>
    <t>Tabla 3.6 Borde libre normal y mínimo según Fetch</t>
  </si>
  <si>
    <t>(Bureau of Reclamation, 1987)</t>
  </si>
  <si>
    <t>BLNormal</t>
  </si>
  <si>
    <t>BLMínimo</t>
  </si>
  <si>
    <t>Determinación de la Cota de Coronamiento de la Presa</t>
  </si>
  <si>
    <t>según 3.2.1</t>
  </si>
  <si>
    <t>Cota de Coronamiento: Hpresa=</t>
  </si>
  <si>
    <t>según 3.1.2; 3.1.3; y 3.1.4</t>
  </si>
  <si>
    <t>según 3.1.1</t>
  </si>
  <si>
    <t>según 2.2</t>
  </si>
  <si>
    <t>Nombre Estación</t>
  </si>
  <si>
    <t>Clasificación</t>
  </si>
  <si>
    <t>Meteorológica</t>
  </si>
  <si>
    <t>Pluviométrica</t>
  </si>
  <si>
    <t>Coordenadas Gauss-Kruger (m)</t>
  </si>
  <si>
    <t>Departamento</t>
  </si>
  <si>
    <t>MES</t>
  </si>
  <si>
    <t>según 2.1.1</t>
  </si>
  <si>
    <t>MODELO PRECIPITACIÓN ESCURRIMIENTO (TEMEZ 1977)</t>
  </si>
  <si>
    <t>según A.6</t>
  </si>
  <si>
    <t xml:space="preserve"> Hm3 </t>
  </si>
  <si>
    <t>Volumen de almacenamiento</t>
  </si>
  <si>
    <t xml:space="preserve"> Hm3</t>
  </si>
  <si>
    <t>Capacidad de Laminación de Crecidas (Qvmax/Qmax)</t>
  </si>
  <si>
    <t>Descripción</t>
  </si>
  <si>
    <t>Símbolo</t>
  </si>
  <si>
    <t>Según 2.2</t>
  </si>
  <si>
    <t>ASPECTOS IMPORTANTES A TENER EN CUENTA</t>
  </si>
  <si>
    <t>El ámbito de aplicación apropiado para las metodologías utilizadas y sus limitaciones está detalladamente descripto en el Manual.</t>
  </si>
  <si>
    <t>De ninguna manera esta planilla pretende reemplazar el uso del criterio profesional para la aplicación de las metodologías mencionadas en el Manual</t>
  </si>
  <si>
    <t>Solapa</t>
  </si>
  <si>
    <t>Descripción del contenido de la hoja</t>
  </si>
  <si>
    <t>PRESA</t>
  </si>
  <si>
    <t>ALIVIADERO-CANAL</t>
  </si>
  <si>
    <t>“Evaporación mensual de tanque A” en el periodo 1985-99 en el Uruguay. Fuente: DNM.</t>
  </si>
  <si>
    <t>Ancho del Vertedero</t>
  </si>
  <si>
    <t>Hoja Separadora de los Anexos.</t>
  </si>
  <si>
    <t>Esc 1</t>
  </si>
  <si>
    <t>Esc 2</t>
  </si>
  <si>
    <t>Av Proy</t>
  </si>
  <si>
    <t>Geom Emb</t>
  </si>
  <si>
    <t>Bal Híd</t>
  </si>
  <si>
    <t>Cota Coron</t>
  </si>
  <si>
    <t>Gr Vol Emb</t>
  </si>
  <si>
    <t>Con los datos introducidos, la hoja Anexo "Cota Coron" analiza la revancha y la cota de fundación y calcula la cota de coronamiento y la altura de la presa</t>
  </si>
  <si>
    <t>(Para que funcione el cálculo automático del gráfico se debe "habilitar macros")</t>
  </si>
  <si>
    <t xml:space="preserve">Para una sobreelevación en el embalse generada por la avenida de proyecto, calcula el ancho mínimo necesario del vertedero para evacuarla. </t>
  </si>
  <si>
    <t>Muestra todo gráficamente indicando también la velocidad del flujo resultante, que se deberá verificar que no sea erosiva para la cubierta vegetal del canal-vertedero.</t>
  </si>
  <si>
    <t>ANEXOS - HOJAS AUXILIARES</t>
  </si>
  <si>
    <t>Caudal de diseño del vertedero</t>
  </si>
  <si>
    <t>Caudal máximo de la crecida de proyecto</t>
  </si>
  <si>
    <t>Qmax</t>
  </si>
  <si>
    <t>m3/s</t>
  </si>
  <si>
    <t>Altura de la Presa</t>
  </si>
  <si>
    <t>Cota de Coronamiento de la Presa</t>
  </si>
  <si>
    <t>H</t>
  </si>
  <si>
    <t>Cota más baja de la fundación de la presa =</t>
  </si>
  <si>
    <t>Valmac.</t>
  </si>
  <si>
    <t>Vesc anual</t>
  </si>
  <si>
    <t>MODELO DE TEMEZ</t>
  </si>
  <si>
    <r>
      <t>mm, = P</t>
    </r>
    <r>
      <rPr>
        <vertAlign val="subscript"/>
        <sz val="10"/>
        <color indexed="8"/>
        <rFont val="Calibri"/>
        <family val="2"/>
      </rPr>
      <t>(d=3,Tr=10)</t>
    </r>
    <r>
      <rPr>
        <sz val="10"/>
        <color indexed="8"/>
        <rFont val="Calibri"/>
        <family val="2"/>
      </rPr>
      <t xml:space="preserve"> * CT</t>
    </r>
    <r>
      <rPr>
        <vertAlign val="subscript"/>
        <sz val="10"/>
        <color indexed="8"/>
        <rFont val="Calibri"/>
        <family val="2"/>
      </rPr>
      <t>(Tr)</t>
    </r>
    <r>
      <rPr>
        <sz val="10"/>
        <color indexed="8"/>
        <rFont val="Calibri"/>
        <family val="2"/>
      </rPr>
      <t xml:space="preserve"> * CD</t>
    </r>
    <r>
      <rPr>
        <vertAlign val="subscript"/>
        <sz val="10"/>
        <color indexed="8"/>
        <rFont val="Calibri"/>
        <family val="2"/>
      </rPr>
      <t>(tc)</t>
    </r>
    <r>
      <rPr>
        <sz val="10"/>
        <color indexed="8"/>
        <rFont val="Calibri"/>
        <family val="2"/>
      </rPr>
      <t xml:space="preserve"> * CA</t>
    </r>
    <r>
      <rPr>
        <vertAlign val="subscript"/>
        <sz val="10"/>
        <color indexed="8"/>
        <rFont val="Calibri"/>
        <family val="2"/>
      </rPr>
      <t>(Ac, Tc)</t>
    </r>
  </si>
  <si>
    <t>tc =</t>
  </si>
  <si>
    <t>Ac =</t>
  </si>
  <si>
    <t>A  aplicar</t>
  </si>
  <si>
    <t>min</t>
  </si>
  <si>
    <t>Valores de q para E=</t>
  </si>
  <si>
    <t>Valores de q para v=</t>
  </si>
  <si>
    <t>S/n2</t>
  </si>
  <si>
    <t>s/n2</t>
  </si>
  <si>
    <t>Límite</t>
  </si>
  <si>
    <t>Valores para graficar el punto:</t>
  </si>
  <si>
    <t>Nombre de la presa:</t>
  </si>
  <si>
    <r>
      <t>H</t>
    </r>
    <r>
      <rPr>
        <vertAlign val="subscript"/>
        <sz val="12"/>
        <color indexed="8"/>
        <rFont val="Arial"/>
        <family val="2"/>
      </rPr>
      <t>revancha N</t>
    </r>
    <r>
      <rPr>
        <sz val="12"/>
        <color indexed="8"/>
        <rFont val="Arial"/>
        <family val="2"/>
      </rPr>
      <t xml:space="preserve"> = BL</t>
    </r>
    <r>
      <rPr>
        <vertAlign val="subscript"/>
        <sz val="12"/>
        <color indexed="8"/>
        <rFont val="Arial"/>
        <family val="2"/>
      </rPr>
      <t>Normal</t>
    </r>
    <r>
      <rPr>
        <sz val="12"/>
        <color indexed="8"/>
        <rFont val="Arial"/>
        <family val="2"/>
      </rPr>
      <t xml:space="preserve">  =</t>
    </r>
  </si>
  <si>
    <r>
      <t>BL</t>
    </r>
    <r>
      <rPr>
        <vertAlign val="subscript"/>
        <sz val="12"/>
        <color indexed="8"/>
        <rFont val="Arial"/>
        <family val="2"/>
      </rPr>
      <t>Mínimo</t>
    </r>
    <r>
      <rPr>
        <sz val="12"/>
        <color indexed="8"/>
        <rFont val="Arial"/>
        <family val="2"/>
      </rPr>
      <t xml:space="preserve"> =</t>
    </r>
  </si>
  <si>
    <t>Déficit Vri-Vdi</t>
  </si>
  <si>
    <t>Vol entreg. para riego Vri</t>
  </si>
  <si>
    <t>Volumen vertido Vvi</t>
  </si>
  <si>
    <t>=&gt; Altura de la Presa =</t>
  </si>
  <si>
    <r>
      <t>H*i</t>
    </r>
    <r>
      <rPr>
        <sz val="9"/>
        <rFont val="Calibri"/>
        <family val="2"/>
      </rPr>
      <t xml:space="preserve">                   para mejor ajuste</t>
    </r>
  </si>
  <si>
    <t>Tabla auxiliar para incorporar los datos de Toma y Vertedero en el gráfico de Áreas y Volúmenes vs Cotas</t>
  </si>
  <si>
    <t>Cota  Toma</t>
  </si>
  <si>
    <t>Coeficientes de las curvas ajustadas</t>
  </si>
  <si>
    <t>CÁLCULO DEL VOLUMEN DE ESCURRIMIENTO</t>
  </si>
  <si>
    <t>Dimensionado del Volumen a Embalsar</t>
  </si>
  <si>
    <t>Dimensionado del Vertedero</t>
  </si>
  <si>
    <t>Dimensionado de la Presa</t>
  </si>
  <si>
    <t>Período de Retorno de la Avenida de Proyecto</t>
  </si>
  <si>
    <t>Tr</t>
  </si>
  <si>
    <t>años</t>
  </si>
  <si>
    <t>ANEXOS DE CÁLCULO</t>
  </si>
  <si>
    <r>
      <t>Q</t>
    </r>
    <r>
      <rPr>
        <b/>
        <vertAlign val="subscript"/>
        <sz val="14"/>
        <color indexed="8"/>
        <rFont val="Calibri"/>
        <family val="2"/>
      </rPr>
      <t>max</t>
    </r>
  </si>
  <si>
    <r>
      <t>V</t>
    </r>
    <r>
      <rPr>
        <b/>
        <vertAlign val="subscript"/>
        <sz val="14"/>
        <color indexed="8"/>
        <rFont val="Calibri"/>
        <family val="2"/>
      </rPr>
      <t>esc</t>
    </r>
  </si>
  <si>
    <r>
      <t>Selección del Método para el cálculo del Q</t>
    </r>
    <r>
      <rPr>
        <b/>
        <u/>
        <vertAlign val="subscript"/>
        <sz val="11"/>
        <color indexed="8"/>
        <rFont val="Calibri"/>
        <family val="2"/>
      </rPr>
      <t>máx</t>
    </r>
    <r>
      <rPr>
        <b/>
        <u/>
        <sz val="11"/>
        <color indexed="8"/>
        <rFont val="Calibri"/>
        <family val="2"/>
      </rPr>
      <t xml:space="preserve"> y el Vol</t>
    </r>
    <r>
      <rPr>
        <b/>
        <u/>
        <vertAlign val="subscript"/>
        <sz val="11"/>
        <color indexed="8"/>
        <rFont val="Calibri"/>
        <family val="2"/>
      </rPr>
      <t>máx</t>
    </r>
  </si>
  <si>
    <t>DEFINICIÓN DE LAS COTAS PRINCIPALES Y VOLUMEN DE ALMACENAMIENTO</t>
  </si>
  <si>
    <r>
      <t>Vol = F</t>
    </r>
    <r>
      <rPr>
        <b/>
        <vertAlign val="subscript"/>
        <sz val="11"/>
        <color indexed="8"/>
        <rFont val="Calibri"/>
        <family val="2"/>
      </rPr>
      <t>2</t>
    </r>
    <r>
      <rPr>
        <b/>
        <sz val="11"/>
        <color indexed="8"/>
        <rFont val="Calibri"/>
        <family val="2"/>
      </rPr>
      <t>(cota)</t>
    </r>
  </si>
  <si>
    <t>por mínimos cuadrados de los logaritmos</t>
  </si>
  <si>
    <r>
      <t>A [Há] = a.(H-H*)</t>
    </r>
    <r>
      <rPr>
        <b/>
        <vertAlign val="superscript"/>
        <sz val="10"/>
        <color indexed="8"/>
        <rFont val="Calibri"/>
        <family val="2"/>
      </rPr>
      <t>b</t>
    </r>
  </si>
  <si>
    <r>
      <t>Vol [Hm3]= c.(H-H*)</t>
    </r>
    <r>
      <rPr>
        <b/>
        <vertAlign val="superscript"/>
        <sz val="10"/>
        <color indexed="8"/>
        <rFont val="Calibri"/>
        <family val="2"/>
      </rPr>
      <t>d</t>
    </r>
  </si>
  <si>
    <t>a</t>
  </si>
  <si>
    <t>b</t>
  </si>
  <si>
    <t>c</t>
  </si>
  <si>
    <t>d</t>
  </si>
  <si>
    <r>
      <t>H[msnm] = H* + e.(Vol)</t>
    </r>
    <r>
      <rPr>
        <b/>
        <vertAlign val="superscript"/>
        <sz val="10"/>
        <color indexed="8"/>
        <rFont val="Calibri"/>
        <family val="2"/>
      </rPr>
      <t>f</t>
    </r>
  </si>
  <si>
    <r>
      <t>A [Há] = g.(Vol)</t>
    </r>
    <r>
      <rPr>
        <b/>
        <vertAlign val="superscript"/>
        <sz val="10"/>
        <color indexed="8"/>
        <rFont val="Calibri"/>
        <family val="2"/>
      </rPr>
      <t>h</t>
    </r>
  </si>
  <si>
    <t>e</t>
  </si>
  <si>
    <t>f</t>
  </si>
  <si>
    <t>g</t>
  </si>
  <si>
    <t>h</t>
  </si>
  <si>
    <r>
      <t>Área (Há) = F</t>
    </r>
    <r>
      <rPr>
        <vertAlign val="subscript"/>
        <sz val="11"/>
        <color indexed="8"/>
        <rFont val="Calibri"/>
        <family val="2"/>
      </rPr>
      <t>1</t>
    </r>
    <r>
      <rPr>
        <sz val="11"/>
        <color indexed="8"/>
        <rFont val="Calibri"/>
        <family val="2"/>
      </rPr>
      <t>(Cota)</t>
    </r>
  </si>
  <si>
    <t>Vol (Hm3) = F2(Cota)</t>
  </si>
  <si>
    <t>Valores según curvas ajustadas</t>
  </si>
  <si>
    <t>= Cantidad de Áreas medidas</t>
  </si>
  <si>
    <t>=  H* [msnm].    Cota virtual para ajuste de los coeficientes en la zona de almacenamiento útil</t>
  </si>
  <si>
    <t>Del relevamiento de campo</t>
  </si>
  <si>
    <t>Áreas (Há)</t>
  </si>
  <si>
    <t>Proceso para ajuste de la curva áreas-cotas</t>
  </si>
  <si>
    <t>Coefic. Dist</t>
  </si>
  <si>
    <t>Calcula la revancha necesaria en función del Fetch y calcula la Cota de Coronamiento de la Presa. Con la cota de fundación, calcula la altura de la presa.</t>
  </si>
  <si>
    <t>Procesa la serie de precipitaciones y obtiene la serie de escurrimientos, aplicando el Modelo de Temez</t>
  </si>
  <si>
    <t>Calcula los coeficientes de las curvas Área-Altura y Volumen-Altura en función de las mediciones del terreno</t>
  </si>
  <si>
    <t>Distancia desde el punto de cierre (km):</t>
  </si>
  <si>
    <t xml:space="preserve">En la hoja "Ingreso Datos" se ingresa la mayor parte de la información necesaria, completándose con el ingreso de otros datos para fines específicos en las hojas "I-Satisfac-Demanda", y "Diseño Aliv-Canal". </t>
  </si>
  <si>
    <t>Las siguientes son las instrucciones paso a paso para el ingreso de información necesaria:</t>
  </si>
  <si>
    <t>se adopta un B=</t>
  </si>
  <si>
    <r>
      <t xml:space="preserve">Esta planilla complementa el </t>
    </r>
    <r>
      <rPr>
        <b/>
        <i/>
        <sz val="11"/>
        <color indexed="8"/>
        <rFont val="Arial"/>
        <family val="2"/>
      </rPr>
      <t>Manual de diseño y construcción de pequeñas presas</t>
    </r>
    <r>
      <rPr>
        <b/>
        <sz val="11"/>
        <color indexed="8"/>
        <rFont val="Arial"/>
        <family val="2"/>
      </rPr>
      <t xml:space="preserve"> editado para el Uruguay por la DINAGUA (MVOTMA) en marzo de 2011.</t>
    </r>
  </si>
  <si>
    <t>Las hojas de la planilla están protegidas para evitar errores accidentales, estando desbloqueadas las celdas suficientes para introducir toda la información necesaria.</t>
  </si>
  <si>
    <t>Determinación del Escurrimiento medio anual de la cuenca</t>
  </si>
  <si>
    <t>Revancha adoptada</t>
  </si>
  <si>
    <r>
      <t>H</t>
    </r>
    <r>
      <rPr>
        <vertAlign val="subscript"/>
        <sz val="12"/>
        <color indexed="8"/>
        <rFont val="Arial"/>
        <family val="2"/>
      </rPr>
      <t>revancha</t>
    </r>
  </si>
  <si>
    <t>Cantidad actual de valores NO válidos:</t>
  </si>
  <si>
    <t>Cantidad original de valores "s/dato":</t>
  </si>
  <si>
    <t>Para ciertos meses la Dirección Nacional de Meteorología informa un valor "s/dato", lo que no permite la consideración de la serie completa de precipitaciones para la Estación. El proyectista podrá optar por cambiar de Estación, o por adoptar algún criterio y asignar valores de precipitación a dichos meses (Las celdas "s/dato" están desbloqueadas).</t>
  </si>
  <si>
    <t>1.-</t>
  </si>
  <si>
    <t>2.-</t>
  </si>
  <si>
    <t>3.-</t>
  </si>
  <si>
    <t>4.-</t>
  </si>
  <si>
    <t>5.-</t>
  </si>
  <si>
    <t>6.-</t>
  </si>
  <si>
    <t>Obtiene los volúmenes regados y vertidos en función del escurrimiento, las precipitaciones, la evaporación y la demanda, para cada conjunto de Ht, Hv y Ar.</t>
  </si>
  <si>
    <t>Valores del coeficiente de rugosidad “n” de Manning</t>
  </si>
  <si>
    <t>Superficie del canal</t>
  </si>
  <si>
    <t>Condición de las paredes</t>
  </si>
  <si>
    <t>Buena</t>
  </si>
  <si>
    <t>Regular</t>
  </si>
  <si>
    <t>Mala</t>
  </si>
  <si>
    <t>En tierra, rectos y uniformes</t>
  </si>
  <si>
    <t>0,025 *</t>
  </si>
  <si>
    <t>En roca, lisos y uniformes</t>
  </si>
  <si>
    <t>0,033 *</t>
  </si>
  <si>
    <t>En roca, con salientes, sinuosos</t>
  </si>
  <si>
    <t>Sinuosos de escurrimiento lento</t>
  </si>
  <si>
    <t>Dragados en tierra</t>
  </si>
  <si>
    <t>0,0275 *</t>
  </si>
  <si>
    <t>0,035 *</t>
  </si>
  <si>
    <t>Plantilla de tierra, taludes ásperos</t>
  </si>
  <si>
    <t>* Valores corrientemente usados en la práctica</t>
  </si>
  <si>
    <t>Tablas auxiliares</t>
  </si>
  <si>
    <t xml:space="preserve">Lecho pedregoso, bordes tierra y maleza </t>
  </si>
  <si>
    <t>ESTIMACIÓN DEL VOLUMEN DE ESCURRIMIENTO DE LA CUENCA DE APORTE</t>
  </si>
  <si>
    <r>
      <t>Para el cálculo de la Crecida de Proyecto</t>
    </r>
    <r>
      <rPr>
        <sz val="11"/>
        <color indexed="8"/>
        <rFont val="Calibri"/>
        <family val="2"/>
      </rPr>
      <t xml:space="preserve"> (además de los NC introducidos en "2")</t>
    </r>
  </si>
  <si>
    <t>Grupo 5</t>
  </si>
  <si>
    <t>Ht, Hv, Ar</t>
  </si>
  <si>
    <t>Grupo 6</t>
  </si>
  <si>
    <t>Se debe introducir la precipitación máxima de la cuenca (para una duración = 3 horas y un Tiempo de recurrencia de 10 años) obtenida por interpolación de los valores del Mapa 3.1 del Manual, que se muestra en la misma hoja "Ingreso de datos".</t>
  </si>
  <si>
    <t xml:space="preserve">Con los datos ingresados hasta aquí, según el área de la cuenca y el tiempo de concentración calculado, la planilla recomienda el método a seguir para el cálculo de la Avenida de Proyecto. </t>
  </si>
  <si>
    <t>Diseño de las obras necesarias. Avenida de Proyecto</t>
  </si>
  <si>
    <t>Diseño de las obras necesarias. Alilviadero y Presa</t>
  </si>
  <si>
    <t>Para el diseño del aliviadero</t>
  </si>
  <si>
    <t>Grupo 7</t>
  </si>
  <si>
    <t>Cota coronamiento = Hv+</t>
  </si>
  <si>
    <t xml:space="preserve">E = </t>
  </si>
  <si>
    <t>y una velocidad de escurrimiento, v=</t>
  </si>
  <si>
    <t>m, que genera una capacidad de evacuación de</t>
  </si>
  <si>
    <t>B min =</t>
  </si>
  <si>
    <t>B adopt =</t>
  </si>
  <si>
    <t xml:space="preserve">Tirante = </t>
  </si>
  <si>
    <t>q =</t>
  </si>
  <si>
    <t>Sin verter, la crecida de proyecto generaría una sobreelevación "Emax"=</t>
  </si>
  <si>
    <t>se necesita evacuar un Qvmax=</t>
  </si>
  <si>
    <t>La sobreelevación "E" adoptada, genera un tirante "y" en el canal del vertedero, y=</t>
  </si>
  <si>
    <t>Para evacuar el Q necesario el ancho mínimo "B" del vertedero es "Bmin"=</t>
  </si>
  <si>
    <t>Para limitar la sobreelevación en el embalse a "E"=</t>
  </si>
  <si>
    <t>Tabla auxiliar para la generación del corte transversal por el vetedero</t>
  </si>
  <si>
    <t>Anchos</t>
  </si>
  <si>
    <t>Datos Auxiliares para generación del corte longitudinal por el embalse</t>
  </si>
  <si>
    <t>s/n2=</t>
  </si>
  <si>
    <t>Extensión de las líneas divisorias</t>
  </si>
  <si>
    <t>Las curvas "v" y "E" están referidas a la hoja "Datos Gr q E sn2" que está oculta</t>
  </si>
  <si>
    <t>Seleccionar e introducir un valor final de "E" con lo que se obtiene el caudal que es necesario evacuar para que el embalse no se sobreeleve más que dicho valor, y el ancho mínimo del vertedero.</t>
  </si>
  <si>
    <t>Sus observaciones y comentarios sobre el Manual y esta planilla complementaria serán siempre bien recibidas.   Escríbanos a: dinagua@mvotma.gub.uy</t>
  </si>
  <si>
    <r>
      <t xml:space="preserve">Con estos datos, se debe determinar la sobreelevación en el embalse durante la tormenta y el ancho del vertedero, </t>
    </r>
    <r>
      <rPr>
        <b/>
        <sz val="11"/>
        <color indexed="8"/>
        <rFont val="Calibri"/>
        <family val="2"/>
      </rPr>
      <t>en la hoja "Diseño Aliv-Canal"</t>
    </r>
  </si>
  <si>
    <r>
      <t xml:space="preserve">Una vez introducidos los datos en 1, 2, 3 y 4, </t>
    </r>
    <r>
      <rPr>
        <b/>
        <sz val="9"/>
        <color indexed="8"/>
        <rFont val="Calibri"/>
        <family val="2"/>
      </rPr>
      <t>en la hoja "I-Satisfac-Demanda"</t>
    </r>
    <r>
      <rPr>
        <sz val="9"/>
        <color indexed="8"/>
        <rFont val="Calibri"/>
        <family val="2"/>
      </rPr>
      <t xml:space="preserve"> adoptar  valores de la cota de toma Ht, de la cota del vertedero Hv y de un área a regar, actualizando el balance hídrico para cada alternativa. </t>
    </r>
  </si>
  <si>
    <t>Se introduce el Fetch estimado para el embalse (la máxima longitud sobre el embalse en que puede incidir el viento generando olas que impacten en el paramento aguas arriba de la presa). Se utiliza el criterio del USBR para determinar la revancha.</t>
  </si>
  <si>
    <t>"E" y "B" en hoja "Diseño Aliv-Canal"</t>
  </si>
  <si>
    <t xml:space="preserve">Con esto queda dimensionado el vertedero (se deberá respetar un largo mínimo de cinco veces su ancho para que esta metodología de cálculo hidráulico sea válida). </t>
  </si>
  <si>
    <t>Unidad Cartográfica de Suelos (escala1:1000000)</t>
  </si>
  <si>
    <t>Agua Disponible (mm)</t>
  </si>
  <si>
    <t>Grupo Hidrológico</t>
  </si>
  <si>
    <t>Alférez</t>
  </si>
  <si>
    <t>AF</t>
  </si>
  <si>
    <t>Algorta</t>
  </si>
  <si>
    <t>Al</t>
  </si>
  <si>
    <t>C/D</t>
  </si>
  <si>
    <t>Andresito</t>
  </si>
  <si>
    <t>An</t>
  </si>
  <si>
    <t>Angostura</t>
  </si>
  <si>
    <t>Ag</t>
  </si>
  <si>
    <t>A/D</t>
  </si>
  <si>
    <t>Aparicio Saravia</t>
  </si>
  <si>
    <t>AS</t>
  </si>
  <si>
    <t>Arapey</t>
  </si>
  <si>
    <t>Ay</t>
  </si>
  <si>
    <t>Arroyo Blanco</t>
  </si>
  <si>
    <t>AB</t>
  </si>
  <si>
    <t>Arroyo Hospital</t>
  </si>
  <si>
    <t>AH</t>
  </si>
  <si>
    <t>Bacacuá</t>
  </si>
  <si>
    <t>Ba</t>
  </si>
  <si>
    <t>Balneario Jaureguiberry</t>
  </si>
  <si>
    <t>BJ</t>
  </si>
  <si>
    <t>Bañado de Farrapos</t>
  </si>
  <si>
    <t>BF</t>
  </si>
  <si>
    <t>Bañado de Oro</t>
  </si>
  <si>
    <t>BO</t>
  </si>
  <si>
    <t>Baygorria</t>
  </si>
  <si>
    <t>By</t>
  </si>
  <si>
    <t>Bellaco</t>
  </si>
  <si>
    <t>Bc</t>
  </si>
  <si>
    <t>Bequeló</t>
  </si>
  <si>
    <t>Bq</t>
  </si>
  <si>
    <t>Blanquillo</t>
  </si>
  <si>
    <t>Bl</t>
  </si>
  <si>
    <t>Cañada Nieto</t>
  </si>
  <si>
    <t>CñN</t>
  </si>
  <si>
    <t>Capilla de Farruco</t>
  </si>
  <si>
    <t>CF</t>
  </si>
  <si>
    <t>B/D</t>
  </si>
  <si>
    <t>Carapé</t>
  </si>
  <si>
    <t>Ca</t>
  </si>
  <si>
    <t>Carpintería</t>
  </si>
  <si>
    <t>Cpt</t>
  </si>
  <si>
    <t>Cebollatí</t>
  </si>
  <si>
    <t>Cb</t>
  </si>
  <si>
    <t>CCh</t>
  </si>
  <si>
    <t>Chapicuy</t>
  </si>
  <si>
    <t>CP</t>
  </si>
  <si>
    <t>Colonia Palma</t>
  </si>
  <si>
    <t>Ct</t>
  </si>
  <si>
    <t>Constitución</t>
  </si>
  <si>
    <t>Cr</t>
  </si>
  <si>
    <t>Cuaró</t>
  </si>
  <si>
    <t>CCa</t>
  </si>
  <si>
    <t>Cuchilla Caraguatá</t>
  </si>
  <si>
    <t>CCo</t>
  </si>
  <si>
    <t>Cuchilla Corrales</t>
  </si>
  <si>
    <t>CC</t>
  </si>
  <si>
    <t>CH-PT</t>
  </si>
  <si>
    <t>Cuchilla del Corralito</t>
  </si>
  <si>
    <t>CM</t>
  </si>
  <si>
    <t>Cuchilla Mangueras</t>
  </si>
  <si>
    <t>CSA</t>
  </si>
  <si>
    <t>Cuchilla Santa Ana</t>
  </si>
  <si>
    <t>Cu</t>
  </si>
  <si>
    <t>Curtina</t>
  </si>
  <si>
    <t>Ch</t>
  </si>
  <si>
    <t>Ecilda Paullier - Las Brujas</t>
  </si>
  <si>
    <t>EP-LB</t>
  </si>
  <si>
    <t>El Ceibo</t>
  </si>
  <si>
    <t>EC</t>
  </si>
  <si>
    <t>El Palmito</t>
  </si>
  <si>
    <t>EPa</t>
  </si>
  <si>
    <t>Espinillar</t>
  </si>
  <si>
    <t>Ep</t>
  </si>
  <si>
    <t>FM</t>
  </si>
  <si>
    <t>Fray Bentos</t>
  </si>
  <si>
    <t>FB</t>
  </si>
  <si>
    <t>India Muerta</t>
  </si>
  <si>
    <t>IMu</t>
  </si>
  <si>
    <t>Isla Mala</t>
  </si>
  <si>
    <t>IM</t>
  </si>
  <si>
    <t>Islas del Uruguay</t>
  </si>
  <si>
    <t>IU</t>
  </si>
  <si>
    <t>Itapebí -Tres Arboles</t>
  </si>
  <si>
    <t>I-TA</t>
  </si>
  <si>
    <t>JPV</t>
  </si>
  <si>
    <t>Kiyú</t>
  </si>
  <si>
    <t>Ky</t>
  </si>
  <si>
    <t>La Carolina</t>
  </si>
  <si>
    <t>LC</t>
  </si>
  <si>
    <t>La Charqueada</t>
  </si>
  <si>
    <t>LCh</t>
  </si>
  <si>
    <t>Laguna Merín</t>
  </si>
  <si>
    <t>LMe</t>
  </si>
  <si>
    <t>Las Toscas</t>
  </si>
  <si>
    <t>LT</t>
  </si>
  <si>
    <t>Lascano</t>
  </si>
  <si>
    <t>La</t>
  </si>
  <si>
    <t>Lechiguana</t>
  </si>
  <si>
    <t>Le</t>
  </si>
  <si>
    <t>Libertad</t>
  </si>
  <si>
    <t>Li</t>
  </si>
  <si>
    <t>Los Mimbres</t>
  </si>
  <si>
    <t>LM</t>
  </si>
  <si>
    <t>Manuel Oribe</t>
  </si>
  <si>
    <t>MO</t>
  </si>
  <si>
    <t>Ma</t>
  </si>
  <si>
    <t>Montecoral</t>
  </si>
  <si>
    <t>Mc</t>
  </si>
  <si>
    <t>Palleros</t>
  </si>
  <si>
    <t>Pll</t>
  </si>
  <si>
    <t>Paso Cohelo</t>
  </si>
  <si>
    <t>PC</t>
  </si>
  <si>
    <t>Paso Palmar</t>
  </si>
  <si>
    <t>PP</t>
  </si>
  <si>
    <t>Pueblo del Barro</t>
  </si>
  <si>
    <t>PB</t>
  </si>
  <si>
    <t>Puntas de Herrera</t>
  </si>
  <si>
    <t>PdH</t>
  </si>
  <si>
    <t>QCh</t>
  </si>
  <si>
    <t>Rincón de la Urbana</t>
  </si>
  <si>
    <t>RU</t>
  </si>
  <si>
    <t>Rincón de Ramirez</t>
  </si>
  <si>
    <t>RR</t>
  </si>
  <si>
    <t>Rincón de Zamora</t>
  </si>
  <si>
    <t>RZ</t>
  </si>
  <si>
    <t>B/C</t>
  </si>
  <si>
    <t>Río Branco</t>
  </si>
  <si>
    <t>RB</t>
  </si>
  <si>
    <t>Río Tacuarembó</t>
  </si>
  <si>
    <t>RT</t>
  </si>
  <si>
    <t>Risso</t>
  </si>
  <si>
    <t>Ri</t>
  </si>
  <si>
    <t>Rv</t>
  </si>
  <si>
    <t>St</t>
  </si>
  <si>
    <t>San Carlos</t>
  </si>
  <si>
    <t>SC</t>
  </si>
  <si>
    <t>San Gabriel - Guaycurú</t>
  </si>
  <si>
    <t>SG-G</t>
  </si>
  <si>
    <t>San Jacinto</t>
  </si>
  <si>
    <t>SJc</t>
  </si>
  <si>
    <t>San Jorge</t>
  </si>
  <si>
    <t>SJo</t>
  </si>
  <si>
    <t>San Luis</t>
  </si>
  <si>
    <t>SL</t>
  </si>
  <si>
    <t>San Manuel</t>
  </si>
  <si>
    <t>SM</t>
  </si>
  <si>
    <t>San Ramón</t>
  </si>
  <si>
    <t>SR</t>
  </si>
  <si>
    <t>Santa Clara</t>
  </si>
  <si>
    <t>SCl</t>
  </si>
  <si>
    <t>Sarandí de Tejera</t>
  </si>
  <si>
    <t>SdT</t>
  </si>
  <si>
    <t>Sierra de Aiguá</t>
  </si>
  <si>
    <t>SAg</t>
  </si>
  <si>
    <t>Sierra de Ánimas</t>
  </si>
  <si>
    <t>SA</t>
  </si>
  <si>
    <t>Sierra de Mahoma</t>
  </si>
  <si>
    <t>SMh</t>
  </si>
  <si>
    <t>Sierra Polanco</t>
  </si>
  <si>
    <t>SP</t>
  </si>
  <si>
    <t>Ta</t>
  </si>
  <si>
    <t>Tala - Rodríguez</t>
  </si>
  <si>
    <t>Tl-Rd</t>
  </si>
  <si>
    <t>Toledo</t>
  </si>
  <si>
    <t>Tol</t>
  </si>
  <si>
    <t>Tres Bocas</t>
  </si>
  <si>
    <t>TB</t>
  </si>
  <si>
    <t>Tres Cerros</t>
  </si>
  <si>
    <t>TC</t>
  </si>
  <si>
    <t>Tres Islas</t>
  </si>
  <si>
    <t>TI</t>
  </si>
  <si>
    <t>Tres Puentes</t>
  </si>
  <si>
    <t>TP</t>
  </si>
  <si>
    <t>Trinidad</t>
  </si>
  <si>
    <t>Valle Aiguá</t>
  </si>
  <si>
    <t>VA</t>
  </si>
  <si>
    <r>
      <t>La introducción de la información hasta aquí indicada, genera automáticamente el procesamiento del Modelo de Temez y el cálculo de los volúmenes mensuales de escurrimiento en Hm</t>
    </r>
    <r>
      <rPr>
        <i/>
        <vertAlign val="superscript"/>
        <sz val="11"/>
        <color indexed="8"/>
        <rFont val="Calibri"/>
        <family val="2"/>
      </rPr>
      <t>3</t>
    </r>
    <r>
      <rPr>
        <i/>
        <sz val="11"/>
        <color indexed="8"/>
        <rFont val="Calibri"/>
        <family val="2"/>
      </rPr>
      <t xml:space="preserve">/mes. </t>
    </r>
  </si>
  <si>
    <t>Grupo 4</t>
  </si>
  <si>
    <t>Otros datos para el cálculo de la Avenida de Proyecto</t>
  </si>
  <si>
    <t>Valle Fuentes</t>
  </si>
  <si>
    <t>VF</t>
  </si>
  <si>
    <t>Vergara</t>
  </si>
  <si>
    <t>Ve</t>
  </si>
  <si>
    <t>Villa Soriano</t>
  </si>
  <si>
    <t>VS</t>
  </si>
  <si>
    <t>Yí</t>
  </si>
  <si>
    <t>Yi</t>
  </si>
  <si>
    <t>Young</t>
  </si>
  <si>
    <t>Yg</t>
  </si>
  <si>
    <t>Zapallar</t>
  </si>
  <si>
    <t>Zp</t>
  </si>
  <si>
    <t>Zapicán</t>
  </si>
  <si>
    <t>Za</t>
  </si>
  <si>
    <t>PARÁMETROS FIJOS PARA EL MODELO DE TEMEZ</t>
  </si>
  <si>
    <t>Parámetros propios del modelo, calibrados para pequeñas cuencas del Uruguay (Según A.1)</t>
  </si>
  <si>
    <t>NC ponderado:</t>
  </si>
  <si>
    <t>Con la selección realizada para el valor de la ETPm, el Agua Disponible según las Unidades de Suelo de la cuenca y sus áreas y los 30 años de precipitaciones medidos la Estación más cercana de la cuenca, de la aplicación del modelo de Temez en el "Anexo Escurrimiento" se tiene el siguiente resultado:</t>
  </si>
  <si>
    <t>AGUA DISPONIBLE Y GRUPO HIDROLÓGICO SEGÚN LA UNIDAD DE SUELO</t>
  </si>
  <si>
    <t>CRSU-AD-GH</t>
  </si>
  <si>
    <t>Valores de Agua Disponible y Grupo Hidrológico de los Suelos del Uruguay según la Unidad de Suelo.-</t>
  </si>
  <si>
    <t>Se muestra el resultado de la aplicación del modelo de Temez en función de los datos generales ingresados para la cuenca</t>
  </si>
  <si>
    <t>Análisis de la Satisfacción de la Demanda</t>
  </si>
  <si>
    <t>Cuadro Resumen de ISD calculados por la "macro" para valores de Ar y Hv</t>
  </si>
  <si>
    <t>Cod. Verificación de macro:</t>
  </si>
  <si>
    <t>VolHt</t>
  </si>
  <si>
    <t>VolHv</t>
  </si>
  <si>
    <t>Ar</t>
  </si>
  <si>
    <t>ISD Índice de Satisfacción de la Demanda</t>
  </si>
  <si>
    <t>para graf</t>
  </si>
  <si>
    <t>Cotas de vertedero</t>
  </si>
  <si>
    <t>Intro</t>
  </si>
  <si>
    <t>Esta hoja</t>
  </si>
  <si>
    <t>Para cada valor de Ht, el gráfico de "Análisis de Satisfacción de la demanda" muestra el ISD calculado según el capítulo 2.2 del Manual para el entorno de los valores de Hv y Ar seleccionados.</t>
  </si>
  <si>
    <t>-Ciclo demanda de riego (incluyendo pérdidas)</t>
  </si>
  <si>
    <t>SUELOS Y ÁREAS DE LA CUENCA</t>
  </si>
  <si>
    <t>Grupo 1</t>
  </si>
  <si>
    <t>Introducir el NOMBRE del Proyecto o del Titular. Esta información se repetirá automáticamente en todas las hojas de la planilla.</t>
  </si>
  <si>
    <t>La Estación de Tanque evaporímetro más cercana también queda seleccionada automáticamente con las coordenadas del baricentro de la cuenca. Con esto, se asocian los valores más adecuados de Evaporación media mensual de Tanque "A" en mm.</t>
  </si>
  <si>
    <t>Introducir el valor de Evapotranspiración media anual "ETPm" en mm, obtenido mediante interpolación de las isolíneas del Mapa 2.3 del Manual que se presenta a la derecha de la hoja. La ubicación de la cuenca se indica según las coordenadas introducidas.-</t>
  </si>
  <si>
    <t>Grupo 2</t>
  </si>
  <si>
    <t>Número de Curva</t>
  </si>
  <si>
    <t xml:space="preserve">Para el cálculo de la Avenida de proyecto según el método del NRCS, con el "Grupo Hidrológico" del suelo que se muestra en la columna contigua se debe identificar el NC (Número de Curva) correspondiente en la Tabla 3.3 del Manual. </t>
  </si>
  <si>
    <t>Grupo 3</t>
  </si>
  <si>
    <t>Se debe privilegiar el mejor ajuste en las cotas superiores, ya que es ahí donde se contienen los mayores volúmenes de agua, por lo que en ocasiones conviene descartar las mediciones en cotas inferiores para lograr mayor precisión.</t>
  </si>
  <si>
    <t>indica las celdas desbloqueadas donde el usuario ingresa información que se utiliza en los cálculos</t>
  </si>
  <si>
    <t>Conjunto activo</t>
  </si>
  <si>
    <t>x</t>
  </si>
  <si>
    <t>ISD var</t>
  </si>
  <si>
    <t>copiar ISD var y 'pegar valores' a ISD fijo</t>
  </si>
  <si>
    <t>Cota de vertido Hv:</t>
  </si>
  <si>
    <t>vd i (mm)</t>
  </si>
  <si>
    <t>en un entorno de</t>
  </si>
  <si>
    <t>m en más y en menos</t>
  </si>
  <si>
    <t xml:space="preserve">en un entorno de un </t>
  </si>
  <si>
    <t>% en más y en menos</t>
  </si>
  <si>
    <t>Cod. Verificación de valores on line:</t>
  </si>
  <si>
    <t>INSTRUCTIVO PASO A PASO PARA EL USO DE LA PLANILLA</t>
  </si>
  <si>
    <t>NO   REEMPLAZA    AL   TEXTO   DEL   MANUAL</t>
  </si>
  <si>
    <t>Comentario</t>
  </si>
  <si>
    <t>Nombre de la presa</t>
  </si>
  <si>
    <t>Coordenada X Coordenada Y</t>
  </si>
  <si>
    <t>ETPm (del Mapa 2.3)</t>
  </si>
  <si>
    <t>Unidades de Suelo y áreas parciales en la cuenca</t>
  </si>
  <si>
    <t>Cotas (m) y Áreas (en hectáreas)</t>
  </si>
  <si>
    <t>Ciclo anual de demanda de agua (en mm)</t>
  </si>
  <si>
    <t>Coeficiente de escorrentía</t>
  </si>
  <si>
    <t>S</t>
  </si>
  <si>
    <t>n</t>
  </si>
  <si>
    <r>
      <t>t</t>
    </r>
    <r>
      <rPr>
        <vertAlign val="subscript"/>
        <sz val="11"/>
        <color indexed="8"/>
        <rFont val="Calibri"/>
        <family val="2"/>
      </rPr>
      <t xml:space="preserve">c </t>
    </r>
    <r>
      <rPr>
        <sz val="11"/>
        <color indexed="8"/>
        <rFont val="Calibri"/>
        <family val="2"/>
      </rPr>
      <t>=</t>
    </r>
  </si>
  <si>
    <t>años = Período de Retorno seleccionado</t>
  </si>
  <si>
    <t>Coeficiente de escorrentía (de Tabla 3.2 del Manual)</t>
  </si>
  <si>
    <r>
      <t xml:space="preserve">Diseño básico del Aliviadero-Canal </t>
    </r>
    <r>
      <rPr>
        <b/>
        <sz val="10"/>
        <color indexed="9"/>
        <rFont val="Calibri"/>
        <family val="2"/>
      </rPr>
      <t>(continuación)</t>
    </r>
  </si>
  <si>
    <t>Asegúrese que esta es la última versión disponible de la Planilla. Acceda al sitio regularmente.</t>
  </si>
  <si>
    <t>Precipitación máxima</t>
  </si>
  <si>
    <t>RESULTADOS GENERALES DEL DISEÑO</t>
  </si>
  <si>
    <t>INGRESO DE DATOS GENERALES DEL PROYECTO</t>
  </si>
  <si>
    <t>Para el siguiente valor de cota de la obra de Toma Ht:</t>
  </si>
  <si>
    <t>los siguientes son los valores medios y los entornos a analizar:</t>
  </si>
  <si>
    <t>Ingreso Datos</t>
  </si>
  <si>
    <t>Resultados</t>
  </si>
  <si>
    <t>Resume los resultados principales del diseño después de que el usuario completó todo el proceso.</t>
  </si>
  <si>
    <t>Con los datos introducidos para la cuenca y la recurrenciade la Tormenta de Proyecto se obtiene Qmáx y Vesc de la Avenida Extraordinaria.</t>
  </si>
  <si>
    <t>I-Satisfac-Demanda</t>
  </si>
  <si>
    <t>Presa del Ejemplo del Manual</t>
  </si>
  <si>
    <t>Con los valores de 1 y 2 se obtiene el escurrimiento en el punto de cierre.</t>
  </si>
  <si>
    <t>ETqA</t>
  </si>
  <si>
    <t>Cota de fundación de la Presa</t>
  </si>
  <si>
    <t>Hf</t>
  </si>
  <si>
    <t>Condición mínima de la cobertura vegetal del vertedero</t>
  </si>
  <si>
    <t>Estación pluviométrica utilizada</t>
  </si>
  <si>
    <t>Coordenada X</t>
  </si>
  <si>
    <t>Coordenada Y</t>
  </si>
  <si>
    <t>Cantidad de valores de precipitaciones "s/dato" corregidos</t>
  </si>
  <si>
    <t>Datos de la cuenca</t>
  </si>
  <si>
    <t>Área</t>
  </si>
  <si>
    <t>Ac</t>
  </si>
  <si>
    <t>Cantidad de unidades de suelo involucradas</t>
  </si>
  <si>
    <t>Distancia a la presa</t>
  </si>
  <si>
    <t>Coordenadas de la Estación</t>
  </si>
  <si>
    <t>Pluvio</t>
  </si>
  <si>
    <t>EstTqueA</t>
  </si>
  <si>
    <t>LCN (km)</t>
  </si>
  <si>
    <t>DH (m)</t>
  </si>
  <si>
    <t>Datos para el diseño del Aliviadero Canal</t>
  </si>
  <si>
    <t>Se introducen datos propios del terreno donde se implantará el aliviadero-canal:</t>
  </si>
  <si>
    <t>Datos para el diseño de la cota de coronamiento y altura de la presa</t>
  </si>
  <si>
    <t>Cota de la zona más baja de la fundación de la presa (sin contar la profundización por el dentellón de anclaje)</t>
  </si>
  <si>
    <t>==&gt;</t>
  </si>
  <si>
    <t>Para cada valor de Ht , Hv y Ar una macro calcula el ISD, permitiendo decidir el Volumen de Almacenamiento. Los últimos valores de Ht y Hv introducidos son los adoptados</t>
  </si>
  <si>
    <t>Para comenzar a trabajar con un caso nuevo, en la hoja "Ingreso Datos" pulse el botón "BORRAR TODOS LOS DATOS". Esta acción no se puede deshacer.</t>
  </si>
  <si>
    <t>Valores ponderados para la cuenca:</t>
  </si>
  <si>
    <t>Siendo la crecida de diseño de</t>
  </si>
  <si>
    <t>Requiere siembra y cuidado</t>
  </si>
  <si>
    <t>Pastura bien establecida</t>
  </si>
  <si>
    <t>Vegetación escasa</t>
  </si>
  <si>
    <t>La capacidad de laminación del embalse reduce la crecida máxima a un</t>
  </si>
  <si>
    <t>es laminada a un caudal máximo de</t>
  </si>
  <si>
    <t>= coef. "n" de Manning (considerando cobertura final)</t>
  </si>
  <si>
    <t>Àrea de Cuenca y Agua Disponible "AD" ponderada:</t>
  </si>
  <si>
    <t>Volumen disp. (%)</t>
  </si>
  <si>
    <t>Nivel de Emb. (%)</t>
  </si>
  <si>
    <t>Gráficos auxiliares</t>
  </si>
  <si>
    <t>áreas</t>
  </si>
  <si>
    <t>volúmenes</t>
  </si>
  <si>
    <r>
      <t>R</t>
    </r>
    <r>
      <rPr>
        <vertAlign val="superscript"/>
        <sz val="12"/>
        <color indexed="8"/>
        <rFont val="Calibri"/>
        <family val="2"/>
      </rPr>
      <t>2</t>
    </r>
  </si>
  <si>
    <t>Coeficiente de correlación de la curva area-cotas:</t>
  </si>
  <si>
    <t>Sobreelevación en el embalse para el laminado de la crecida</t>
  </si>
  <si>
    <t>Volúmenes de déficit, entregados, y vertidos.</t>
  </si>
  <si>
    <t>A la cota y a la altura de la presa, se les deberá agregar solamente la sobrealtura necesaria para prever los futuros asentamientos de la presa y su fundación.</t>
  </si>
  <si>
    <t>Nivel de Embalse</t>
  </si>
  <si>
    <t>Capacidad de Regulac. Interanual (Vol almac. / Vesc Anual)</t>
  </si>
  <si>
    <t>TOPOGRAFÍA DEL EMBALSE</t>
  </si>
  <si>
    <t>Area (Há)</t>
  </si>
  <si>
    <t>Ag.Disp. (mm)</t>
  </si>
  <si>
    <t>Num. Curva  (s/Tabla 3.3)</t>
  </si>
  <si>
    <t>Grupo Hidrol.</t>
  </si>
  <si>
    <t>mm = Precipitación con d=3hs y Tr=10 años (según Mapa 3.1)</t>
  </si>
  <si>
    <t>Unidad Cartográfica seg/ Carta de Recon. Suelos del Uruguay</t>
  </si>
  <si>
    <r>
      <t>= R</t>
    </r>
    <r>
      <rPr>
        <vertAlign val="superscript"/>
        <sz val="11"/>
        <color indexed="8"/>
        <rFont val="Calibri"/>
        <family val="2"/>
      </rPr>
      <t>2</t>
    </r>
    <r>
      <rPr>
        <sz val="11"/>
        <color indexed="8"/>
        <rFont val="Calibri"/>
        <family val="2"/>
      </rPr>
      <t>,   Coeficiente de correlación de F1</t>
    </r>
  </si>
  <si>
    <t>F1</t>
  </si>
  <si>
    <t>F2</t>
  </si>
  <si>
    <t>F3</t>
  </si>
  <si>
    <t>F4</t>
  </si>
  <si>
    <t>Cotas</t>
  </si>
  <si>
    <t>Estac. Tanque Evaporímetro más cercana:</t>
  </si>
  <si>
    <t>Crecida de Proyecto s/NRCS</t>
  </si>
  <si>
    <t>Escurrimiento</t>
  </si>
  <si>
    <t>msnm, Cota más baja de la fundación de la presa</t>
  </si>
  <si>
    <t>Hf =</t>
  </si>
  <si>
    <r>
      <t>H</t>
    </r>
    <r>
      <rPr>
        <vertAlign val="subscript"/>
        <sz val="14"/>
        <color indexed="8"/>
        <rFont val="Arial"/>
        <family val="2"/>
      </rPr>
      <t>presa</t>
    </r>
    <r>
      <rPr>
        <sz val="14"/>
        <color indexed="8"/>
        <rFont val="Arial"/>
        <family val="2"/>
      </rPr>
      <t xml:space="preserve"> = </t>
    </r>
  </si>
  <si>
    <r>
      <t>Hv + H</t>
    </r>
    <r>
      <rPr>
        <vertAlign val="subscript"/>
        <sz val="14"/>
        <color indexed="8"/>
        <rFont val="Calibri"/>
        <family val="2"/>
      </rPr>
      <t xml:space="preserve">revancha </t>
    </r>
  </si>
  <si>
    <t>Fetch =</t>
  </si>
  <si>
    <t>E =</t>
  </si>
  <si>
    <t>Hv =</t>
  </si>
  <si>
    <t>Datos:</t>
  </si>
  <si>
    <t>s/tabla:</t>
  </si>
  <si>
    <t>LCN (km) =</t>
  </si>
  <si>
    <t>DH (m) =</t>
  </si>
  <si>
    <t>Pend (%) =</t>
  </si>
  <si>
    <t>C =</t>
  </si>
  <si>
    <t>Suma de longitudes de curvas de nivel en la cuenca</t>
  </si>
  <si>
    <t>Equidistancia entre las curvas de nivel</t>
  </si>
  <si>
    <t>Pendiente media de la cuenca</t>
  </si>
  <si>
    <t>Valores utilizados para el cálculo de la Crecida de Proyecto s/el Método Racional:</t>
  </si>
  <si>
    <t>= pendiente longitudinal del terreno (y del canal)</t>
  </si>
  <si>
    <t>Para el cálculo de la altura y cota de coronamiento de la presa</t>
  </si>
  <si>
    <t>Valores utilizados para el cálculo de:</t>
  </si>
  <si>
    <t>Volumen de Escurrimiento medio anual</t>
  </si>
  <si>
    <t>Demanda anual:</t>
  </si>
  <si>
    <t>Se deberán introducir las coordenadas aproximadas del baricentro de la cuenca, o a lo sumo las del punto de cierre (represa). Esta información se utiliza para identificar la Estación Pluviométrica más cercana, con lo cual queda asociada la serie de</t>
  </si>
  <si>
    <t>Previamente se deberá desproteger la hoja (Herramientas/Proteger/Desproteger hoja...). Hay Estaciones para las que no están todos los datos, por lo que se deberá adoptar algún criterio para estimar los datos faltantes, o cambiar de Estación.</t>
  </si>
  <si>
    <t>Se deben identificar las Unidades de Suelo que quedan dentro de la cuenca y sus superficies parciales, en Has (hectáreas).</t>
  </si>
  <si>
    <t xml:space="preserve"> Si se dispusiera solamente del área total de la cuenca y no de las áreas parciales de las Unidades de Suelos involucradas, se sugiere estimar cada área parcial como fracción del área total. </t>
  </si>
  <si>
    <t>El área total "Ac" de la cuenca surge como suma de las áreas parciales.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</si>
</sst>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94" formatCode="0.0"/>
    <numFmt numFmtId="195" formatCode="0.000"/>
    <numFmt numFmtId="196" formatCode="0.0000"/>
  </numFmts>
  <fonts count="126" x14ac:knownFonts="1">
    <font>
      <sz val="11"/>
      <color theme="1"/>
      <name val="Calibri"/>
      <family val="2"/>
      <scheme val="minor"/>
    </font>
    <font>
      <sz val="11"/>
      <color indexed="8"/>
      <name val="Calibri"/>
      <family val="2"/>
    </font>
    <font>
      <sz val="11"/>
      <color indexed="8"/>
      <name val="Calibri"/>
      <family val="2"/>
    </font>
    <font>
      <sz val="11"/>
      <color indexed="8"/>
      <name val="Arial"/>
      <family val="2"/>
    </font>
    <font>
      <sz val="10"/>
      <name val="Arial"/>
      <family val="2"/>
    </font>
    <font>
      <b/>
      <vertAlign val="superscript"/>
      <sz val="10"/>
      <color indexed="8"/>
      <name val="Calibri"/>
      <family val="2"/>
    </font>
    <font>
      <sz val="11"/>
      <color indexed="8"/>
      <name val="Calibri"/>
      <family val="2"/>
    </font>
    <font>
      <b/>
      <sz val="11"/>
      <color indexed="8"/>
      <name val="Calibri"/>
      <family val="2"/>
    </font>
    <font>
      <sz val="10"/>
      <color indexed="8"/>
      <name val="Arial"/>
      <family val="2"/>
    </font>
    <font>
      <sz val="11"/>
      <color indexed="8"/>
      <name val="Arial"/>
      <family val="2"/>
    </font>
    <font>
      <sz val="10"/>
      <color indexed="8"/>
      <name val="Calibri"/>
      <family val="2"/>
    </font>
    <font>
      <b/>
      <sz val="10"/>
      <color indexed="8"/>
      <name val="Calibri"/>
      <family val="2"/>
    </font>
    <font>
      <b/>
      <sz val="12"/>
      <color indexed="8"/>
      <name val="Calibri"/>
      <family val="2"/>
    </font>
    <font>
      <b/>
      <sz val="14"/>
      <color indexed="8"/>
      <name val="Calibri"/>
      <family val="2"/>
    </font>
    <font>
      <sz val="14"/>
      <color indexed="8"/>
      <name val="Calibri"/>
      <family val="2"/>
    </font>
    <font>
      <sz val="8"/>
      <name val="Calibri"/>
      <family val="2"/>
    </font>
    <font>
      <sz val="8"/>
      <color indexed="8"/>
      <name val="Calibri"/>
      <family val="2"/>
    </font>
    <font>
      <sz val="9"/>
      <name val="Arial"/>
      <family val="2"/>
    </font>
    <font>
      <b/>
      <sz val="9"/>
      <name val="Arial"/>
      <family val="2"/>
    </font>
    <font>
      <b/>
      <sz val="10"/>
      <name val="Arial"/>
      <family val="2"/>
    </font>
    <font>
      <sz val="12"/>
      <color indexed="8"/>
      <name val="Calibri"/>
      <family val="2"/>
    </font>
    <font>
      <b/>
      <vertAlign val="subscript"/>
      <sz val="11"/>
      <color indexed="8"/>
      <name val="Calibri"/>
      <family val="2"/>
    </font>
    <font>
      <vertAlign val="subscript"/>
      <sz val="11"/>
      <color indexed="8"/>
      <name val="Calibri"/>
      <family val="2"/>
    </font>
    <font>
      <sz val="11"/>
      <color indexed="8"/>
      <name val="Calibri"/>
      <family val="2"/>
    </font>
    <font>
      <sz val="11"/>
      <color indexed="9"/>
      <name val="Calibri"/>
      <family val="2"/>
    </font>
    <font>
      <b/>
      <sz val="11"/>
      <color indexed="9"/>
      <name val="Calibri"/>
      <family val="2"/>
    </font>
    <font>
      <sz val="8"/>
      <color indexed="8"/>
      <name val="Arial"/>
      <family val="2"/>
    </font>
    <font>
      <sz val="12"/>
      <color indexed="8"/>
      <name val="Arial"/>
      <family val="2"/>
    </font>
    <font>
      <sz val="12"/>
      <color indexed="8"/>
      <name val="Calibri"/>
      <family val="2"/>
    </font>
    <font>
      <sz val="11"/>
      <color indexed="8"/>
      <name val="Arial"/>
      <family val="2"/>
    </font>
    <font>
      <b/>
      <u/>
      <sz val="11"/>
      <color indexed="8"/>
      <name val="Calibri"/>
      <family val="2"/>
    </font>
    <font>
      <b/>
      <sz val="10"/>
      <color indexed="8"/>
      <name val="Arial"/>
      <family val="2"/>
    </font>
    <font>
      <b/>
      <sz val="11"/>
      <color indexed="8"/>
      <name val="Arial"/>
      <family val="2"/>
    </font>
    <font>
      <sz val="11"/>
      <color indexed="8"/>
      <name val="Calibri"/>
      <family val="2"/>
    </font>
    <font>
      <sz val="11"/>
      <color indexed="8"/>
      <name val="Arial"/>
      <family val="2"/>
    </font>
    <font>
      <sz val="13.2"/>
      <color indexed="8"/>
      <name val="Calibri"/>
      <family val="2"/>
    </font>
    <font>
      <vertAlign val="subscript"/>
      <sz val="10"/>
      <color indexed="8"/>
      <name val="Calibri"/>
      <family val="2"/>
    </font>
    <font>
      <b/>
      <sz val="8"/>
      <color indexed="9"/>
      <name val="Arial"/>
      <family val="2"/>
    </font>
    <font>
      <b/>
      <sz val="11"/>
      <color indexed="9"/>
      <name val="Arial"/>
      <family val="2"/>
    </font>
    <font>
      <vertAlign val="subscript"/>
      <sz val="12"/>
      <color indexed="8"/>
      <name val="Arial"/>
      <family val="2"/>
    </font>
    <font>
      <b/>
      <u/>
      <sz val="12"/>
      <color indexed="8"/>
      <name val="Arial"/>
      <family val="2"/>
    </font>
    <font>
      <b/>
      <u/>
      <sz val="10"/>
      <color indexed="8"/>
      <name val="Arial"/>
      <family val="2"/>
    </font>
    <font>
      <b/>
      <sz val="12"/>
      <color indexed="9"/>
      <name val="Arial"/>
      <family val="2"/>
    </font>
    <font>
      <sz val="12"/>
      <color indexed="9"/>
      <name val="Arial"/>
      <family val="2"/>
    </font>
    <font>
      <b/>
      <sz val="10"/>
      <color indexed="9"/>
      <name val="Arial"/>
      <family val="2"/>
    </font>
    <font>
      <b/>
      <sz val="16"/>
      <color indexed="9"/>
      <name val="Arial"/>
      <family val="2"/>
    </font>
    <font>
      <b/>
      <vertAlign val="subscript"/>
      <sz val="10"/>
      <color indexed="8"/>
      <name val="Calibri"/>
      <family val="2"/>
    </font>
    <font>
      <b/>
      <sz val="12"/>
      <color indexed="9"/>
      <name val="Calibri"/>
      <family val="2"/>
    </font>
    <font>
      <b/>
      <sz val="10"/>
      <color indexed="9"/>
      <name val="Calibri"/>
      <family val="2"/>
    </font>
    <font>
      <b/>
      <sz val="16"/>
      <color indexed="9"/>
      <name val="Calibri"/>
      <family val="2"/>
    </font>
    <font>
      <sz val="10"/>
      <color indexed="9"/>
      <name val="Arial"/>
      <family val="2"/>
    </font>
    <font>
      <b/>
      <sz val="14"/>
      <color indexed="9"/>
      <name val="Calibri"/>
      <family val="2"/>
    </font>
    <font>
      <b/>
      <sz val="9"/>
      <color indexed="9"/>
      <name val="Arial"/>
      <family val="2"/>
    </font>
    <font>
      <sz val="9"/>
      <color indexed="8"/>
      <name val="Calibri"/>
      <family val="2"/>
    </font>
    <font>
      <b/>
      <sz val="11"/>
      <color indexed="8"/>
      <name val="Calibri"/>
      <family val="2"/>
    </font>
    <font>
      <b/>
      <sz val="11"/>
      <color indexed="10"/>
      <name val="Calibri"/>
      <family val="2"/>
    </font>
    <font>
      <sz val="6"/>
      <name val="Arial"/>
      <family val="2"/>
    </font>
    <font>
      <b/>
      <vertAlign val="subscript"/>
      <sz val="11"/>
      <color indexed="9"/>
      <name val="Calibri"/>
      <family val="2"/>
    </font>
    <font>
      <b/>
      <sz val="11"/>
      <name val="Calibri"/>
      <family val="2"/>
    </font>
    <font>
      <sz val="11"/>
      <name val="Calibri"/>
      <family val="2"/>
    </font>
    <font>
      <sz val="9"/>
      <name val="Calibri"/>
      <family val="2"/>
    </font>
    <font>
      <b/>
      <sz val="14"/>
      <name val="Calibri"/>
      <family val="2"/>
    </font>
    <font>
      <b/>
      <i/>
      <sz val="11"/>
      <color indexed="8"/>
      <name val="Arial"/>
      <family val="2"/>
    </font>
    <font>
      <b/>
      <vertAlign val="subscript"/>
      <sz val="14"/>
      <color indexed="8"/>
      <name val="Calibri"/>
      <family val="2"/>
    </font>
    <font>
      <b/>
      <u/>
      <sz val="14"/>
      <color indexed="8"/>
      <name val="Calibri"/>
      <family val="2"/>
    </font>
    <font>
      <b/>
      <u/>
      <vertAlign val="subscript"/>
      <sz val="11"/>
      <color indexed="8"/>
      <name val="Calibri"/>
      <family val="2"/>
    </font>
    <font>
      <b/>
      <u/>
      <sz val="11"/>
      <color indexed="8"/>
      <name val="Arial"/>
      <family val="2"/>
    </font>
    <font>
      <b/>
      <i/>
      <sz val="11"/>
      <color indexed="10"/>
      <name val="Calibri"/>
      <family val="2"/>
    </font>
    <font>
      <b/>
      <sz val="9"/>
      <color indexed="10"/>
      <name val="Calibri"/>
      <family val="2"/>
    </font>
    <font>
      <vertAlign val="superscript"/>
      <sz val="11"/>
      <color indexed="8"/>
      <name val="Calibri"/>
      <family val="2"/>
    </font>
    <font>
      <sz val="9"/>
      <color indexed="8"/>
      <name val="Arial"/>
      <family val="2"/>
    </font>
    <font>
      <b/>
      <sz val="9"/>
      <color indexed="8"/>
      <name val="Arial"/>
      <family val="2"/>
    </font>
    <font>
      <b/>
      <sz val="12"/>
      <color indexed="8"/>
      <name val="Arial"/>
      <family val="2"/>
    </font>
    <font>
      <b/>
      <sz val="11"/>
      <name val="Arial"/>
      <family val="2"/>
    </font>
    <font>
      <b/>
      <u/>
      <sz val="12"/>
      <color indexed="8"/>
      <name val="Calibri"/>
      <family val="2"/>
    </font>
    <font>
      <sz val="10"/>
      <color indexed="9"/>
      <name val="Calibri"/>
      <family val="2"/>
    </font>
    <font>
      <b/>
      <sz val="10"/>
      <name val="Calibri"/>
      <family val="2"/>
    </font>
    <font>
      <sz val="6"/>
      <color indexed="8"/>
      <name val="Calibri"/>
      <family val="2"/>
    </font>
    <font>
      <sz val="8"/>
      <color indexed="8"/>
      <name val="Calibri"/>
      <family val="2"/>
    </font>
    <font>
      <b/>
      <sz val="16"/>
      <color indexed="16"/>
      <name val="Calibri"/>
      <family val="2"/>
    </font>
    <font>
      <b/>
      <sz val="14"/>
      <color indexed="9"/>
      <name val="Arial"/>
      <family val="2"/>
    </font>
    <font>
      <i/>
      <sz val="11"/>
      <color indexed="8"/>
      <name val="Calibri"/>
      <family val="2"/>
    </font>
    <font>
      <i/>
      <vertAlign val="superscript"/>
      <sz val="11"/>
      <color indexed="8"/>
      <name val="Calibri"/>
      <family val="2"/>
    </font>
    <font>
      <sz val="14"/>
      <color indexed="8"/>
      <name val="Arial"/>
      <family val="2"/>
    </font>
    <font>
      <sz val="18"/>
      <color indexed="8"/>
      <name val="Calibri"/>
      <family val="2"/>
    </font>
    <font>
      <vertAlign val="subscript"/>
      <sz val="14"/>
      <color indexed="8"/>
      <name val="Arial"/>
      <family val="2"/>
    </font>
    <font>
      <vertAlign val="subscript"/>
      <sz val="14"/>
      <color indexed="8"/>
      <name val="Calibri"/>
      <family val="2"/>
    </font>
    <font>
      <sz val="11"/>
      <color indexed="8"/>
      <name val="Calibri"/>
      <family val="2"/>
    </font>
    <font>
      <sz val="12"/>
      <color indexed="8"/>
      <name val="Calibri"/>
      <family val="2"/>
    </font>
    <font>
      <sz val="9"/>
      <color indexed="8"/>
      <name val="Calibri"/>
      <family val="2"/>
    </font>
    <font>
      <sz val="7"/>
      <color indexed="8"/>
      <name val="Calibri"/>
      <family val="2"/>
    </font>
    <font>
      <sz val="16"/>
      <color indexed="8"/>
      <name val="Calibri"/>
      <family val="2"/>
    </font>
    <font>
      <b/>
      <sz val="20"/>
      <color indexed="9"/>
      <name val="Calibri"/>
      <family val="2"/>
    </font>
    <font>
      <b/>
      <sz val="16"/>
      <color indexed="8"/>
      <name val="Calibri"/>
      <family val="2"/>
    </font>
    <font>
      <b/>
      <sz val="8"/>
      <color indexed="10"/>
      <name val="Calibri"/>
      <family val="2"/>
    </font>
    <font>
      <b/>
      <sz val="11"/>
      <color indexed="12"/>
      <name val="Calibri"/>
      <family val="2"/>
    </font>
    <font>
      <b/>
      <sz val="11"/>
      <color indexed="8"/>
      <name val="Calibri"/>
      <family val="2"/>
    </font>
    <font>
      <b/>
      <sz val="9"/>
      <color indexed="8"/>
      <name val="Calibri"/>
      <family val="2"/>
    </font>
    <font>
      <b/>
      <sz val="12"/>
      <color indexed="10"/>
      <name val="Calibri"/>
      <family val="2"/>
    </font>
    <font>
      <b/>
      <sz val="14"/>
      <color indexed="16"/>
      <name val="Calibri"/>
      <family val="2"/>
    </font>
    <font>
      <sz val="5.5"/>
      <color indexed="8"/>
      <name val="Calibri"/>
      <family val="2"/>
    </font>
    <font>
      <sz val="6"/>
      <color indexed="8"/>
      <name val="Arial"/>
      <family val="2"/>
    </font>
    <font>
      <vertAlign val="superscript"/>
      <sz val="12"/>
      <color indexed="8"/>
      <name val="Calibri"/>
      <family val="2"/>
    </font>
    <font>
      <b/>
      <u/>
      <sz val="11"/>
      <color indexed="8"/>
      <name val="Calibri"/>
      <family val="2"/>
    </font>
    <font>
      <b/>
      <u/>
      <sz val="12"/>
      <color indexed="8"/>
      <name val="Calibri"/>
      <family val="2"/>
    </font>
    <font>
      <sz val="20"/>
      <color indexed="8"/>
      <name val="Calibri"/>
      <family val="2"/>
    </font>
    <font>
      <sz val="12"/>
      <color indexed="8"/>
      <name val="Times New Roman"/>
      <family val="1"/>
    </font>
    <font>
      <sz val="12"/>
      <color indexed="8"/>
      <name val="Times New Roman"/>
      <family val="1"/>
    </font>
    <font>
      <sz val="12"/>
      <name val="Times New Roman"/>
      <family val="1"/>
    </font>
    <font>
      <b/>
      <sz val="12"/>
      <name val="Times New Roman"/>
      <family val="1"/>
    </font>
    <font>
      <b/>
      <i/>
      <sz val="11"/>
      <color indexed="8"/>
      <name val="Calibri"/>
      <family val="2"/>
    </font>
    <font>
      <sz val="11"/>
      <name val="Arial"/>
      <family val="2"/>
    </font>
    <font>
      <b/>
      <sz val="11"/>
      <color indexed="8"/>
      <name val="Calibri"/>
      <family val="2"/>
    </font>
    <font>
      <sz val="12"/>
      <color indexed="8"/>
      <name val="Times New Roman"/>
      <family val="1"/>
    </font>
    <font>
      <b/>
      <sz val="12"/>
      <color indexed="8"/>
      <name val="Times New Roman"/>
      <family val="1"/>
    </font>
    <font>
      <b/>
      <sz val="12"/>
      <color indexed="16"/>
      <name val="Arial"/>
      <family val="2"/>
    </font>
    <font>
      <b/>
      <sz val="12"/>
      <color indexed="16"/>
      <name val="Times New Roman"/>
      <family val="1"/>
    </font>
    <font>
      <sz val="12"/>
      <color indexed="12"/>
      <name val="Times New Roman"/>
      <family val="1"/>
    </font>
    <font>
      <b/>
      <sz val="18"/>
      <color indexed="16"/>
      <name val="Arial"/>
      <family val="2"/>
    </font>
    <font>
      <b/>
      <sz val="12"/>
      <color indexed="9"/>
      <name val="Times New Roman"/>
      <family val="1"/>
    </font>
    <font>
      <b/>
      <sz val="14"/>
      <color indexed="8"/>
      <name val="Calibri"/>
      <family val="2"/>
    </font>
    <font>
      <sz val="9"/>
      <color indexed="8"/>
      <name val="Arial"/>
      <family val="2"/>
    </font>
    <font>
      <sz val="10"/>
      <color indexed="8"/>
      <name val="Calibri"/>
      <family val="2"/>
    </font>
    <font>
      <sz val="12"/>
      <color indexed="8"/>
      <name val="Times New Roman"/>
      <family val="1"/>
    </font>
    <font>
      <b/>
      <sz val="20"/>
      <color indexed="8"/>
      <name val="Arial"/>
      <family val="2"/>
    </font>
    <font>
      <sz val="14.75"/>
      <color indexed="8"/>
      <name val="Arial"/>
      <family val="2"/>
    </font>
  </fonts>
  <fills count="16">
    <fill>
      <patternFill patternType="none"/>
    </fill>
    <fill>
      <patternFill patternType="gray125"/>
    </fill>
    <fill>
      <patternFill patternType="solid">
        <fgColor indexed="60"/>
        <bgColor indexed="64"/>
      </patternFill>
    </fill>
    <fill>
      <patternFill patternType="solid">
        <fgColor indexed="16"/>
        <bgColor indexed="64"/>
      </patternFill>
    </fill>
    <fill>
      <patternFill patternType="solid">
        <fgColor indexed="9"/>
        <bgColor indexed="64"/>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44"/>
        <bgColor indexed="64"/>
      </patternFill>
    </fill>
    <fill>
      <patternFill patternType="solid">
        <fgColor indexed="53"/>
        <bgColor indexed="64"/>
      </patternFill>
    </fill>
    <fill>
      <patternFill patternType="solid">
        <fgColor indexed="41"/>
        <bgColor indexed="64"/>
      </patternFill>
    </fill>
    <fill>
      <patternFill patternType="solid">
        <fgColor indexed="11"/>
        <bgColor indexed="64"/>
      </patternFill>
    </fill>
    <fill>
      <patternFill patternType="solid">
        <fgColor indexed="31"/>
        <bgColor indexed="64"/>
      </patternFill>
    </fill>
    <fill>
      <patternFill patternType="solid">
        <fgColor indexed="51"/>
        <bgColor indexed="64"/>
      </patternFill>
    </fill>
    <fill>
      <patternFill patternType="solid">
        <fgColor indexed="13"/>
        <bgColor indexed="64"/>
      </patternFill>
    </fill>
    <fill>
      <patternFill patternType="solid">
        <fgColor indexed="47"/>
        <bgColor indexed="64"/>
      </patternFill>
    </fill>
  </fills>
  <borders count="121">
    <border>
      <left/>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9"/>
      </left>
      <right style="thin">
        <color indexed="9"/>
      </right>
      <top style="thin">
        <color indexed="9"/>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9"/>
      </left>
      <right style="thin">
        <color indexed="9"/>
      </right>
      <top style="thin">
        <color indexed="64"/>
      </top>
      <bottom/>
      <diagonal/>
    </border>
    <border>
      <left style="thin">
        <color indexed="9"/>
      </left>
      <right style="thin">
        <color indexed="64"/>
      </right>
      <top style="thin">
        <color indexed="9"/>
      </top>
      <bottom style="thin">
        <color indexed="64"/>
      </bottom>
      <diagonal/>
    </border>
    <border>
      <left style="thin">
        <color indexed="9"/>
      </left>
      <right style="thin">
        <color indexed="64"/>
      </right>
      <top style="thin">
        <color indexed="9"/>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9"/>
      </right>
      <top style="medium">
        <color indexed="64"/>
      </top>
      <bottom/>
      <diagonal/>
    </border>
    <border>
      <left style="thin">
        <color indexed="9"/>
      </left>
      <right style="thin">
        <color indexed="64"/>
      </right>
      <top style="medium">
        <color indexed="64"/>
      </top>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top style="thin">
        <color indexed="9"/>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9"/>
      </left>
      <right style="medium">
        <color indexed="9"/>
      </right>
      <top style="medium">
        <color indexed="9"/>
      </top>
      <bottom style="thin">
        <color indexed="64"/>
      </bottom>
      <diagonal/>
    </border>
    <border>
      <left style="medium">
        <color indexed="9"/>
      </left>
      <right style="medium">
        <color indexed="64"/>
      </right>
      <top style="medium">
        <color indexed="9"/>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9"/>
      </bottom>
      <diagonal/>
    </border>
    <border>
      <left style="thin">
        <color indexed="64"/>
      </left>
      <right style="thin">
        <color indexed="64"/>
      </right>
      <top style="thin">
        <color indexed="9"/>
      </top>
      <bottom style="thin">
        <color indexed="64"/>
      </bottom>
      <diagonal/>
    </border>
    <border>
      <left style="medium">
        <color indexed="9"/>
      </left>
      <right style="medium">
        <color indexed="64"/>
      </right>
      <top style="medium">
        <color indexed="64"/>
      </top>
      <bottom style="medium">
        <color indexed="64"/>
      </bottom>
      <diagonal/>
    </border>
    <border>
      <left style="medium">
        <color indexed="9"/>
      </left>
      <right style="medium">
        <color indexed="9"/>
      </right>
      <top style="medium">
        <color indexed="64"/>
      </top>
      <bottom style="medium">
        <color indexed="64"/>
      </bottom>
      <diagonal/>
    </border>
    <border>
      <left/>
      <right/>
      <top/>
      <bottom style="thin">
        <color indexed="9"/>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style="thin">
        <color indexed="9"/>
      </right>
      <top style="thin">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thin">
        <color indexed="9"/>
      </left>
      <right/>
      <top style="medium">
        <color indexed="64"/>
      </top>
      <bottom style="thin">
        <color indexed="64"/>
      </bottom>
      <diagonal/>
    </border>
    <border>
      <left style="thin">
        <color indexed="9"/>
      </left>
      <right style="thin">
        <color indexed="9"/>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style="thin">
        <color indexed="9"/>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9"/>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9"/>
      </right>
      <top style="medium">
        <color indexed="64"/>
      </top>
      <bottom style="thin">
        <color indexed="64"/>
      </bottom>
      <diagonal/>
    </border>
    <border>
      <left/>
      <right style="thin">
        <color indexed="9"/>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right style="thin">
        <color indexed="64"/>
      </right>
      <top style="medium">
        <color indexed="64"/>
      </top>
      <bottom/>
      <diagonal/>
    </border>
    <border>
      <left/>
      <right style="thin">
        <color indexed="64"/>
      </right>
      <top/>
      <bottom style="thin">
        <color indexed="9"/>
      </bottom>
      <diagonal/>
    </border>
    <border>
      <left style="medium">
        <color indexed="64"/>
      </left>
      <right style="thin">
        <color indexed="9"/>
      </right>
      <top/>
      <bottom style="thin">
        <color indexed="9"/>
      </bottom>
      <diagonal/>
    </border>
    <border>
      <left/>
      <right style="thin">
        <color indexed="9"/>
      </right>
      <top/>
      <bottom/>
      <diagonal/>
    </border>
    <border>
      <left style="thin">
        <color indexed="9"/>
      </left>
      <right style="medium">
        <color indexed="64"/>
      </right>
      <top style="thin">
        <color indexed="64"/>
      </top>
      <bottom/>
      <diagonal/>
    </border>
    <border>
      <left style="thin">
        <color indexed="9"/>
      </left>
      <right style="medium">
        <color indexed="64"/>
      </right>
      <top/>
      <bottom style="thin">
        <color indexed="64"/>
      </bottom>
      <diagonal/>
    </border>
    <border>
      <left/>
      <right style="medium">
        <color indexed="9"/>
      </right>
      <top/>
      <bottom/>
      <diagonal/>
    </border>
    <border>
      <left/>
      <right/>
      <top style="thin">
        <color indexed="9"/>
      </top>
      <bottom style="thin">
        <color indexed="9"/>
      </bottom>
      <diagonal/>
    </border>
    <border>
      <left style="medium">
        <color indexed="9"/>
      </left>
      <right/>
      <top/>
      <bottom/>
      <diagonal/>
    </border>
    <border>
      <left style="medium">
        <color indexed="9"/>
      </left>
      <right style="medium">
        <color indexed="9"/>
      </right>
      <top style="medium">
        <color indexed="64"/>
      </top>
      <bottom style="medium">
        <color indexed="9"/>
      </bottom>
      <diagonal/>
    </border>
    <border>
      <left style="medium">
        <color indexed="9"/>
      </left>
      <right style="medium">
        <color indexed="64"/>
      </right>
      <top style="medium">
        <color indexed="64"/>
      </top>
      <bottom style="medium">
        <color indexed="9"/>
      </bottom>
      <diagonal/>
    </border>
    <border>
      <left/>
      <right style="medium">
        <color indexed="9"/>
      </right>
      <top style="medium">
        <color indexed="64"/>
      </top>
      <bottom/>
      <diagonal/>
    </border>
    <border>
      <left/>
      <right style="medium">
        <color indexed="9"/>
      </right>
      <top/>
      <bottom style="thin">
        <color indexed="64"/>
      </bottom>
      <diagonal/>
    </border>
    <border>
      <left/>
      <right style="medium">
        <color indexed="64"/>
      </right>
      <top style="thin">
        <color indexed="64"/>
      </top>
      <bottom style="medium">
        <color indexed="64"/>
      </bottom>
      <diagonal/>
    </border>
    <border>
      <left style="thin">
        <color indexed="9"/>
      </left>
      <right/>
      <top/>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9"/>
      </right>
      <top style="medium">
        <color indexed="64"/>
      </top>
      <bottom style="medium">
        <color indexed="64"/>
      </bottom>
      <diagonal/>
    </border>
    <border>
      <left/>
      <right style="thin">
        <color indexed="9"/>
      </right>
      <top/>
      <bottom style="thin">
        <color indexed="9"/>
      </bottom>
      <diagonal/>
    </border>
    <border>
      <left/>
      <right style="thin">
        <color indexed="9"/>
      </right>
      <top style="thin">
        <color indexed="9"/>
      </top>
      <bottom/>
      <diagonal/>
    </border>
  </borders>
  <cellStyleXfs count="3">
    <xf numFmtId="0" fontId="0" fillId="0" borderId="0"/>
    <xf numFmtId="0" fontId="4" fillId="0" borderId="0"/>
    <xf numFmtId="9" fontId="6" fillId="0" borderId="0" applyFont="0" applyFill="0" applyBorder="0" applyAlignment="0" applyProtection="0"/>
  </cellStyleXfs>
  <cellXfs count="953">
    <xf numFmtId="0" fontId="0" fillId="0" borderId="0" xfId="0"/>
    <xf numFmtId="0" fontId="0" fillId="0" borderId="0" xfId="0" applyAlignment="1">
      <alignment horizontal="center" vertical="center"/>
    </xf>
    <xf numFmtId="0" fontId="0" fillId="0" borderId="0" xfId="0" applyAlignment="1">
      <alignment horizontal="center"/>
    </xf>
    <xf numFmtId="2" fontId="0" fillId="0" borderId="0" xfId="0" applyNumberFormat="1"/>
    <xf numFmtId="0" fontId="10" fillId="0" borderId="0" xfId="0" applyFont="1"/>
    <xf numFmtId="0" fontId="4" fillId="0" borderId="0" xfId="1"/>
    <xf numFmtId="0" fontId="4" fillId="0" borderId="0" xfId="1" applyAlignment="1">
      <alignment horizontal="center"/>
    </xf>
    <xf numFmtId="0" fontId="4" fillId="0" borderId="0" xfId="1" applyFont="1" applyAlignment="1">
      <alignment horizontal="center" vertical="center" wrapText="1"/>
    </xf>
    <xf numFmtId="0" fontId="4" fillId="0" borderId="0" xfId="1" applyNumberFormat="1" applyBorder="1"/>
    <xf numFmtId="0" fontId="4" fillId="0" borderId="0" xfId="1" applyFont="1"/>
    <xf numFmtId="0" fontId="4" fillId="0" borderId="0" xfId="1" applyNumberFormat="1" applyFont="1" applyBorder="1" applyAlignment="1">
      <alignment horizontal="center"/>
    </xf>
    <xf numFmtId="0" fontId="4" fillId="0" borderId="0" xfId="1" applyNumberFormat="1" applyBorder="1" applyAlignment="1">
      <alignment horizontal="center"/>
    </xf>
    <xf numFmtId="0" fontId="4" fillId="0" borderId="0" xfId="1" applyNumberFormat="1"/>
    <xf numFmtId="0" fontId="4" fillId="0" borderId="0" xfId="1" applyNumberFormat="1" applyAlignment="1">
      <alignment horizontal="center"/>
    </xf>
    <xf numFmtId="0" fontId="4" fillId="0" borderId="0" xfId="1" applyFill="1" applyAlignment="1">
      <alignment horizontal="center"/>
    </xf>
    <xf numFmtId="0" fontId="26" fillId="0" borderId="1" xfId="0" applyFont="1" applyBorder="1" applyAlignment="1">
      <alignment horizontal="center" wrapText="1"/>
    </xf>
    <xf numFmtId="2" fontId="27" fillId="0" borderId="2" xfId="0" applyNumberFormat="1" applyFont="1" applyBorder="1" applyAlignment="1">
      <alignment horizontal="center" wrapText="1"/>
    </xf>
    <xf numFmtId="1" fontId="27" fillId="0" borderId="2" xfId="0" applyNumberFormat="1" applyFont="1" applyBorder="1" applyAlignment="1">
      <alignment horizontal="center" wrapText="1"/>
    </xf>
    <xf numFmtId="194" fontId="27" fillId="0" borderId="2" xfId="0" applyNumberFormat="1" applyFont="1" applyBorder="1" applyAlignment="1">
      <alignment horizontal="center" wrapText="1"/>
    </xf>
    <xf numFmtId="0" fontId="23" fillId="0" borderId="0" xfId="0" applyFont="1" applyAlignment="1" applyProtection="1">
      <alignment horizontal="right" vertical="center" wrapText="1"/>
    </xf>
    <xf numFmtId="0" fontId="23" fillId="0" borderId="0" xfId="0" applyFont="1" applyAlignment="1" applyProtection="1">
      <alignment horizontal="center" vertical="center" wrapText="1"/>
    </xf>
    <xf numFmtId="0" fontId="23" fillId="0" borderId="0" xfId="0" applyFont="1" applyAlignment="1" applyProtection="1">
      <alignment vertical="center" wrapText="1"/>
    </xf>
    <xf numFmtId="0" fontId="23" fillId="0" borderId="2" xfId="0" applyFont="1" applyBorder="1" applyAlignment="1" applyProtection="1">
      <alignment horizontal="center" vertical="center" wrapText="1"/>
    </xf>
    <xf numFmtId="0" fontId="33" fillId="0" borderId="0" xfId="0" applyFont="1" applyAlignment="1" applyProtection="1">
      <alignment vertical="center" wrapText="1"/>
    </xf>
    <xf numFmtId="0" fontId="6" fillId="0" borderId="0" xfId="0" applyFont="1" applyAlignment="1" applyProtection="1">
      <alignment vertical="center" wrapText="1"/>
    </xf>
    <xf numFmtId="0" fontId="3" fillId="0" borderId="0" xfId="0" applyFont="1" applyBorder="1" applyAlignment="1" applyProtection="1">
      <alignment horizontal="center" vertical="top" wrapText="1"/>
    </xf>
    <xf numFmtId="194" fontId="32" fillId="0" borderId="0" xfId="0" applyNumberFormat="1" applyFont="1" applyBorder="1" applyAlignment="1" applyProtection="1">
      <alignment horizontal="center" wrapText="1"/>
    </xf>
    <xf numFmtId="0" fontId="8" fillId="0" borderId="0" xfId="0" applyFont="1" applyBorder="1" applyAlignment="1" applyProtection="1">
      <alignment wrapText="1"/>
    </xf>
    <xf numFmtId="0" fontId="0" fillId="0" borderId="0" xfId="0" applyAlignment="1" applyProtection="1">
      <alignment horizontal="center" vertical="center"/>
    </xf>
    <xf numFmtId="0" fontId="0" fillId="0" borderId="0" xfId="0" applyAlignment="1" applyProtection="1">
      <alignment horizontal="right" vertical="center"/>
    </xf>
    <xf numFmtId="0" fontId="0" fillId="0" borderId="3" xfId="0" applyBorder="1" applyAlignment="1" applyProtection="1">
      <alignment horizontal="center" vertical="center"/>
    </xf>
    <xf numFmtId="0" fontId="0" fillId="0" borderId="4" xfId="0" applyBorder="1" applyAlignment="1" applyProtection="1">
      <alignment horizontal="center" vertical="center"/>
    </xf>
    <xf numFmtId="0" fontId="0" fillId="0" borderId="2" xfId="0" applyFill="1" applyBorder="1" applyAlignment="1" applyProtection="1">
      <alignment horizontal="center" vertical="center"/>
    </xf>
    <xf numFmtId="0" fontId="23" fillId="0" borderId="0" xfId="0" applyFont="1"/>
    <xf numFmtId="0" fontId="33" fillId="0" borderId="0" xfId="0" applyFont="1"/>
    <xf numFmtId="0" fontId="26" fillId="0" borderId="0" xfId="0" applyFont="1"/>
    <xf numFmtId="0" fontId="0" fillId="0" borderId="0" xfId="0" applyAlignment="1">
      <alignment horizontal="right"/>
    </xf>
    <xf numFmtId="0" fontId="0" fillId="0" borderId="2" xfId="0" applyBorder="1" applyAlignment="1">
      <alignment horizontal="center" vertical="center"/>
    </xf>
    <xf numFmtId="1" fontId="0" fillId="0" borderId="2" xfId="0" applyNumberFormat="1" applyBorder="1" applyAlignment="1">
      <alignment horizontal="center" vertical="center"/>
    </xf>
    <xf numFmtId="0" fontId="38" fillId="2" borderId="1" xfId="0" applyFont="1" applyFill="1" applyBorder="1" applyAlignment="1">
      <alignment horizontal="center" wrapText="1"/>
    </xf>
    <xf numFmtId="0" fontId="3" fillId="0" borderId="0" xfId="0" applyFont="1"/>
    <xf numFmtId="0" fontId="27" fillId="0" borderId="0" xfId="0" applyFont="1"/>
    <xf numFmtId="0" fontId="40" fillId="0" borderId="0" xfId="0" applyFont="1"/>
    <xf numFmtId="0" fontId="32" fillId="0" borderId="0" xfId="0" applyFont="1"/>
    <xf numFmtId="0" fontId="41" fillId="0" borderId="0" xfId="0" applyFont="1"/>
    <xf numFmtId="0" fontId="0" fillId="0" borderId="2" xfId="0" applyBorder="1" applyAlignment="1" applyProtection="1">
      <alignment horizontal="center" vertical="center"/>
    </xf>
    <xf numFmtId="0" fontId="27" fillId="0" borderId="2" xfId="0" applyFont="1" applyBorder="1" applyAlignment="1">
      <alignment horizontal="center" vertical="top" wrapText="1"/>
    </xf>
    <xf numFmtId="0" fontId="42" fillId="3" borderId="0" xfId="0" applyFont="1" applyFill="1"/>
    <xf numFmtId="0" fontId="43" fillId="3" borderId="0" xfId="0" applyFont="1" applyFill="1"/>
    <xf numFmtId="0" fontId="44" fillId="3" borderId="0" xfId="0" applyFont="1" applyFill="1"/>
    <xf numFmtId="0" fontId="45" fillId="3" borderId="0" xfId="0" applyFont="1" applyFill="1"/>
    <xf numFmtId="0" fontId="38" fillId="3" borderId="2" xfId="0" applyFont="1" applyFill="1" applyBorder="1" applyAlignment="1">
      <alignment horizontal="center" vertical="top" wrapText="1"/>
    </xf>
    <xf numFmtId="0" fontId="13" fillId="0" borderId="0" xfId="0" applyFont="1" applyAlignment="1">
      <alignment horizontal="right"/>
    </xf>
    <xf numFmtId="2" fontId="13" fillId="0" borderId="0" xfId="0" applyNumberFormat="1" applyFont="1"/>
    <xf numFmtId="0" fontId="13" fillId="0" borderId="0" xfId="0" applyFont="1"/>
    <xf numFmtId="0" fontId="4" fillId="0" borderId="0" xfId="1" applyFont="1" applyFill="1" applyAlignment="1">
      <alignment horizontal="center" vertical="center" wrapText="1"/>
    </xf>
    <xf numFmtId="0" fontId="4" fillId="0" borderId="0" xfId="1" applyNumberFormat="1" applyFont="1" applyFill="1" applyBorder="1" applyAlignment="1">
      <alignment horizontal="center"/>
    </xf>
    <xf numFmtId="0" fontId="4" fillId="0" borderId="0" xfId="1" applyNumberFormat="1" applyFill="1" applyAlignment="1">
      <alignment horizontal="center"/>
    </xf>
    <xf numFmtId="0" fontId="10" fillId="0" borderId="0" xfId="0" applyFont="1" applyAlignment="1" applyProtection="1">
      <alignment horizontal="left" vertical="center"/>
    </xf>
    <xf numFmtId="0" fontId="49" fillId="3" borderId="0" xfId="0" applyFont="1" applyFill="1" applyProtection="1"/>
    <xf numFmtId="0" fontId="10" fillId="0" borderId="0" xfId="0" applyFont="1" applyAlignment="1" applyProtection="1">
      <alignment horizontal="center"/>
    </xf>
    <xf numFmtId="0" fontId="0" fillId="0" borderId="0" xfId="0" applyProtection="1"/>
    <xf numFmtId="0" fontId="0" fillId="0" borderId="0" xfId="0" applyAlignment="1" applyProtection="1">
      <alignment vertical="center"/>
    </xf>
    <xf numFmtId="0" fontId="0" fillId="0" borderId="0" xfId="0" applyFill="1" applyBorder="1" applyAlignment="1" applyProtection="1">
      <alignment horizontal="center" vertical="center"/>
    </xf>
    <xf numFmtId="0" fontId="10" fillId="0" borderId="0" xfId="0" applyFont="1" applyAlignment="1" applyProtection="1">
      <alignment horizontal="right"/>
    </xf>
    <xf numFmtId="0" fontId="0" fillId="0" borderId="0" xfId="0" applyAlignment="1" applyProtection="1">
      <alignment horizontal="center" vertical="center" wrapText="1"/>
    </xf>
    <xf numFmtId="195" fontId="10" fillId="0" borderId="5" xfId="0" applyNumberFormat="1" applyFont="1" applyBorder="1" applyAlignment="1" applyProtection="1">
      <alignment horizontal="center" vertical="center" wrapText="1"/>
    </xf>
    <xf numFmtId="0" fontId="10" fillId="0" borderId="0" xfId="0" applyFont="1" applyBorder="1" applyAlignment="1" applyProtection="1">
      <alignment horizontal="center"/>
    </xf>
    <xf numFmtId="0" fontId="11" fillId="0" borderId="0" xfId="0" applyFont="1" applyBorder="1" applyAlignment="1" applyProtection="1">
      <alignment horizontal="center"/>
    </xf>
    <xf numFmtId="0" fontId="23" fillId="0" borderId="0" xfId="0" applyFont="1" applyAlignment="1" applyProtection="1">
      <alignment horizontal="right" vertical="center"/>
    </xf>
    <xf numFmtId="0" fontId="23" fillId="0" borderId="0" xfId="0" applyFont="1" applyBorder="1" applyAlignment="1" applyProtection="1">
      <alignment horizontal="center" vertical="center" wrapText="1"/>
    </xf>
    <xf numFmtId="0" fontId="30" fillId="0" borderId="0" xfId="0" applyFont="1" applyProtection="1"/>
    <xf numFmtId="0" fontId="0" fillId="0" borderId="0" xfId="0" applyAlignment="1" applyProtection="1">
      <alignment horizontal="center"/>
    </xf>
    <xf numFmtId="0" fontId="10" fillId="0" borderId="0" xfId="0" applyFont="1" applyProtection="1"/>
    <xf numFmtId="2" fontId="0" fillId="0" borderId="0" xfId="0" applyNumberFormat="1" applyProtection="1"/>
    <xf numFmtId="0" fontId="2" fillId="0" borderId="0" xfId="0" applyFont="1" applyProtection="1"/>
    <xf numFmtId="0" fontId="0" fillId="0" borderId="0" xfId="0" applyFill="1" applyProtection="1"/>
    <xf numFmtId="0" fontId="0" fillId="0" borderId="0" xfId="0" applyBorder="1" applyAlignment="1" applyProtection="1">
      <alignment horizontal="center"/>
    </xf>
    <xf numFmtId="2" fontId="2" fillId="0" borderId="0" xfId="0" applyNumberFormat="1" applyFont="1" applyBorder="1" applyProtection="1"/>
    <xf numFmtId="0" fontId="10" fillId="0" borderId="0" xfId="0" applyFont="1" applyBorder="1" applyProtection="1"/>
    <xf numFmtId="0" fontId="2" fillId="0" borderId="0" xfId="0" applyFont="1" applyBorder="1" applyProtection="1"/>
    <xf numFmtId="0" fontId="0" fillId="0" borderId="0" xfId="0" applyBorder="1" applyProtection="1"/>
    <xf numFmtId="0" fontId="2" fillId="0" borderId="0" xfId="0" applyFont="1" applyBorder="1" applyAlignment="1" applyProtection="1">
      <alignment horizontal="center"/>
    </xf>
    <xf numFmtId="2" fontId="10" fillId="0" borderId="0" xfId="0" applyNumberFormat="1" applyFont="1" applyAlignment="1" applyProtection="1">
      <alignment horizontal="right" vertical="center"/>
    </xf>
    <xf numFmtId="2" fontId="10" fillId="0" borderId="0" xfId="0" applyNumberFormat="1" applyFont="1" applyAlignment="1" applyProtection="1">
      <alignment vertical="center" wrapText="1"/>
    </xf>
    <xf numFmtId="0" fontId="10" fillId="0" borderId="2" xfId="0" applyFont="1" applyBorder="1" applyAlignment="1" applyProtection="1">
      <alignment horizontal="center" vertical="center" wrapText="1"/>
    </xf>
    <xf numFmtId="0" fontId="10" fillId="0"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2" fontId="10" fillId="0" borderId="0" xfId="0" applyNumberFormat="1" applyFont="1" applyBorder="1" applyAlignment="1" applyProtection="1">
      <alignment vertical="center" wrapText="1"/>
    </xf>
    <xf numFmtId="0" fontId="0" fillId="0" borderId="0" xfId="0" applyFill="1" applyBorder="1" applyProtection="1"/>
    <xf numFmtId="0" fontId="10" fillId="0" borderId="0" xfId="0" applyFont="1" applyFill="1" applyBorder="1" applyProtection="1"/>
    <xf numFmtId="0" fontId="11" fillId="0" borderId="0" xfId="0" applyFont="1" applyFill="1" applyBorder="1" applyProtection="1"/>
    <xf numFmtId="0" fontId="10" fillId="0" borderId="2" xfId="0" applyFont="1" applyFill="1" applyBorder="1" applyAlignment="1" applyProtection="1">
      <alignment horizontal="center" vertical="center" wrapText="1"/>
    </xf>
    <xf numFmtId="0" fontId="27" fillId="0" borderId="0" xfId="0" applyFont="1" applyAlignment="1" applyProtection="1">
      <alignment horizontal="left"/>
    </xf>
    <xf numFmtId="0" fontId="11" fillId="0" borderId="0" xfId="0" applyFont="1" applyAlignment="1" applyProtection="1">
      <alignment horizontal="center"/>
    </xf>
    <xf numFmtId="0" fontId="11" fillId="0" borderId="0" xfId="0" applyFont="1" applyProtection="1"/>
    <xf numFmtId="195" fontId="0" fillId="0" borderId="0" xfId="0" applyNumberFormat="1"/>
    <xf numFmtId="0" fontId="0" fillId="0" borderId="0" xfId="0" applyAlignment="1">
      <alignment horizontal="right" vertical="center"/>
    </xf>
    <xf numFmtId="1" fontId="20" fillId="0" borderId="2" xfId="2" applyNumberFormat="1" applyFont="1" applyBorder="1" applyAlignment="1" applyProtection="1">
      <alignment horizontal="center" vertical="center"/>
    </xf>
    <xf numFmtId="0" fontId="20" fillId="0" borderId="2" xfId="0" applyFont="1" applyBorder="1" applyAlignment="1" applyProtection="1">
      <alignment horizontal="center" vertical="center"/>
    </xf>
    <xf numFmtId="0" fontId="8" fillId="0" borderId="0" xfId="0" applyFont="1" applyBorder="1" applyAlignment="1" applyProtection="1">
      <alignment horizontal="left"/>
    </xf>
    <xf numFmtId="0" fontId="0" fillId="0" borderId="0" xfId="0" applyBorder="1" applyAlignment="1" applyProtection="1">
      <alignment horizontal="center" vertical="center"/>
    </xf>
    <xf numFmtId="0" fontId="54" fillId="0" borderId="0" xfId="0" applyFont="1"/>
    <xf numFmtId="1" fontId="10" fillId="0" borderId="0" xfId="0" applyNumberFormat="1" applyFont="1" applyAlignment="1" applyProtection="1">
      <alignment horizontal="center"/>
    </xf>
    <xf numFmtId="0" fontId="0" fillId="0" borderId="0" xfId="0" applyNumberFormat="1"/>
    <xf numFmtId="0" fontId="0" fillId="0" borderId="0" xfId="0" applyNumberFormat="1" applyAlignment="1">
      <alignment horizontal="right"/>
    </xf>
    <xf numFmtId="0" fontId="0" fillId="0" borderId="0" xfId="0" applyAlignment="1">
      <alignment horizontal="left"/>
    </xf>
    <xf numFmtId="0" fontId="27" fillId="4" borderId="2" xfId="0" applyFont="1" applyFill="1" applyBorder="1" applyAlignment="1">
      <alignment horizontal="center" wrapText="1"/>
    </xf>
    <xf numFmtId="0" fontId="42" fillId="3" borderId="6" xfId="0" applyFont="1" applyFill="1" applyBorder="1" applyAlignment="1">
      <alignment horizontal="center" vertical="center"/>
    </xf>
    <xf numFmtId="0" fontId="42" fillId="3" borderId="7" xfId="0" applyFont="1" applyFill="1" applyBorder="1" applyAlignment="1">
      <alignment horizontal="center" vertical="center"/>
    </xf>
    <xf numFmtId="0" fontId="42" fillId="3" borderId="8" xfId="0" applyFont="1" applyFill="1" applyBorder="1" applyAlignment="1">
      <alignment horizontal="center" vertical="center"/>
    </xf>
    <xf numFmtId="0" fontId="27" fillId="5" borderId="2" xfId="0" applyFont="1" applyFill="1" applyBorder="1"/>
    <xf numFmtId="0" fontId="0" fillId="5" borderId="2" xfId="0" applyFill="1" applyBorder="1" applyProtection="1">
      <protection locked="0"/>
    </xf>
    <xf numFmtId="0" fontId="2" fillId="5" borderId="2" xfId="0" applyFont="1" applyFill="1" applyBorder="1" applyProtection="1">
      <protection locked="0"/>
    </xf>
    <xf numFmtId="195" fontId="27" fillId="5" borderId="2" xfId="0" applyNumberFormat="1" applyFont="1" applyFill="1" applyBorder="1" applyAlignment="1" applyProtection="1">
      <alignment horizontal="right" vertical="center"/>
      <protection locked="0"/>
    </xf>
    <xf numFmtId="0" fontId="4" fillId="0" borderId="0" xfId="1" applyNumberFormat="1" applyFill="1" applyBorder="1" applyAlignment="1">
      <alignment horizontal="center"/>
    </xf>
    <xf numFmtId="0" fontId="40" fillId="0" borderId="0" xfId="0" applyFont="1" applyAlignment="1">
      <alignment horizontal="center"/>
    </xf>
    <xf numFmtId="194" fontId="0" fillId="0" borderId="2" xfId="0" applyNumberFormat="1" applyFill="1" applyBorder="1" applyAlignment="1" applyProtection="1">
      <alignment horizontal="center" vertical="center"/>
    </xf>
    <xf numFmtId="0" fontId="0" fillId="0" borderId="0" xfId="0" applyAlignment="1" applyProtection="1">
      <alignment horizontal="left" vertical="center"/>
    </xf>
    <xf numFmtId="0" fontId="0" fillId="0" borderId="9" xfId="0" applyBorder="1" applyAlignment="1" applyProtection="1">
      <alignment horizontal="center" vertical="center"/>
    </xf>
    <xf numFmtId="0" fontId="56" fillId="0" borderId="10" xfId="0" applyFont="1" applyFill="1" applyBorder="1" applyAlignment="1" applyProtection="1">
      <alignment horizontal="center" vertical="center" wrapText="1"/>
    </xf>
    <xf numFmtId="0" fontId="52" fillId="3" borderId="11" xfId="0" applyFont="1" applyFill="1" applyBorder="1" applyAlignment="1" applyProtection="1">
      <alignment horizontal="center" vertical="center" wrapText="1"/>
    </xf>
    <xf numFmtId="2" fontId="0" fillId="0" borderId="2" xfId="0" applyNumberFormat="1" applyFill="1" applyBorder="1" applyAlignment="1" applyProtection="1">
      <alignment horizontal="center" vertical="center"/>
    </xf>
    <xf numFmtId="2" fontId="0" fillId="0" borderId="2" xfId="0" applyNumberFormat="1" applyBorder="1" applyAlignment="1" applyProtection="1">
      <alignment horizontal="center" vertical="center"/>
    </xf>
    <xf numFmtId="196" fontId="0" fillId="0" borderId="4" xfId="0" applyNumberFormat="1" applyBorder="1" applyAlignment="1" applyProtection="1">
      <alignment horizontal="center" vertical="center"/>
    </xf>
    <xf numFmtId="0" fontId="25" fillId="3" borderId="12"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xf>
    <xf numFmtId="0" fontId="9" fillId="0" borderId="10" xfId="0" applyFont="1" applyFill="1" applyBorder="1" applyAlignment="1" applyProtection="1">
      <alignment horizontal="center" wrapText="1"/>
    </xf>
    <xf numFmtId="0" fontId="0" fillId="0" borderId="0" xfId="0" applyFont="1" applyProtection="1"/>
    <xf numFmtId="0" fontId="12" fillId="0" borderId="0" xfId="0" applyFont="1" applyFill="1" applyBorder="1" applyProtection="1"/>
    <xf numFmtId="0" fontId="16" fillId="0" borderId="0" xfId="0" applyFont="1" applyAlignment="1" applyProtection="1">
      <alignment vertical="center"/>
    </xf>
    <xf numFmtId="0" fontId="0" fillId="0" borderId="0" xfId="0" applyFont="1" applyAlignment="1" applyProtection="1">
      <alignment vertical="center"/>
    </xf>
    <xf numFmtId="0" fontId="16" fillId="0" borderId="0" xfId="0" applyFont="1" applyAlignment="1" applyProtection="1">
      <alignment horizontal="right" vertical="center"/>
    </xf>
    <xf numFmtId="0" fontId="52" fillId="3" borderId="13" xfId="0" applyFont="1" applyFill="1" applyBorder="1" applyAlignment="1" applyProtection="1">
      <alignment horizontal="center" vertical="center"/>
    </xf>
    <xf numFmtId="0" fontId="52" fillId="3" borderId="14" xfId="0" applyFont="1" applyFill="1" applyBorder="1" applyAlignment="1" applyProtection="1">
      <alignment horizontal="center" vertical="center"/>
    </xf>
    <xf numFmtId="0" fontId="0" fillId="0" borderId="0" xfId="0" applyFont="1" applyAlignment="1" applyProtection="1"/>
    <xf numFmtId="0" fontId="38" fillId="3" borderId="15" xfId="0" applyFont="1" applyFill="1" applyBorder="1" applyAlignment="1" applyProtection="1">
      <alignment horizontal="center" vertical="center"/>
    </xf>
    <xf numFmtId="0" fontId="38" fillId="3" borderId="16" xfId="0" applyFont="1" applyFill="1" applyBorder="1" applyAlignment="1" applyProtection="1">
      <alignment horizontal="center" vertical="center"/>
    </xf>
    <xf numFmtId="0" fontId="38" fillId="3" borderId="16" xfId="0" applyNumberFormat="1" applyFont="1" applyFill="1" applyBorder="1" applyAlignment="1" applyProtection="1">
      <alignment horizontal="center" vertical="center"/>
    </xf>
    <xf numFmtId="0" fontId="38" fillId="3" borderId="17" xfId="0" applyFont="1" applyFill="1" applyBorder="1" applyAlignment="1" applyProtection="1">
      <alignment horizontal="center" vertical="center"/>
    </xf>
    <xf numFmtId="0" fontId="9" fillId="0" borderId="10" xfId="0" applyFont="1" applyBorder="1" applyAlignment="1" applyProtection="1">
      <alignment horizontal="center" wrapText="1"/>
    </xf>
    <xf numFmtId="2" fontId="9" fillId="0" borderId="10" xfId="0" applyNumberFormat="1" applyFont="1" applyBorder="1" applyAlignment="1" applyProtection="1">
      <alignment horizontal="center" wrapText="1"/>
    </xf>
    <xf numFmtId="196" fontId="9" fillId="0" borderId="10" xfId="0" applyNumberFormat="1" applyFont="1" applyBorder="1" applyAlignment="1" applyProtection="1">
      <alignment horizontal="center" wrapText="1"/>
    </xf>
    <xf numFmtId="0" fontId="9" fillId="0" borderId="10" xfId="0" applyNumberFormat="1" applyFont="1" applyBorder="1" applyAlignment="1" applyProtection="1">
      <alignment horizontal="center" wrapText="1"/>
    </xf>
    <xf numFmtId="196" fontId="9" fillId="0" borderId="2" xfId="0" applyNumberFormat="1" applyFont="1" applyBorder="1" applyAlignment="1" applyProtection="1">
      <alignment horizontal="center" wrapText="1"/>
    </xf>
    <xf numFmtId="0" fontId="9" fillId="0" borderId="2" xfId="0" applyNumberFormat="1" applyFont="1" applyBorder="1" applyAlignment="1" applyProtection="1">
      <alignment horizontal="center" wrapText="1"/>
    </xf>
    <xf numFmtId="0" fontId="9" fillId="0" borderId="2" xfId="0" applyFont="1" applyBorder="1" applyAlignment="1" applyProtection="1">
      <alignment horizontal="center" wrapText="1"/>
    </xf>
    <xf numFmtId="194" fontId="9" fillId="0" borderId="2" xfId="0" applyNumberFormat="1" applyFont="1" applyBorder="1" applyAlignment="1" applyProtection="1">
      <alignment horizontal="center" wrapText="1"/>
    </xf>
    <xf numFmtId="0" fontId="3" fillId="5" borderId="2" xfId="0" applyFont="1" applyFill="1" applyBorder="1" applyAlignment="1" applyProtection="1">
      <alignment horizontal="center" vertical="center" wrapText="1"/>
      <protection locked="0"/>
    </xf>
    <xf numFmtId="0" fontId="59" fillId="0" borderId="0" xfId="0" applyFont="1" applyFill="1" applyProtection="1"/>
    <xf numFmtId="0" fontId="2" fillId="0" borderId="2" xfId="0" applyFont="1" applyFill="1" applyBorder="1" applyAlignment="1" applyProtection="1">
      <alignment horizontal="center" vertical="center" wrapText="1"/>
    </xf>
    <xf numFmtId="194" fontId="0" fillId="0" borderId="2" xfId="0" applyNumberFormat="1" applyBorder="1" applyAlignment="1" applyProtection="1">
      <alignment horizontal="center" vertical="center"/>
    </xf>
    <xf numFmtId="0" fontId="59" fillId="0" borderId="0" xfId="0" applyFont="1" applyFill="1" applyAlignment="1" applyProtection="1">
      <alignment horizontal="center"/>
    </xf>
    <xf numFmtId="0" fontId="10" fillId="0" borderId="2" xfId="0" applyFont="1" applyBorder="1" applyAlignment="1" applyProtection="1">
      <alignment horizontal="center"/>
    </xf>
    <xf numFmtId="194" fontId="10" fillId="0" borderId="2" xfId="0" applyNumberFormat="1" applyFont="1" applyBorder="1" applyAlignment="1" applyProtection="1">
      <alignment horizontal="center"/>
    </xf>
    <xf numFmtId="0" fontId="10" fillId="6" borderId="2" xfId="0" applyFont="1" applyFill="1" applyBorder="1" applyAlignment="1" applyProtection="1">
      <alignment horizontal="center"/>
    </xf>
    <xf numFmtId="0" fontId="61" fillId="0" borderId="2" xfId="0" applyNumberFormat="1" applyFont="1" applyFill="1" applyBorder="1" applyAlignment="1" applyProtection="1">
      <alignment horizontal="center" vertical="center" wrapText="1"/>
    </xf>
    <xf numFmtId="2" fontId="59" fillId="0" borderId="2" xfId="0" applyNumberFormat="1" applyFont="1" applyFill="1" applyBorder="1" applyAlignment="1" applyProtection="1">
      <alignment horizontal="center"/>
    </xf>
    <xf numFmtId="0" fontId="59" fillId="0" borderId="2" xfId="0" applyFont="1" applyFill="1" applyBorder="1" applyAlignment="1" applyProtection="1">
      <alignment horizontal="center"/>
    </xf>
    <xf numFmtId="195" fontId="59" fillId="0" borderId="2" xfId="0" applyNumberFormat="1" applyFont="1" applyFill="1" applyBorder="1" applyAlignment="1" applyProtection="1">
      <alignment horizontal="center"/>
    </xf>
    <xf numFmtId="194" fontId="0" fillId="0" borderId="2" xfId="0" applyNumberFormat="1" applyBorder="1" applyAlignment="1" applyProtection="1">
      <alignment horizontal="center"/>
    </xf>
    <xf numFmtId="0" fontId="14" fillId="0" borderId="2" xfId="0" applyNumberFormat="1" applyFont="1" applyFill="1" applyBorder="1" applyAlignment="1" applyProtection="1">
      <alignment horizontal="center" wrapText="1"/>
    </xf>
    <xf numFmtId="0" fontId="25" fillId="3" borderId="18" xfId="0" applyFont="1" applyFill="1" applyBorder="1" applyAlignment="1" applyProtection="1">
      <alignment horizontal="center" vertical="center" wrapText="1"/>
    </xf>
    <xf numFmtId="0" fontId="25" fillId="3" borderId="19" xfId="0" applyFont="1" applyFill="1" applyBorder="1" applyAlignment="1" applyProtection="1">
      <alignment horizontal="center" vertical="center" wrapText="1"/>
    </xf>
    <xf numFmtId="0" fontId="25" fillId="3" borderId="20"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13" fillId="0" borderId="21" xfId="0" applyFont="1" applyBorder="1" applyAlignment="1" applyProtection="1">
      <alignment horizontal="center"/>
    </xf>
    <xf numFmtId="0" fontId="13" fillId="0" borderId="13" xfId="0" applyFont="1" applyBorder="1" applyAlignment="1" applyProtection="1">
      <alignment horizontal="center"/>
    </xf>
    <xf numFmtId="0" fontId="64" fillId="0" borderId="0" xfId="0" applyFont="1" applyAlignment="1" applyProtection="1">
      <alignment horizontal="left"/>
    </xf>
    <xf numFmtId="2" fontId="30" fillId="0" borderId="0" xfId="0" applyNumberFormat="1" applyFont="1" applyFill="1" applyProtection="1"/>
    <xf numFmtId="0" fontId="66" fillId="0" borderId="0" xfId="0" applyFont="1" applyAlignment="1" applyProtection="1">
      <alignment horizontal="left"/>
    </xf>
    <xf numFmtId="0" fontId="14" fillId="0" borderId="11" xfId="0" applyFont="1" applyBorder="1" applyAlignment="1" applyProtection="1">
      <alignment horizontal="center" vertical="center" wrapText="1"/>
    </xf>
    <xf numFmtId="195" fontId="10" fillId="0" borderId="22" xfId="0" applyNumberFormat="1" applyFont="1" applyBorder="1" applyAlignment="1" applyProtection="1">
      <alignment horizontal="center" vertical="center" wrapText="1"/>
    </xf>
    <xf numFmtId="0" fontId="14" fillId="0" borderId="14" xfId="0" applyFont="1" applyBorder="1" applyAlignment="1" applyProtection="1">
      <alignment horizontal="center" vertical="center" wrapText="1"/>
    </xf>
    <xf numFmtId="0" fontId="48" fillId="3" borderId="23" xfId="0" applyFont="1" applyFill="1" applyBorder="1" applyAlignment="1" applyProtection="1">
      <alignment horizontal="center" vertical="center" wrapText="1"/>
    </xf>
    <xf numFmtId="0" fontId="0" fillId="0" borderId="2" xfId="0" applyBorder="1" applyAlignment="1" applyProtection="1">
      <alignment horizontal="center"/>
    </xf>
    <xf numFmtId="0" fontId="0" fillId="0" borderId="0" xfId="0" quotePrefix="1" applyFill="1" applyBorder="1" applyAlignment="1" applyProtection="1">
      <alignment horizontal="left" vertical="center"/>
    </xf>
    <xf numFmtId="0" fontId="48" fillId="3" borderId="24" xfId="0" applyFont="1" applyFill="1" applyBorder="1" applyAlignment="1" applyProtection="1">
      <alignment horizontal="center" vertical="center" wrapText="1"/>
    </xf>
    <xf numFmtId="0" fontId="14" fillId="0" borderId="0" xfId="0" applyFont="1" applyAlignment="1">
      <alignment horizontal="right"/>
    </xf>
    <xf numFmtId="0" fontId="14" fillId="0" borderId="0" xfId="0" applyFont="1" applyAlignment="1" applyProtection="1">
      <alignment horizontal="right" vertical="center"/>
    </xf>
    <xf numFmtId="0" fontId="14" fillId="0" borderId="0" xfId="0" applyFont="1" applyAlignment="1" applyProtection="1">
      <alignment horizontal="right"/>
    </xf>
    <xf numFmtId="0" fontId="4" fillId="0" borderId="0" xfId="1" applyFont="1" applyFill="1"/>
    <xf numFmtId="0" fontId="19" fillId="0" borderId="0" xfId="1" applyFont="1" applyFill="1" applyBorder="1" applyAlignment="1">
      <alignment horizontal="center" vertical="center" wrapText="1"/>
    </xf>
    <xf numFmtId="0" fontId="4" fillId="0" borderId="0" xfId="1" applyFont="1" applyFill="1" applyBorder="1" applyAlignment="1">
      <alignment horizontal="center" vertical="center" wrapText="1"/>
    </xf>
    <xf numFmtId="0" fontId="4" fillId="0" borderId="0" xfId="1" applyAlignment="1" applyProtection="1">
      <alignment horizontal="center"/>
    </xf>
    <xf numFmtId="0" fontId="4" fillId="0" borderId="0" xfId="1" applyProtection="1"/>
    <xf numFmtId="0" fontId="4" fillId="0" borderId="0" xfId="1" applyFont="1" applyAlignment="1" applyProtection="1">
      <alignment horizontal="right"/>
    </xf>
    <xf numFmtId="1" fontId="17" fillId="0" borderId="2" xfId="1" applyNumberFormat="1" applyFont="1" applyBorder="1" applyAlignment="1" applyProtection="1">
      <alignment horizontal="center"/>
    </xf>
    <xf numFmtId="0" fontId="4" fillId="0" borderId="0" xfId="1" applyFont="1" applyFill="1" applyAlignment="1" applyProtection="1">
      <alignment horizontal="right"/>
    </xf>
    <xf numFmtId="1" fontId="17" fillId="0" borderId="0" xfId="1" applyNumberFormat="1" applyFont="1" applyBorder="1" applyAlignment="1" applyProtection="1">
      <alignment horizontal="center"/>
    </xf>
    <xf numFmtId="0" fontId="4" fillId="0" borderId="0" xfId="1" applyFont="1" applyProtection="1"/>
    <xf numFmtId="0" fontId="44" fillId="3" borderId="25" xfId="1" applyFont="1" applyFill="1" applyBorder="1" applyAlignment="1" applyProtection="1">
      <alignment horizontal="center" vertical="center" wrapText="1"/>
    </xf>
    <xf numFmtId="0" fontId="44" fillId="3" borderId="26" xfId="1" applyFont="1" applyFill="1" applyBorder="1" applyAlignment="1" applyProtection="1">
      <alignment horizontal="center" vertical="center" wrapText="1"/>
    </xf>
    <xf numFmtId="0" fontId="50" fillId="3" borderId="27" xfId="1" applyFont="1" applyFill="1" applyBorder="1" applyAlignment="1" applyProtection="1">
      <alignment horizontal="center" vertical="center" wrapText="1"/>
    </xf>
    <xf numFmtId="0" fontId="50" fillId="3" borderId="28" xfId="1" applyFont="1" applyFill="1" applyBorder="1" applyAlignment="1" applyProtection="1">
      <alignment horizontal="center" vertical="center" wrapText="1"/>
    </xf>
    <xf numFmtId="0" fontId="44" fillId="3" borderId="27" xfId="1" applyFont="1" applyFill="1" applyBorder="1" applyAlignment="1" applyProtection="1">
      <alignment horizontal="center" vertical="center" wrapText="1"/>
    </xf>
    <xf numFmtId="1" fontId="44" fillId="3" borderId="27" xfId="1" applyNumberFormat="1" applyFont="1" applyFill="1" applyBorder="1" applyAlignment="1" applyProtection="1">
      <alignment horizontal="center" vertical="center" wrapText="1"/>
    </xf>
    <xf numFmtId="0" fontId="44" fillId="3" borderId="28" xfId="1" applyFont="1" applyFill="1" applyBorder="1" applyAlignment="1" applyProtection="1">
      <alignment horizontal="center" vertical="center" wrapText="1"/>
    </xf>
    <xf numFmtId="0" fontId="44" fillId="3" borderId="12" xfId="1" applyFont="1" applyFill="1" applyBorder="1" applyAlignment="1" applyProtection="1">
      <alignment horizontal="center" vertical="center" wrapText="1"/>
    </xf>
    <xf numFmtId="0" fontId="44" fillId="3" borderId="29" xfId="1" applyFont="1" applyFill="1" applyBorder="1" applyAlignment="1" applyProtection="1">
      <alignment horizontal="center" vertical="center" wrapText="1"/>
    </xf>
    <xf numFmtId="0" fontId="12" fillId="0" borderId="0" xfId="0" applyFont="1" applyAlignment="1" applyProtection="1">
      <alignment horizontal="left" vertical="center"/>
    </xf>
    <xf numFmtId="0" fontId="32" fillId="0" borderId="0" xfId="0" applyFont="1" applyAlignment="1">
      <alignment horizontal="right"/>
    </xf>
    <xf numFmtId="195" fontId="0" fillId="0" borderId="2" xfId="0" applyNumberFormat="1" applyBorder="1" applyAlignment="1">
      <alignment horizontal="center"/>
    </xf>
    <xf numFmtId="195" fontId="0" fillId="0" borderId="30" xfId="0" applyNumberFormat="1" applyBorder="1" applyAlignment="1">
      <alignment horizontal="center"/>
    </xf>
    <xf numFmtId="195" fontId="0" fillId="0" borderId="14" xfId="0" applyNumberFormat="1" applyBorder="1" applyAlignment="1">
      <alignment horizontal="center"/>
    </xf>
    <xf numFmtId="195" fontId="0" fillId="0" borderId="5" xfId="0" applyNumberFormat="1" applyBorder="1" applyAlignment="1">
      <alignment horizontal="center"/>
    </xf>
    <xf numFmtId="0" fontId="38" fillId="3" borderId="31" xfId="0" applyFont="1" applyFill="1" applyBorder="1" applyAlignment="1">
      <alignment vertical="center"/>
    </xf>
    <xf numFmtId="0" fontId="3" fillId="0" borderId="32" xfId="0" applyFont="1" applyFill="1" applyBorder="1" applyAlignment="1">
      <alignment vertical="center"/>
    </xf>
    <xf numFmtId="0" fontId="3" fillId="0" borderId="33" xfId="0" applyFont="1" applyFill="1" applyBorder="1" applyAlignment="1">
      <alignment vertical="center"/>
    </xf>
    <xf numFmtId="0" fontId="32" fillId="0" borderId="0" xfId="0" applyFont="1" applyAlignment="1">
      <alignment horizontal="left"/>
    </xf>
    <xf numFmtId="0" fontId="73" fillId="0" borderId="0" xfId="0" applyFont="1"/>
    <xf numFmtId="0" fontId="51" fillId="3" borderId="34" xfId="0" applyFont="1" applyFill="1" applyBorder="1" applyAlignment="1">
      <alignment horizontal="center"/>
    </xf>
    <xf numFmtId="0" fontId="51" fillId="3" borderId="35" xfId="0" applyFont="1" applyFill="1" applyBorder="1" applyAlignment="1">
      <alignment horizontal="center"/>
    </xf>
    <xf numFmtId="0" fontId="0" fillId="0" borderId="0" xfId="0" applyAlignment="1"/>
    <xf numFmtId="0" fontId="70" fillId="0" borderId="36" xfId="0" applyFont="1" applyBorder="1" applyAlignment="1">
      <alignment horizontal="center"/>
    </xf>
    <xf numFmtId="0" fontId="70" fillId="0" borderId="1" xfId="0" applyFont="1" applyBorder="1" applyAlignment="1">
      <alignment horizontal="center"/>
    </xf>
    <xf numFmtId="0" fontId="71" fillId="0" borderId="1" xfId="0" applyFont="1" applyBorder="1" applyAlignment="1">
      <alignment horizontal="center"/>
    </xf>
    <xf numFmtId="0" fontId="70" fillId="0" borderId="37" xfId="0" applyFont="1" applyBorder="1" applyAlignment="1"/>
    <xf numFmtId="0" fontId="70" fillId="0" borderId="1" xfId="0" applyFont="1" applyBorder="1" applyAlignment="1"/>
    <xf numFmtId="0" fontId="3" fillId="0" borderId="10" xfId="0" applyFont="1" applyFill="1" applyBorder="1" applyAlignment="1" applyProtection="1">
      <alignment horizontal="center" wrapText="1"/>
    </xf>
    <xf numFmtId="0" fontId="64" fillId="0" borderId="0" xfId="0" applyFont="1" applyAlignment="1" applyProtection="1">
      <alignment horizontal="left" vertical="center"/>
    </xf>
    <xf numFmtId="0" fontId="74" fillId="0" borderId="0" xfId="0" applyFont="1" applyAlignment="1" applyProtection="1">
      <alignment horizontal="left" vertical="center"/>
    </xf>
    <xf numFmtId="0" fontId="14" fillId="0" borderId="0" xfId="0" applyFont="1" applyBorder="1" applyAlignment="1" applyProtection="1">
      <alignment horizontal="center" vertical="center"/>
    </xf>
    <xf numFmtId="0" fontId="75" fillId="3" borderId="38" xfId="0" applyFont="1" applyFill="1" applyBorder="1" applyAlignment="1" applyProtection="1">
      <alignment horizontal="center" vertical="center" wrapText="1"/>
    </xf>
    <xf numFmtId="0" fontId="75" fillId="3" borderId="39" xfId="0" applyFont="1" applyFill="1" applyBorder="1" applyAlignment="1" applyProtection="1">
      <alignment vertical="center" wrapText="1"/>
    </xf>
    <xf numFmtId="0" fontId="75" fillId="3" borderId="40" xfId="0" applyFont="1" applyFill="1" applyBorder="1" applyAlignment="1" applyProtection="1">
      <alignment vertical="center" wrapText="1"/>
    </xf>
    <xf numFmtId="0" fontId="75" fillId="3" borderId="6" xfId="0" applyFont="1" applyFill="1" applyBorder="1" applyAlignment="1" applyProtection="1">
      <alignment horizontal="center" vertical="center" wrapText="1"/>
    </xf>
    <xf numFmtId="0" fontId="75" fillId="3" borderId="8"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2" fontId="14" fillId="0" borderId="0" xfId="0" applyNumberFormat="1" applyFont="1" applyBorder="1" applyAlignment="1" applyProtection="1">
      <alignment horizontal="center" vertical="center"/>
    </xf>
    <xf numFmtId="0" fontId="52" fillId="3" borderId="41" xfId="0" applyFont="1" applyFill="1" applyBorder="1" applyAlignment="1">
      <alignment horizontal="center" vertical="center"/>
    </xf>
    <xf numFmtId="0" fontId="52" fillId="3" borderId="42" xfId="0" applyFont="1" applyFill="1" applyBorder="1" applyAlignment="1">
      <alignment horizontal="center" vertical="center"/>
    </xf>
    <xf numFmtId="0" fontId="0" fillId="0" borderId="0" xfId="0" applyAlignment="1">
      <alignment vertical="center"/>
    </xf>
    <xf numFmtId="0" fontId="77" fillId="0" borderId="0" xfId="0" applyFont="1"/>
    <xf numFmtId="0" fontId="0" fillId="0" borderId="0" xfId="0" applyAlignment="1">
      <alignment vertical="center" wrapText="1"/>
    </xf>
    <xf numFmtId="0" fontId="77" fillId="0" borderId="0" xfId="0" applyFont="1" applyFill="1" applyProtection="1"/>
    <xf numFmtId="0" fontId="52" fillId="3" borderId="10" xfId="0" applyFont="1" applyFill="1" applyBorder="1" applyAlignment="1" applyProtection="1">
      <alignment horizontal="center" vertical="center" wrapText="1"/>
    </xf>
    <xf numFmtId="194" fontId="11" fillId="0" borderId="2" xfId="0" applyNumberFormat="1" applyFont="1" applyFill="1" applyBorder="1" applyAlignment="1" applyProtection="1">
      <alignment horizontal="center"/>
    </xf>
    <xf numFmtId="0" fontId="11" fillId="0" borderId="2" xfId="0" applyFont="1" applyFill="1" applyBorder="1" applyAlignment="1" applyProtection="1">
      <alignment horizontal="center"/>
    </xf>
    <xf numFmtId="0" fontId="77" fillId="0" borderId="0" xfId="0" applyFont="1" applyFill="1" applyBorder="1" applyAlignment="1" applyProtection="1">
      <alignment horizontal="right"/>
    </xf>
    <xf numFmtId="2" fontId="11" fillId="0" borderId="2" xfId="0" applyNumberFormat="1" applyFont="1" applyFill="1" applyBorder="1" applyAlignment="1" applyProtection="1">
      <alignment horizontal="center"/>
    </xf>
    <xf numFmtId="0" fontId="12" fillId="0" borderId="2" xfId="0" applyFont="1" applyFill="1" applyBorder="1" applyProtection="1"/>
    <xf numFmtId="0" fontId="20" fillId="0" borderId="0" xfId="0" applyFont="1" applyAlignment="1">
      <alignment horizontal="right"/>
    </xf>
    <xf numFmtId="2" fontId="20" fillId="0" borderId="0" xfId="0" applyNumberFormat="1" applyFont="1"/>
    <xf numFmtId="0" fontId="20" fillId="0" borderId="0" xfId="0" applyFont="1"/>
    <xf numFmtId="0" fontId="20" fillId="5" borderId="2" xfId="0" applyNumberFormat="1" applyFont="1" applyFill="1" applyBorder="1" applyAlignment="1" applyProtection="1">
      <alignment horizontal="center"/>
      <protection locked="0"/>
    </xf>
    <xf numFmtId="0" fontId="20" fillId="0" borderId="0" xfId="0" applyFont="1" applyAlignment="1">
      <alignment horizontal="right" vertical="center"/>
    </xf>
    <xf numFmtId="0" fontId="38" fillId="3" borderId="43" xfId="0" applyFont="1" applyFill="1" applyBorder="1" applyAlignment="1">
      <alignment horizontal="center"/>
    </xf>
    <xf numFmtId="0" fontId="27" fillId="0" borderId="0" xfId="0" applyFont="1" applyAlignment="1">
      <alignment horizontal="center"/>
    </xf>
    <xf numFmtId="0" fontId="3" fillId="0" borderId="0" xfId="0" applyFont="1" applyAlignment="1">
      <alignment horizontal="center"/>
    </xf>
    <xf numFmtId="0" fontId="3" fillId="7" borderId="2" xfId="0" applyFont="1" applyFill="1" applyBorder="1" applyAlignment="1">
      <alignment horizontal="center"/>
    </xf>
    <xf numFmtId="0" fontId="3" fillId="5" borderId="2" xfId="0" applyFont="1" applyFill="1" applyBorder="1" applyAlignment="1">
      <alignment horizontal="center"/>
    </xf>
    <xf numFmtId="0" fontId="3" fillId="8" borderId="2" xfId="0" applyFont="1" applyFill="1" applyBorder="1" applyAlignment="1">
      <alignment horizontal="center"/>
    </xf>
    <xf numFmtId="0" fontId="38" fillId="9" borderId="2" xfId="0" applyFont="1" applyFill="1" applyBorder="1" applyAlignment="1">
      <alignment horizontal="center"/>
    </xf>
    <xf numFmtId="0" fontId="0" fillId="0" borderId="2" xfId="0" applyBorder="1" applyAlignment="1" applyProtection="1">
      <alignment horizontal="center" vertical="center"/>
      <protection locked="0"/>
    </xf>
    <xf numFmtId="0" fontId="77" fillId="0" borderId="0" xfId="0" applyFont="1" applyFill="1" applyProtection="1">
      <protection locked="0"/>
    </xf>
    <xf numFmtId="0" fontId="20" fillId="5" borderId="2" xfId="0" applyFont="1" applyFill="1" applyBorder="1" applyAlignment="1" applyProtection="1">
      <alignment horizontal="center" vertical="center"/>
      <protection locked="0"/>
    </xf>
    <xf numFmtId="0" fontId="4" fillId="5" borderId="0" xfId="1" applyFill="1" applyAlignment="1" applyProtection="1">
      <alignment horizontal="center"/>
      <protection locked="0"/>
    </xf>
    <xf numFmtId="0" fontId="4" fillId="5" borderId="0" xfId="1" applyNumberFormat="1" applyFont="1" applyFill="1" applyBorder="1" applyAlignment="1" applyProtection="1">
      <alignment horizontal="center"/>
      <protection locked="0"/>
    </xf>
    <xf numFmtId="0" fontId="4" fillId="5" borderId="0" xfId="1" applyFont="1" applyFill="1" applyAlignment="1" applyProtection="1">
      <alignment horizontal="center" vertical="center" wrapText="1"/>
      <protection locked="0"/>
    </xf>
    <xf numFmtId="0" fontId="52" fillId="3" borderId="44" xfId="0" applyFont="1" applyFill="1" applyBorder="1" applyAlignment="1" applyProtection="1">
      <alignment horizontal="center" vertical="center"/>
    </xf>
    <xf numFmtId="0" fontId="20" fillId="5" borderId="45" xfId="0" applyFont="1" applyFill="1" applyBorder="1" applyAlignment="1" applyProtection="1">
      <alignment horizontal="center"/>
      <protection locked="0"/>
    </xf>
    <xf numFmtId="0" fontId="7" fillId="10" borderId="14" xfId="0" applyFont="1" applyFill="1" applyBorder="1" applyAlignment="1" applyProtection="1">
      <alignment horizontal="center" vertical="center" wrapText="1"/>
    </xf>
    <xf numFmtId="0" fontId="7" fillId="10" borderId="5"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xf>
    <xf numFmtId="0" fontId="47" fillId="0" borderId="0" xfId="0" applyFont="1" applyFill="1" applyBorder="1" applyAlignment="1" applyProtection="1">
      <alignment horizontal="center" vertical="center"/>
    </xf>
    <xf numFmtId="0" fontId="14" fillId="0" borderId="0" xfId="0" applyFont="1" applyFill="1" applyBorder="1" applyAlignment="1" applyProtection="1">
      <alignment horizontal="right" vertical="center"/>
    </xf>
    <xf numFmtId="0" fontId="0" fillId="0" borderId="0" xfId="0" applyFont="1" applyFill="1" applyBorder="1" applyProtection="1"/>
    <xf numFmtId="0" fontId="16" fillId="0" borderId="46" xfId="0" applyFont="1" applyBorder="1" applyAlignment="1" applyProtection="1">
      <alignment vertical="center"/>
    </xf>
    <xf numFmtId="0" fontId="16" fillId="0" borderId="47" xfId="0" applyFont="1" applyBorder="1" applyAlignment="1" applyProtection="1">
      <alignment vertical="center"/>
    </xf>
    <xf numFmtId="0" fontId="0" fillId="0" borderId="48" xfId="0" applyNumberFormat="1" applyFill="1" applyBorder="1" applyAlignment="1" applyProtection="1">
      <alignment vertical="center"/>
      <protection locked="0"/>
    </xf>
    <xf numFmtId="0" fontId="0" fillId="0" borderId="49" xfId="0" applyNumberFormat="1" applyFill="1" applyBorder="1" applyAlignment="1" applyProtection="1">
      <alignment vertical="center"/>
      <protection locked="0"/>
    </xf>
    <xf numFmtId="0" fontId="0" fillId="0" borderId="4" xfId="0" applyNumberFormat="1" applyFill="1" applyBorder="1" applyAlignment="1" applyProtection="1">
      <alignment vertical="center"/>
    </xf>
    <xf numFmtId="0" fontId="0" fillId="0" borderId="45" xfId="0" applyBorder="1" applyAlignment="1">
      <alignment horizontal="center" vertical="center" textRotation="90"/>
    </xf>
    <xf numFmtId="0" fontId="0" fillId="0" borderId="2" xfId="0" applyNumberFormat="1" applyFill="1" applyBorder="1" applyAlignment="1" applyProtection="1">
      <alignment horizontal="center" vertical="center"/>
    </xf>
    <xf numFmtId="0" fontId="7" fillId="10" borderId="13" xfId="0" applyFont="1" applyFill="1" applyBorder="1" applyAlignment="1" applyProtection="1">
      <alignment horizontal="center" vertical="center" wrapText="1"/>
    </xf>
    <xf numFmtId="0" fontId="0" fillId="0" borderId="0" xfId="0" applyAlignment="1">
      <alignment horizontal="left" vertical="center"/>
    </xf>
    <xf numFmtId="0" fontId="20" fillId="5" borderId="2" xfId="0" applyNumberFormat="1" applyFont="1" applyFill="1" applyBorder="1" applyAlignment="1" applyProtection="1">
      <alignment horizontal="center" vertical="center"/>
      <protection locked="0"/>
    </xf>
    <xf numFmtId="0" fontId="0" fillId="0" borderId="0" xfId="0" applyAlignment="1">
      <alignment horizontal="center" vertical="center" wrapText="1"/>
    </xf>
    <xf numFmtId="0" fontId="42" fillId="3" borderId="0" xfId="0" applyFont="1" applyFill="1" applyAlignment="1">
      <alignment vertical="center"/>
    </xf>
    <xf numFmtId="0" fontId="44" fillId="3" borderId="0" xfId="0" applyFont="1" applyFill="1" applyAlignment="1">
      <alignment vertical="center"/>
    </xf>
    <xf numFmtId="0" fontId="0" fillId="0" borderId="0" xfId="0" applyFill="1"/>
    <xf numFmtId="0" fontId="13" fillId="10" borderId="2" xfId="0" applyFont="1" applyFill="1" applyBorder="1" applyAlignment="1">
      <alignment horizontal="center" vertical="center" wrapText="1"/>
    </xf>
    <xf numFmtId="0" fontId="0" fillId="0" borderId="0" xfId="0" applyAlignment="1">
      <alignment horizontal="justify" vertical="center" wrapText="1"/>
    </xf>
    <xf numFmtId="0" fontId="0" fillId="0" borderId="2" xfId="0" applyBorder="1" applyAlignment="1">
      <alignment vertical="center"/>
    </xf>
    <xf numFmtId="0" fontId="0" fillId="0" borderId="2" xfId="0" applyBorder="1" applyAlignment="1">
      <alignment horizontal="justify" vertical="center"/>
    </xf>
    <xf numFmtId="0" fontId="0" fillId="0" borderId="2" xfId="0" applyBorder="1"/>
    <xf numFmtId="0" fontId="0" fillId="0" borderId="4" xfId="0" applyBorder="1"/>
    <xf numFmtId="0" fontId="0" fillId="0" borderId="50" xfId="0" applyBorder="1"/>
    <xf numFmtId="0" fontId="0" fillId="0" borderId="46" xfId="0" applyNumberFormat="1" applyBorder="1" applyAlignment="1">
      <alignment horizontal="justify" vertical="center" wrapText="1"/>
    </xf>
    <xf numFmtId="0" fontId="0" fillId="0" borderId="0" xfId="0" applyBorder="1"/>
    <xf numFmtId="0" fontId="0" fillId="0" borderId="45" xfId="0" applyBorder="1" applyAlignment="1">
      <alignment vertical="center" wrapText="1"/>
    </xf>
    <xf numFmtId="0" fontId="0" fillId="0" borderId="46" xfId="0" applyBorder="1" applyAlignment="1">
      <alignment vertical="center" wrapText="1"/>
    </xf>
    <xf numFmtId="0" fontId="0" fillId="0" borderId="10" xfId="0" applyBorder="1" applyAlignment="1">
      <alignment vertical="center" wrapText="1"/>
    </xf>
    <xf numFmtId="0" fontId="1" fillId="5" borderId="2"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top" wrapText="1"/>
      <protection locked="0"/>
    </xf>
    <xf numFmtId="0" fontId="14" fillId="0" borderId="10" xfId="0" applyFont="1" applyBorder="1" applyAlignment="1" applyProtection="1">
      <alignment horizontal="center" vertical="center" wrapText="1"/>
    </xf>
    <xf numFmtId="196" fontId="10" fillId="0" borderId="51" xfId="0" applyNumberFormat="1" applyFont="1" applyBorder="1" applyAlignment="1" applyProtection="1">
      <alignment horizontal="center" vertical="center" wrapText="1"/>
    </xf>
    <xf numFmtId="0" fontId="38" fillId="3" borderId="52" xfId="0" applyFont="1" applyFill="1" applyBorder="1" applyAlignment="1">
      <alignment vertical="center"/>
    </xf>
    <xf numFmtId="0" fontId="3" fillId="0" borderId="48" xfId="0" applyFont="1" applyFill="1" applyBorder="1" applyAlignment="1">
      <alignment vertical="center"/>
    </xf>
    <xf numFmtId="0" fontId="3" fillId="0" borderId="49" xfId="0" applyFont="1" applyFill="1" applyBorder="1" applyAlignment="1">
      <alignment vertical="center"/>
    </xf>
    <xf numFmtId="0" fontId="0" fillId="0" borderId="0" xfId="0" quotePrefix="1"/>
    <xf numFmtId="2" fontId="27" fillId="0" borderId="0" xfId="0" applyNumberFormat="1" applyFont="1" applyBorder="1" applyAlignment="1">
      <alignment horizontal="center" wrapText="1"/>
    </xf>
    <xf numFmtId="1" fontId="0" fillId="0" borderId="0" xfId="0" applyNumberFormat="1" applyAlignment="1">
      <alignment horizontal="center"/>
    </xf>
    <xf numFmtId="0" fontId="25" fillId="3" borderId="53" xfId="0" applyFont="1" applyFill="1" applyBorder="1" applyAlignment="1" applyProtection="1">
      <alignment horizontal="center" vertical="center" wrapText="1"/>
    </xf>
    <xf numFmtId="0" fontId="0" fillId="0" borderId="54" xfId="0" applyBorder="1" applyAlignment="1" applyProtection="1">
      <alignment horizontal="center" vertical="center"/>
    </xf>
    <xf numFmtId="0" fontId="1" fillId="0" borderId="0" xfId="0" applyFont="1" applyAlignment="1" applyProtection="1">
      <alignment vertical="center" wrapText="1"/>
    </xf>
    <xf numFmtId="2" fontId="7" fillId="0" borderId="4" xfId="0" applyNumberFormat="1" applyFont="1" applyFill="1" applyBorder="1" applyAlignment="1" applyProtection="1"/>
    <xf numFmtId="0" fontId="84" fillId="0" borderId="0" xfId="0" applyFont="1"/>
    <xf numFmtId="0" fontId="87" fillId="0" borderId="9" xfId="2" applyNumberFormat="1" applyFont="1" applyBorder="1" applyAlignment="1" applyProtection="1">
      <alignment horizontal="right" vertical="center"/>
    </xf>
    <xf numFmtId="194" fontId="9" fillId="0" borderId="47" xfId="0" applyNumberFormat="1" applyFont="1" applyFill="1" applyBorder="1" applyAlignment="1" applyProtection="1">
      <alignment horizontal="center" wrapText="1"/>
    </xf>
    <xf numFmtId="0" fontId="0" fillId="0" borderId="0" xfId="0" quotePrefix="1" applyAlignment="1">
      <alignment horizontal="right"/>
    </xf>
    <xf numFmtId="0" fontId="7" fillId="6" borderId="0" xfId="0" applyFont="1" applyFill="1"/>
    <xf numFmtId="0" fontId="7" fillId="6" borderId="0" xfId="0" applyFont="1" applyFill="1" applyAlignment="1">
      <alignment horizontal="right"/>
    </xf>
    <xf numFmtId="2" fontId="7" fillId="6" borderId="0" xfId="0" applyNumberFormat="1" applyFont="1" applyFill="1"/>
    <xf numFmtId="2" fontId="7" fillId="6" borderId="0" xfId="0" applyNumberFormat="1" applyFont="1" applyFill="1" applyAlignment="1">
      <alignment horizontal="center"/>
    </xf>
    <xf numFmtId="0" fontId="23" fillId="0" borderId="0" xfId="0" applyFont="1" applyAlignment="1" applyProtection="1">
      <alignment horizontal="center" vertical="center"/>
    </xf>
    <xf numFmtId="0" fontId="20" fillId="0" borderId="0" xfId="0" applyFont="1" applyAlignment="1" applyProtection="1">
      <alignment horizontal="center" vertical="center"/>
    </xf>
    <xf numFmtId="0" fontId="47" fillId="3" borderId="45" xfId="0" applyFont="1" applyFill="1" applyBorder="1" applyAlignment="1" applyProtection="1">
      <alignment horizontal="center" vertical="center"/>
    </xf>
    <xf numFmtId="0" fontId="74" fillId="0" borderId="2" xfId="0" applyFont="1" applyBorder="1" applyAlignment="1" applyProtection="1">
      <alignment horizontal="left" vertical="center"/>
    </xf>
    <xf numFmtId="0" fontId="20" fillId="0" borderId="2" xfId="0" applyFont="1" applyFill="1" applyBorder="1" applyAlignment="1" applyProtection="1">
      <alignment horizontal="center" vertical="center"/>
    </xf>
    <xf numFmtId="0" fontId="20" fillId="10" borderId="2" xfId="0" applyFont="1" applyFill="1" applyBorder="1" applyAlignment="1" applyProtection="1">
      <alignment horizontal="right" vertical="center"/>
    </xf>
    <xf numFmtId="2" fontId="20" fillId="0" borderId="2" xfId="0" applyNumberFormat="1" applyFont="1" applyBorder="1" applyAlignment="1" applyProtection="1">
      <alignment horizontal="center" vertical="center"/>
    </xf>
    <xf numFmtId="0" fontId="74" fillId="0" borderId="2" xfId="0" applyFont="1" applyFill="1" applyBorder="1" applyAlignment="1" applyProtection="1">
      <alignment horizontal="left" vertical="center"/>
    </xf>
    <xf numFmtId="195" fontId="20" fillId="0" borderId="2" xfId="0" applyNumberFormat="1" applyFont="1" applyBorder="1" applyAlignment="1" applyProtection="1">
      <alignment horizontal="center" vertical="center"/>
    </xf>
    <xf numFmtId="2" fontId="20" fillId="0" borderId="2" xfId="0" applyNumberFormat="1" applyFont="1" applyFill="1" applyBorder="1" applyAlignment="1" applyProtection="1">
      <alignment horizontal="center" vertical="center"/>
    </xf>
    <xf numFmtId="1" fontId="20" fillId="0" borderId="2" xfId="0" applyNumberFormat="1" applyFont="1" applyBorder="1" applyAlignment="1" applyProtection="1">
      <alignment horizontal="center" vertical="center"/>
    </xf>
    <xf numFmtId="0" fontId="20" fillId="0" borderId="0" xfId="0" applyFont="1" applyAlignment="1" applyProtection="1">
      <alignment horizontal="right" vertical="center"/>
    </xf>
    <xf numFmtId="0" fontId="88" fillId="0" borderId="0" xfId="0" applyFont="1" applyAlignment="1"/>
    <xf numFmtId="0" fontId="23" fillId="0" borderId="0" xfId="0" applyFont="1" applyFill="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5" borderId="4" xfId="0" applyFont="1" applyFill="1" applyBorder="1" applyAlignment="1" applyProtection="1">
      <alignment horizontal="center" wrapText="1"/>
      <protection locked="0"/>
    </xf>
    <xf numFmtId="0" fontId="2" fillId="0" borderId="0" xfId="0" applyFont="1" applyAlignment="1" applyProtection="1">
      <alignment horizontal="right" vertical="center"/>
    </xf>
    <xf numFmtId="0" fontId="7" fillId="0" borderId="0" xfId="0" applyFont="1" applyAlignment="1" applyProtection="1">
      <alignment horizontal="left" vertical="center"/>
    </xf>
    <xf numFmtId="0" fontId="1" fillId="0" borderId="0" xfId="0" applyFont="1" applyBorder="1" applyAlignment="1" applyProtection="1">
      <alignment horizontal="center" vertical="center" wrapText="1"/>
    </xf>
    <xf numFmtId="0" fontId="23" fillId="0" borderId="0" xfId="0" applyFont="1" applyBorder="1" applyAlignment="1" applyProtection="1">
      <alignment vertical="center"/>
    </xf>
    <xf numFmtId="0" fontId="67" fillId="0" borderId="0" xfId="0" applyFont="1" applyBorder="1" applyAlignment="1" applyProtection="1">
      <alignment vertical="center"/>
    </xf>
    <xf numFmtId="0" fontId="3" fillId="0" borderId="0" xfId="0" applyFont="1" applyBorder="1" applyAlignment="1" applyProtection="1">
      <alignment vertical="center"/>
    </xf>
    <xf numFmtId="0" fontId="1" fillId="0" borderId="0" xfId="0" quotePrefix="1" applyFont="1" applyBorder="1" applyAlignment="1" applyProtection="1">
      <alignment horizontal="left" vertical="center"/>
    </xf>
    <xf numFmtId="0" fontId="20" fillId="0" borderId="2" xfId="0" applyNumberFormat="1" applyFont="1" applyFill="1" applyBorder="1" applyAlignment="1" applyProtection="1">
      <alignment horizontal="center" wrapText="1"/>
    </xf>
    <xf numFmtId="0" fontId="10" fillId="6" borderId="2" xfId="0" applyFont="1" applyFill="1" applyBorder="1" applyAlignment="1" applyProtection="1">
      <alignment horizontal="left"/>
    </xf>
    <xf numFmtId="0" fontId="23" fillId="0" borderId="45" xfId="0" applyFont="1" applyBorder="1" applyAlignment="1" applyProtection="1">
      <alignment horizontal="center" vertical="center" wrapText="1"/>
    </xf>
    <xf numFmtId="0" fontId="23" fillId="0" borderId="2" xfId="0" applyFont="1" applyBorder="1" applyAlignment="1" applyProtection="1">
      <alignment vertical="center"/>
    </xf>
    <xf numFmtId="0" fontId="1" fillId="0" borderId="2" xfId="0" applyFont="1" applyBorder="1" applyAlignment="1" applyProtection="1">
      <alignment horizontal="right" vertical="center"/>
    </xf>
    <xf numFmtId="0" fontId="10" fillId="0" borderId="0" xfId="0" applyFont="1" applyBorder="1" applyAlignment="1" applyProtection="1">
      <alignment horizontal="center" vertical="center"/>
    </xf>
    <xf numFmtId="2" fontId="20" fillId="0" borderId="0" xfId="0" applyNumberFormat="1" applyFont="1" applyAlignment="1">
      <alignment horizontal="right"/>
    </xf>
    <xf numFmtId="0" fontId="89" fillId="0" borderId="0" xfId="0" applyFont="1"/>
    <xf numFmtId="0" fontId="14" fillId="0" borderId="0" xfId="0" applyFont="1"/>
    <xf numFmtId="2" fontId="14" fillId="0" borderId="0" xfId="0" applyNumberFormat="1" applyFont="1" applyAlignment="1">
      <alignment horizontal="center"/>
    </xf>
    <xf numFmtId="0" fontId="14" fillId="0" borderId="0" xfId="0" applyNumberFormat="1" applyFont="1" applyAlignment="1">
      <alignment horizontal="center"/>
    </xf>
    <xf numFmtId="0" fontId="10" fillId="0" borderId="0" xfId="0" applyFont="1" applyFill="1" applyBorder="1" applyAlignment="1" applyProtection="1">
      <alignment horizontal="right" vertical="center"/>
    </xf>
    <xf numFmtId="0" fontId="90" fillId="0" borderId="2" xfId="0" applyFont="1" applyBorder="1" applyAlignment="1" applyProtection="1">
      <alignment vertical="center" wrapText="1"/>
    </xf>
    <xf numFmtId="2" fontId="30" fillId="0" borderId="55" xfId="0" applyNumberFormat="1" applyFont="1" applyBorder="1" applyProtection="1"/>
    <xf numFmtId="0" fontId="33" fillId="0" borderId="56" xfId="0" applyNumberFormat="1" applyFont="1" applyBorder="1" applyAlignment="1" applyProtection="1">
      <alignment vertical="center"/>
    </xf>
    <xf numFmtId="0" fontId="23" fillId="0" borderId="56" xfId="0" applyFont="1" applyFill="1" applyBorder="1" applyAlignment="1" applyProtection="1">
      <alignment horizontal="center" vertical="center" wrapText="1"/>
    </xf>
    <xf numFmtId="0" fontId="23" fillId="0" borderId="57" xfId="0" applyFont="1" applyFill="1" applyBorder="1" applyAlignment="1" applyProtection="1">
      <alignment horizontal="center" vertical="center" wrapText="1"/>
    </xf>
    <xf numFmtId="0" fontId="0" fillId="0" borderId="58" xfId="0" applyBorder="1" applyAlignment="1" applyProtection="1">
      <alignment horizontal="center"/>
    </xf>
    <xf numFmtId="0" fontId="23" fillId="0" borderId="59" xfId="0" applyFont="1" applyFill="1" applyBorder="1" applyAlignment="1" applyProtection="1">
      <alignment horizontal="center" vertical="center" wrapText="1"/>
    </xf>
    <xf numFmtId="0" fontId="34" fillId="0" borderId="58" xfId="0" applyFont="1" applyBorder="1" applyAlignment="1" applyProtection="1">
      <alignment horizontal="center"/>
    </xf>
    <xf numFmtId="0" fontId="0" fillId="0" borderId="58" xfId="0" applyFill="1" applyBorder="1" applyAlignment="1" applyProtection="1">
      <alignment horizontal="center"/>
    </xf>
    <xf numFmtId="0" fontId="23" fillId="0" borderId="58" xfId="0" applyFont="1" applyBorder="1" applyAlignment="1" applyProtection="1">
      <alignment horizontal="center" vertical="center" wrapText="1"/>
    </xf>
    <xf numFmtId="0" fontId="3" fillId="5" borderId="30" xfId="0" applyFont="1" applyFill="1" applyBorder="1" applyAlignment="1" applyProtection="1">
      <alignment horizontal="center" vertical="top" wrapText="1"/>
      <protection locked="0"/>
    </xf>
    <xf numFmtId="194" fontId="10" fillId="0" borderId="59" xfId="2" applyNumberFormat="1" applyFont="1" applyFill="1" applyBorder="1" applyAlignment="1" applyProtection="1">
      <alignment vertical="center"/>
    </xf>
    <xf numFmtId="0" fontId="23" fillId="0" borderId="60" xfId="0" applyFont="1" applyBorder="1" applyAlignment="1" applyProtection="1">
      <alignment horizontal="center" vertical="center" wrapText="1"/>
    </xf>
    <xf numFmtId="0" fontId="23" fillId="0" borderId="36" xfId="0" applyFont="1" applyBorder="1" applyAlignment="1" applyProtection="1">
      <alignment horizontal="center" vertical="center" wrapText="1"/>
    </xf>
    <xf numFmtId="0" fontId="23" fillId="0" borderId="36" xfId="0" applyFont="1" applyFill="1" applyBorder="1" applyAlignment="1" applyProtection="1">
      <alignment horizontal="center" vertical="center" wrapText="1"/>
    </xf>
    <xf numFmtId="0" fontId="10" fillId="0" borderId="36" xfId="0" applyFont="1" applyFill="1" applyBorder="1" applyAlignment="1" applyProtection="1">
      <alignment horizontal="right" vertical="center"/>
    </xf>
    <xf numFmtId="0" fontId="10" fillId="0" borderId="36" xfId="0" applyFont="1" applyBorder="1" applyAlignment="1" applyProtection="1">
      <alignment horizontal="center" vertical="center"/>
    </xf>
    <xf numFmtId="0" fontId="3" fillId="5" borderId="5" xfId="0" applyFont="1" applyFill="1" applyBorder="1" applyAlignment="1" applyProtection="1">
      <alignment horizontal="center" vertical="top" wrapText="1"/>
      <protection locked="0"/>
    </xf>
    <xf numFmtId="0" fontId="29" fillId="0" borderId="14" xfId="0" applyFont="1" applyFill="1" applyBorder="1" applyAlignment="1" applyProtection="1">
      <alignment horizontal="center" vertical="top" wrapText="1"/>
    </xf>
    <xf numFmtId="194" fontId="3" fillId="0" borderId="14" xfId="0" applyNumberFormat="1" applyFont="1" applyBorder="1" applyAlignment="1" applyProtection="1">
      <alignment horizontal="center" vertical="center" wrapText="1"/>
    </xf>
    <xf numFmtId="194" fontId="3" fillId="0" borderId="5" xfId="0" applyNumberFormat="1" applyFont="1" applyBorder="1" applyAlignment="1" applyProtection="1">
      <alignment horizontal="center" vertical="center" wrapText="1"/>
    </xf>
    <xf numFmtId="0" fontId="23" fillId="0" borderId="56" xfId="0" applyFont="1" applyBorder="1" applyAlignment="1" applyProtection="1">
      <alignment horizontal="center" vertical="center" wrapText="1"/>
    </xf>
    <xf numFmtId="0" fontId="0" fillId="0" borderId="58" xfId="0" applyBorder="1" applyAlignment="1">
      <alignment horizontal="right"/>
    </xf>
    <xf numFmtId="0" fontId="20" fillId="0" borderId="0" xfId="0" quotePrefix="1" applyFont="1" applyBorder="1" applyAlignment="1">
      <alignment vertical="center"/>
    </xf>
    <xf numFmtId="0" fontId="0" fillId="0" borderId="60" xfId="0" applyBorder="1" applyAlignment="1">
      <alignment horizontal="right"/>
    </xf>
    <xf numFmtId="195" fontId="27" fillId="5" borderId="14" xfId="0" applyNumberFormat="1" applyFont="1" applyFill="1" applyBorder="1" applyAlignment="1" applyProtection="1">
      <alignment horizontal="right" vertical="center"/>
      <protection locked="0"/>
    </xf>
    <xf numFmtId="0" fontId="28" fillId="0" borderId="36" xfId="0" quotePrefix="1" applyFont="1" applyBorder="1" applyAlignment="1">
      <alignment vertical="center"/>
    </xf>
    <xf numFmtId="0" fontId="23" fillId="0" borderId="1" xfId="0" applyFont="1" applyFill="1" applyBorder="1" applyAlignment="1" applyProtection="1">
      <alignment horizontal="center" vertical="center" wrapText="1"/>
    </xf>
    <xf numFmtId="0" fontId="1" fillId="0" borderId="58" xfId="0" applyFont="1" applyBorder="1"/>
    <xf numFmtId="0" fontId="1" fillId="0" borderId="58" xfId="0" applyFont="1" applyBorder="1" applyAlignment="1" applyProtection="1">
      <alignment vertical="center" wrapText="1"/>
    </xf>
    <xf numFmtId="0" fontId="3" fillId="5" borderId="30" xfId="0" applyFont="1" applyFill="1" applyBorder="1" applyAlignment="1" applyProtection="1">
      <alignment horizontal="center" vertical="center" wrapText="1"/>
      <protection locked="0"/>
    </xf>
    <xf numFmtId="0" fontId="1" fillId="0" borderId="60" xfId="0" applyFont="1" applyBorder="1" applyAlignment="1" applyProtection="1">
      <alignment vertical="center" wrapText="1"/>
    </xf>
    <xf numFmtId="0" fontId="3" fillId="5" borderId="14" xfId="0" applyFont="1" applyFill="1" applyBorder="1" applyAlignment="1" applyProtection="1">
      <alignment horizontal="center" vertical="center" wrapText="1"/>
      <protection locked="0"/>
    </xf>
    <xf numFmtId="0" fontId="3" fillId="5" borderId="5" xfId="0" applyFont="1" applyFill="1" applyBorder="1" applyAlignment="1" applyProtection="1">
      <alignment horizontal="center" vertical="center" wrapText="1"/>
      <protection locked="0"/>
    </xf>
    <xf numFmtId="194" fontId="0" fillId="0" borderId="54" xfId="0" applyNumberFormat="1" applyBorder="1" applyAlignment="1" applyProtection="1">
      <alignment horizontal="center" vertical="center"/>
    </xf>
    <xf numFmtId="0" fontId="91" fillId="0" borderId="0" xfId="0" applyFont="1" applyAlignment="1" applyProtection="1">
      <alignment horizontal="right" vertical="center"/>
    </xf>
    <xf numFmtId="0" fontId="52" fillId="0" borderId="0" xfId="0"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xf>
    <xf numFmtId="0" fontId="47" fillId="0" borderId="0" xfId="0" applyFont="1" applyFill="1" applyAlignment="1" applyProtection="1">
      <alignment vertical="center"/>
    </xf>
    <xf numFmtId="0" fontId="0" fillId="0" borderId="0" xfId="0" applyFont="1" applyFill="1" applyProtection="1"/>
    <xf numFmtId="0" fontId="9" fillId="0" borderId="46" xfId="0" applyFont="1" applyBorder="1" applyAlignment="1" applyProtection="1">
      <alignment horizontal="center" wrapText="1"/>
    </xf>
    <xf numFmtId="194" fontId="9" fillId="0" borderId="2" xfId="0" applyNumberFormat="1" applyFont="1" applyFill="1" applyBorder="1" applyAlignment="1" applyProtection="1">
      <alignment horizontal="center" wrapText="1"/>
    </xf>
    <xf numFmtId="194" fontId="10" fillId="0" borderId="2" xfId="0" applyNumberFormat="1" applyFont="1" applyFill="1" applyBorder="1" applyAlignment="1" applyProtection="1">
      <alignment horizontal="center" vertical="center" wrapText="1"/>
    </xf>
    <xf numFmtId="2" fontId="0" fillId="0" borderId="0" xfId="0" applyNumberFormat="1" applyAlignment="1" applyProtection="1">
      <alignment horizontal="center"/>
    </xf>
    <xf numFmtId="2" fontId="72" fillId="0" borderId="0" xfId="0" applyNumberFormat="1" applyFont="1" applyBorder="1" applyAlignment="1">
      <alignment horizontal="center" wrapText="1"/>
    </xf>
    <xf numFmtId="0" fontId="0" fillId="0" borderId="0" xfId="0" applyBorder="1" applyAlignment="1">
      <alignment horizontal="center" vertical="center" wrapText="1"/>
    </xf>
    <xf numFmtId="0" fontId="0" fillId="11" borderId="2" xfId="0" applyFill="1" applyBorder="1" applyAlignment="1" applyProtection="1">
      <alignment horizontal="center"/>
      <protection locked="0"/>
    </xf>
    <xf numFmtId="0" fontId="0" fillId="0" borderId="0" xfId="0" applyAlignment="1" applyProtection="1">
      <alignment horizontal="left"/>
    </xf>
    <xf numFmtId="195" fontId="0" fillId="0" borderId="0" xfId="0" applyNumberFormat="1" applyAlignment="1" applyProtection="1">
      <alignment horizontal="center" vertical="center"/>
    </xf>
    <xf numFmtId="0" fontId="0" fillId="0" borderId="0" xfId="0" applyBorder="1" applyAlignment="1" applyProtection="1">
      <alignment horizontal="right"/>
    </xf>
    <xf numFmtId="0" fontId="11" fillId="0" borderId="0" xfId="0" applyFont="1" applyFill="1" applyBorder="1" applyAlignment="1" applyProtection="1">
      <alignment vertical="center"/>
    </xf>
    <xf numFmtId="0" fontId="11" fillId="12" borderId="2" xfId="0" applyFont="1" applyFill="1" applyBorder="1" applyAlignment="1" applyProtection="1">
      <alignment vertical="center"/>
    </xf>
    <xf numFmtId="0" fontId="30" fillId="0" borderId="0" xfId="0" applyFont="1" applyBorder="1" applyAlignment="1" applyProtection="1">
      <alignment horizontal="left"/>
    </xf>
    <xf numFmtId="2" fontId="2" fillId="0" borderId="0" xfId="0" applyNumberFormat="1" applyFont="1" applyAlignment="1" applyProtection="1">
      <alignment horizontal="center"/>
    </xf>
    <xf numFmtId="2" fontId="10" fillId="0" borderId="0" xfId="0" applyNumberFormat="1" applyFont="1" applyBorder="1" applyAlignment="1" applyProtection="1">
      <alignment horizontal="center"/>
    </xf>
    <xf numFmtId="195" fontId="10" fillId="0" borderId="0" xfId="0" applyNumberFormat="1" applyFont="1" applyBorder="1" applyAlignment="1" applyProtection="1">
      <alignment horizontal="center"/>
    </xf>
    <xf numFmtId="195" fontId="10" fillId="0" borderId="0" xfId="0" applyNumberFormat="1" applyFont="1" applyFill="1" applyBorder="1" applyAlignment="1" applyProtection="1">
      <alignment horizontal="center"/>
    </xf>
    <xf numFmtId="194" fontId="10" fillId="0" borderId="0" xfId="0" applyNumberFormat="1" applyFont="1" applyBorder="1" applyAlignment="1" applyProtection="1">
      <alignment horizontal="center"/>
    </xf>
    <xf numFmtId="194" fontId="2" fillId="0" borderId="0" xfId="0" applyNumberFormat="1" applyFont="1" applyBorder="1" applyAlignment="1" applyProtection="1">
      <alignment horizontal="center"/>
    </xf>
    <xf numFmtId="194" fontId="31" fillId="0" borderId="0" xfId="0" applyNumberFormat="1" applyFont="1" applyFill="1" applyBorder="1" applyAlignment="1" applyProtection="1">
      <alignment horizontal="center"/>
    </xf>
    <xf numFmtId="194" fontId="10" fillId="0" borderId="0" xfId="0" applyNumberFormat="1" applyFont="1" applyAlignment="1" applyProtection="1">
      <alignment horizontal="center"/>
    </xf>
    <xf numFmtId="195" fontId="10" fillId="0" borderId="0" xfId="0" applyNumberFormat="1" applyFont="1" applyAlignment="1" applyProtection="1">
      <alignment horizontal="center"/>
    </xf>
    <xf numFmtId="194" fontId="11" fillId="0" borderId="0" xfId="0" applyNumberFormat="1" applyFont="1" applyAlignment="1" applyProtection="1">
      <alignment horizontal="center"/>
    </xf>
    <xf numFmtId="2" fontId="11" fillId="0" borderId="0" xfId="0" applyNumberFormat="1" applyFont="1" applyAlignment="1" applyProtection="1">
      <alignment horizontal="center"/>
    </xf>
    <xf numFmtId="194" fontId="13" fillId="0" borderId="11" xfId="0" applyNumberFormat="1" applyFont="1" applyBorder="1" applyAlignment="1" applyProtection="1">
      <alignment horizontal="center"/>
    </xf>
    <xf numFmtId="2" fontId="13" fillId="0" borderId="14" xfId="0" applyNumberFormat="1" applyFont="1" applyBorder="1" applyAlignment="1" applyProtection="1">
      <alignment horizontal="center"/>
    </xf>
    <xf numFmtId="0" fontId="20" fillId="0" borderId="58" xfId="0" applyFont="1" applyBorder="1" applyAlignment="1">
      <alignment horizontal="right"/>
    </xf>
    <xf numFmtId="0" fontId="20" fillId="0" borderId="0" xfId="0" applyFont="1" applyBorder="1"/>
    <xf numFmtId="0" fontId="20" fillId="0" borderId="60" xfId="0" applyFont="1" applyBorder="1" applyAlignment="1">
      <alignment horizontal="right" vertical="center"/>
    </xf>
    <xf numFmtId="0" fontId="20" fillId="5" borderId="14" xfId="0" applyNumberFormat="1" applyFont="1" applyFill="1" applyBorder="1" applyAlignment="1" applyProtection="1">
      <alignment horizontal="center"/>
      <protection locked="0"/>
    </xf>
    <xf numFmtId="0" fontId="20" fillId="0" borderId="36" xfId="0" applyFont="1" applyBorder="1"/>
    <xf numFmtId="0" fontId="0" fillId="0" borderId="0" xfId="0" applyBorder="1" applyAlignment="1">
      <alignment horizontal="center" vertical="center"/>
    </xf>
    <xf numFmtId="0" fontId="10" fillId="0" borderId="0" xfId="0" applyFont="1" applyAlignment="1">
      <alignment vertical="center" wrapText="1"/>
    </xf>
    <xf numFmtId="0" fontId="73" fillId="0" borderId="2" xfId="0" applyFont="1" applyFill="1" applyBorder="1" applyAlignment="1">
      <alignment horizontal="center"/>
    </xf>
    <xf numFmtId="194" fontId="0" fillId="0" borderId="0" xfId="0" applyNumberFormat="1" applyAlignment="1">
      <alignment horizontal="center" vertical="center"/>
    </xf>
    <xf numFmtId="0" fontId="3" fillId="13" borderId="2" xfId="0" applyFont="1" applyFill="1" applyBorder="1" applyAlignment="1">
      <alignment horizontal="center"/>
    </xf>
    <xf numFmtId="0" fontId="20" fillId="0" borderId="2" xfId="0" applyNumberFormat="1" applyFont="1" applyBorder="1" applyAlignment="1" applyProtection="1">
      <alignment horizontal="center" vertical="center"/>
    </xf>
    <xf numFmtId="0" fontId="27" fillId="0" borderId="2" xfId="0" applyFont="1" applyBorder="1" applyAlignment="1">
      <alignment horizontal="center" vertical="top"/>
    </xf>
    <xf numFmtId="0" fontId="10" fillId="0" borderId="2" xfId="0" applyFont="1" applyBorder="1" applyAlignment="1" applyProtection="1">
      <alignment horizontal="center" vertical="center"/>
    </xf>
    <xf numFmtId="0" fontId="3" fillId="0" borderId="0" xfId="0" quotePrefix="1" applyFont="1" applyAlignment="1">
      <alignment horizontal="center"/>
    </xf>
    <xf numFmtId="0" fontId="0" fillId="0" borderId="0" xfId="0" applyAlignment="1" applyProtection="1">
      <alignment horizontal="right"/>
      <protection locked="0"/>
    </xf>
    <xf numFmtId="0" fontId="0" fillId="0" borderId="0" xfId="0" applyBorder="1" applyAlignment="1" applyProtection="1">
      <alignment horizontal="left" vertical="center"/>
      <protection locked="0"/>
    </xf>
    <xf numFmtId="0" fontId="94" fillId="0" borderId="46" xfId="0" applyFont="1" applyBorder="1" applyAlignment="1" applyProtection="1">
      <alignment vertical="center"/>
    </xf>
    <xf numFmtId="0" fontId="49" fillId="3" borderId="0" xfId="0" applyFont="1" applyFill="1" applyBorder="1" applyAlignment="1" applyProtection="1">
      <alignment horizontal="center"/>
    </xf>
    <xf numFmtId="1" fontId="27" fillId="0" borderId="0" xfId="0" applyNumberFormat="1" applyFont="1" applyBorder="1" applyAlignment="1">
      <alignment horizontal="center" wrapText="1"/>
    </xf>
    <xf numFmtId="2" fontId="20" fillId="0" borderId="2" xfId="0" applyNumberFormat="1" applyFont="1" applyFill="1" applyBorder="1" applyAlignment="1" applyProtection="1">
      <alignment horizontal="center"/>
    </xf>
    <xf numFmtId="0" fontId="26" fillId="0" borderId="0" xfId="0" applyFont="1" applyAlignment="1">
      <alignment vertical="top"/>
    </xf>
    <xf numFmtId="0" fontId="0" fillId="0" borderId="2" xfId="0" applyBorder="1" applyAlignment="1">
      <alignment horizontal="center"/>
    </xf>
    <xf numFmtId="1" fontId="0" fillId="0" borderId="2" xfId="0" applyNumberFormat="1" applyBorder="1" applyAlignment="1">
      <alignment horizontal="center"/>
    </xf>
    <xf numFmtId="0" fontId="96" fillId="0" borderId="0" xfId="0" applyFont="1"/>
    <xf numFmtId="0" fontId="47" fillId="3" borderId="61" xfId="0" applyFont="1" applyFill="1" applyBorder="1" applyAlignment="1" applyProtection="1">
      <alignment horizontal="center" vertical="center" wrapText="1"/>
    </xf>
    <xf numFmtId="0" fontId="47" fillId="3" borderId="31" xfId="0" applyFont="1" applyFill="1" applyBorder="1" applyAlignment="1" applyProtection="1">
      <alignment horizontal="center" vertical="center" wrapText="1"/>
    </xf>
    <xf numFmtId="0" fontId="25" fillId="3" borderId="62" xfId="0" applyFont="1" applyFill="1" applyBorder="1" applyAlignment="1" applyProtection="1">
      <alignment horizontal="center" vertical="center" wrapText="1"/>
    </xf>
    <xf numFmtId="0" fontId="25" fillId="3" borderId="63" xfId="0" applyFont="1" applyFill="1" applyBorder="1" applyAlignment="1" applyProtection="1">
      <alignment horizontal="center" vertical="center" wrapText="1"/>
    </xf>
    <xf numFmtId="0" fontId="25" fillId="3" borderId="64" xfId="0" applyFont="1" applyFill="1" applyBorder="1" applyAlignment="1" applyProtection="1">
      <alignment horizontal="center" vertical="center" wrapText="1"/>
    </xf>
    <xf numFmtId="0" fontId="1" fillId="0" borderId="30" xfId="0" applyFont="1" applyBorder="1" applyAlignment="1" applyProtection="1">
      <alignment horizontal="center" vertical="center" wrapText="1"/>
    </xf>
    <xf numFmtId="0" fontId="23" fillId="0" borderId="65" xfId="0" applyFont="1" applyBorder="1" applyAlignment="1" applyProtection="1">
      <alignment vertical="center"/>
    </xf>
    <xf numFmtId="0" fontId="33" fillId="0" borderId="13" xfId="0" applyFont="1" applyBorder="1" applyAlignment="1" applyProtection="1">
      <alignment vertical="center" wrapText="1"/>
    </xf>
    <xf numFmtId="0" fontId="23" fillId="0" borderId="14" xfId="0" applyFont="1" applyBorder="1" applyAlignment="1" applyProtection="1">
      <alignment horizontal="center" vertical="center"/>
    </xf>
    <xf numFmtId="0" fontId="23" fillId="0" borderId="14" xfId="0" applyFont="1" applyBorder="1" applyAlignment="1" applyProtection="1">
      <alignment horizontal="right" vertical="center"/>
    </xf>
    <xf numFmtId="0" fontId="0" fillId="0" borderId="5" xfId="0" applyFill="1" applyBorder="1" applyAlignment="1" applyProtection="1">
      <alignment horizontal="center" vertical="center"/>
    </xf>
    <xf numFmtId="0" fontId="24" fillId="3" borderId="21" xfId="0" applyFont="1" applyFill="1" applyBorder="1" applyAlignment="1">
      <alignment horizontal="center" vertical="center"/>
    </xf>
    <xf numFmtId="0" fontId="24" fillId="3" borderId="22" xfId="0" applyFont="1" applyFill="1" applyBorder="1" applyAlignment="1">
      <alignment horizontal="center" vertical="center"/>
    </xf>
    <xf numFmtId="0" fontId="0" fillId="0" borderId="65" xfId="0" applyBorder="1" applyAlignment="1">
      <alignment horizontal="center" vertical="center"/>
    </xf>
    <xf numFmtId="0" fontId="3" fillId="5" borderId="30" xfId="0" applyFont="1" applyFill="1" applyBorder="1" applyAlignment="1" applyProtection="1">
      <alignment horizontal="center" wrapText="1"/>
      <protection locked="0"/>
    </xf>
    <xf numFmtId="0" fontId="0" fillId="0" borderId="66" xfId="0" applyBorder="1" applyAlignment="1">
      <alignment horizontal="center" vertical="center"/>
    </xf>
    <xf numFmtId="0" fontId="3" fillId="5" borderId="67" xfId="0" applyFont="1" applyFill="1" applyBorder="1" applyAlignment="1" applyProtection="1">
      <alignment horizontal="center" wrapText="1"/>
      <protection locked="0"/>
    </xf>
    <xf numFmtId="0" fontId="0" fillId="0" borderId="58" xfId="0" applyBorder="1" applyAlignment="1">
      <alignment horizontal="right" vertical="center"/>
    </xf>
    <xf numFmtId="0" fontId="0" fillId="0" borderId="59" xfId="0" applyBorder="1" applyAlignment="1">
      <alignment horizontal="left" vertical="center"/>
    </xf>
    <xf numFmtId="0" fontId="0" fillId="0" borderId="60" xfId="0" applyBorder="1" applyAlignment="1">
      <alignment horizontal="right" vertical="center"/>
    </xf>
    <xf numFmtId="0" fontId="0" fillId="0" borderId="1" xfId="0" applyBorder="1"/>
    <xf numFmtId="0" fontId="23" fillId="0" borderId="0" xfId="0" applyFont="1" applyAlignment="1" applyProtection="1">
      <alignment horizontal="left" vertical="center" wrapText="1"/>
    </xf>
    <xf numFmtId="0" fontId="23" fillId="0" borderId="0" xfId="0" applyFont="1" applyFill="1" applyAlignment="1" applyProtection="1">
      <alignment horizontal="left" vertical="center" wrapText="1"/>
    </xf>
    <xf numFmtId="0" fontId="10" fillId="0" borderId="0" xfId="0" applyFont="1" applyBorder="1" applyAlignment="1">
      <alignment vertical="center" wrapText="1"/>
    </xf>
    <xf numFmtId="0" fontId="0" fillId="0" borderId="0" xfId="0" applyBorder="1" applyAlignment="1">
      <alignment vertical="center" wrapText="1"/>
    </xf>
    <xf numFmtId="0" fontId="0" fillId="0" borderId="0" xfId="0" applyBorder="1" applyAlignment="1">
      <alignment horizontal="justify" vertical="center" wrapText="1"/>
    </xf>
    <xf numFmtId="2" fontId="0" fillId="0" borderId="0" xfId="0" applyNumberFormat="1" applyAlignment="1" applyProtection="1">
      <alignment horizontal="center" vertical="center"/>
    </xf>
    <xf numFmtId="194" fontId="0" fillId="0" borderId="0" xfId="0" applyNumberFormat="1" applyAlignment="1" applyProtection="1">
      <alignment horizontal="center" vertical="center"/>
    </xf>
    <xf numFmtId="0" fontId="0" fillId="0" borderId="4" xfId="0" applyBorder="1" applyAlignment="1">
      <alignment horizontal="left" vertical="center"/>
    </xf>
    <xf numFmtId="0" fontId="0" fillId="0" borderId="68" xfId="0" applyBorder="1" applyAlignment="1">
      <alignment horizontal="justify" vertical="center" wrapText="1"/>
    </xf>
    <xf numFmtId="0" fontId="0" fillId="0" borderId="54" xfId="0" applyBorder="1" applyAlignment="1">
      <alignment horizontal="justify" vertical="center" wrapText="1"/>
    </xf>
    <xf numFmtId="0" fontId="0" fillId="0" borderId="2" xfId="0" applyBorder="1" applyAlignment="1">
      <alignment vertical="center" wrapText="1"/>
    </xf>
    <xf numFmtId="0" fontId="2" fillId="5" borderId="45" xfId="0" applyFont="1" applyFill="1" applyBorder="1" applyProtection="1">
      <protection locked="0"/>
    </xf>
    <xf numFmtId="0" fontId="7" fillId="10" borderId="2" xfId="0" applyFont="1" applyFill="1" applyBorder="1" applyAlignment="1" applyProtection="1">
      <alignment horizontal="center" vertical="center" wrapText="1"/>
    </xf>
    <xf numFmtId="0" fontId="7" fillId="10" borderId="2" xfId="0" applyNumberFormat="1" applyFont="1" applyFill="1" applyBorder="1" applyAlignment="1" applyProtection="1">
      <alignment horizontal="right" vertical="center"/>
    </xf>
    <xf numFmtId="0" fontId="7" fillId="10" borderId="2" xfId="0" applyNumberFormat="1" applyFont="1" applyFill="1" applyBorder="1" applyAlignment="1" applyProtection="1">
      <alignment vertical="center"/>
    </xf>
    <xf numFmtId="0" fontId="0" fillId="0" borderId="2" xfId="0" applyBorder="1" applyAlignment="1">
      <alignment horizontal="justify" vertical="center" wrapText="1"/>
    </xf>
    <xf numFmtId="0" fontId="81" fillId="0" borderId="46" xfId="0" applyFont="1" applyBorder="1" applyAlignment="1">
      <alignment vertical="center" wrapText="1"/>
    </xf>
    <xf numFmtId="0" fontId="81" fillId="0" borderId="10" xfId="0" applyFont="1" applyBorder="1" applyAlignment="1">
      <alignment vertical="center" wrapText="1"/>
    </xf>
    <xf numFmtId="1" fontId="20" fillId="0" borderId="2" xfId="0" applyNumberFormat="1" applyFont="1" applyFill="1" applyBorder="1" applyAlignment="1" applyProtection="1">
      <alignment horizontal="center" vertical="center"/>
    </xf>
    <xf numFmtId="0" fontId="38" fillId="3" borderId="69" xfId="0" applyFont="1" applyFill="1" applyBorder="1" applyAlignment="1" applyProtection="1">
      <alignment horizontal="center" vertical="center"/>
    </xf>
    <xf numFmtId="0" fontId="37" fillId="2" borderId="37" xfId="0" applyFont="1" applyFill="1" applyBorder="1" applyAlignment="1">
      <alignment wrapText="1"/>
    </xf>
    <xf numFmtId="194" fontId="12" fillId="0" borderId="0" xfId="0" applyNumberFormat="1" applyFont="1" applyAlignment="1">
      <alignment horizontal="center"/>
    </xf>
    <xf numFmtId="0" fontId="12" fillId="0" borderId="0" xfId="0" applyFont="1" applyAlignment="1">
      <alignment horizontal="right"/>
    </xf>
    <xf numFmtId="0" fontId="37" fillId="3" borderId="0" xfId="0" applyFont="1" applyFill="1" applyAlignment="1">
      <alignment vertical="center"/>
    </xf>
    <xf numFmtId="0" fontId="16" fillId="0" borderId="0" xfId="0" applyFont="1" applyAlignment="1" applyProtection="1">
      <alignment horizontal="left" vertical="center"/>
    </xf>
    <xf numFmtId="0" fontId="37" fillId="3" borderId="0" xfId="0" applyFont="1" applyFill="1"/>
    <xf numFmtId="0" fontId="77" fillId="0" borderId="0" xfId="0" applyFont="1" applyAlignment="1" applyProtection="1">
      <alignment horizontal="left" vertical="center"/>
    </xf>
    <xf numFmtId="0" fontId="100" fillId="0" borderId="0" xfId="0" applyFont="1" applyAlignment="1" applyProtection="1">
      <alignment horizontal="right"/>
    </xf>
    <xf numFmtId="0" fontId="16" fillId="0" borderId="0" xfId="0" applyFont="1" applyFill="1" applyBorder="1" applyProtection="1"/>
    <xf numFmtId="0" fontId="100" fillId="0" borderId="0" xfId="0" applyFont="1" applyAlignment="1" applyProtection="1">
      <alignment horizontal="left" vertical="center"/>
    </xf>
    <xf numFmtId="0" fontId="90" fillId="0" borderId="0" xfId="0" applyFont="1"/>
    <xf numFmtId="0" fontId="16" fillId="0" borderId="0" xfId="0" applyFont="1" applyAlignment="1">
      <alignment horizontal="left"/>
    </xf>
    <xf numFmtId="0" fontId="0" fillId="0" borderId="2" xfId="0" applyBorder="1" applyProtection="1"/>
    <xf numFmtId="2" fontId="10" fillId="0" borderId="2" xfId="0" applyNumberFormat="1" applyFont="1" applyBorder="1" applyAlignment="1" applyProtection="1">
      <alignment horizontal="center"/>
    </xf>
    <xf numFmtId="0" fontId="0" fillId="6" borderId="2" xfId="0" applyFill="1" applyBorder="1" applyAlignment="1" applyProtection="1">
      <alignment horizontal="center" vertical="center"/>
    </xf>
    <xf numFmtId="0" fontId="0" fillId="6" borderId="2" xfId="0" applyFill="1" applyBorder="1" applyProtection="1"/>
    <xf numFmtId="195" fontId="1" fillId="0" borderId="2" xfId="0" applyNumberFormat="1" applyFont="1" applyBorder="1" applyAlignment="1" applyProtection="1">
      <alignment horizontal="center" vertical="center"/>
    </xf>
    <xf numFmtId="194" fontId="0" fillId="0" borderId="0" xfId="0" applyNumberFormat="1"/>
    <xf numFmtId="0" fontId="0" fillId="0" borderId="10" xfId="0" applyBorder="1" applyAlignment="1">
      <alignment horizontal="center" vertical="center" wrapText="1"/>
    </xf>
    <xf numFmtId="0" fontId="0" fillId="0" borderId="2" xfId="0" applyBorder="1" applyAlignment="1">
      <alignment horizontal="center" vertical="center" wrapText="1"/>
    </xf>
    <xf numFmtId="0" fontId="0" fillId="0" borderId="45" xfId="0" applyBorder="1" applyAlignment="1">
      <alignment horizontal="justify" vertical="center" wrapText="1"/>
    </xf>
    <xf numFmtId="0" fontId="0" fillId="0" borderId="70" xfId="0" applyBorder="1" applyAlignment="1">
      <alignment horizontal="justify" vertical="center" wrapText="1"/>
    </xf>
    <xf numFmtId="0" fontId="0" fillId="0" borderId="10" xfId="0" applyBorder="1" applyAlignment="1">
      <alignment horizontal="justify" vertical="center" wrapText="1"/>
    </xf>
    <xf numFmtId="0" fontId="0" fillId="0" borderId="46" xfId="0" applyBorder="1" applyAlignment="1">
      <alignment horizontal="justify" vertical="center" wrapText="1"/>
    </xf>
    <xf numFmtId="2" fontId="0" fillId="5" borderId="2" xfId="0" applyNumberFormat="1" applyFill="1" applyBorder="1" applyAlignment="1" applyProtection="1">
      <alignment horizontal="center"/>
      <protection locked="0"/>
    </xf>
    <xf numFmtId="0" fontId="95" fillId="0" borderId="0" xfId="0" applyFont="1" applyAlignment="1">
      <alignment horizontal="left" vertical="center"/>
    </xf>
    <xf numFmtId="0" fontId="0" fillId="0" borderId="0" xfId="0" applyBorder="1" applyAlignment="1">
      <alignment horizontal="right"/>
    </xf>
    <xf numFmtId="0" fontId="95" fillId="0" borderId="0" xfId="0" applyFont="1" applyBorder="1" applyAlignment="1">
      <alignment horizontal="center"/>
    </xf>
    <xf numFmtId="0" fontId="0" fillId="0" borderId="68" xfId="0" applyBorder="1" applyAlignment="1">
      <alignment horizontal="right"/>
    </xf>
    <xf numFmtId="0" fontId="0" fillId="0" borderId="47" xfId="0" applyBorder="1"/>
    <xf numFmtId="2" fontId="0" fillId="0" borderId="70" xfId="0" applyNumberFormat="1" applyBorder="1"/>
    <xf numFmtId="2" fontId="0" fillId="0" borderId="47" xfId="0" applyNumberFormat="1" applyBorder="1"/>
    <xf numFmtId="0" fontId="0" fillId="0" borderId="70" xfId="0" applyBorder="1"/>
    <xf numFmtId="2" fontId="0" fillId="0" borderId="71" xfId="0" applyNumberFormat="1" applyBorder="1"/>
    <xf numFmtId="0" fontId="0" fillId="0" borderId="54" xfId="0" applyBorder="1"/>
    <xf numFmtId="0" fontId="0" fillId="0" borderId="72" xfId="0" applyBorder="1" applyAlignment="1">
      <alignment horizontal="right"/>
    </xf>
    <xf numFmtId="0" fontId="0" fillId="0" borderId="50" xfId="0" applyBorder="1" applyAlignment="1">
      <alignment horizontal="right"/>
    </xf>
    <xf numFmtId="0" fontId="0" fillId="0" borderId="9" xfId="0" applyBorder="1"/>
    <xf numFmtId="0" fontId="0" fillId="0" borderId="71" xfId="0" applyBorder="1"/>
    <xf numFmtId="2" fontId="0" fillId="0" borderId="54" xfId="0" applyNumberFormat="1" applyBorder="1"/>
    <xf numFmtId="0" fontId="7" fillId="0" borderId="72" xfId="0" applyFont="1" applyBorder="1" applyAlignment="1">
      <alignment horizontal="right" vertical="center"/>
    </xf>
    <xf numFmtId="0" fontId="0" fillId="0" borderId="68" xfId="0" applyBorder="1" applyAlignment="1">
      <alignment horizontal="right" vertical="center"/>
    </xf>
    <xf numFmtId="0" fontId="0" fillId="0" borderId="72" xfId="0" applyBorder="1" applyAlignment="1">
      <alignment horizontal="right" vertical="center"/>
    </xf>
    <xf numFmtId="0" fontId="0" fillId="0" borderId="50" xfId="0" applyBorder="1" applyAlignment="1">
      <alignment horizontal="right" vertical="center"/>
    </xf>
    <xf numFmtId="0" fontId="103" fillId="0" borderId="0" xfId="0" applyFont="1"/>
    <xf numFmtId="0" fontId="104" fillId="0" borderId="0" xfId="0" applyFont="1"/>
    <xf numFmtId="2" fontId="0" fillId="0" borderId="0" xfId="0" applyNumberFormat="1" applyBorder="1"/>
    <xf numFmtId="2" fontId="0" fillId="0" borderId="9" xfId="0" applyNumberFormat="1" applyBorder="1"/>
    <xf numFmtId="2" fontId="88" fillId="0" borderId="50" xfId="0" applyNumberFormat="1" applyFont="1" applyBorder="1" applyAlignment="1">
      <alignment horizontal="center" vertical="center"/>
    </xf>
    <xf numFmtId="0" fontId="0" fillId="0" borderId="68" xfId="0" applyBorder="1"/>
    <xf numFmtId="0" fontId="0" fillId="0" borderId="47" xfId="0" applyBorder="1" applyAlignment="1">
      <alignment horizontal="right"/>
    </xf>
    <xf numFmtId="2" fontId="0" fillId="0" borderId="0" xfId="0" applyNumberFormat="1" applyBorder="1" applyAlignment="1">
      <alignment horizontal="center" vertical="center"/>
    </xf>
    <xf numFmtId="0" fontId="0" fillId="0" borderId="71" xfId="0" applyBorder="1" applyAlignment="1">
      <alignment horizontal="right"/>
    </xf>
    <xf numFmtId="2" fontId="0" fillId="0" borderId="9" xfId="0" applyNumberFormat="1" applyBorder="1" applyAlignment="1">
      <alignment horizontal="center" vertical="center"/>
    </xf>
    <xf numFmtId="1" fontId="0" fillId="0" borderId="71" xfId="0" applyNumberFormat="1" applyBorder="1"/>
    <xf numFmtId="1" fontId="0" fillId="0" borderId="2" xfId="0" applyNumberFormat="1" applyBorder="1"/>
    <xf numFmtId="194" fontId="20" fillId="0" borderId="0" xfId="0" applyNumberFormat="1" applyFont="1" applyAlignment="1">
      <alignment horizontal="center"/>
    </xf>
    <xf numFmtId="0" fontId="0" fillId="0" borderId="47" xfId="0" applyFill="1" applyBorder="1"/>
    <xf numFmtId="0" fontId="0" fillId="0" borderId="0" xfId="0" applyFill="1" applyBorder="1"/>
    <xf numFmtId="0" fontId="105" fillId="0" borderId="0" xfId="0" applyFont="1"/>
    <xf numFmtId="0" fontId="0" fillId="6" borderId="2" xfId="0" applyFill="1" applyBorder="1" applyAlignment="1">
      <alignment horizontal="center"/>
    </xf>
    <xf numFmtId="0" fontId="0" fillId="6" borderId="2" xfId="0" applyFill="1" applyBorder="1"/>
    <xf numFmtId="0" fontId="0" fillId="6" borderId="2" xfId="0" applyFill="1" applyBorder="1" applyAlignment="1">
      <alignment horizontal="right"/>
    </xf>
    <xf numFmtId="194" fontId="0" fillId="0" borderId="0" xfId="0" applyNumberFormat="1" applyBorder="1"/>
    <xf numFmtId="0" fontId="0" fillId="0" borderId="3" xfId="0" applyBorder="1" applyAlignment="1">
      <alignment horizontal="left" vertical="center"/>
    </xf>
    <xf numFmtId="0" fontId="70" fillId="0" borderId="1" xfId="0" applyFont="1" applyFill="1" applyBorder="1" applyAlignment="1">
      <alignment horizontal="center"/>
    </xf>
    <xf numFmtId="14" fontId="113" fillId="0" borderId="2" xfId="0" applyNumberFormat="1" applyFont="1" applyBorder="1" applyAlignment="1">
      <alignment horizontal="center" vertical="center" wrapText="1"/>
    </xf>
    <xf numFmtId="0" fontId="113" fillId="0" borderId="2" xfId="0" applyFont="1" applyBorder="1" applyAlignment="1">
      <alignment horizontal="center" vertical="center" wrapText="1"/>
    </xf>
    <xf numFmtId="14" fontId="113" fillId="0" borderId="73" xfId="0" applyNumberFormat="1" applyFont="1" applyBorder="1" applyAlignment="1">
      <alignment horizontal="center" vertical="center" wrapText="1"/>
    </xf>
    <xf numFmtId="0" fontId="113" fillId="0" borderId="74" xfId="0" applyFont="1" applyBorder="1" applyAlignment="1">
      <alignment horizontal="center" vertical="center" wrapText="1"/>
    </xf>
    <xf numFmtId="0" fontId="113" fillId="0" borderId="0" xfId="0" applyFont="1" applyBorder="1" applyAlignment="1"/>
    <xf numFmtId="0" fontId="113" fillId="0" borderId="59" xfId="0" applyFont="1" applyBorder="1" applyAlignment="1"/>
    <xf numFmtId="0" fontId="114" fillId="0" borderId="2" xfId="0" applyFont="1" applyFill="1" applyBorder="1" applyAlignment="1">
      <alignment horizontal="center" vertical="center"/>
    </xf>
    <xf numFmtId="0" fontId="113" fillId="0" borderId="47" xfId="0" applyFont="1" applyBorder="1"/>
    <xf numFmtId="0" fontId="113" fillId="0" borderId="0" xfId="0" applyFont="1" applyBorder="1"/>
    <xf numFmtId="0" fontId="113" fillId="0" borderId="59" xfId="0" applyFont="1" applyBorder="1"/>
    <xf numFmtId="0" fontId="107" fillId="0" borderId="2" xfId="0" applyFont="1" applyBorder="1" applyAlignment="1">
      <alignment horizontal="center"/>
    </xf>
    <xf numFmtId="0" fontId="107" fillId="0" borderId="2" xfId="0" applyFont="1" applyFill="1" applyBorder="1" applyAlignment="1">
      <alignment horizontal="center"/>
    </xf>
    <xf numFmtId="0" fontId="107" fillId="0" borderId="14" xfId="0" applyFont="1" applyBorder="1" applyAlignment="1">
      <alignment horizontal="center"/>
    </xf>
    <xf numFmtId="0" fontId="107" fillId="0" borderId="14" xfId="0" applyFont="1" applyFill="1" applyBorder="1" applyAlignment="1">
      <alignment horizontal="center"/>
    </xf>
    <xf numFmtId="0" fontId="113" fillId="0" borderId="75" xfId="0" applyFont="1" applyBorder="1"/>
    <xf numFmtId="0" fontId="113" fillId="0" borderId="36" xfId="0" applyFont="1" applyBorder="1"/>
    <xf numFmtId="0" fontId="113" fillId="0" borderId="1" xfId="0" applyFont="1" applyBorder="1"/>
    <xf numFmtId="0" fontId="115" fillId="0" borderId="0" xfId="0" applyFont="1"/>
    <xf numFmtId="0" fontId="116" fillId="0" borderId="0" xfId="0" applyFont="1"/>
    <xf numFmtId="0" fontId="117" fillId="0" borderId="2" xfId="0" applyFont="1" applyBorder="1" applyAlignment="1">
      <alignment horizontal="center" wrapText="1"/>
    </xf>
    <xf numFmtId="0" fontId="118" fillId="0" borderId="0" xfId="0" applyFont="1"/>
    <xf numFmtId="0" fontId="0" fillId="5" borderId="2" xfId="0" applyFill="1" applyBorder="1" applyAlignment="1" applyProtection="1">
      <alignment horizontal="center" vertical="center"/>
      <protection locked="0"/>
    </xf>
    <xf numFmtId="0" fontId="119" fillId="2" borderId="2" xfId="0" applyFont="1" applyFill="1" applyBorder="1" applyAlignment="1">
      <alignment horizontal="center" vertical="center" wrapText="1"/>
    </xf>
    <xf numFmtId="0" fontId="119" fillId="2" borderId="76" xfId="0" applyFont="1" applyFill="1" applyBorder="1" applyAlignment="1">
      <alignment horizontal="center" vertical="center" wrapText="1"/>
    </xf>
    <xf numFmtId="0" fontId="119" fillId="2" borderId="57" xfId="0" applyFont="1" applyFill="1" applyBorder="1" applyAlignment="1">
      <alignment horizontal="center" vertical="center" wrapText="1"/>
    </xf>
    <xf numFmtId="0" fontId="108" fillId="0" borderId="50" xfId="0" applyFont="1" applyBorder="1" applyAlignment="1">
      <alignment horizontal="left"/>
    </xf>
    <xf numFmtId="14" fontId="114" fillId="0" borderId="48" xfId="0" applyNumberFormat="1" applyFont="1" applyFill="1" applyBorder="1" applyAlignment="1">
      <alignment horizontal="center" wrapText="1"/>
    </xf>
    <xf numFmtId="0" fontId="109" fillId="0" borderId="48" xfId="0" applyFont="1" applyBorder="1" applyAlignment="1">
      <alignment horizontal="left"/>
    </xf>
    <xf numFmtId="0" fontId="120" fillId="0" borderId="0" xfId="0" applyFont="1" applyFill="1" applyAlignment="1">
      <alignment wrapText="1"/>
    </xf>
    <xf numFmtId="194" fontId="17" fillId="0" borderId="0" xfId="0" applyNumberFormat="1" applyFont="1" applyFill="1" applyBorder="1" applyAlignment="1">
      <alignment horizontal="center"/>
    </xf>
    <xf numFmtId="0" fontId="4" fillId="0" borderId="0" xfId="1" applyBorder="1"/>
    <xf numFmtId="0" fontId="4" fillId="0" borderId="0" xfId="1" applyFill="1" applyBorder="1" applyAlignment="1">
      <alignment horizontal="center"/>
    </xf>
    <xf numFmtId="194" fontId="17" fillId="0" borderId="0" xfId="0" applyNumberFormat="1" applyFont="1" applyBorder="1" applyAlignment="1">
      <alignment horizontal="center"/>
    </xf>
    <xf numFmtId="49" fontId="7" fillId="6" borderId="0" xfId="0" applyNumberFormat="1" applyFont="1" applyFill="1" applyAlignment="1">
      <alignment horizontal="center"/>
    </xf>
    <xf numFmtId="0" fontId="4" fillId="0" borderId="0" xfId="1" applyBorder="1" applyAlignment="1">
      <alignment horizontal="center"/>
    </xf>
    <xf numFmtId="0" fontId="3" fillId="6" borderId="2" xfId="0" applyFont="1" applyFill="1" applyBorder="1" applyAlignment="1">
      <alignment horizontal="center" vertical="center"/>
    </xf>
    <xf numFmtId="0" fontId="111" fillId="14" borderId="2" xfId="0" applyFont="1" applyFill="1" applyBorder="1" applyAlignment="1">
      <alignment horizontal="center"/>
    </xf>
    <xf numFmtId="0" fontId="0" fillId="0" borderId="2" xfId="0" applyNumberFormat="1" applyBorder="1"/>
    <xf numFmtId="0" fontId="55" fillId="0" borderId="2" xfId="0" applyFont="1" applyBorder="1" applyAlignment="1">
      <alignment horizontal="center"/>
    </xf>
    <xf numFmtId="0" fontId="121" fillId="0" borderId="0" xfId="0" applyFont="1" applyAlignment="1">
      <alignment horizontal="center" readingOrder="1"/>
    </xf>
    <xf numFmtId="2" fontId="7" fillId="6" borderId="0" xfId="0" applyNumberFormat="1" applyFont="1" applyFill="1" applyAlignment="1">
      <alignment vertical="center"/>
    </xf>
    <xf numFmtId="2" fontId="7" fillId="6" borderId="0" xfId="0" applyNumberFormat="1" applyFont="1" applyFill="1" applyAlignment="1">
      <alignment horizontal="center" vertical="center"/>
    </xf>
    <xf numFmtId="49" fontId="7" fillId="6" borderId="0" xfId="0" applyNumberFormat="1" applyFont="1" applyFill="1" applyAlignment="1">
      <alignment horizontal="center" vertical="center"/>
    </xf>
    <xf numFmtId="2" fontId="9" fillId="0" borderId="2" xfId="0" applyNumberFormat="1" applyFont="1" applyFill="1" applyBorder="1" applyAlignment="1" applyProtection="1">
      <alignment horizontal="center" wrapText="1"/>
    </xf>
    <xf numFmtId="0" fontId="122" fillId="0" borderId="0" xfId="0" applyFont="1" applyAlignment="1">
      <alignment horizontal="right"/>
    </xf>
    <xf numFmtId="0" fontId="0" fillId="0" borderId="48" xfId="0" applyBorder="1" applyAlignment="1" applyProtection="1">
      <alignment horizontal="center" vertical="center"/>
    </xf>
    <xf numFmtId="0" fontId="0" fillId="0" borderId="77" xfId="0" applyBorder="1" applyAlignment="1" applyProtection="1">
      <alignment horizontal="center" vertical="center"/>
      <protection locked="0"/>
    </xf>
    <xf numFmtId="0" fontId="16" fillId="0" borderId="0" xfId="0" applyFont="1" applyBorder="1" applyAlignment="1" applyProtection="1">
      <alignment horizontal="center" vertical="center"/>
    </xf>
    <xf numFmtId="0" fontId="10" fillId="0" borderId="0" xfId="0" applyFont="1" applyFill="1" applyBorder="1" applyAlignment="1" applyProtection="1">
      <alignment horizontal="center" vertical="center" wrapText="1"/>
      <protection locked="0"/>
    </xf>
    <xf numFmtId="0" fontId="0" fillId="0" borderId="0" xfId="0" applyNumberFormat="1" applyFill="1" applyBorder="1" applyAlignment="1" applyProtection="1">
      <alignment horizontal="center" vertical="center"/>
      <protection locked="0"/>
    </xf>
    <xf numFmtId="195" fontId="0" fillId="0" borderId="0" xfId="0" applyNumberFormat="1" applyAlignment="1">
      <alignment horizontal="center" vertical="center"/>
    </xf>
    <xf numFmtId="0" fontId="124" fillId="0" borderId="0" xfId="0" applyFont="1"/>
    <xf numFmtId="0" fontId="112" fillId="0" borderId="0" xfId="0" applyFont="1"/>
    <xf numFmtId="14" fontId="113" fillId="0" borderId="2" xfId="0" applyNumberFormat="1" applyFont="1" applyFill="1" applyBorder="1" applyAlignment="1">
      <alignment horizontal="center" vertical="center" wrapText="1"/>
    </xf>
    <xf numFmtId="14" fontId="113" fillId="0" borderId="83" xfId="0" applyNumberFormat="1" applyFont="1" applyBorder="1" applyAlignment="1">
      <alignment horizontal="center" vertical="center" wrapText="1"/>
    </xf>
    <xf numFmtId="14" fontId="113" fillId="0" borderId="65" xfId="0" applyNumberFormat="1" applyFont="1" applyBorder="1" applyAlignment="1">
      <alignment horizontal="center" vertical="center" wrapText="1"/>
    </xf>
    <xf numFmtId="14" fontId="113" fillId="0" borderId="66" xfId="0" applyNumberFormat="1" applyFont="1" applyBorder="1" applyAlignment="1">
      <alignment horizontal="center" vertical="center" wrapText="1"/>
    </xf>
    <xf numFmtId="0" fontId="113" fillId="0" borderId="10"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45" xfId="0" applyFont="1" applyBorder="1" applyAlignment="1">
      <alignment horizontal="center" vertical="center" wrapText="1"/>
    </xf>
    <xf numFmtId="0" fontId="123" fillId="0" borderId="2" xfId="0" applyFont="1" applyBorder="1" applyAlignment="1">
      <alignment horizontal="left" vertical="center"/>
    </xf>
    <xf numFmtId="0" fontId="123" fillId="0" borderId="30" xfId="0" applyFont="1" applyBorder="1" applyAlignment="1">
      <alignment horizontal="left" vertical="center"/>
    </xf>
    <xf numFmtId="0" fontId="123" fillId="0" borderId="45" xfId="0" applyFont="1" applyBorder="1" applyAlignment="1">
      <alignment horizontal="left" vertical="center"/>
    </xf>
    <xf numFmtId="0" fontId="123" fillId="0" borderId="67" xfId="0" applyFont="1" applyBorder="1" applyAlignment="1">
      <alignment horizontal="left" vertical="center"/>
    </xf>
    <xf numFmtId="0" fontId="113" fillId="0" borderId="74" xfId="0" applyFont="1" applyBorder="1" applyAlignment="1">
      <alignment horizontal="left" vertical="center"/>
    </xf>
    <xf numFmtId="0" fontId="113" fillId="0" borderId="82" xfId="0" applyFont="1" applyBorder="1" applyAlignment="1">
      <alignment horizontal="left" vertical="center"/>
    </xf>
    <xf numFmtId="0" fontId="113" fillId="0" borderId="10" xfId="0" applyFont="1" applyBorder="1" applyAlignment="1">
      <alignment horizontal="left" vertical="center"/>
    </xf>
    <xf numFmtId="0" fontId="113" fillId="0" borderId="51" xfId="0" applyFont="1" applyBorder="1" applyAlignment="1">
      <alignment horizontal="left" vertical="center"/>
    </xf>
    <xf numFmtId="0" fontId="113" fillId="0" borderId="2" xfId="0" applyFont="1" applyBorder="1" applyAlignment="1">
      <alignment horizontal="left" vertical="center"/>
    </xf>
    <xf numFmtId="0" fontId="113" fillId="0" borderId="30" xfId="0" applyFont="1" applyBorder="1" applyAlignment="1">
      <alignment horizontal="left" vertical="center"/>
    </xf>
    <xf numFmtId="0" fontId="119" fillId="2" borderId="2" xfId="0" applyFont="1" applyFill="1" applyBorder="1" applyAlignment="1">
      <alignment horizontal="center" vertical="center" wrapText="1"/>
    </xf>
    <xf numFmtId="0" fontId="113" fillId="0" borderId="2" xfId="0" applyFont="1" applyBorder="1" applyAlignment="1">
      <alignment wrapText="1"/>
    </xf>
    <xf numFmtId="0" fontId="113" fillId="0" borderId="45" xfId="0" applyFont="1" applyBorder="1" applyAlignment="1">
      <alignment wrapText="1"/>
    </xf>
    <xf numFmtId="0" fontId="113" fillId="0" borderId="72" xfId="0" applyFont="1" applyBorder="1" applyAlignment="1">
      <alignment wrapText="1"/>
    </xf>
    <xf numFmtId="0" fontId="113" fillId="0" borderId="50" xfId="0" applyFont="1" applyBorder="1" applyAlignment="1">
      <alignment wrapText="1"/>
    </xf>
    <xf numFmtId="0" fontId="113" fillId="0" borderId="68" xfId="0" applyFont="1" applyBorder="1" applyAlignment="1">
      <alignment wrapText="1"/>
    </xf>
    <xf numFmtId="0" fontId="117" fillId="0" borderId="4" xfId="0" applyFont="1" applyBorder="1" applyAlignment="1">
      <alignment horizontal="center" wrapText="1"/>
    </xf>
    <xf numFmtId="14" fontId="113" fillId="0" borderId="3" xfId="0" applyNumberFormat="1" applyFont="1" applyBorder="1" applyAlignment="1">
      <alignment horizontal="center" vertical="center" wrapText="1"/>
    </xf>
    <xf numFmtId="0" fontId="117" fillId="0" borderId="2" xfId="0" applyFont="1" applyBorder="1" applyAlignment="1">
      <alignment horizontal="center" wrapText="1"/>
    </xf>
    <xf numFmtId="14" fontId="113" fillId="0" borderId="2" xfId="0" applyNumberFormat="1" applyFont="1" applyBorder="1" applyAlignment="1">
      <alignment horizontal="center" vertical="center" wrapText="1"/>
    </xf>
    <xf numFmtId="0" fontId="113" fillId="0" borderId="10" xfId="0" applyFont="1" applyBorder="1"/>
    <xf numFmtId="0" fontId="113" fillId="0" borderId="51" xfId="0" applyFont="1" applyBorder="1"/>
    <xf numFmtId="0" fontId="107" fillId="0" borderId="3" xfId="0" applyFont="1" applyFill="1" applyBorder="1" applyAlignment="1"/>
    <xf numFmtId="0" fontId="107" fillId="0" borderId="2" xfId="0" applyFont="1" applyFill="1" applyBorder="1" applyAlignment="1"/>
    <xf numFmtId="0" fontId="113" fillId="0" borderId="4" xfId="0" applyFont="1" applyBorder="1"/>
    <xf numFmtId="0" fontId="113" fillId="0" borderId="48" xfId="0" applyFont="1" applyBorder="1"/>
    <xf numFmtId="0" fontId="113" fillId="0" borderId="78" xfId="0" applyFont="1" applyBorder="1"/>
    <xf numFmtId="0" fontId="114" fillId="0" borderId="3" xfId="0" applyFont="1" applyBorder="1" applyAlignment="1">
      <alignment horizontal="center"/>
    </xf>
    <xf numFmtId="0" fontId="114" fillId="0" borderId="2" xfId="0" applyFont="1" applyBorder="1" applyAlignment="1">
      <alignment horizontal="center"/>
    </xf>
    <xf numFmtId="14" fontId="113" fillId="0" borderId="21" xfId="0" applyNumberFormat="1" applyFont="1" applyFill="1" applyBorder="1" applyAlignment="1">
      <alignment horizontal="center" vertical="center" wrapText="1"/>
    </xf>
    <xf numFmtId="14" fontId="113" fillId="0" borderId="83" xfId="0" applyNumberFormat="1" applyFont="1" applyFill="1" applyBorder="1" applyAlignment="1">
      <alignment horizontal="center" vertical="center" wrapText="1"/>
    </xf>
    <xf numFmtId="14" fontId="113" fillId="0" borderId="65" xfId="0" applyNumberFormat="1" applyFont="1" applyFill="1" applyBorder="1" applyAlignment="1">
      <alignment horizontal="center" vertical="center" wrapText="1"/>
    </xf>
    <xf numFmtId="14" fontId="113" fillId="0" borderId="13" xfId="0" applyNumberFormat="1" applyFont="1" applyFill="1" applyBorder="1" applyAlignment="1">
      <alignment horizontal="center" vertical="center" wrapText="1"/>
    </xf>
    <xf numFmtId="0" fontId="113" fillId="0" borderId="11" xfId="0" applyFont="1" applyBorder="1" applyAlignment="1">
      <alignment horizontal="center" vertical="center" wrapText="1"/>
    </xf>
    <xf numFmtId="0" fontId="113" fillId="0" borderId="14" xfId="0" applyFont="1" applyBorder="1" applyAlignment="1">
      <alignment horizontal="center" vertical="center" wrapText="1"/>
    </xf>
    <xf numFmtId="0" fontId="113" fillId="0" borderId="4" xfId="0" applyFont="1" applyBorder="1" applyAlignment="1">
      <alignment horizontal="center" vertical="center" wrapText="1"/>
    </xf>
    <xf numFmtId="0" fontId="119" fillId="2" borderId="4" xfId="0" applyFont="1" applyFill="1" applyBorder="1" applyAlignment="1">
      <alignment horizontal="center" vertical="center" wrapText="1"/>
    </xf>
    <xf numFmtId="0" fontId="119" fillId="2" borderId="48" xfId="0" applyFont="1" applyFill="1" applyBorder="1" applyAlignment="1">
      <alignment horizontal="center" vertical="center" wrapText="1"/>
    </xf>
    <xf numFmtId="0" fontId="119" fillId="2" borderId="3" xfId="0" applyFont="1" applyFill="1" applyBorder="1" applyAlignment="1">
      <alignment horizontal="center" vertical="center" wrapText="1"/>
    </xf>
    <xf numFmtId="0" fontId="113" fillId="0" borderId="72" xfId="0" applyFont="1" applyBorder="1" applyAlignment="1">
      <alignment horizontal="left" vertical="center" wrapText="1"/>
    </xf>
    <xf numFmtId="0" fontId="113" fillId="0" borderId="50" xfId="0" applyFont="1" applyBorder="1" applyAlignment="1">
      <alignment horizontal="left" vertical="center" wrapText="1"/>
    </xf>
    <xf numFmtId="0" fontId="113" fillId="0" borderId="68" xfId="0" applyFont="1" applyBorder="1" applyAlignment="1">
      <alignment horizontal="left" vertical="center" wrapText="1"/>
    </xf>
    <xf numFmtId="0" fontId="113" fillId="0" borderId="71" xfId="0" applyFont="1" applyBorder="1" applyAlignment="1">
      <alignment horizontal="left" vertical="center" wrapText="1"/>
    </xf>
    <xf numFmtId="0" fontId="113" fillId="0" borderId="9" xfId="0" applyFont="1" applyBorder="1" applyAlignment="1">
      <alignment horizontal="left" vertical="center" wrapText="1"/>
    </xf>
    <xf numFmtId="0" fontId="113" fillId="0" borderId="54" xfId="0" applyFont="1" applyBorder="1" applyAlignment="1">
      <alignment horizontal="left" vertical="center" wrapText="1"/>
    </xf>
    <xf numFmtId="0" fontId="113" fillId="0" borderId="71" xfId="0" applyFont="1" applyBorder="1" applyAlignment="1">
      <alignment wrapText="1"/>
    </xf>
    <xf numFmtId="0" fontId="113" fillId="0" borderId="9" xfId="0" applyFont="1" applyBorder="1" applyAlignment="1">
      <alignment wrapText="1"/>
    </xf>
    <xf numFmtId="0" fontId="113" fillId="0" borderId="54" xfId="0" applyFont="1" applyBorder="1" applyAlignment="1">
      <alignment wrapText="1"/>
    </xf>
    <xf numFmtId="0" fontId="119" fillId="2" borderId="61" xfId="0" applyFont="1" applyFill="1" applyBorder="1" applyAlignment="1">
      <alignment horizontal="center" vertical="center"/>
    </xf>
    <xf numFmtId="0" fontId="119" fillId="2" borderId="80" xfId="0" applyFont="1" applyFill="1" applyBorder="1" applyAlignment="1">
      <alignment horizontal="center" vertical="center"/>
    </xf>
    <xf numFmtId="0" fontId="119" fillId="2" borderId="81" xfId="0" applyFont="1" applyFill="1" applyBorder="1" applyAlignment="1">
      <alignment horizontal="center" vertical="center"/>
    </xf>
    <xf numFmtId="0" fontId="113" fillId="0" borderId="10" xfId="0" applyFont="1" applyBorder="1" applyAlignment="1">
      <alignment vertical="center" wrapText="1"/>
    </xf>
    <xf numFmtId="0" fontId="107" fillId="0" borderId="79" xfId="0" applyFont="1" applyFill="1" applyBorder="1" applyAlignment="1"/>
    <xf numFmtId="0" fontId="107" fillId="0" borderId="14" xfId="0" applyFont="1" applyFill="1" applyBorder="1" applyAlignment="1"/>
    <xf numFmtId="0" fontId="113" fillId="0" borderId="45" xfId="0" applyFont="1" applyBorder="1" applyAlignment="1">
      <alignment horizontal="left" vertical="center"/>
    </xf>
    <xf numFmtId="0" fontId="113" fillId="0" borderId="67" xfId="0" applyFont="1" applyBorder="1" applyAlignment="1">
      <alignment horizontal="left" vertical="center"/>
    </xf>
    <xf numFmtId="0" fontId="113" fillId="0" borderId="74" xfId="0" applyFont="1" applyBorder="1" applyAlignment="1">
      <alignment vertical="center"/>
    </xf>
    <xf numFmtId="0" fontId="113" fillId="0" borderId="82" xfId="0" applyFont="1" applyBorder="1" applyAlignment="1">
      <alignment vertical="center"/>
    </xf>
    <xf numFmtId="0" fontId="3" fillId="15" borderId="45" xfId="0" applyFont="1" applyFill="1" applyBorder="1" applyAlignment="1">
      <alignment horizontal="center" vertical="center"/>
    </xf>
    <xf numFmtId="0" fontId="3" fillId="15" borderId="10" xfId="0" applyFont="1" applyFill="1" applyBorder="1" applyAlignment="1">
      <alignment horizontal="center" vertical="center"/>
    </xf>
    <xf numFmtId="0" fontId="3" fillId="6" borderId="45" xfId="0" applyFont="1" applyFill="1" applyBorder="1" applyAlignment="1">
      <alignment horizontal="center" vertical="center"/>
    </xf>
    <xf numFmtId="0" fontId="3" fillId="6" borderId="10" xfId="0" applyFont="1" applyFill="1" applyBorder="1" applyAlignment="1">
      <alignment horizontal="center" vertical="center"/>
    </xf>
    <xf numFmtId="0" fontId="38" fillId="3" borderId="0" xfId="0" applyFont="1" applyFill="1" applyAlignment="1">
      <alignment horizontal="center" vertical="center" wrapText="1"/>
    </xf>
    <xf numFmtId="0" fontId="38" fillId="3" borderId="84" xfId="0" applyFont="1" applyFill="1" applyBorder="1" applyAlignment="1">
      <alignment horizontal="center" vertical="center" wrapText="1"/>
    </xf>
    <xf numFmtId="0" fontId="38" fillId="3" borderId="0" xfId="0" applyFont="1" applyFill="1" applyBorder="1" applyAlignment="1">
      <alignment horizontal="center" vertical="center" wrapText="1"/>
    </xf>
    <xf numFmtId="0" fontId="81" fillId="0" borderId="47" xfId="0" applyFont="1" applyBorder="1" applyAlignment="1">
      <alignment horizontal="left" vertical="center" wrapText="1"/>
    </xf>
    <xf numFmtId="0" fontId="81" fillId="0" borderId="0" xfId="0" applyFont="1" applyBorder="1" applyAlignment="1">
      <alignment horizontal="left" vertical="center" wrapText="1"/>
    </xf>
    <xf numFmtId="0" fontId="42" fillId="3" borderId="0" xfId="0" applyFont="1" applyFill="1" applyAlignment="1">
      <alignment horizontal="center"/>
    </xf>
    <xf numFmtId="0" fontId="80" fillId="3" borderId="0" xfId="0" applyFont="1" applyFill="1" applyAlignment="1">
      <alignment horizontal="center"/>
    </xf>
    <xf numFmtId="0" fontId="13" fillId="10" borderId="4" xfId="0" applyFont="1" applyFill="1" applyBorder="1" applyAlignment="1">
      <alignment horizontal="center" vertical="center" wrapText="1"/>
    </xf>
    <xf numFmtId="0" fontId="13" fillId="10" borderId="3" xfId="0" applyFont="1" applyFill="1" applyBorder="1" applyAlignment="1">
      <alignment horizontal="center" vertical="center" wrapText="1"/>
    </xf>
    <xf numFmtId="0" fontId="0" fillId="0" borderId="45" xfId="0" applyBorder="1" applyAlignment="1">
      <alignment horizontal="center" vertical="center" wrapText="1"/>
    </xf>
    <xf numFmtId="0" fontId="0" fillId="0" borderId="46" xfId="0" applyBorder="1" applyAlignment="1">
      <alignment horizontal="center" vertical="center" wrapText="1"/>
    </xf>
    <xf numFmtId="0" fontId="0" fillId="0" borderId="10" xfId="0"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38" fillId="3" borderId="4" xfId="0" applyFont="1" applyFill="1" applyBorder="1" applyAlignment="1">
      <alignment horizontal="center" vertical="center"/>
    </xf>
    <xf numFmtId="0" fontId="38" fillId="3" borderId="3" xfId="0" applyFont="1" applyFill="1" applyBorder="1" applyAlignment="1">
      <alignment horizontal="center" vertical="center"/>
    </xf>
    <xf numFmtId="0" fontId="81" fillId="0" borderId="2" xfId="0" applyFont="1" applyBorder="1" applyAlignment="1">
      <alignment horizontal="justify" vertical="center" wrapText="1"/>
    </xf>
    <xf numFmtId="0" fontId="0" fillId="0" borderId="2" xfId="0" applyBorder="1" applyAlignment="1">
      <alignment horizontal="center" vertical="center" wrapText="1"/>
    </xf>
    <xf numFmtId="0" fontId="3" fillId="6" borderId="4" xfId="0" applyFont="1" applyFill="1" applyBorder="1" applyAlignment="1">
      <alignment horizontal="center" vertical="center"/>
    </xf>
    <xf numFmtId="0" fontId="3" fillId="6" borderId="3" xfId="0" applyFont="1" applyFill="1" applyBorder="1" applyAlignment="1">
      <alignment horizontal="center" vertical="center"/>
    </xf>
    <xf numFmtId="0" fontId="81" fillId="0" borderId="10" xfId="0" applyFont="1" applyBorder="1" applyAlignment="1">
      <alignment horizontal="justify" vertical="center" wrapText="1"/>
    </xf>
    <xf numFmtId="0" fontId="81" fillId="0" borderId="46" xfId="0" applyFont="1" applyBorder="1" applyAlignment="1">
      <alignment horizontal="justify" vertical="center" wrapText="1"/>
    </xf>
    <xf numFmtId="0" fontId="0" fillId="0" borderId="47" xfId="0" applyBorder="1" applyAlignment="1">
      <alignment horizontal="left" vertical="center" wrapText="1"/>
    </xf>
    <xf numFmtId="0" fontId="0" fillId="0" borderId="70" xfId="0" applyBorder="1" applyAlignment="1">
      <alignment horizontal="left" vertical="center" wrapText="1"/>
    </xf>
    <xf numFmtId="0" fontId="0" fillId="0" borderId="47" xfId="0" applyBorder="1" applyAlignment="1">
      <alignment horizontal="justify" vertical="center" wrapText="1"/>
    </xf>
    <xf numFmtId="0" fontId="0" fillId="0" borderId="70" xfId="0" applyBorder="1" applyAlignment="1">
      <alignment horizontal="justify" vertical="center" wrapText="1"/>
    </xf>
    <xf numFmtId="0" fontId="0" fillId="0" borderId="45" xfId="0" applyBorder="1" applyAlignment="1">
      <alignment horizontal="justify" vertical="center" wrapText="1"/>
    </xf>
    <xf numFmtId="0" fontId="0" fillId="0" borderId="10" xfId="0" applyBorder="1" applyAlignment="1">
      <alignment horizontal="justify" vertical="center" wrapText="1"/>
    </xf>
    <xf numFmtId="0" fontId="0" fillId="0" borderId="72" xfId="0" applyBorder="1" applyAlignment="1">
      <alignment horizontal="center" vertical="center" wrapText="1"/>
    </xf>
    <xf numFmtId="0" fontId="0" fillId="0" borderId="47" xfId="0" applyBorder="1" applyAlignment="1">
      <alignment horizontal="center" vertical="center" wrapText="1"/>
    </xf>
    <xf numFmtId="0" fontId="0" fillId="0" borderId="71" xfId="0" applyBorder="1" applyAlignment="1">
      <alignment horizontal="center" vertical="center" wrapText="1"/>
    </xf>
    <xf numFmtId="0" fontId="0" fillId="0" borderId="46" xfId="0" applyBorder="1" applyAlignment="1">
      <alignment horizontal="justify" vertical="center" wrapText="1"/>
    </xf>
    <xf numFmtId="0" fontId="0" fillId="0" borderId="68" xfId="0" applyBorder="1" applyAlignment="1">
      <alignment horizontal="center" vertical="center" wrapText="1"/>
    </xf>
    <xf numFmtId="0" fontId="0" fillId="0" borderId="70" xfId="0" applyBorder="1" applyAlignment="1">
      <alignment horizontal="center" vertical="center" wrapText="1"/>
    </xf>
    <xf numFmtId="0" fontId="1" fillId="0" borderId="2" xfId="0" applyFont="1" applyBorder="1" applyAlignment="1" applyProtection="1">
      <alignment horizontal="left" vertical="center" wrapText="1"/>
    </xf>
    <xf numFmtId="0" fontId="81" fillId="0" borderId="45" xfId="0" applyFont="1" applyBorder="1" applyAlignment="1">
      <alignment horizontal="justify" vertical="center" wrapText="1"/>
    </xf>
    <xf numFmtId="0" fontId="81" fillId="0" borderId="4" xfId="0" applyFont="1" applyBorder="1" applyAlignment="1">
      <alignment horizontal="justify" vertical="center" wrapText="1"/>
    </xf>
    <xf numFmtId="0" fontId="81" fillId="0" borderId="3" xfId="0" applyFont="1" applyBorder="1" applyAlignment="1">
      <alignment horizontal="justify" vertical="center" wrapText="1"/>
    </xf>
    <xf numFmtId="0" fontId="0" fillId="0" borderId="45" xfId="0" applyBorder="1" applyAlignment="1">
      <alignment horizontal="center" vertical="center"/>
    </xf>
    <xf numFmtId="0" fontId="0" fillId="0" borderId="46" xfId="0" applyBorder="1" applyAlignment="1">
      <alignment horizontal="center" vertical="center"/>
    </xf>
    <xf numFmtId="0" fontId="0" fillId="0" borderId="10" xfId="0" applyBorder="1" applyAlignment="1">
      <alignment horizontal="center" vertical="center"/>
    </xf>
    <xf numFmtId="0" fontId="81" fillId="0" borderId="71" xfId="0" applyFont="1" applyBorder="1" applyAlignment="1">
      <alignment horizontal="justify" vertical="center" wrapText="1"/>
    </xf>
    <xf numFmtId="0" fontId="81" fillId="0" borderId="54" xfId="0" quotePrefix="1" applyFont="1" applyBorder="1" applyAlignment="1">
      <alignment horizontal="justify" vertical="center" wrapText="1"/>
    </xf>
    <xf numFmtId="0" fontId="81" fillId="0" borderId="72" xfId="0" applyFont="1" applyBorder="1" applyAlignment="1">
      <alignment horizontal="justify" vertical="center" wrapText="1"/>
    </xf>
    <xf numFmtId="0" fontId="81" fillId="0" borderId="68" xfId="0" quotePrefix="1" applyFont="1" applyBorder="1" applyAlignment="1">
      <alignment horizontal="justify" vertical="center" wrapText="1"/>
    </xf>
    <xf numFmtId="0" fontId="25" fillId="3" borderId="88" xfId="0" applyFont="1" applyFill="1" applyBorder="1" applyAlignment="1" applyProtection="1">
      <alignment horizontal="center" vertical="center" wrapText="1"/>
    </xf>
    <xf numFmtId="0" fontId="25" fillId="3" borderId="26" xfId="0" applyFont="1" applyFill="1" applyBorder="1" applyAlignment="1" applyProtection="1">
      <alignment horizontal="center" vertical="center" wrapText="1"/>
    </xf>
    <xf numFmtId="0" fontId="25" fillId="3" borderId="56" xfId="0" applyFont="1" applyFill="1" applyBorder="1" applyAlignment="1" applyProtection="1">
      <alignment horizontal="center" vertical="center" wrapText="1"/>
    </xf>
    <xf numFmtId="0" fontId="25" fillId="3" borderId="95" xfId="0" applyFont="1" applyFill="1" applyBorder="1" applyAlignment="1" applyProtection="1">
      <alignment horizontal="center" vertical="center" wrapText="1"/>
    </xf>
    <xf numFmtId="0" fontId="25" fillId="3" borderId="43" xfId="0" applyFont="1" applyFill="1" applyBorder="1" applyAlignment="1" applyProtection="1">
      <alignment horizontal="center" vertical="center" wrapText="1"/>
    </xf>
    <xf numFmtId="0" fontId="25" fillId="3" borderId="96" xfId="0" applyFont="1" applyFill="1" applyBorder="1" applyAlignment="1" applyProtection="1">
      <alignment horizontal="center" vertical="center" wrapText="1"/>
    </xf>
    <xf numFmtId="0" fontId="25" fillId="3" borderId="23" xfId="0" applyFont="1" applyFill="1" applyBorder="1" applyAlignment="1" applyProtection="1">
      <alignment horizontal="center" vertical="center" wrapText="1"/>
    </xf>
    <xf numFmtId="0" fontId="25" fillId="3" borderId="97" xfId="0" applyFont="1" applyFill="1" applyBorder="1" applyAlignment="1" applyProtection="1">
      <alignment horizontal="center" vertical="center" wrapText="1"/>
    </xf>
    <xf numFmtId="0" fontId="25" fillId="3" borderId="87" xfId="0" applyFont="1" applyFill="1" applyBorder="1" applyAlignment="1" applyProtection="1">
      <alignment horizontal="center" vertical="center" wrapText="1"/>
    </xf>
    <xf numFmtId="0" fontId="25" fillId="3" borderId="80" xfId="0" applyFont="1" applyFill="1" applyBorder="1" applyAlignment="1" applyProtection="1">
      <alignment horizontal="center" vertical="center" wrapText="1"/>
    </xf>
    <xf numFmtId="0" fontId="25" fillId="3" borderId="81" xfId="0" applyFont="1" applyFill="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1" xfId="0" applyFont="1" applyBorder="1" applyAlignment="1" applyProtection="1">
      <alignment horizontal="center" vertical="center" wrapText="1"/>
    </xf>
    <xf numFmtId="0" fontId="25" fillId="3" borderId="58" xfId="0" applyFont="1" applyFill="1" applyBorder="1" applyAlignment="1" applyProtection="1">
      <alignment horizontal="center" vertical="center" wrapText="1"/>
    </xf>
    <xf numFmtId="0" fontId="25" fillId="3" borderId="0" xfId="0" applyFont="1" applyFill="1" applyBorder="1" applyAlignment="1" applyProtection="1">
      <alignment horizontal="center" vertical="center" wrapText="1"/>
    </xf>
    <xf numFmtId="0" fontId="25" fillId="3" borderId="98" xfId="0" applyFont="1" applyFill="1" applyBorder="1" applyAlignment="1" applyProtection="1">
      <alignment horizontal="center" vertical="center" wrapText="1"/>
    </xf>
    <xf numFmtId="0" fontId="25" fillId="3" borderId="89" xfId="0" applyFont="1" applyFill="1" applyBorder="1" applyAlignment="1" applyProtection="1">
      <alignment horizontal="center" vertical="center" wrapText="1"/>
    </xf>
    <xf numFmtId="0" fontId="25" fillId="3" borderId="9" xfId="0" applyFont="1" applyFill="1" applyBorder="1" applyAlignment="1" applyProtection="1">
      <alignment horizontal="center" vertical="center" wrapText="1"/>
    </xf>
    <xf numFmtId="0" fontId="25" fillId="3" borderId="93"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xf numFmtId="0" fontId="25" fillId="3" borderId="94" xfId="0" applyFont="1" applyFill="1" applyBorder="1" applyAlignment="1" applyProtection="1">
      <alignment horizontal="center" vertical="center" wrapText="1"/>
    </xf>
    <xf numFmtId="0" fontId="11" fillId="0" borderId="61" xfId="0" applyFont="1" applyBorder="1" applyAlignment="1" applyProtection="1">
      <alignment horizontal="center" vertical="center" wrapText="1"/>
    </xf>
    <xf numFmtId="0" fontId="11" fillId="0" borderId="80" xfId="0" applyFont="1" applyBorder="1" applyAlignment="1" applyProtection="1">
      <alignment horizontal="center" vertical="center" wrapText="1"/>
    </xf>
    <xf numFmtId="0" fontId="11" fillId="0" borderId="81" xfId="0" applyFont="1" applyBorder="1" applyAlignment="1" applyProtection="1">
      <alignment horizontal="center" vertical="center" wrapText="1"/>
    </xf>
    <xf numFmtId="0" fontId="48" fillId="3" borderId="0" xfId="0" quotePrefix="1" applyFont="1" applyFill="1" applyBorder="1" applyAlignment="1">
      <alignment horizontal="center" vertical="center" wrapText="1"/>
    </xf>
    <xf numFmtId="0" fontId="48" fillId="3" borderId="0" xfId="0" applyFont="1" applyFill="1" applyBorder="1" applyAlignment="1">
      <alignment horizontal="center" vertical="center" wrapText="1"/>
    </xf>
    <xf numFmtId="0" fontId="48" fillId="3" borderId="59" xfId="0" applyFont="1" applyFill="1" applyBorder="1" applyAlignment="1">
      <alignment horizontal="center" vertical="center" wrapText="1"/>
    </xf>
    <xf numFmtId="0" fontId="48" fillId="3" borderId="99" xfId="0" applyFont="1" applyFill="1" applyBorder="1" applyAlignment="1" applyProtection="1">
      <alignment horizontal="center" vertical="center" wrapText="1"/>
    </xf>
    <xf numFmtId="0" fontId="48" fillId="3" borderId="100" xfId="0" applyFont="1" applyFill="1" applyBorder="1" applyAlignment="1" applyProtection="1">
      <alignment horizontal="center" vertical="center" wrapText="1"/>
    </xf>
    <xf numFmtId="0" fontId="16" fillId="0" borderId="2" xfId="0" applyFont="1" applyBorder="1" applyAlignment="1" applyProtection="1">
      <alignment horizontal="center" vertical="center" wrapText="1"/>
    </xf>
    <xf numFmtId="0" fontId="16" fillId="0" borderId="30" xfId="0" applyFont="1" applyBorder="1" applyAlignment="1" applyProtection="1">
      <alignment horizontal="center" vertical="center" wrapText="1"/>
    </xf>
    <xf numFmtId="0" fontId="8" fillId="0" borderId="33" xfId="0" applyFont="1" applyBorder="1" applyAlignment="1" applyProtection="1">
      <alignment horizontal="right" vertical="center" wrapText="1"/>
    </xf>
    <xf numFmtId="0" fontId="8" fillId="0" borderId="49" xfId="0" applyFont="1" applyBorder="1" applyAlignment="1" applyProtection="1">
      <alignment horizontal="right" vertical="center" wrapText="1"/>
    </xf>
    <xf numFmtId="0" fontId="8" fillId="0" borderId="79" xfId="0" applyFont="1" applyBorder="1" applyAlignment="1" applyProtection="1">
      <alignment horizontal="right" vertical="center" wrapText="1"/>
    </xf>
    <xf numFmtId="0" fontId="47" fillId="3" borderId="55" xfId="0" applyFont="1" applyFill="1" applyBorder="1" applyAlignment="1" applyProtection="1">
      <alignment horizontal="center" vertical="center" wrapText="1"/>
    </xf>
    <xf numFmtId="0" fontId="47" fillId="3" borderId="58" xfId="0" applyFont="1" applyFill="1" applyBorder="1" applyAlignment="1" applyProtection="1">
      <alignment horizontal="center" vertical="center" wrapText="1"/>
    </xf>
    <xf numFmtId="0" fontId="47" fillId="3" borderId="60" xfId="0" applyFont="1" applyFill="1" applyBorder="1" applyAlignment="1" applyProtection="1">
      <alignment horizontal="center" vertical="center" wrapText="1"/>
    </xf>
    <xf numFmtId="0" fontId="53" fillId="0" borderId="56" xfId="0" applyFont="1" applyBorder="1" applyAlignment="1" applyProtection="1">
      <alignment horizontal="center" vertical="center" wrapText="1"/>
    </xf>
    <xf numFmtId="0" fontId="53" fillId="0" borderId="57" xfId="0" applyFont="1" applyBorder="1" applyAlignment="1" applyProtection="1">
      <alignment horizontal="center" vertical="center" wrapText="1"/>
    </xf>
    <xf numFmtId="0" fontId="53" fillId="0" borderId="0" xfId="0" applyFont="1" applyBorder="1" applyAlignment="1" applyProtection="1">
      <alignment horizontal="center" vertical="center" wrapText="1"/>
    </xf>
    <xf numFmtId="0" fontId="53" fillId="0" borderId="59" xfId="0" applyFont="1" applyBorder="1" applyAlignment="1" applyProtection="1">
      <alignment horizontal="center" vertical="center" wrapText="1"/>
    </xf>
    <xf numFmtId="0" fontId="25" fillId="3" borderId="92" xfId="0" applyFont="1" applyFill="1" applyBorder="1" applyAlignment="1" applyProtection="1">
      <alignment horizontal="center" vertical="center" wrapText="1"/>
    </xf>
    <xf numFmtId="0" fontId="25" fillId="3" borderId="18" xfId="0" applyFont="1" applyFill="1" applyBorder="1" applyAlignment="1" applyProtection="1">
      <alignment horizontal="center" vertical="center" wrapText="1"/>
    </xf>
    <xf numFmtId="0" fontId="53" fillId="0" borderId="4" xfId="0" applyFont="1" applyBorder="1" applyAlignment="1" applyProtection="1">
      <alignment horizontal="center" vertical="center" wrapText="1"/>
    </xf>
    <xf numFmtId="0" fontId="53" fillId="0" borderId="78" xfId="0" applyFont="1" applyBorder="1" applyAlignment="1" applyProtection="1">
      <alignment horizontal="center" vertical="center" wrapText="1"/>
    </xf>
    <xf numFmtId="0" fontId="25" fillId="3" borderId="77" xfId="0" applyFont="1" applyFill="1" applyBorder="1" applyAlignment="1" applyProtection="1">
      <alignment horizontal="center" vertical="center" wrapText="1"/>
    </xf>
    <xf numFmtId="0" fontId="25" fillId="3" borderId="52" xfId="0" applyFont="1" applyFill="1" applyBorder="1" applyAlignment="1" applyProtection="1">
      <alignment horizontal="center" vertical="center" wrapText="1"/>
    </xf>
    <xf numFmtId="0" fontId="25" fillId="3" borderId="91" xfId="0" applyFont="1" applyFill="1" applyBorder="1" applyAlignment="1" applyProtection="1">
      <alignment horizontal="center" vertical="center" wrapText="1"/>
    </xf>
    <xf numFmtId="0" fontId="48" fillId="3" borderId="88" xfId="0" applyFont="1" applyFill="1" applyBorder="1" applyAlignment="1" applyProtection="1">
      <alignment horizontal="center" vertical="center" wrapText="1"/>
    </xf>
    <xf numFmtId="0" fontId="48" fillId="3" borderId="26" xfId="0" applyFont="1" applyFill="1" applyBorder="1" applyAlignment="1" applyProtection="1">
      <alignment horizontal="center" vertical="center" wrapText="1"/>
    </xf>
    <xf numFmtId="0" fontId="1" fillId="0" borderId="89"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 fillId="0" borderId="54" xfId="0" applyFont="1" applyBorder="1" applyAlignment="1" applyProtection="1">
      <alignment horizontal="center" vertical="center" wrapText="1"/>
    </xf>
    <xf numFmtId="0" fontId="47" fillId="3" borderId="0" xfId="0" applyFont="1" applyFill="1" applyAlignment="1" applyProtection="1">
      <alignment horizontal="center" vertical="center"/>
    </xf>
    <xf numFmtId="0" fontId="16" fillId="0" borderId="1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0" fillId="5" borderId="44" xfId="0" applyFill="1" applyBorder="1" applyAlignment="1" applyProtection="1">
      <alignment horizontal="center" vertical="center"/>
      <protection locked="0"/>
    </xf>
    <xf numFmtId="0" fontId="0" fillId="5" borderId="79" xfId="0" applyFill="1" applyBorder="1" applyAlignment="1" applyProtection="1">
      <alignment horizontal="center" vertical="center"/>
      <protection locked="0"/>
    </xf>
    <xf numFmtId="0" fontId="93" fillId="5" borderId="61" xfId="0" applyFont="1" applyFill="1" applyBorder="1" applyAlignment="1" applyProtection="1">
      <alignment horizontal="center" vertical="center" wrapText="1"/>
      <protection locked="0"/>
    </xf>
    <xf numFmtId="0" fontId="93" fillId="5" borderId="80" xfId="0" applyFont="1" applyFill="1" applyBorder="1" applyAlignment="1" applyProtection="1">
      <alignment horizontal="center" vertical="center" wrapText="1"/>
      <protection locked="0"/>
    </xf>
    <xf numFmtId="0" fontId="93" fillId="5" borderId="81" xfId="0" applyFont="1" applyFill="1" applyBorder="1" applyAlignment="1" applyProtection="1">
      <alignment horizontal="center" vertical="center" wrapText="1"/>
      <protection locked="0"/>
    </xf>
    <xf numFmtId="0" fontId="53" fillId="0" borderId="31" xfId="0" applyFont="1" applyBorder="1" applyAlignment="1" applyProtection="1">
      <alignment horizontal="center" vertical="center" wrapText="1"/>
    </xf>
    <xf numFmtId="0" fontId="53" fillId="0" borderId="52" xfId="0" applyFont="1" applyBorder="1" applyAlignment="1" applyProtection="1">
      <alignment horizontal="center" vertical="center" wrapText="1"/>
    </xf>
    <xf numFmtId="0" fontId="53" fillId="0" borderId="64" xfId="0" applyFont="1" applyBorder="1" applyAlignment="1" applyProtection="1">
      <alignment horizontal="center" vertical="center" wrapText="1"/>
    </xf>
    <xf numFmtId="0" fontId="68" fillId="0" borderId="30" xfId="0" applyFont="1" applyFill="1" applyBorder="1" applyAlignment="1" applyProtection="1">
      <alignment horizontal="center" vertical="center" wrapText="1"/>
    </xf>
    <xf numFmtId="0" fontId="67" fillId="0" borderId="65" xfId="0"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7" fillId="0" borderId="66" xfId="0" applyFont="1" applyBorder="1" applyAlignment="1" applyProtection="1">
      <alignment horizontal="center" vertical="center" wrapText="1"/>
    </xf>
    <xf numFmtId="0" fontId="67" fillId="0" borderId="45" xfId="0" applyFont="1" applyBorder="1" applyAlignment="1" applyProtection="1">
      <alignment horizontal="center" vertical="center" wrapText="1"/>
    </xf>
    <xf numFmtId="0" fontId="1" fillId="0" borderId="72" xfId="0" applyFont="1" applyFill="1" applyBorder="1" applyAlignment="1" applyProtection="1">
      <alignment horizontal="center" vertical="center"/>
    </xf>
    <xf numFmtId="0" fontId="1" fillId="0" borderId="68" xfId="0" applyFont="1" applyFill="1" applyBorder="1" applyAlignment="1" applyProtection="1">
      <alignment horizontal="center" vertical="center"/>
    </xf>
    <xf numFmtId="0" fontId="1" fillId="0" borderId="71" xfId="0" applyFont="1" applyFill="1" applyBorder="1" applyAlignment="1" applyProtection="1">
      <alignment horizontal="center" vertical="center"/>
    </xf>
    <xf numFmtId="0" fontId="1" fillId="0" borderId="54" xfId="0" applyFont="1" applyFill="1" applyBorder="1" applyAlignment="1" applyProtection="1">
      <alignment horizontal="center" vertical="center"/>
    </xf>
    <xf numFmtId="0" fontId="10" fillId="0" borderId="85" xfId="0" applyFont="1" applyBorder="1" applyAlignment="1" applyProtection="1">
      <alignment horizontal="center" vertical="center" wrapText="1"/>
    </xf>
    <xf numFmtId="0" fontId="10" fillId="0" borderId="50" xfId="0" applyFont="1" applyBorder="1" applyAlignment="1" applyProtection="1">
      <alignment horizontal="center" vertical="center" wrapText="1"/>
    </xf>
    <xf numFmtId="0" fontId="10" fillId="0" borderId="86" xfId="0" applyFont="1" applyBorder="1" applyAlignment="1" applyProtection="1">
      <alignment horizontal="center" vertical="center" wrapText="1"/>
    </xf>
    <xf numFmtId="0" fontId="10" fillId="0" borderId="58"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59" xfId="0" applyFont="1" applyBorder="1" applyAlignment="1" applyProtection="1">
      <alignment horizontal="center" vertical="center" wrapText="1"/>
    </xf>
    <xf numFmtId="0" fontId="10" fillId="0" borderId="89"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90" xfId="0" applyFont="1" applyBorder="1" applyAlignment="1" applyProtection="1">
      <alignment horizontal="center" vertical="center" wrapText="1"/>
    </xf>
    <xf numFmtId="0" fontId="1" fillId="0" borderId="85" xfId="0" applyFont="1" applyBorder="1" applyAlignment="1" applyProtection="1">
      <alignment horizontal="center" vertical="center" wrapText="1"/>
    </xf>
    <xf numFmtId="0" fontId="1" fillId="0" borderId="50" xfId="0" applyFont="1" applyBorder="1" applyAlignment="1" applyProtection="1">
      <alignment horizontal="center" vertical="center" wrapText="1"/>
    </xf>
    <xf numFmtId="0" fontId="1" fillId="0" borderId="68" xfId="0" applyFont="1" applyBorder="1" applyAlignment="1" applyProtection="1">
      <alignment horizontal="center" vertical="center" wrapText="1"/>
    </xf>
    <xf numFmtId="0" fontId="0" fillId="0" borderId="85" xfId="0" applyBorder="1" applyAlignment="1">
      <alignment vertical="center"/>
    </xf>
    <xf numFmtId="0" fontId="0" fillId="0" borderId="86" xfId="0" applyBorder="1" applyAlignment="1">
      <alignment vertical="center"/>
    </xf>
    <xf numFmtId="0" fontId="97" fillId="0" borderId="58"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97" fillId="0" borderId="59" xfId="0" applyFont="1" applyFill="1" applyBorder="1" applyAlignment="1" applyProtection="1">
      <alignment horizontal="center" vertical="center"/>
    </xf>
    <xf numFmtId="0" fontId="3" fillId="5" borderId="32" xfId="0" applyFont="1" applyFill="1" applyBorder="1" applyAlignment="1" applyProtection="1">
      <alignment horizontal="right"/>
      <protection locked="0"/>
    </xf>
    <xf numFmtId="0" fontId="3" fillId="5" borderId="48" xfId="0" applyFont="1" applyFill="1" applyBorder="1" applyAlignment="1" applyProtection="1">
      <alignment horizontal="right"/>
      <protection locked="0"/>
    </xf>
    <xf numFmtId="0" fontId="3" fillId="5" borderId="3" xfId="0" applyFont="1" applyFill="1" applyBorder="1" applyAlignment="1" applyProtection="1">
      <alignment horizontal="right"/>
      <protection locked="0"/>
    </xf>
    <xf numFmtId="0" fontId="1" fillId="0" borderId="55" xfId="0" applyFont="1" applyBorder="1" applyAlignment="1" applyProtection="1">
      <alignment horizontal="center" vertical="center" wrapText="1"/>
    </xf>
    <xf numFmtId="0" fontId="23" fillId="0" borderId="56" xfId="0" applyFont="1" applyBorder="1" applyAlignment="1" applyProtection="1">
      <alignment horizontal="center" vertical="center" wrapText="1"/>
    </xf>
    <xf numFmtId="0" fontId="23" fillId="0" borderId="57" xfId="0" applyFont="1" applyBorder="1" applyAlignment="1" applyProtection="1">
      <alignment horizontal="center" vertical="center" wrapText="1"/>
    </xf>
    <xf numFmtId="0" fontId="0" fillId="0" borderId="60" xfId="0" applyBorder="1" applyAlignment="1">
      <alignment horizontal="center" vertical="center" wrapText="1"/>
    </xf>
    <xf numFmtId="0" fontId="0" fillId="0" borderId="36" xfId="0" applyBorder="1" applyAlignment="1">
      <alignment horizontal="center" vertical="center" wrapText="1"/>
    </xf>
    <xf numFmtId="0" fontId="0" fillId="0" borderId="1" xfId="0" applyBorder="1" applyAlignment="1">
      <alignment horizontal="center" vertical="center" wrapText="1"/>
    </xf>
    <xf numFmtId="0" fontId="97" fillId="0" borderId="61" xfId="0" applyFont="1" applyBorder="1" applyAlignment="1" applyProtection="1">
      <alignment horizontal="center" vertical="center" wrapText="1"/>
    </xf>
    <xf numFmtId="0" fontId="97" fillId="0" borderId="80" xfId="0" applyFont="1" applyBorder="1" applyAlignment="1" applyProtection="1">
      <alignment horizontal="center" vertical="center" wrapText="1"/>
    </xf>
    <xf numFmtId="0" fontId="97" fillId="0" borderId="81" xfId="0" applyFont="1" applyBorder="1" applyAlignment="1" applyProtection="1">
      <alignment horizontal="center" vertical="center" wrapText="1"/>
    </xf>
    <xf numFmtId="0" fontId="92" fillId="3" borderId="0" xfId="0" applyFont="1" applyFill="1" applyAlignment="1" applyProtection="1">
      <alignment horizontal="center" vertical="center"/>
    </xf>
    <xf numFmtId="0" fontId="20" fillId="0" borderId="4" xfId="0" applyFont="1" applyBorder="1" applyAlignment="1" applyProtection="1">
      <alignment horizontal="center" vertical="center"/>
    </xf>
    <xf numFmtId="0" fontId="20" fillId="0" borderId="48" xfId="0" applyFont="1" applyBorder="1" applyAlignment="1" applyProtection="1">
      <alignment horizontal="center" vertical="center"/>
    </xf>
    <xf numFmtId="0" fontId="20" fillId="0" borderId="3" xfId="0" applyFont="1" applyBorder="1" applyAlignment="1" applyProtection="1">
      <alignment horizontal="center" vertical="center"/>
    </xf>
    <xf numFmtId="3" fontId="20" fillId="0" borderId="4" xfId="0" applyNumberFormat="1" applyFont="1" applyBorder="1" applyAlignment="1" applyProtection="1">
      <alignment horizontal="center" vertical="center"/>
    </xf>
    <xf numFmtId="3" fontId="20" fillId="0" borderId="48" xfId="0" applyNumberFormat="1" applyFont="1" applyBorder="1" applyAlignment="1" applyProtection="1">
      <alignment horizontal="center" vertical="center"/>
    </xf>
    <xf numFmtId="3" fontId="20" fillId="0" borderId="3" xfId="0" applyNumberFormat="1" applyFont="1" applyBorder="1" applyAlignment="1" applyProtection="1">
      <alignment horizontal="center" vertical="center"/>
    </xf>
    <xf numFmtId="0" fontId="101" fillId="0" borderId="9" xfId="0" applyFont="1" applyBorder="1" applyAlignment="1" applyProtection="1">
      <alignment horizontal="center"/>
    </xf>
    <xf numFmtId="0" fontId="49" fillId="3" borderId="0" xfId="0" applyFont="1" applyFill="1" applyAlignment="1">
      <alignment horizontal="center" vertical="center"/>
    </xf>
    <xf numFmtId="0" fontId="49" fillId="3" borderId="101" xfId="0" applyFont="1" applyFill="1" applyBorder="1" applyAlignment="1">
      <alignment horizontal="center" vertical="center"/>
    </xf>
    <xf numFmtId="0" fontId="0" fillId="0" borderId="45" xfId="0" applyBorder="1" applyAlignment="1">
      <alignment horizontal="center" textRotation="90"/>
    </xf>
    <xf numFmtId="0" fontId="0" fillId="0" borderId="10" xfId="0" applyBorder="1" applyAlignment="1">
      <alignment horizontal="center" textRotation="90"/>
    </xf>
    <xf numFmtId="0" fontId="78" fillId="0" borderId="47" xfId="0" applyFont="1" applyBorder="1" applyAlignment="1">
      <alignment horizontal="center" vertical="center" wrapText="1"/>
    </xf>
    <xf numFmtId="0" fontId="78" fillId="0" borderId="71" xfId="0" applyFont="1" applyBorder="1" applyAlignment="1">
      <alignment horizontal="center" vertical="center" wrapText="1"/>
    </xf>
    <xf numFmtId="0" fontId="20" fillId="10" borderId="55" xfId="0" applyFont="1" applyFill="1" applyBorder="1" applyAlignment="1">
      <alignment horizontal="center" vertical="center" wrapText="1"/>
    </xf>
    <xf numFmtId="0" fontId="20" fillId="10" borderId="56" xfId="0" applyFont="1" applyFill="1" applyBorder="1" applyAlignment="1">
      <alignment horizontal="center" vertical="center" wrapText="1"/>
    </xf>
    <xf numFmtId="0" fontId="20" fillId="10" borderId="57" xfId="0" applyFont="1" applyFill="1" applyBorder="1" applyAlignment="1">
      <alignment horizontal="center" vertical="center" wrapText="1"/>
    </xf>
    <xf numFmtId="0" fontId="20" fillId="10" borderId="58" xfId="0" applyFont="1" applyFill="1" applyBorder="1" applyAlignment="1">
      <alignment horizontal="center" vertical="center" wrapText="1"/>
    </xf>
    <xf numFmtId="0" fontId="20" fillId="10" borderId="0" xfId="0" applyFont="1" applyFill="1" applyBorder="1" applyAlignment="1">
      <alignment horizontal="center" vertical="center" wrapText="1"/>
    </xf>
    <xf numFmtId="0" fontId="20" fillId="10" borderId="59" xfId="0" applyFont="1" applyFill="1" applyBorder="1" applyAlignment="1">
      <alignment horizontal="center" vertical="center" wrapText="1"/>
    </xf>
    <xf numFmtId="0" fontId="20" fillId="10" borderId="60" xfId="0" applyFont="1" applyFill="1" applyBorder="1" applyAlignment="1">
      <alignment horizontal="center" vertical="center" wrapText="1"/>
    </xf>
    <xf numFmtId="0" fontId="20" fillId="10" borderId="36" xfId="0" applyFont="1" applyFill="1" applyBorder="1" applyAlignment="1">
      <alignment horizontal="center" vertical="center" wrapText="1"/>
    </xf>
    <xf numFmtId="0" fontId="20" fillId="10" borderId="1" xfId="0" applyFont="1" applyFill="1" applyBorder="1" applyAlignment="1">
      <alignment horizontal="center" vertical="center" wrapText="1"/>
    </xf>
    <xf numFmtId="0" fontId="0" fillId="0" borderId="47" xfId="0" applyBorder="1" applyAlignment="1">
      <alignment horizontal="center" wrapText="1"/>
    </xf>
    <xf numFmtId="0" fontId="0" fillId="0" borderId="0" xfId="0" applyAlignment="1">
      <alignment horizontal="center" wrapText="1"/>
    </xf>
    <xf numFmtId="0" fontId="0" fillId="0" borderId="0" xfId="0" applyBorder="1" applyAlignment="1" applyProtection="1">
      <alignment horizontal="center" vertical="center"/>
    </xf>
    <xf numFmtId="0" fontId="0" fillId="0" borderId="2" xfId="0" applyBorder="1" applyAlignment="1">
      <alignment horizontal="center"/>
    </xf>
    <xf numFmtId="0" fontId="98" fillId="0" borderId="0" xfId="0" applyFont="1" applyFill="1" applyBorder="1" applyAlignment="1">
      <alignment horizontal="center" vertical="center" wrapText="1"/>
    </xf>
    <xf numFmtId="0" fontId="3" fillId="0" borderId="4" xfId="0" applyFont="1" applyBorder="1" applyAlignment="1">
      <alignment horizontal="center" vertical="center"/>
    </xf>
    <xf numFmtId="0" fontId="0" fillId="0" borderId="78" xfId="0" applyBorder="1"/>
    <xf numFmtId="0" fontId="3" fillId="0" borderId="4" xfId="0" applyFont="1" applyBorder="1" applyAlignment="1">
      <alignment horizontal="center" vertical="center" wrapText="1"/>
    </xf>
    <xf numFmtId="0" fontId="49" fillId="3" borderId="84" xfId="0" applyFont="1" applyFill="1" applyBorder="1" applyAlignment="1" applyProtection="1">
      <alignment horizontal="center"/>
    </xf>
    <xf numFmtId="0" fontId="0" fillId="6" borderId="2" xfId="0" applyFill="1" applyBorder="1" applyAlignment="1">
      <alignment horizontal="center" vertical="center"/>
    </xf>
    <xf numFmtId="0" fontId="0" fillId="0" borderId="32" xfId="0" applyBorder="1" applyAlignment="1">
      <alignment horizontal="left"/>
    </xf>
    <xf numFmtId="0" fontId="0" fillId="0" borderId="48" xfId="0" applyBorder="1" applyAlignment="1">
      <alignment horizontal="left"/>
    </xf>
    <xf numFmtId="0" fontId="0" fillId="0" borderId="3" xfId="0" applyBorder="1" applyAlignment="1">
      <alignment horizontal="left"/>
    </xf>
    <xf numFmtId="0" fontId="49" fillId="3" borderId="28" xfId="0" applyFont="1" applyFill="1" applyBorder="1" applyAlignment="1" applyProtection="1">
      <alignment horizontal="center"/>
    </xf>
    <xf numFmtId="0" fontId="49" fillId="3" borderId="102" xfId="0" applyFont="1" applyFill="1" applyBorder="1" applyAlignment="1" applyProtection="1">
      <alignment horizontal="center"/>
    </xf>
    <xf numFmtId="0" fontId="51" fillId="3" borderId="103" xfId="0" applyFont="1" applyFill="1" applyBorder="1" applyAlignment="1">
      <alignment horizontal="center"/>
    </xf>
    <xf numFmtId="0" fontId="51" fillId="3" borderId="0" xfId="0" applyFont="1" applyFill="1" applyBorder="1" applyAlignment="1">
      <alignment horizontal="center"/>
    </xf>
    <xf numFmtId="0" fontId="51" fillId="3" borderId="104" xfId="0" applyFont="1" applyFill="1" applyBorder="1" applyAlignment="1">
      <alignment horizontal="center"/>
    </xf>
    <xf numFmtId="0" fontId="51" fillId="3" borderId="105" xfId="0" applyFont="1" applyFill="1" applyBorder="1" applyAlignment="1">
      <alignment horizontal="center"/>
    </xf>
    <xf numFmtId="0" fontId="51" fillId="3" borderId="55" xfId="0" applyFont="1" applyFill="1" applyBorder="1" applyAlignment="1">
      <alignment horizontal="center" vertical="center"/>
    </xf>
    <xf numFmtId="0" fontId="51" fillId="3" borderId="56" xfId="0" applyFont="1" applyFill="1" applyBorder="1" applyAlignment="1">
      <alignment horizontal="center" vertical="center"/>
    </xf>
    <xf numFmtId="0" fontId="51" fillId="3" borderId="106" xfId="0" applyFont="1" applyFill="1" applyBorder="1" applyAlignment="1">
      <alignment horizontal="center" vertical="center"/>
    </xf>
    <xf numFmtId="0" fontId="51" fillId="3" borderId="89" xfId="0" applyFont="1" applyFill="1" applyBorder="1" applyAlignment="1">
      <alignment horizontal="center" vertical="center"/>
    </xf>
    <xf numFmtId="0" fontId="51" fillId="3" borderId="9" xfId="0" applyFont="1" applyFill="1" applyBorder="1" applyAlignment="1">
      <alignment horizontal="center" vertical="center"/>
    </xf>
    <xf numFmtId="0" fontId="51" fillId="3" borderId="107" xfId="0" applyFont="1" applyFill="1" applyBorder="1" applyAlignment="1">
      <alignment horizontal="center" vertical="center"/>
    </xf>
    <xf numFmtId="0" fontId="38" fillId="3" borderId="62" xfId="0" applyFont="1" applyFill="1" applyBorder="1" applyAlignment="1">
      <alignment horizontal="center" vertical="center"/>
    </xf>
    <xf numFmtId="0" fontId="0" fillId="0" borderId="64" xfId="0" applyBorder="1"/>
    <xf numFmtId="0" fontId="3" fillId="0" borderId="44" xfId="0" applyFont="1" applyBorder="1" applyAlignment="1">
      <alignment horizontal="center" vertical="center" wrapText="1"/>
    </xf>
    <xf numFmtId="0" fontId="0" fillId="0" borderId="108" xfId="0" applyBorder="1"/>
    <xf numFmtId="0" fontId="51" fillId="3" borderId="0" xfId="0" applyFont="1" applyFill="1" applyAlignment="1" applyProtection="1">
      <alignment horizontal="center" vertical="center"/>
    </xf>
    <xf numFmtId="0" fontId="0" fillId="0" borderId="0" xfId="0" applyAlignment="1" applyProtection="1">
      <alignment horizontal="center" vertical="center" wrapText="1"/>
    </xf>
    <xf numFmtId="0" fontId="52" fillId="3" borderId="87" xfId="0" applyFont="1" applyFill="1" applyBorder="1" applyAlignment="1" applyProtection="1">
      <alignment horizontal="center" vertical="center" wrapText="1"/>
    </xf>
    <xf numFmtId="0" fontId="52" fillId="3" borderId="110"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0" fontId="56" fillId="0" borderId="111" xfId="0" applyFont="1" applyFill="1" applyBorder="1" applyAlignment="1" applyProtection="1">
      <alignment horizontal="center" vertical="center" wrapText="1"/>
    </xf>
    <xf numFmtId="0" fontId="0" fillId="0" borderId="2" xfId="0" applyBorder="1" applyAlignment="1" applyProtection="1">
      <alignment horizontal="right" vertical="center"/>
    </xf>
    <xf numFmtId="0" fontId="25" fillId="3" borderId="109" xfId="0" applyFont="1" applyFill="1" applyBorder="1" applyAlignment="1" applyProtection="1">
      <alignment horizontal="center" vertical="center"/>
    </xf>
    <xf numFmtId="0" fontId="25" fillId="3" borderId="0" xfId="0" applyFont="1" applyFill="1" applyBorder="1" applyAlignment="1" applyProtection="1">
      <alignment horizontal="center" vertical="center"/>
    </xf>
    <xf numFmtId="0" fontId="25" fillId="3" borderId="98" xfId="0" applyFont="1" applyFill="1" applyBorder="1" applyAlignment="1" applyProtection="1">
      <alignment horizontal="center" vertical="center"/>
    </xf>
    <xf numFmtId="0" fontId="25" fillId="3" borderId="70" xfId="0" applyFont="1" applyFill="1" applyBorder="1" applyAlignment="1" applyProtection="1">
      <alignment horizontal="center" vertical="center"/>
    </xf>
    <xf numFmtId="0" fontId="25" fillId="3" borderId="2" xfId="0" applyFont="1" applyFill="1" applyBorder="1" applyAlignment="1" applyProtection="1">
      <alignment horizontal="center" vertical="center"/>
    </xf>
    <xf numFmtId="0" fontId="25" fillId="3" borderId="3" xfId="0" applyFont="1" applyFill="1" applyBorder="1" applyAlignment="1" applyProtection="1">
      <alignment horizontal="center" vertical="center" wrapText="1"/>
    </xf>
    <xf numFmtId="0" fontId="25" fillId="3" borderId="2" xfId="0" applyFont="1" applyFill="1" applyBorder="1" applyAlignment="1" applyProtection="1">
      <alignment horizontal="center" vertical="center" wrapText="1"/>
    </xf>
    <xf numFmtId="0" fontId="0" fillId="12" borderId="2" xfId="0" applyFill="1" applyBorder="1" applyAlignment="1">
      <alignment horizontal="center"/>
    </xf>
    <xf numFmtId="0" fontId="13" fillId="0" borderId="44" xfId="0" applyFont="1" applyBorder="1" applyAlignment="1" applyProtection="1">
      <alignment horizontal="left"/>
    </xf>
    <xf numFmtId="0" fontId="13" fillId="0" borderId="49" xfId="0" applyFont="1" applyBorder="1" applyAlignment="1" applyProtection="1">
      <alignment horizontal="left"/>
    </xf>
    <xf numFmtId="0" fontId="13" fillId="0" borderId="108" xfId="0" applyFont="1" applyBorder="1" applyAlignment="1" applyProtection="1">
      <alignment horizontal="left"/>
    </xf>
    <xf numFmtId="0" fontId="48" fillId="3" borderId="6"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10" fillId="0" borderId="2" xfId="0" applyFont="1" applyFill="1" applyBorder="1" applyAlignment="1" applyProtection="1">
      <alignment horizontal="right" vertical="center" wrapText="1"/>
    </xf>
    <xf numFmtId="0" fontId="49" fillId="3" borderId="112" xfId="0" applyFont="1" applyFill="1" applyBorder="1" applyAlignment="1" applyProtection="1">
      <alignment horizontal="center"/>
    </xf>
    <xf numFmtId="0" fontId="49" fillId="3" borderId="0" xfId="0" applyFont="1" applyFill="1" applyAlignment="1" applyProtection="1">
      <alignment horizontal="center"/>
    </xf>
    <xf numFmtId="0" fontId="10" fillId="0" borderId="0" xfId="0" applyFont="1" applyAlignment="1" applyProtection="1">
      <alignment vertical="center" wrapText="1"/>
    </xf>
    <xf numFmtId="0" fontId="13" fillId="0" borderId="77" xfId="0" applyFont="1" applyBorder="1" applyAlignment="1" applyProtection="1">
      <alignment horizontal="left"/>
    </xf>
    <xf numFmtId="0" fontId="13" fillId="0" borderId="52" xfId="0" applyFont="1" applyBorder="1" applyAlignment="1" applyProtection="1">
      <alignment horizontal="left"/>
    </xf>
    <xf numFmtId="0" fontId="13" fillId="0" borderId="64" xfId="0" applyFont="1" applyBorder="1" applyAlignment="1" applyProtection="1">
      <alignment horizontal="left"/>
    </xf>
    <xf numFmtId="0" fontId="76" fillId="0" borderId="4" xfId="0" applyFont="1" applyFill="1" applyBorder="1" applyAlignment="1" applyProtection="1">
      <alignment horizontal="right" vertical="center" wrapText="1"/>
    </xf>
    <xf numFmtId="0" fontId="76" fillId="0" borderId="48" xfId="0" applyFont="1" applyFill="1" applyBorder="1" applyAlignment="1" applyProtection="1">
      <alignment horizontal="right" vertical="center" wrapText="1"/>
    </xf>
    <xf numFmtId="0" fontId="76" fillId="0" borderId="3" xfId="0" applyFont="1" applyFill="1" applyBorder="1" applyAlignment="1" applyProtection="1">
      <alignment horizontal="right" vertical="center" wrapText="1"/>
    </xf>
    <xf numFmtId="0" fontId="47" fillId="3" borderId="113" xfId="0" applyFont="1" applyFill="1" applyBorder="1" applyAlignment="1" applyProtection="1">
      <alignment horizontal="center" wrapText="1"/>
    </xf>
    <xf numFmtId="0" fontId="47" fillId="3" borderId="48" xfId="0" applyFont="1" applyFill="1" applyBorder="1" applyAlignment="1" applyProtection="1">
      <alignment horizontal="center" wrapText="1"/>
    </xf>
    <xf numFmtId="0" fontId="7" fillId="0" borderId="114"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11" fillId="0" borderId="79" xfId="0" applyFont="1" applyBorder="1" applyAlignment="1" applyProtection="1">
      <alignment horizontal="center" vertical="center" wrapText="1"/>
    </xf>
    <xf numFmtId="0" fontId="11" fillId="0" borderId="14"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10" fillId="0" borderId="14" xfId="0" applyFont="1" applyBorder="1" applyAlignment="1" applyProtection="1">
      <alignment horizontal="center" vertical="center" wrapText="1"/>
    </xf>
    <xf numFmtId="0" fontId="14" fillId="0" borderId="115" xfId="0" applyFont="1" applyBorder="1" applyAlignment="1" applyProtection="1">
      <alignment horizontal="center" vertical="center"/>
    </xf>
    <xf numFmtId="0" fontId="14" fillId="0" borderId="116" xfId="0" applyFont="1" applyBorder="1" applyAlignment="1" applyProtection="1">
      <alignment horizontal="center" vertical="center"/>
    </xf>
    <xf numFmtId="0" fontId="14" fillId="0" borderId="117" xfId="0" applyFont="1" applyBorder="1" applyAlignment="1" applyProtection="1">
      <alignment horizontal="center" vertical="center"/>
    </xf>
    <xf numFmtId="0" fontId="59" fillId="0" borderId="0" xfId="0" applyFont="1" applyFill="1" applyAlignment="1" applyProtection="1">
      <alignment horizontal="center" wrapText="1"/>
    </xf>
    <xf numFmtId="0" fontId="11" fillId="0" borderId="79" xfId="0" applyFont="1" applyFill="1" applyBorder="1" applyAlignment="1" applyProtection="1">
      <alignment horizontal="center" vertical="center" wrapText="1"/>
    </xf>
    <xf numFmtId="0" fontId="11" fillId="0" borderId="14" xfId="0" applyFont="1" applyFill="1" applyBorder="1" applyAlignment="1" applyProtection="1">
      <alignment horizontal="center" vertical="center" wrapText="1"/>
    </xf>
    <xf numFmtId="0" fontId="47" fillId="3" borderId="4" xfId="0" applyFont="1" applyFill="1" applyBorder="1" applyAlignment="1" applyProtection="1">
      <alignment horizontal="center" vertical="center"/>
    </xf>
    <xf numFmtId="0" fontId="47" fillId="3" borderId="48" xfId="0" applyFont="1" applyFill="1" applyBorder="1" applyAlignment="1" applyProtection="1">
      <alignment horizontal="center" vertical="center"/>
    </xf>
    <xf numFmtId="0" fontId="47" fillId="3" borderId="53" xfId="0" applyFont="1" applyFill="1" applyBorder="1" applyAlignment="1" applyProtection="1">
      <alignment horizontal="center" vertical="center"/>
    </xf>
    <xf numFmtId="0" fontId="10" fillId="0" borderId="11" xfId="0" applyFont="1" applyBorder="1" applyAlignment="1" applyProtection="1">
      <alignment horizontal="center" vertical="center" wrapText="1"/>
    </xf>
    <xf numFmtId="0" fontId="25" fillId="3" borderId="113" xfId="0" applyFont="1" applyFill="1" applyBorder="1" applyAlignment="1" applyProtection="1">
      <alignment horizontal="center" wrapText="1"/>
    </xf>
    <xf numFmtId="0" fontId="25" fillId="3" borderId="48" xfId="0" applyFont="1" applyFill="1" applyBorder="1" applyAlignment="1" applyProtection="1">
      <alignment horizontal="center" wrapText="1"/>
    </xf>
    <xf numFmtId="0" fontId="7" fillId="0" borderId="54"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10" borderId="31" xfId="0" applyFont="1" applyFill="1" applyBorder="1" applyAlignment="1" applyProtection="1">
      <alignment horizontal="center" vertical="center" wrapText="1"/>
    </xf>
    <xf numFmtId="0" fontId="7" fillId="10" borderId="52" xfId="0" applyFont="1" applyFill="1" applyBorder="1" applyAlignment="1" applyProtection="1">
      <alignment horizontal="center" vertical="center" wrapText="1"/>
    </xf>
    <xf numFmtId="0" fontId="7" fillId="10" borderId="64" xfId="0" applyFont="1" applyFill="1" applyBorder="1" applyAlignment="1" applyProtection="1">
      <alignment horizontal="center" vertical="center" wrapText="1"/>
    </xf>
    <xf numFmtId="0" fontId="16" fillId="0" borderId="4" xfId="0" applyFont="1" applyFill="1" applyBorder="1" applyAlignment="1" applyProtection="1">
      <alignment horizontal="right" vertical="center"/>
    </xf>
    <xf numFmtId="0" fontId="16" fillId="0" borderId="48" xfId="0" applyFont="1" applyFill="1" applyBorder="1" applyAlignment="1" applyProtection="1">
      <alignment horizontal="right" vertical="center"/>
    </xf>
    <xf numFmtId="0" fontId="16" fillId="0" borderId="3" xfId="0" applyFont="1" applyFill="1" applyBorder="1" applyAlignment="1" applyProtection="1">
      <alignment horizontal="right" vertical="center"/>
    </xf>
    <xf numFmtId="0" fontId="52" fillId="3" borderId="118" xfId="0" applyFont="1" applyFill="1" applyBorder="1" applyAlignment="1">
      <alignment horizontal="center" vertical="center"/>
    </xf>
    <xf numFmtId="0" fontId="52" fillId="3" borderId="42" xfId="0" applyFont="1" applyFill="1" applyBorder="1" applyAlignment="1">
      <alignment horizontal="center" vertical="center"/>
    </xf>
    <xf numFmtId="0" fontId="25" fillId="3" borderId="0" xfId="0" applyFont="1" applyFill="1" applyAlignment="1">
      <alignment horizontal="center"/>
    </xf>
    <xf numFmtId="0" fontId="38" fillId="2" borderId="61" xfId="0" applyFont="1" applyFill="1" applyBorder="1" applyAlignment="1">
      <alignment horizontal="center" wrapText="1"/>
    </xf>
    <xf numFmtId="0" fontId="38" fillId="2" borderId="80" xfId="0" applyFont="1" applyFill="1" applyBorder="1" applyAlignment="1">
      <alignment horizontal="center" wrapText="1"/>
    </xf>
    <xf numFmtId="0" fontId="38" fillId="2" borderId="81" xfId="0" applyFont="1" applyFill="1" applyBorder="1" applyAlignment="1">
      <alignment horizontal="center" wrapText="1"/>
    </xf>
    <xf numFmtId="0" fontId="52" fillId="2" borderId="61" xfId="0" applyFont="1" applyFill="1" applyBorder="1" applyAlignment="1">
      <alignment horizontal="center" wrapText="1"/>
    </xf>
    <xf numFmtId="0" fontId="52" fillId="2" borderId="81" xfId="0" applyFont="1" applyFill="1" applyBorder="1" applyAlignment="1">
      <alignment horizontal="center" wrapText="1"/>
    </xf>
    <xf numFmtId="0" fontId="44" fillId="2" borderId="76" xfId="0" applyFont="1" applyFill="1" applyBorder="1" applyAlignment="1">
      <alignment vertical="center" wrapText="1"/>
    </xf>
    <xf numFmtId="0" fontId="44" fillId="2" borderId="37" xfId="0" applyFont="1" applyFill="1" applyBorder="1" applyAlignment="1">
      <alignment vertical="center" wrapText="1"/>
    </xf>
    <xf numFmtId="0" fontId="38" fillId="2" borderId="76" xfId="0" applyFont="1" applyFill="1" applyBorder="1" applyAlignment="1">
      <alignment vertical="center" wrapText="1"/>
    </xf>
    <xf numFmtId="0" fontId="38" fillId="2" borderId="37" xfId="0" applyFont="1" applyFill="1" applyBorder="1" applyAlignment="1">
      <alignment vertical="center" wrapText="1"/>
    </xf>
    <xf numFmtId="0" fontId="44" fillId="3" borderId="26" xfId="1" applyFont="1" applyFill="1" applyBorder="1" applyAlignment="1" applyProtection="1">
      <alignment horizontal="center" vertical="center" wrapText="1"/>
    </xf>
    <xf numFmtId="0" fontId="44" fillId="3" borderId="43" xfId="1" applyFont="1" applyFill="1" applyBorder="1" applyAlignment="1" applyProtection="1">
      <alignment horizontal="center" vertical="center" wrapText="1"/>
    </xf>
    <xf numFmtId="0" fontId="44" fillId="3" borderId="119" xfId="1" applyFont="1" applyFill="1" applyBorder="1" applyAlignment="1" applyProtection="1">
      <alignment horizontal="center" vertical="center" wrapText="1"/>
    </xf>
    <xf numFmtId="0" fontId="0" fillId="0" borderId="0" xfId="0" applyFill="1" applyAlignment="1" applyProtection="1">
      <alignment horizontal="center" vertical="center" wrapText="1"/>
    </xf>
    <xf numFmtId="0" fontId="0" fillId="0" borderId="9" xfId="0" applyFill="1" applyBorder="1" applyAlignment="1" applyProtection="1">
      <alignment horizontal="center" vertical="center" wrapText="1"/>
    </xf>
    <xf numFmtId="0" fontId="44" fillId="3" borderId="120" xfId="1" applyFont="1" applyFill="1" applyBorder="1" applyAlignment="1" applyProtection="1">
      <alignment horizontal="right" vertical="center" wrapText="1"/>
    </xf>
    <xf numFmtId="0" fontId="50" fillId="3" borderId="12" xfId="1" applyFont="1" applyFill="1" applyBorder="1" applyAlignment="1" applyProtection="1">
      <alignment horizontal="right" vertical="center" wrapText="1"/>
    </xf>
    <xf numFmtId="194" fontId="25" fillId="3" borderId="0" xfId="1" applyNumberFormat="1" applyFont="1" applyFill="1" applyAlignment="1" applyProtection="1">
      <alignment horizontal="center" vertical="center" wrapText="1"/>
    </xf>
    <xf numFmtId="0" fontId="44" fillId="3" borderId="112" xfId="1" applyFont="1" applyFill="1" applyBorder="1" applyAlignment="1" applyProtection="1">
      <alignment horizontal="right" vertical="center" wrapText="1"/>
    </xf>
    <xf numFmtId="0" fontId="50" fillId="3" borderId="112" xfId="1" applyFont="1" applyFill="1" applyBorder="1" applyAlignment="1" applyProtection="1">
      <alignment horizontal="right" vertical="center" wrapText="1"/>
    </xf>
    <xf numFmtId="0" fontId="50" fillId="3" borderId="27" xfId="1" applyFont="1" applyFill="1" applyBorder="1" applyAlignment="1" applyProtection="1">
      <alignment horizontal="right" vertical="center" wrapText="1"/>
    </xf>
    <xf numFmtId="0" fontId="44" fillId="3" borderId="119" xfId="1" applyFont="1" applyFill="1" applyBorder="1" applyAlignment="1" applyProtection="1">
      <alignment horizontal="right" vertical="center" wrapText="1"/>
    </xf>
    <xf numFmtId="0" fontId="50" fillId="3" borderId="25" xfId="1" applyFont="1" applyFill="1" applyBorder="1" applyAlignment="1" applyProtection="1">
      <alignment horizontal="right" vertical="center" wrapText="1"/>
    </xf>
  </cellXfs>
  <cellStyles count="3">
    <cellStyle name="Normal" xfId="0" builtinId="0"/>
    <cellStyle name="Normal 2" xfId="1"/>
    <cellStyle name="Porcentaje" xfId="2" builtinId="5"/>
  </cellStyles>
  <dxfs count="7">
    <dxf>
      <font>
        <b/>
        <i val="0"/>
        <strike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dxf>
    <dxf>
      <font>
        <b val="0"/>
        <i val="0"/>
        <color auto="1"/>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hartsheet" Target="chartsheets/sheet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image" Target="../media/image4.png"/></Relationships>
</file>

<file path=xl/charts/_rels/chart4.xml.rels><?xml version="1.0" encoding="UTF-8" standalone="yes"?>
<Relationships xmlns="http://schemas.openxmlformats.org/package/2006/relationships"><Relationship Id="rId1" Type="http://schemas.openxmlformats.org/officeDocument/2006/relationships/image" Target="../media/image5.png"/></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s-UY"/>
              <a:t>Curvas Cota-Área-Volumen del embalse</a:t>
            </a:r>
          </a:p>
        </c:rich>
      </c:tx>
      <c:layout>
        <c:manualLayout>
          <c:xMode val="edge"/>
          <c:yMode val="edge"/>
          <c:x val="0.22534070374386045"/>
          <c:y val="2.506252894858731E-2"/>
        </c:manualLayout>
      </c:layout>
      <c:overlay val="0"/>
      <c:spPr>
        <a:noFill/>
        <a:ln w="25400">
          <a:noFill/>
        </a:ln>
      </c:spPr>
    </c:title>
    <c:autoTitleDeleted val="0"/>
    <c:plotArea>
      <c:layout/>
      <c:scatterChart>
        <c:scatterStyle val="lineMarker"/>
        <c:varyColors val="0"/>
        <c:ser>
          <c:idx val="0"/>
          <c:order val="1"/>
          <c:tx>
            <c:v>'Ingreso Datos'!#REF!</c:v>
          </c:tx>
          <c:spPr>
            <a:ln w="28575">
              <a:noFill/>
            </a:ln>
          </c:spPr>
          <c:marker>
            <c:symbol val="circle"/>
            <c:size val="7"/>
            <c:spPr>
              <a:solidFill>
                <a:srgbClr val="0000FF"/>
              </a:solidFill>
              <a:ln>
                <a:solidFill>
                  <a:srgbClr val="0000FF"/>
                </a:solidFill>
                <a:prstDash val="solid"/>
              </a:ln>
            </c:spPr>
          </c:marker>
          <c:xVal>
            <c:numRef>
              <c:f>'Ingreso Datos'!#REF!</c:f>
              <c:numCache>
                <c:formatCode>General</c:formatCode>
                <c:ptCount val="1"/>
                <c:pt idx="0">
                  <c:v>1</c:v>
                </c:pt>
              </c:numCache>
            </c:numRef>
          </c:xVal>
          <c:yVal>
            <c:numRef>
              <c:f>'Ingreso Datos'!#REF!</c:f>
              <c:numCache>
                <c:formatCode>General</c:formatCode>
                <c:ptCount val="1"/>
                <c:pt idx="0">
                  <c:v>1</c:v>
                </c:pt>
              </c:numCache>
            </c:numRef>
          </c:yVal>
          <c:smooth val="0"/>
          <c:extLst>
            <c:ext xmlns:c16="http://schemas.microsoft.com/office/drawing/2014/chart" uri="{C3380CC4-5D6E-409C-BE32-E72D297353CC}">
              <c16:uniqueId val="{00000000-CE7C-4A54-B5EE-70779EC97457}"/>
            </c:ext>
          </c:extLst>
        </c:ser>
        <c:ser>
          <c:idx val="1"/>
          <c:order val="2"/>
          <c:tx>
            <c:strRef>
              <c:f>'Geom Emb'!$H$16</c:f>
              <c:strCache>
                <c:ptCount val="1"/>
                <c:pt idx="0">
                  <c:v>Área (Há) = F1(Cota)</c:v>
                </c:pt>
              </c:strCache>
            </c:strRef>
          </c:tx>
          <c:spPr>
            <a:ln w="50800">
              <a:solidFill>
                <a:srgbClr val="0000FF"/>
              </a:solidFill>
            </a:ln>
          </c:spPr>
          <c:marker>
            <c:symbol val="none"/>
          </c:marker>
          <c:xVal>
            <c:numRef>
              <c:f>'Geom Emb'!$H$17:$H$36</c:f>
              <c:numCache>
                <c:formatCode>0.0</c:formatCode>
                <c:ptCount val="20"/>
                <c:pt idx="0">
                  <c:v>41.755781281892666</c:v>
                </c:pt>
                <c:pt idx="1">
                  <c:v>77.320527162992761</c:v>
                </c:pt>
                <c:pt idx="2">
                  <c:v>122.356130295593</c:v>
                </c:pt>
                <c:pt idx="3">
                  <c:v>176.41762040906599</c:v>
                </c:pt>
                <c:pt idx="4">
                  <c:v>239.16691306842282</c:v>
                </c:pt>
                <c:pt idx="5">
                  <c:v>310.33320590390042</c:v>
                </c:pt>
                <c:pt idx="6">
                  <c:v>310.33320590390042</c:v>
                </c:pt>
                <c:pt idx="7">
                  <c:v>310.33320590390042</c:v>
                </c:pt>
                <c:pt idx="8">
                  <c:v>310.33320590390042</c:v>
                </c:pt>
                <c:pt idx="9">
                  <c:v>310.33320590390042</c:v>
                </c:pt>
                <c:pt idx="10">
                  <c:v>310.33320590390042</c:v>
                </c:pt>
                <c:pt idx="11">
                  <c:v>310.33320590390042</c:v>
                </c:pt>
                <c:pt idx="12">
                  <c:v>310.33320590390042</c:v>
                </c:pt>
                <c:pt idx="13">
                  <c:v>310.33320590390042</c:v>
                </c:pt>
                <c:pt idx="14">
                  <c:v>310.33320590390042</c:v>
                </c:pt>
                <c:pt idx="15">
                  <c:v>310.33320590390042</c:v>
                </c:pt>
                <c:pt idx="16">
                  <c:v>310.33320590390042</c:v>
                </c:pt>
                <c:pt idx="17">
                  <c:v>310.33320590390042</c:v>
                </c:pt>
                <c:pt idx="18">
                  <c:v>310.33320590390042</c:v>
                </c:pt>
                <c:pt idx="19">
                  <c:v>310.33320590390042</c:v>
                </c:pt>
              </c:numCache>
            </c:numRef>
          </c:xVal>
          <c:yVal>
            <c:numRef>
              <c:f>'Ingreso Datos'!#REF!</c:f>
              <c:numCache>
                <c:formatCode>General</c:formatCode>
                <c:ptCount val="1"/>
                <c:pt idx="0">
                  <c:v>1</c:v>
                </c:pt>
              </c:numCache>
            </c:numRef>
          </c:yVal>
          <c:smooth val="0"/>
          <c:extLst>
            <c:ext xmlns:c16="http://schemas.microsoft.com/office/drawing/2014/chart" uri="{C3380CC4-5D6E-409C-BE32-E72D297353CC}">
              <c16:uniqueId val="{00000001-CE7C-4A54-B5EE-70779EC97457}"/>
            </c:ext>
          </c:extLst>
        </c:ser>
        <c:dLbls>
          <c:showLegendKey val="0"/>
          <c:showVal val="0"/>
          <c:showCatName val="0"/>
          <c:showSerName val="0"/>
          <c:showPercent val="0"/>
          <c:showBubbleSize val="0"/>
        </c:dLbls>
        <c:axId val="1485801536"/>
        <c:axId val="1"/>
      </c:scatterChart>
      <c:scatterChart>
        <c:scatterStyle val="lineMarker"/>
        <c:varyColors val="0"/>
        <c:ser>
          <c:idx val="2"/>
          <c:order val="0"/>
          <c:tx>
            <c:strRef>
              <c:f>'Geom Emb'!$I$16</c:f>
              <c:strCache>
                <c:ptCount val="1"/>
                <c:pt idx="0">
                  <c:v>Vol (Hm3) = F2(Cota)</c:v>
                </c:pt>
              </c:strCache>
            </c:strRef>
          </c:tx>
          <c:spPr>
            <a:ln w="38100">
              <a:solidFill>
                <a:srgbClr val="FF0000"/>
              </a:solidFill>
              <a:prstDash val="sysDash"/>
            </a:ln>
          </c:spPr>
          <c:marker>
            <c:symbol val="none"/>
          </c:marker>
          <c:xVal>
            <c:numRef>
              <c:f>'Geom Emb'!$I$17:$I$36</c:f>
              <c:numCache>
                <c:formatCode>0.00</c:formatCode>
                <c:ptCount val="20"/>
                <c:pt idx="0">
                  <c:v>0.36671363125898937</c:v>
                </c:pt>
                <c:pt idx="1">
                  <c:v>0.95397669956504061</c:v>
                </c:pt>
                <c:pt idx="2">
                  <c:v>1.9446737084754979</c:v>
                </c:pt>
                <c:pt idx="3">
                  <c:v>3.4311742378086203</c:v>
                </c:pt>
                <c:pt idx="4">
                  <c:v>5.5019781969633845</c:v>
                </c:pt>
                <c:pt idx="5">
                  <c:v>8.242564153164837</c:v>
                </c:pt>
                <c:pt idx="6">
                  <c:v>8.242564153164837</c:v>
                </c:pt>
                <c:pt idx="7">
                  <c:v>8.242564153164837</c:v>
                </c:pt>
                <c:pt idx="8">
                  <c:v>8.242564153164837</c:v>
                </c:pt>
                <c:pt idx="9">
                  <c:v>8.242564153164837</c:v>
                </c:pt>
                <c:pt idx="10">
                  <c:v>8.242564153164837</c:v>
                </c:pt>
                <c:pt idx="11">
                  <c:v>8.242564153164837</c:v>
                </c:pt>
                <c:pt idx="12">
                  <c:v>8.242564153164837</c:v>
                </c:pt>
                <c:pt idx="13">
                  <c:v>8.242564153164837</c:v>
                </c:pt>
                <c:pt idx="14">
                  <c:v>8.242564153164837</c:v>
                </c:pt>
                <c:pt idx="15">
                  <c:v>8.242564153164837</c:v>
                </c:pt>
                <c:pt idx="16">
                  <c:v>8.242564153164837</c:v>
                </c:pt>
                <c:pt idx="17">
                  <c:v>8.242564153164837</c:v>
                </c:pt>
                <c:pt idx="18">
                  <c:v>8.242564153164837</c:v>
                </c:pt>
                <c:pt idx="19">
                  <c:v>8.242564153164837</c:v>
                </c:pt>
              </c:numCache>
            </c:numRef>
          </c:xVal>
          <c:yVal>
            <c:numRef>
              <c:f>'Ingreso Datos'!#REF!</c:f>
              <c:numCache>
                <c:formatCode>General</c:formatCode>
                <c:ptCount val="1"/>
                <c:pt idx="0">
                  <c:v>1</c:v>
                </c:pt>
              </c:numCache>
            </c:numRef>
          </c:yVal>
          <c:smooth val="0"/>
          <c:extLst>
            <c:ext xmlns:c16="http://schemas.microsoft.com/office/drawing/2014/chart" uri="{C3380CC4-5D6E-409C-BE32-E72D297353CC}">
              <c16:uniqueId val="{00000002-CE7C-4A54-B5EE-70779EC97457}"/>
            </c:ext>
          </c:extLst>
        </c:ser>
        <c:dLbls>
          <c:showLegendKey val="0"/>
          <c:showVal val="0"/>
          <c:showCatName val="0"/>
          <c:showSerName val="0"/>
          <c:showPercent val="0"/>
          <c:showBubbleSize val="0"/>
        </c:dLbls>
        <c:axId val="3"/>
        <c:axId val="4"/>
      </c:scatterChart>
      <c:valAx>
        <c:axId val="1485801536"/>
        <c:scaling>
          <c:orientation val="minMax"/>
        </c:scaling>
        <c:delete val="0"/>
        <c:axPos val="b"/>
        <c:majorGridlines>
          <c:spPr>
            <a:ln w="3175">
              <a:solidFill>
                <a:srgbClr val="969696"/>
              </a:solidFill>
              <a:prstDash val="solid"/>
            </a:ln>
          </c:spPr>
        </c:majorGridlines>
        <c:title>
          <c:tx>
            <c:rich>
              <a:bodyPr/>
              <a:lstStyle/>
              <a:p>
                <a:pPr>
                  <a:defRPr sz="1000" b="1" i="0" u="none" strike="noStrike" baseline="0">
                    <a:solidFill>
                      <a:srgbClr val="0000FF"/>
                    </a:solidFill>
                    <a:latin typeface="Arial"/>
                    <a:ea typeface="Arial"/>
                    <a:cs typeface="Arial"/>
                  </a:defRPr>
                </a:pPr>
                <a:r>
                  <a:rPr lang="es-UY"/>
                  <a:t>Área (Hás)</a:t>
                </a:r>
              </a:p>
            </c:rich>
          </c:tx>
          <c:layout>
            <c:manualLayout>
              <c:xMode val="edge"/>
              <c:yMode val="edge"/>
              <c:x val="0.4267858729848385"/>
              <c:y val="0.93216370012571959"/>
            </c:manualLayout>
          </c:layout>
          <c:overlay val="0"/>
          <c:spPr>
            <a:noFill/>
            <a:ln w="25400">
              <a:noFill/>
            </a:ln>
          </c:spPr>
        </c:title>
        <c:numFmt formatCode="General" sourceLinked="1"/>
        <c:majorTickMark val="out"/>
        <c:minorTickMark val="in"/>
        <c:tickLblPos val="nextTo"/>
        <c:spPr>
          <a:ln w="19050">
            <a:solidFill>
              <a:srgbClr val="0000FF"/>
            </a:solidFill>
            <a:prstDash val="solid"/>
          </a:ln>
        </c:spPr>
        <c:txPr>
          <a:bodyPr rot="0" vert="horz"/>
          <a:lstStyle/>
          <a:p>
            <a:pPr>
              <a:defRPr sz="1200" b="1" i="0" u="none" strike="noStrike" baseline="0">
                <a:solidFill>
                  <a:srgbClr val="0000FF"/>
                </a:solidFill>
                <a:latin typeface="Arial"/>
                <a:ea typeface="Arial"/>
                <a:cs typeface="Arial"/>
              </a:defRPr>
            </a:pPr>
            <a:endParaRPr lang="es-UY"/>
          </a:p>
        </c:txPr>
        <c:crossAx val="1"/>
        <c:crosses val="autoZero"/>
        <c:crossBetween val="midCat"/>
      </c:valAx>
      <c:valAx>
        <c:axId val="1"/>
        <c:scaling>
          <c:orientation val="minMax"/>
          <c:min val="35"/>
        </c:scaling>
        <c:delete val="0"/>
        <c:axPos val="l"/>
        <c:majorGridlines>
          <c:spPr>
            <a:ln w="3175">
              <a:solidFill>
                <a:srgbClr val="969696"/>
              </a:solidFill>
              <a:prstDash val="solid"/>
            </a:ln>
          </c:spPr>
        </c:majorGridlines>
        <c:title>
          <c:tx>
            <c:rich>
              <a:bodyPr/>
              <a:lstStyle/>
              <a:p>
                <a:pPr>
                  <a:defRPr sz="1200" b="1" i="0" u="none" strike="noStrike" baseline="0">
                    <a:solidFill>
                      <a:srgbClr val="000000"/>
                    </a:solidFill>
                    <a:latin typeface="Arial"/>
                    <a:ea typeface="Arial"/>
                    <a:cs typeface="Arial"/>
                  </a:defRPr>
                </a:pPr>
                <a:r>
                  <a:rPr lang="es-UY"/>
                  <a:t>Cotas (m)</a:t>
                </a:r>
              </a:p>
            </c:rich>
          </c:tx>
          <c:layout>
            <c:manualLayout>
              <c:xMode val="edge"/>
              <c:yMode val="edge"/>
              <c:x val="6.3646220294697933E-3"/>
              <c:y val="0.38313306424932181"/>
            </c:manualLayout>
          </c:layout>
          <c:overlay val="0"/>
          <c:spPr>
            <a:noFill/>
            <a:ln w="25400">
              <a:noFill/>
            </a:ln>
          </c:spPr>
        </c:title>
        <c:numFmt formatCode="General" sourceLinked="0"/>
        <c:majorTickMark val="out"/>
        <c:minorTickMark val="out"/>
        <c:tickLblPos val="nextTo"/>
        <c:spPr>
          <a:ln w="12700">
            <a:solidFill>
              <a:schemeClr val="tx1"/>
            </a:solidFill>
            <a:prstDash val="solid"/>
          </a:ln>
        </c:spPr>
        <c:txPr>
          <a:bodyPr rot="0" vert="horz"/>
          <a:lstStyle/>
          <a:p>
            <a:pPr>
              <a:defRPr sz="1125" b="0" i="0" u="none" strike="noStrike" baseline="0">
                <a:solidFill>
                  <a:srgbClr val="000000"/>
                </a:solidFill>
                <a:latin typeface="Arial"/>
                <a:ea typeface="Arial"/>
                <a:cs typeface="Arial"/>
              </a:defRPr>
            </a:pPr>
            <a:endParaRPr lang="es-UY"/>
          </a:p>
        </c:txPr>
        <c:crossAx val="1485801536"/>
        <c:crosses val="autoZero"/>
        <c:crossBetween val="midCat"/>
      </c:valAx>
      <c:valAx>
        <c:axId val="3"/>
        <c:scaling>
          <c:orientation val="minMax"/>
        </c:scaling>
        <c:delete val="0"/>
        <c:axPos val="t"/>
        <c:title>
          <c:tx>
            <c:rich>
              <a:bodyPr/>
              <a:lstStyle/>
              <a:p>
                <a:pPr>
                  <a:defRPr sz="1050" b="1" i="0" u="none" strike="noStrike" baseline="0">
                    <a:solidFill>
                      <a:srgbClr val="FF0000"/>
                    </a:solidFill>
                    <a:latin typeface="Arial"/>
                    <a:ea typeface="Arial"/>
                    <a:cs typeface="Arial"/>
                  </a:defRPr>
                </a:pPr>
                <a:r>
                  <a:rPr lang="es-UY"/>
                  <a:t>Volumen (Hm3)</a:t>
                </a:r>
              </a:p>
            </c:rich>
          </c:tx>
          <c:layout>
            <c:manualLayout>
              <c:xMode val="edge"/>
              <c:yMode val="edge"/>
              <c:x val="0.40072163665772026"/>
              <c:y val="8.1977988045611946E-2"/>
            </c:manualLayout>
          </c:layout>
          <c:overlay val="0"/>
          <c:spPr>
            <a:noFill/>
            <a:ln w="25400">
              <a:noFill/>
            </a:ln>
          </c:spPr>
        </c:title>
        <c:numFmt formatCode="General" sourceLinked="0"/>
        <c:majorTickMark val="out"/>
        <c:minorTickMark val="in"/>
        <c:tickLblPos val="nextTo"/>
        <c:spPr>
          <a:ln w="19050">
            <a:solidFill>
              <a:srgbClr val="FF0000"/>
            </a:solidFill>
          </a:ln>
        </c:spPr>
        <c:txPr>
          <a:bodyPr rot="0" vert="horz"/>
          <a:lstStyle/>
          <a:p>
            <a:pPr>
              <a:defRPr sz="1100" b="1" i="0" u="none" strike="noStrike" baseline="0">
                <a:solidFill>
                  <a:srgbClr val="FF0000"/>
                </a:solidFill>
                <a:latin typeface="Arial"/>
                <a:ea typeface="Arial"/>
                <a:cs typeface="Arial"/>
              </a:defRPr>
            </a:pPr>
            <a:endParaRPr lang="es-UY"/>
          </a:p>
        </c:txPr>
        <c:crossAx val="4"/>
        <c:crosses val="max"/>
        <c:crossBetween val="midCat"/>
      </c:valAx>
      <c:valAx>
        <c:axId val="4"/>
        <c:scaling>
          <c:orientation val="minMax"/>
          <c:min val="35"/>
        </c:scaling>
        <c:delete val="0"/>
        <c:axPos val="r"/>
        <c:title>
          <c:tx>
            <c:rich>
              <a:bodyPr/>
              <a:lstStyle/>
              <a:p>
                <a:pPr>
                  <a:defRPr sz="1200" b="1" i="0" u="none" strike="noStrike" baseline="0">
                    <a:solidFill>
                      <a:srgbClr val="000000"/>
                    </a:solidFill>
                    <a:latin typeface="Arial"/>
                    <a:ea typeface="Arial"/>
                    <a:cs typeface="Arial"/>
                  </a:defRPr>
                </a:pPr>
                <a:r>
                  <a:rPr lang="es-UY"/>
                  <a:t>Cotas (m)</a:t>
                </a:r>
              </a:p>
            </c:rich>
          </c:tx>
          <c:layout>
            <c:manualLayout>
              <c:xMode val="edge"/>
              <c:yMode val="edge"/>
              <c:x val="0.92184118068762855"/>
              <c:y val="0.33613445378151263"/>
            </c:manualLayout>
          </c:layout>
          <c:overlay val="0"/>
          <c:spPr>
            <a:noFill/>
            <a:ln w="25400">
              <a:noFill/>
            </a:ln>
          </c:spPr>
        </c:title>
        <c:numFmt formatCode="General" sourceLinked="0"/>
        <c:majorTickMark val="out"/>
        <c:minorTickMark val="out"/>
        <c:tickLblPos val="nextTo"/>
        <c:spPr>
          <a:ln w="12700">
            <a:solidFill>
              <a:srgbClr val="FF0000"/>
            </a:solidFill>
            <a:prstDash val="solid"/>
          </a:ln>
        </c:spPr>
        <c:txPr>
          <a:bodyPr rot="0" vert="horz"/>
          <a:lstStyle/>
          <a:p>
            <a:pPr>
              <a:defRPr sz="1200" b="0" i="0" u="none" strike="noStrike" baseline="0">
                <a:solidFill>
                  <a:srgbClr val="000000"/>
                </a:solidFill>
                <a:latin typeface="Arial"/>
                <a:ea typeface="Arial"/>
                <a:cs typeface="Arial"/>
              </a:defRPr>
            </a:pPr>
            <a:endParaRPr lang="es-UY"/>
          </a:p>
        </c:txPr>
        <c:crossAx val="3"/>
        <c:crosses val="max"/>
        <c:crossBetween val="midCat"/>
      </c:valAx>
      <c:spPr>
        <a:noFill/>
        <a:ln w="12700">
          <a:solidFill>
            <a:srgbClr val="808080"/>
          </a:solidFill>
          <a:prstDash val="solid"/>
        </a:ln>
      </c:spPr>
    </c:plotArea>
    <c:legend>
      <c:legendPos val="r"/>
      <c:overlay val="0"/>
      <c:spPr>
        <a:solidFill>
          <a:srgbClr val="FFFFFF"/>
        </a:solidFill>
        <a:ln w="25400">
          <a:noFill/>
        </a:ln>
      </c:spPr>
      <c:txPr>
        <a:bodyPr/>
        <a:lstStyle/>
        <a:p>
          <a:pPr>
            <a:defRPr sz="525" b="0" i="0" u="none" strike="noStrike" baseline="0">
              <a:solidFill>
                <a:srgbClr val="000000"/>
              </a:solidFill>
              <a:latin typeface="Arial"/>
              <a:ea typeface="Arial"/>
              <a:cs typeface="Arial"/>
            </a:defRPr>
          </a:pPr>
          <a:endParaRPr lang="es-UY"/>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a:ea typeface="Arial"/>
          <a:cs typeface="Arial"/>
        </a:defRPr>
      </a:pPr>
      <a:endParaRPr lang="es-UY"/>
    </a:p>
  </c:txPr>
  <c:printSettings>
    <c:headerFooter alignWithMargins="0"/>
    <c:pageMargins b="1" l="0.75000000000000033" r="0.75000000000000033" t="1" header="0" footer="0"/>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20834731245424"/>
          <c:y val="8.6331213245227745E-2"/>
          <c:w val="0.79821300064480649"/>
          <c:h val="0.74100958035487152"/>
        </c:manualLayout>
      </c:layout>
      <c:barChart>
        <c:barDir val="col"/>
        <c:grouping val="clustered"/>
        <c:varyColors val="0"/>
        <c:ser>
          <c:idx val="0"/>
          <c:order val="0"/>
          <c:tx>
            <c:v>Crecida entrante</c:v>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50" b="1" i="0" u="none" strike="noStrike" baseline="0">
                    <a:solidFill>
                      <a:srgbClr val="000000"/>
                    </a:solidFill>
                    <a:latin typeface="Arial"/>
                    <a:ea typeface="Arial"/>
                    <a:cs typeface="Arial"/>
                  </a:defRPr>
                </a:pPr>
                <a:endParaRPr lang="es-UY"/>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'Diseño Aliv-Canal'!$O$49</c:f>
              <c:numCache>
                <c:formatCode>0</c:formatCode>
                <c:ptCount val="1"/>
                <c:pt idx="0">
                  <c:v>229.26047150119342</c:v>
                </c:pt>
              </c:numCache>
            </c:numRef>
          </c:val>
          <c:extLst>
            <c:ext xmlns:c16="http://schemas.microsoft.com/office/drawing/2014/chart" uri="{C3380CC4-5D6E-409C-BE32-E72D297353CC}">
              <c16:uniqueId val="{00000000-FD6E-416B-AF83-E778638FD831}"/>
            </c:ext>
          </c:extLst>
        </c:ser>
        <c:ser>
          <c:idx val="1"/>
          <c:order val="1"/>
          <c:tx>
            <c:v>Qvmax necesario</c:v>
          </c:tx>
          <c:spPr>
            <a:solidFill>
              <a:srgbClr val="0000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50" b="1" i="0" u="none" strike="noStrike" baseline="0">
                    <a:solidFill>
                      <a:srgbClr val="000000"/>
                    </a:solidFill>
                    <a:latin typeface="Arial"/>
                    <a:ea typeface="Arial"/>
                    <a:cs typeface="Arial"/>
                  </a:defRPr>
                </a:pPr>
                <a:endParaRPr lang="es-UY"/>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'Diseño Aliv-Canal'!$G$7</c:f>
              <c:numCache>
                <c:formatCode>0.0</c:formatCode>
                <c:ptCount val="1"/>
                <c:pt idx="0">
                  <c:v>97.389087805078148</c:v>
                </c:pt>
              </c:numCache>
            </c:numRef>
          </c:val>
          <c:extLst>
            <c:ext xmlns:c16="http://schemas.microsoft.com/office/drawing/2014/chart" uri="{C3380CC4-5D6E-409C-BE32-E72D297353CC}">
              <c16:uniqueId val="{00000001-FD6E-416B-AF83-E778638FD831}"/>
            </c:ext>
          </c:extLst>
        </c:ser>
        <c:ser>
          <c:idx val="2"/>
          <c:order val="2"/>
          <c:tx>
            <c:v>Capacidad Vertedero</c:v>
          </c:tx>
          <c:spPr>
            <a:solidFill>
              <a:srgbClr val="FF000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50" b="1" i="0" u="none" strike="noStrike" baseline="0">
                    <a:solidFill>
                      <a:srgbClr val="000000"/>
                    </a:solidFill>
                    <a:latin typeface="Arial"/>
                    <a:ea typeface="Arial"/>
                    <a:cs typeface="Arial"/>
                  </a:defRPr>
                </a:pPr>
                <a:endParaRPr lang="es-UY"/>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'Diseño Aliv-Canal'!$O$7</c:f>
              <c:numCache>
                <c:formatCode>0.0</c:formatCode>
                <c:ptCount val="1"/>
                <c:pt idx="0">
                  <c:v>100.26082277265616</c:v>
                </c:pt>
              </c:numCache>
            </c:numRef>
          </c:val>
          <c:extLst>
            <c:ext xmlns:c16="http://schemas.microsoft.com/office/drawing/2014/chart" uri="{C3380CC4-5D6E-409C-BE32-E72D297353CC}">
              <c16:uniqueId val="{00000002-FD6E-416B-AF83-E778638FD831}"/>
            </c:ext>
          </c:extLst>
        </c:ser>
        <c:dLbls>
          <c:showLegendKey val="0"/>
          <c:showVal val="0"/>
          <c:showCatName val="0"/>
          <c:showSerName val="0"/>
          <c:showPercent val="0"/>
          <c:showBubbleSize val="0"/>
        </c:dLbls>
        <c:gapWidth val="40"/>
        <c:overlap val="-100"/>
        <c:axId val="1485818176"/>
        <c:axId val="1"/>
      </c:barChart>
      <c:catAx>
        <c:axId val="1485818176"/>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s-UY"/>
                  <a:t>Diseño del Vertedero</a:t>
                </a:r>
              </a:p>
            </c:rich>
          </c:tx>
          <c:layout>
            <c:manualLayout>
              <c:xMode val="edge"/>
              <c:yMode val="edge"/>
              <c:x val="0.39042444068186671"/>
              <c:y val="0.85333617936312178"/>
            </c:manualLayout>
          </c:layout>
          <c:overlay val="0"/>
          <c:spPr>
            <a:noFill/>
            <a:ln w="25400">
              <a:noFill/>
            </a:ln>
          </c:spPr>
        </c:title>
        <c:majorTickMark val="none"/>
        <c:minorTickMark val="none"/>
        <c:tickLblPos val="none"/>
        <c:spPr>
          <a:ln w="3175">
            <a:solidFill>
              <a:srgbClr val="000000"/>
            </a:solidFill>
            <a:prstDash val="solid"/>
          </a:ln>
        </c:spPr>
        <c:crossAx val="1"/>
        <c:crosses val="autoZero"/>
        <c:auto val="1"/>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s-UY"/>
                  <a:t>Caudal (m3/s)</a:t>
                </a:r>
              </a:p>
            </c:rich>
          </c:tx>
          <c:layout>
            <c:manualLayout>
              <c:xMode val="edge"/>
              <c:yMode val="edge"/>
              <c:x val="2.946591488172538E-2"/>
              <c:y val="0.2666672991177307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s-UY"/>
          </a:p>
        </c:txPr>
        <c:crossAx val="1485818176"/>
        <c:crosses val="autoZero"/>
        <c:crossBetween val="between"/>
      </c:valAx>
      <c:spPr>
        <a:noFill/>
        <a:ln w="12700">
          <a:solidFill>
            <a:srgbClr val="808080"/>
          </a:solidFill>
          <a:prstDash val="solid"/>
        </a:ln>
      </c:spPr>
    </c:plotArea>
    <c:plotVisOnly val="1"/>
    <c:dispBlanksAs val="gap"/>
    <c:showDLblsOverMax val="0"/>
  </c:chart>
  <c:spPr>
    <a:solidFill>
      <a:schemeClr val="bg1">
        <a:lumMod val="95000"/>
      </a:schemeClr>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UY"/>
    </a:p>
  </c:txPr>
  <c:printSettings>
    <c:headerFooter alignWithMargins="0"/>
    <c:pageMargins b="1" l="0.75" r="0.75" t="1" header="0" footer="0"/>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UY"/>
              <a:t>Comparación de curvas equilibradas de "B", "v" y "E", con los valores seleccionados para "E" y "B" .</a:t>
            </a:r>
          </a:p>
        </c:rich>
      </c:tx>
      <c:layout>
        <c:manualLayout>
          <c:xMode val="edge"/>
          <c:yMode val="edge"/>
          <c:x val="0.13961628989924649"/>
          <c:y val="3.1890538999080814E-2"/>
        </c:manualLayout>
      </c:layout>
      <c:overlay val="0"/>
      <c:spPr>
        <a:noFill/>
        <a:ln w="25400">
          <a:noFill/>
        </a:ln>
      </c:spPr>
    </c:title>
    <c:autoTitleDeleted val="0"/>
    <c:plotArea>
      <c:layout>
        <c:manualLayout>
          <c:layoutTarget val="inner"/>
          <c:xMode val="edge"/>
          <c:yMode val="edge"/>
          <c:x val="0.15131595960303332"/>
          <c:y val="0.17815151635139315"/>
          <c:w val="0.69868499608009293"/>
          <c:h val="0.67563122238924578"/>
        </c:manualLayout>
      </c:layout>
      <c:scatterChart>
        <c:scatterStyle val="lineMarker"/>
        <c:varyColors val="0"/>
        <c:ser>
          <c:idx val="1"/>
          <c:order val="0"/>
          <c:spPr>
            <a:ln w="38100">
              <a:solidFill>
                <a:srgbClr val="FF0000"/>
              </a:solidFill>
              <a:prstDash val="solid"/>
            </a:ln>
          </c:spPr>
          <c:marker>
            <c:symbol val="diamond"/>
            <c:size val="9"/>
            <c:spPr>
              <a:noFill/>
              <a:ln>
                <a:solidFill>
                  <a:srgbClr val="FF0000"/>
                </a:solidFill>
                <a:prstDash val="solid"/>
              </a:ln>
            </c:spPr>
          </c:marker>
          <c:xVal>
            <c:numRef>
              <c:f>'Diseño Aliv-Canal'!$P$40:$P$45</c:f>
              <c:numCache>
                <c:formatCode>0</c:formatCode>
                <c:ptCount val="6"/>
                <c:pt idx="0">
                  <c:v>927.48616417870096</c:v>
                </c:pt>
                <c:pt idx="1">
                  <c:v>534.98023985016823</c:v>
                </c:pt>
                <c:pt idx="2">
                  <c:v>308.02513454026194</c:v>
                </c:pt>
                <c:pt idx="3">
                  <c:v>194.27147137204383</c:v>
                </c:pt>
                <c:pt idx="4">
                  <c:v>112.23929599181085</c:v>
                </c:pt>
                <c:pt idx="5">
                  <c:v>64.279918522605257</c:v>
                </c:pt>
              </c:numCache>
            </c:numRef>
          </c:xVal>
          <c:yVal>
            <c:numRef>
              <c:f>'Diseño Aliv-Canal'!$O$40:$O$45</c:f>
              <c:numCache>
                <c:formatCode>0.00</c:formatCode>
                <c:ptCount val="6"/>
                <c:pt idx="0">
                  <c:v>0.93800486909066993</c:v>
                </c:pt>
                <c:pt idx="1">
                  <c:v>1.1073660996673558</c:v>
                </c:pt>
                <c:pt idx="2">
                  <c:v>1.2826978149344737</c:v>
                </c:pt>
                <c:pt idx="3">
                  <c:v>1.4242941182203603</c:v>
                </c:pt>
                <c:pt idx="4">
                  <c:v>1.5756539139881358</c:v>
                </c:pt>
                <c:pt idx="5">
                  <c:v>1.7006415546247449</c:v>
                </c:pt>
              </c:numCache>
            </c:numRef>
          </c:yVal>
          <c:smooth val="1"/>
          <c:extLst>
            <c:ext xmlns:c16="http://schemas.microsoft.com/office/drawing/2014/chart" uri="{C3380CC4-5D6E-409C-BE32-E72D297353CC}">
              <c16:uniqueId val="{00000000-8762-4E4C-83A5-E277CEFDE221}"/>
            </c:ext>
          </c:extLst>
        </c:ser>
        <c:ser>
          <c:idx val="0"/>
          <c:order val="1"/>
          <c:tx>
            <c:strRef>
              <c:f>'Diseño Aliv-Canal'!$B$28</c:f>
              <c:strCache>
                <c:ptCount val="1"/>
                <c:pt idx="0">
                  <c:v>Vegetación escasa</c:v>
                </c:pt>
              </c:strCache>
            </c:strRef>
          </c:tx>
          <c:spPr>
            <a:ln w="12700">
              <a:solidFill>
                <a:srgbClr val="000080"/>
              </a:solidFill>
              <a:prstDash val="solid"/>
            </a:ln>
          </c:spPr>
          <c:marker>
            <c:symbol val="none"/>
          </c:marker>
          <c:dLbls>
            <c:dLbl>
              <c:idx val="0"/>
              <c:layout>
                <c:manualLayout>
                  <c:x val="9.8895818595736498E-3"/>
                  <c:y val="-0.11587699764986356"/>
                </c:manualLayout>
              </c:layout>
              <c:spPr>
                <a:noFill/>
                <a:ln w="25400">
                  <a:noFill/>
                </a:ln>
              </c:spPr>
              <c:txPr>
                <a:bodyPr/>
                <a:lstStyle/>
                <a:p>
                  <a:pPr>
                    <a:defRPr sz="800" b="0" i="0" u="none" strike="noStrike" baseline="0">
                      <a:solidFill>
                        <a:srgbClr val="FF0000"/>
                      </a:solidFill>
                      <a:latin typeface="Arial"/>
                      <a:ea typeface="Arial"/>
                      <a:cs typeface="Arial"/>
                    </a:defRPr>
                  </a:pPr>
                  <a:endParaRPr lang="es-UY"/>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8762-4E4C-83A5-E277CEFDE221}"/>
                </c:ext>
              </c:extLst>
            </c:dLbl>
            <c:dLbl>
              <c:idx val="1"/>
              <c:delete val="1"/>
              <c:extLst>
                <c:ext xmlns:c15="http://schemas.microsoft.com/office/drawing/2012/chart" uri="{CE6537A1-D6FC-4f65-9D91-7224C49458BB}"/>
                <c:ext xmlns:c16="http://schemas.microsoft.com/office/drawing/2014/chart" uri="{C3380CC4-5D6E-409C-BE32-E72D297353CC}">
                  <c16:uniqueId val="{00000002-8762-4E4C-83A5-E277CEFDE221}"/>
                </c:ext>
              </c:extLst>
            </c:dLbl>
            <c:spPr>
              <a:noFill/>
              <a:ln w="25400">
                <a:noFill/>
              </a:ln>
            </c:spPr>
            <c:txPr>
              <a:bodyPr wrap="square" lIns="38100" tIns="19050" rIns="38100" bIns="19050" anchor="ctr">
                <a:spAutoFit/>
              </a:bodyPr>
              <a:lstStyle/>
              <a:p>
                <a:pPr>
                  <a:defRPr sz="800" b="0" i="0" u="none" strike="noStrike" baseline="0">
                    <a:solidFill>
                      <a:srgbClr val="FF0000"/>
                    </a:solidFill>
                    <a:latin typeface="Arial"/>
                    <a:ea typeface="Arial"/>
                    <a:cs typeface="Arial"/>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'Diseño Aliv-Canal'!$A$31:$A$32</c:f>
              <c:numCache>
                <c:formatCode>0</c:formatCode>
                <c:ptCount val="2"/>
                <c:pt idx="0" formatCode="General">
                  <c:v>0</c:v>
                </c:pt>
                <c:pt idx="1">
                  <c:v>927.48616417870096</c:v>
                </c:pt>
              </c:numCache>
            </c:numRef>
          </c:xVal>
          <c:yVal>
            <c:numRef>
              <c:f>'Diseño Aliv-Canal'!$B$31:$B$32</c:f>
              <c:numCache>
                <c:formatCode>General</c:formatCode>
                <c:ptCount val="2"/>
                <c:pt idx="0">
                  <c:v>0</c:v>
                </c:pt>
                <c:pt idx="1">
                  <c:v>0</c:v>
                </c:pt>
              </c:numCache>
            </c:numRef>
          </c:yVal>
          <c:smooth val="0"/>
          <c:extLst>
            <c:ext xmlns:c16="http://schemas.microsoft.com/office/drawing/2014/chart" uri="{C3380CC4-5D6E-409C-BE32-E72D297353CC}">
              <c16:uniqueId val="{00000003-8762-4E4C-83A5-E277CEFDE221}"/>
            </c:ext>
          </c:extLst>
        </c:ser>
        <c:ser>
          <c:idx val="2"/>
          <c:order val="2"/>
          <c:tx>
            <c:strRef>
              <c:f>'Diseño Aliv-Canal'!$C$28</c:f>
              <c:strCache>
                <c:ptCount val="1"/>
                <c:pt idx="0">
                  <c:v>Requiere siembra y cuidado</c:v>
                </c:pt>
              </c:strCache>
            </c:strRef>
          </c:tx>
          <c:spPr>
            <a:ln w="25400">
              <a:solidFill>
                <a:srgbClr val="FF0000"/>
              </a:solidFill>
              <a:prstDash val="sysDash"/>
            </a:ln>
          </c:spPr>
          <c:marker>
            <c:symbol val="none"/>
          </c:marker>
          <c:dLbls>
            <c:dLbl>
              <c:idx val="0"/>
              <c:layout>
                <c:manualLayout>
                  <c:x val="6.3990692262943568E-3"/>
                  <c:y val="-2.4760640683012574E-2"/>
                </c:manualLayout>
              </c:layout>
              <c:spPr>
                <a:noFill/>
                <a:ln w="25400">
                  <a:noFill/>
                </a:ln>
              </c:spPr>
              <c:txPr>
                <a:bodyPr/>
                <a:lstStyle/>
                <a:p>
                  <a:pPr algn="dist">
                    <a:defRPr sz="800" b="0" i="0" u="none" strike="noStrike" baseline="0">
                      <a:solidFill>
                        <a:srgbClr val="FF0000"/>
                      </a:solidFill>
                      <a:latin typeface="Arial"/>
                      <a:ea typeface="Arial"/>
                      <a:cs typeface="Arial"/>
                    </a:defRPr>
                  </a:pPr>
                  <a:endParaRPr lang="es-UY"/>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8762-4E4C-83A5-E277CEFDE221}"/>
                </c:ext>
              </c:extLst>
            </c:dLbl>
            <c:dLbl>
              <c:idx val="1"/>
              <c:delete val="1"/>
              <c:extLst>
                <c:ext xmlns:c15="http://schemas.microsoft.com/office/drawing/2012/chart" uri="{CE6537A1-D6FC-4f65-9D91-7224C49458BB}"/>
                <c:ext xmlns:c16="http://schemas.microsoft.com/office/drawing/2014/chart" uri="{C3380CC4-5D6E-409C-BE32-E72D297353CC}">
                  <c16:uniqueId val="{00000005-8762-4E4C-83A5-E277CEFDE221}"/>
                </c:ext>
              </c:extLst>
            </c:dLbl>
            <c:spPr>
              <a:noFill/>
              <a:ln w="25400">
                <a:noFill/>
              </a:ln>
            </c:spPr>
            <c:txPr>
              <a:bodyPr wrap="square" lIns="38100" tIns="19050" rIns="38100" bIns="19050" anchor="ctr">
                <a:spAutoFit/>
              </a:bodyPr>
              <a:lstStyle/>
              <a:p>
                <a:pPr algn="dist">
                  <a:defRPr sz="800" b="0" i="0" u="none" strike="noStrike" baseline="0">
                    <a:solidFill>
                      <a:srgbClr val="FF0000"/>
                    </a:solidFill>
                    <a:latin typeface="Arial"/>
                    <a:ea typeface="Arial"/>
                    <a:cs typeface="Arial"/>
                  </a:defRPr>
                </a:pPr>
                <a:endParaRPr lang="es-UY"/>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'Diseño Aliv-Canal'!$A$31:$A$32</c:f>
              <c:numCache>
                <c:formatCode>0</c:formatCode>
                <c:ptCount val="2"/>
                <c:pt idx="0" formatCode="General">
                  <c:v>0</c:v>
                </c:pt>
                <c:pt idx="1">
                  <c:v>927.48616417870096</c:v>
                </c:pt>
              </c:numCache>
            </c:numRef>
          </c:xVal>
          <c:yVal>
            <c:numRef>
              <c:f>'Diseño Aliv-Canal'!$C$31:$C$32</c:f>
              <c:numCache>
                <c:formatCode>General</c:formatCode>
                <c:ptCount val="2"/>
                <c:pt idx="0">
                  <c:v>1</c:v>
                </c:pt>
                <c:pt idx="1">
                  <c:v>1</c:v>
                </c:pt>
              </c:numCache>
            </c:numRef>
          </c:yVal>
          <c:smooth val="0"/>
          <c:extLst>
            <c:ext xmlns:c16="http://schemas.microsoft.com/office/drawing/2014/chart" uri="{C3380CC4-5D6E-409C-BE32-E72D297353CC}">
              <c16:uniqueId val="{00000006-8762-4E4C-83A5-E277CEFDE221}"/>
            </c:ext>
          </c:extLst>
        </c:ser>
        <c:ser>
          <c:idx val="3"/>
          <c:order val="3"/>
          <c:tx>
            <c:strRef>
              <c:f>'Diseño Aliv-Canal'!$D$28</c:f>
              <c:strCache>
                <c:ptCount val="1"/>
                <c:pt idx="0">
                  <c:v>Variable</c:v>
                </c:pt>
              </c:strCache>
            </c:strRef>
          </c:tx>
          <c:spPr>
            <a:ln w="25400">
              <a:solidFill>
                <a:srgbClr val="FF0000"/>
              </a:solidFill>
              <a:prstDash val="sysDash"/>
            </a:ln>
          </c:spPr>
          <c:marker>
            <c:symbol val="none"/>
          </c:marker>
          <c:dLbls>
            <c:dLbl>
              <c:idx val="0"/>
              <c:layout>
                <c:manualLayout>
                  <c:x val="9.8895818595736429E-3"/>
                  <c:y val="-3.7972615435844605E-2"/>
                </c:manualLayout>
              </c:layout>
              <c:spPr>
                <a:noFill/>
                <a:ln w="25400">
                  <a:noFill/>
                </a:ln>
              </c:spPr>
              <c:txPr>
                <a:bodyPr/>
                <a:lstStyle/>
                <a:p>
                  <a:pPr>
                    <a:defRPr sz="800" b="0" i="0" u="none" strike="noStrike" baseline="0">
                      <a:solidFill>
                        <a:srgbClr val="FF0000"/>
                      </a:solidFill>
                      <a:latin typeface="Arial"/>
                      <a:ea typeface="Arial"/>
                      <a:cs typeface="Arial"/>
                    </a:defRPr>
                  </a:pPr>
                  <a:endParaRPr lang="es-UY"/>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8762-4E4C-83A5-E277CEFDE221}"/>
                </c:ext>
              </c:extLst>
            </c:dLbl>
            <c:dLbl>
              <c:idx val="1"/>
              <c:delete val="1"/>
              <c:extLst>
                <c:ext xmlns:c15="http://schemas.microsoft.com/office/drawing/2012/chart" uri="{CE6537A1-D6FC-4f65-9D91-7224C49458BB}"/>
                <c:ext xmlns:c16="http://schemas.microsoft.com/office/drawing/2014/chart" uri="{C3380CC4-5D6E-409C-BE32-E72D297353CC}">
                  <c16:uniqueId val="{00000008-8762-4E4C-83A5-E277CEFDE221}"/>
                </c:ext>
              </c:extLst>
            </c:dLbl>
            <c:spPr>
              <a:noFill/>
              <a:ln w="25400">
                <a:noFill/>
              </a:ln>
            </c:spPr>
            <c:txPr>
              <a:bodyPr wrap="square" lIns="38100" tIns="19050" rIns="38100" bIns="19050" anchor="ctr">
                <a:spAutoFit/>
              </a:bodyPr>
              <a:lstStyle/>
              <a:p>
                <a:pPr>
                  <a:defRPr sz="800" b="0" i="0" u="none" strike="noStrike" baseline="0">
                    <a:solidFill>
                      <a:srgbClr val="FF0000"/>
                    </a:solidFill>
                    <a:latin typeface="Arial"/>
                    <a:ea typeface="Arial"/>
                    <a:cs typeface="Arial"/>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'Diseño Aliv-Canal'!$A$31:$A$32</c:f>
              <c:numCache>
                <c:formatCode>0</c:formatCode>
                <c:ptCount val="2"/>
                <c:pt idx="0" formatCode="General">
                  <c:v>0</c:v>
                </c:pt>
                <c:pt idx="1">
                  <c:v>927.48616417870096</c:v>
                </c:pt>
              </c:numCache>
            </c:numRef>
          </c:xVal>
          <c:yVal>
            <c:numRef>
              <c:f>'Diseño Aliv-Canal'!$D$31:$D$32</c:f>
              <c:numCache>
                <c:formatCode>General</c:formatCode>
                <c:ptCount val="2"/>
                <c:pt idx="0">
                  <c:v>1.2</c:v>
                </c:pt>
                <c:pt idx="1">
                  <c:v>1.2</c:v>
                </c:pt>
              </c:numCache>
            </c:numRef>
          </c:yVal>
          <c:smooth val="0"/>
          <c:extLst>
            <c:ext xmlns:c16="http://schemas.microsoft.com/office/drawing/2014/chart" uri="{C3380CC4-5D6E-409C-BE32-E72D297353CC}">
              <c16:uniqueId val="{00000009-8762-4E4C-83A5-E277CEFDE221}"/>
            </c:ext>
          </c:extLst>
        </c:ser>
        <c:ser>
          <c:idx val="4"/>
          <c:order val="4"/>
          <c:tx>
            <c:strRef>
              <c:f>'Diseño Aliv-Canal'!$E$28</c:f>
              <c:strCache>
                <c:ptCount val="1"/>
                <c:pt idx="0">
                  <c:v>Pastura bien establecida</c:v>
                </c:pt>
              </c:strCache>
            </c:strRef>
          </c:tx>
          <c:spPr>
            <a:ln w="25400">
              <a:solidFill>
                <a:srgbClr val="FF0000"/>
              </a:solidFill>
              <a:prstDash val="sysDash"/>
            </a:ln>
          </c:spPr>
          <c:marker>
            <c:symbol val="none"/>
          </c:marker>
          <c:dLbls>
            <c:dLbl>
              <c:idx val="0"/>
              <c:layout>
                <c:manualLayout>
                  <c:x val="-2.3268438474127974E-3"/>
                  <c:y val="-3.6150118697491046E-2"/>
                </c:manualLayout>
              </c:layout>
              <c:spPr>
                <a:noFill/>
                <a:ln w="25400">
                  <a:noFill/>
                </a:ln>
              </c:spPr>
              <c:txPr>
                <a:bodyPr/>
                <a:lstStyle/>
                <a:p>
                  <a:pPr>
                    <a:defRPr sz="800" b="0" i="0" u="none" strike="noStrike" baseline="0">
                      <a:solidFill>
                        <a:srgbClr val="FF0000"/>
                      </a:solidFill>
                      <a:latin typeface="Arial"/>
                      <a:ea typeface="Arial"/>
                      <a:cs typeface="Arial"/>
                    </a:defRPr>
                  </a:pPr>
                  <a:endParaRPr lang="es-UY"/>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8762-4E4C-83A5-E277CEFDE221}"/>
                </c:ext>
              </c:extLst>
            </c:dLbl>
            <c:dLbl>
              <c:idx val="1"/>
              <c:delete val="1"/>
              <c:extLst>
                <c:ext xmlns:c15="http://schemas.microsoft.com/office/drawing/2012/chart" uri="{CE6537A1-D6FC-4f65-9D91-7224C49458BB}"/>
                <c:ext xmlns:c16="http://schemas.microsoft.com/office/drawing/2014/chart" uri="{C3380CC4-5D6E-409C-BE32-E72D297353CC}">
                  <c16:uniqueId val="{0000000B-8762-4E4C-83A5-E277CEFDE221}"/>
                </c:ext>
              </c:extLst>
            </c:dLbl>
            <c:spPr>
              <a:noFill/>
              <a:ln w="25400">
                <a:noFill/>
              </a:ln>
            </c:spPr>
            <c:txPr>
              <a:bodyPr wrap="square" lIns="38100" tIns="19050" rIns="38100" bIns="19050" anchor="ctr">
                <a:spAutoFit/>
              </a:bodyPr>
              <a:lstStyle/>
              <a:p>
                <a:pPr>
                  <a:defRPr sz="800" b="0" i="0" u="none" strike="noStrike" baseline="0">
                    <a:solidFill>
                      <a:srgbClr val="FF0000"/>
                    </a:solidFill>
                    <a:latin typeface="Arial"/>
                    <a:ea typeface="Arial"/>
                    <a:cs typeface="Arial"/>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'Diseño Aliv-Canal'!$A$31:$A$32</c:f>
              <c:numCache>
                <c:formatCode>0</c:formatCode>
                <c:ptCount val="2"/>
                <c:pt idx="0" formatCode="General">
                  <c:v>0</c:v>
                </c:pt>
                <c:pt idx="1">
                  <c:v>927.48616417870096</c:v>
                </c:pt>
              </c:numCache>
            </c:numRef>
          </c:xVal>
          <c:yVal>
            <c:numRef>
              <c:f>'Diseño Aliv-Canal'!$E$31:$E$32</c:f>
              <c:numCache>
                <c:formatCode>General</c:formatCode>
                <c:ptCount val="2"/>
                <c:pt idx="0">
                  <c:v>1.5</c:v>
                </c:pt>
                <c:pt idx="1">
                  <c:v>1.5</c:v>
                </c:pt>
              </c:numCache>
            </c:numRef>
          </c:yVal>
          <c:smooth val="0"/>
          <c:extLst>
            <c:ext xmlns:c16="http://schemas.microsoft.com/office/drawing/2014/chart" uri="{C3380CC4-5D6E-409C-BE32-E72D297353CC}">
              <c16:uniqueId val="{0000000C-8762-4E4C-83A5-E277CEFDE221}"/>
            </c:ext>
          </c:extLst>
        </c:ser>
        <c:ser>
          <c:idx val="5"/>
          <c:order val="5"/>
          <c:tx>
            <c:strRef>
              <c:f>'Diseño Aliv-Canal'!$F$28</c:f>
              <c:strCache>
                <c:ptCount val="1"/>
                <c:pt idx="0">
                  <c:v>Condiciones muy especiales</c:v>
                </c:pt>
              </c:strCache>
            </c:strRef>
          </c:tx>
          <c:spPr>
            <a:ln w="25400">
              <a:solidFill>
                <a:srgbClr val="FF0000"/>
              </a:solidFill>
              <a:prstDash val="sysDash"/>
            </a:ln>
          </c:spPr>
          <c:marker>
            <c:symbol val="none"/>
          </c:marker>
          <c:dLbls>
            <c:dLbl>
              <c:idx val="0"/>
              <c:layout>
                <c:manualLayout>
                  <c:x val="2.9087671698671113E-3"/>
                  <c:y val="-3.8587622259068047E-2"/>
                </c:manualLayout>
              </c:layout>
              <c:spPr>
                <a:noFill/>
                <a:ln w="25400">
                  <a:noFill/>
                </a:ln>
              </c:spPr>
              <c:txPr>
                <a:bodyPr/>
                <a:lstStyle/>
                <a:p>
                  <a:pPr>
                    <a:defRPr sz="800" b="0" i="0" u="none" strike="noStrike" baseline="0">
                      <a:solidFill>
                        <a:srgbClr val="FF0000"/>
                      </a:solidFill>
                      <a:latin typeface="Arial"/>
                      <a:ea typeface="Arial"/>
                      <a:cs typeface="Arial"/>
                    </a:defRPr>
                  </a:pPr>
                  <a:endParaRPr lang="es-UY"/>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8762-4E4C-83A5-E277CEFDE221}"/>
                </c:ext>
              </c:extLst>
            </c:dLbl>
            <c:dLbl>
              <c:idx val="1"/>
              <c:delete val="1"/>
              <c:extLst>
                <c:ext xmlns:c15="http://schemas.microsoft.com/office/drawing/2012/chart" uri="{CE6537A1-D6FC-4f65-9D91-7224C49458BB}"/>
                <c:ext xmlns:c16="http://schemas.microsoft.com/office/drawing/2014/chart" uri="{C3380CC4-5D6E-409C-BE32-E72D297353CC}">
                  <c16:uniqueId val="{0000000E-8762-4E4C-83A5-E277CEFDE221}"/>
                </c:ext>
              </c:extLst>
            </c:dLbl>
            <c:spPr>
              <a:noFill/>
              <a:ln w="25400">
                <a:noFill/>
              </a:ln>
            </c:spPr>
            <c:txPr>
              <a:bodyPr wrap="square" lIns="38100" tIns="19050" rIns="38100" bIns="19050" anchor="ctr">
                <a:spAutoFit/>
              </a:bodyPr>
              <a:lstStyle/>
              <a:p>
                <a:pPr>
                  <a:defRPr sz="800" b="0" i="0" u="none" strike="noStrike" baseline="0">
                    <a:solidFill>
                      <a:srgbClr val="FF0000"/>
                    </a:solidFill>
                    <a:latin typeface="Arial"/>
                    <a:ea typeface="Arial"/>
                    <a:cs typeface="Arial"/>
                  </a:defRPr>
                </a:pPr>
                <a:endParaRPr lang="es-UY"/>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'Diseño Aliv-Canal'!$A$31:$A$32</c:f>
              <c:numCache>
                <c:formatCode>0</c:formatCode>
                <c:ptCount val="2"/>
                <c:pt idx="0" formatCode="General">
                  <c:v>0</c:v>
                </c:pt>
                <c:pt idx="1">
                  <c:v>927.48616417870096</c:v>
                </c:pt>
              </c:numCache>
            </c:numRef>
          </c:xVal>
          <c:yVal>
            <c:numRef>
              <c:f>'Diseño Aliv-Canal'!$F$31:$F$32</c:f>
              <c:numCache>
                <c:formatCode>General</c:formatCode>
                <c:ptCount val="2"/>
                <c:pt idx="0">
                  <c:v>1.8</c:v>
                </c:pt>
                <c:pt idx="1">
                  <c:v>1.8</c:v>
                </c:pt>
              </c:numCache>
            </c:numRef>
          </c:yVal>
          <c:smooth val="0"/>
          <c:extLst>
            <c:ext xmlns:c16="http://schemas.microsoft.com/office/drawing/2014/chart" uri="{C3380CC4-5D6E-409C-BE32-E72D297353CC}">
              <c16:uniqueId val="{0000000F-8762-4E4C-83A5-E277CEFDE221}"/>
            </c:ext>
          </c:extLst>
        </c:ser>
        <c:ser>
          <c:idx val="6"/>
          <c:order val="6"/>
          <c:tx>
            <c:strRef>
              <c:f>'Diseño Aliv-Canal'!$G$28</c:f>
              <c:strCache>
                <c:ptCount val="1"/>
                <c:pt idx="0">
                  <c:v>NO RECOMENDABLE</c:v>
                </c:pt>
              </c:strCache>
            </c:strRef>
          </c:tx>
          <c:spPr>
            <a:ln w="25400">
              <a:solidFill>
                <a:srgbClr val="FF0000"/>
              </a:solidFill>
              <a:prstDash val="sysDash"/>
            </a:ln>
          </c:spPr>
          <c:marker>
            <c:symbol val="none"/>
          </c:marker>
          <c:dLbls>
            <c:dLbl>
              <c:idx val="0"/>
              <c:layout>
                <c:manualLayout>
                  <c:x val="-7.5624548646927043E-3"/>
                  <c:y val="-4.815489897896668E-2"/>
                </c:manualLayout>
              </c:layout>
              <c:spPr>
                <a:noFill/>
                <a:ln w="25400">
                  <a:noFill/>
                </a:ln>
              </c:spPr>
              <c:txPr>
                <a:bodyPr/>
                <a:lstStyle/>
                <a:p>
                  <a:pPr>
                    <a:defRPr sz="800" b="0" i="0" u="none" strike="noStrike" baseline="0">
                      <a:solidFill>
                        <a:srgbClr val="FF0000"/>
                      </a:solidFill>
                      <a:latin typeface="Arial"/>
                      <a:ea typeface="Arial"/>
                      <a:cs typeface="Arial"/>
                    </a:defRPr>
                  </a:pPr>
                  <a:endParaRPr lang="es-UY"/>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8762-4E4C-83A5-E277CEFDE221}"/>
                </c:ext>
              </c:extLst>
            </c:dLbl>
            <c:dLbl>
              <c:idx val="1"/>
              <c:delete val="1"/>
              <c:extLst>
                <c:ext xmlns:c15="http://schemas.microsoft.com/office/drawing/2012/chart" uri="{CE6537A1-D6FC-4f65-9D91-7224C49458BB}"/>
                <c:ext xmlns:c16="http://schemas.microsoft.com/office/drawing/2014/chart" uri="{C3380CC4-5D6E-409C-BE32-E72D297353CC}">
                  <c16:uniqueId val="{00000011-8762-4E4C-83A5-E277CEFDE221}"/>
                </c:ext>
              </c:extLst>
            </c:dLbl>
            <c:spPr>
              <a:noFill/>
              <a:ln w="25400">
                <a:noFill/>
              </a:ln>
            </c:spPr>
            <c:txPr>
              <a:bodyPr wrap="square" lIns="38100" tIns="19050" rIns="38100" bIns="19050" anchor="ctr">
                <a:spAutoFit/>
              </a:bodyPr>
              <a:lstStyle/>
              <a:p>
                <a:pPr>
                  <a:defRPr sz="800" b="0" i="0" u="none" strike="noStrike" baseline="0">
                    <a:solidFill>
                      <a:srgbClr val="FF0000"/>
                    </a:solidFill>
                    <a:latin typeface="Arial"/>
                    <a:ea typeface="Arial"/>
                    <a:cs typeface="Arial"/>
                  </a:defRPr>
                </a:pPr>
                <a:endParaRPr lang="es-UY"/>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'Diseño Aliv-Canal'!$A$31:$A$32</c:f>
              <c:numCache>
                <c:formatCode>0</c:formatCode>
                <c:ptCount val="2"/>
                <c:pt idx="0" formatCode="General">
                  <c:v>0</c:v>
                </c:pt>
                <c:pt idx="1">
                  <c:v>927.48616417870096</c:v>
                </c:pt>
              </c:numCache>
            </c:numRef>
          </c:xVal>
          <c:yVal>
            <c:numRef>
              <c:f>'Diseño Aliv-Canal'!$G$31:$G$32</c:f>
              <c:numCache>
                <c:formatCode>General</c:formatCode>
                <c:ptCount val="2"/>
                <c:pt idx="0">
                  <c:v>2.1</c:v>
                </c:pt>
                <c:pt idx="1">
                  <c:v>2.1</c:v>
                </c:pt>
              </c:numCache>
            </c:numRef>
          </c:yVal>
          <c:smooth val="0"/>
          <c:extLst>
            <c:ext xmlns:c16="http://schemas.microsoft.com/office/drawing/2014/chart" uri="{C3380CC4-5D6E-409C-BE32-E72D297353CC}">
              <c16:uniqueId val="{00000012-8762-4E4C-83A5-E277CEFDE221}"/>
            </c:ext>
          </c:extLst>
        </c:ser>
        <c:ser>
          <c:idx val="9"/>
          <c:order val="9"/>
          <c:tx>
            <c:strRef>
              <c:f>'Diseño Aliv-Canal'!$D$35</c:f>
              <c:strCache>
                <c:ptCount val="1"/>
                <c:pt idx="0">
                  <c:v>V</c:v>
                </c:pt>
              </c:strCache>
            </c:strRef>
          </c:tx>
          <c:spPr>
            <a:ln w="28575">
              <a:noFill/>
            </a:ln>
          </c:spPr>
          <c:marker>
            <c:symbol val="star"/>
            <c:size val="12"/>
            <c:spPr>
              <a:noFill/>
              <a:ln>
                <a:solidFill>
                  <a:srgbClr val="000000"/>
                </a:solidFill>
                <a:prstDash val="solid"/>
              </a:ln>
            </c:spPr>
          </c:marker>
          <c:dPt>
            <c:idx val="0"/>
            <c:marker>
              <c:symbol val="dash"/>
              <c:size val="14"/>
              <c:spPr>
                <a:noFill/>
                <a:ln>
                  <a:solidFill>
                    <a:srgbClr val="FF0000"/>
                  </a:solidFill>
                  <a:prstDash val="solid"/>
                </a:ln>
              </c:spPr>
            </c:marker>
            <c:bubble3D val="0"/>
            <c:extLst>
              <c:ext xmlns:c16="http://schemas.microsoft.com/office/drawing/2014/chart" uri="{C3380CC4-5D6E-409C-BE32-E72D297353CC}">
                <c16:uniqueId val="{00000014-8762-4E4C-83A5-E277CEFDE221}"/>
              </c:ext>
            </c:extLst>
          </c:dPt>
          <c:dPt>
            <c:idx val="1"/>
            <c:marker>
              <c:symbol val="circle"/>
              <c:size val="12"/>
              <c:spPr>
                <a:solidFill>
                  <a:srgbClr val="FF0000"/>
                </a:solidFill>
                <a:ln>
                  <a:solidFill>
                    <a:srgbClr val="FF0000"/>
                  </a:solidFill>
                  <a:prstDash val="solid"/>
                </a:ln>
              </c:spPr>
            </c:marker>
            <c:bubble3D val="0"/>
            <c:extLst>
              <c:ext xmlns:c16="http://schemas.microsoft.com/office/drawing/2014/chart" uri="{C3380CC4-5D6E-409C-BE32-E72D297353CC}">
                <c16:uniqueId val="{00000016-8762-4E4C-83A5-E277CEFDE221}"/>
              </c:ext>
            </c:extLst>
          </c:dPt>
          <c:xVal>
            <c:numRef>
              <c:f>'Diseño Aliv-Canal'!$B$36:$B$38</c:f>
              <c:numCache>
                <c:formatCode>General</c:formatCode>
                <c:ptCount val="3"/>
                <c:pt idx="0">
                  <c:v>0</c:v>
                </c:pt>
                <c:pt idx="1">
                  <c:v>200</c:v>
                </c:pt>
                <c:pt idx="2">
                  <c:v>200</c:v>
                </c:pt>
              </c:numCache>
            </c:numRef>
          </c:xVal>
          <c:yVal>
            <c:numRef>
              <c:f>'Diseño Aliv-Canal'!$D$36:$D$38</c:f>
              <c:numCache>
                <c:formatCode>0.00</c:formatCode>
                <c:ptCount val="3"/>
                <c:pt idx="0">
                  <c:v>1.4242941182203603</c:v>
                </c:pt>
                <c:pt idx="1">
                  <c:v>1.4242941182203603</c:v>
                </c:pt>
                <c:pt idx="2">
                  <c:v>0</c:v>
                </c:pt>
              </c:numCache>
            </c:numRef>
          </c:yVal>
          <c:smooth val="0"/>
          <c:extLst>
            <c:ext xmlns:c16="http://schemas.microsoft.com/office/drawing/2014/chart" uri="{C3380CC4-5D6E-409C-BE32-E72D297353CC}">
              <c16:uniqueId val="{00000017-8762-4E4C-83A5-E277CEFDE221}"/>
            </c:ext>
          </c:extLst>
        </c:ser>
        <c:dLbls>
          <c:showLegendKey val="0"/>
          <c:showVal val="0"/>
          <c:showCatName val="0"/>
          <c:showSerName val="0"/>
          <c:showPercent val="0"/>
          <c:showBubbleSize val="0"/>
        </c:dLbls>
        <c:axId val="1485819008"/>
        <c:axId val="1"/>
      </c:scatterChart>
      <c:scatterChart>
        <c:scatterStyle val="lineMarker"/>
        <c:varyColors val="0"/>
        <c:ser>
          <c:idx val="7"/>
          <c:order val="7"/>
          <c:tx>
            <c:strRef>
              <c:f>'Diseño Aliv-Canal'!$J$38</c:f>
              <c:strCache>
                <c:ptCount val="1"/>
                <c:pt idx="0">
                  <c:v>E</c:v>
                </c:pt>
              </c:strCache>
            </c:strRef>
          </c:tx>
          <c:spPr>
            <a:ln w="38100">
              <a:solidFill>
                <a:srgbClr val="0000FF"/>
              </a:solidFill>
              <a:prstDash val="solid"/>
            </a:ln>
          </c:spPr>
          <c:marker>
            <c:symbol val="diamond"/>
            <c:size val="9"/>
            <c:spPr>
              <a:noFill/>
              <a:ln>
                <a:solidFill>
                  <a:srgbClr val="0000FF"/>
                </a:solidFill>
                <a:prstDash val="solid"/>
              </a:ln>
            </c:spPr>
          </c:marker>
          <c:xVal>
            <c:numRef>
              <c:f>'Diseño Aliv-Canal'!$P$40:$P$45</c:f>
              <c:numCache>
                <c:formatCode>0</c:formatCode>
                <c:ptCount val="6"/>
                <c:pt idx="0">
                  <c:v>927.48616417870096</c:v>
                </c:pt>
                <c:pt idx="1">
                  <c:v>534.98023985016823</c:v>
                </c:pt>
                <c:pt idx="2">
                  <c:v>308.02513454026194</c:v>
                </c:pt>
                <c:pt idx="3">
                  <c:v>194.27147137204383</c:v>
                </c:pt>
                <c:pt idx="4">
                  <c:v>112.23929599181085</c:v>
                </c:pt>
                <c:pt idx="5">
                  <c:v>64.279918522605257</c:v>
                </c:pt>
              </c:numCache>
            </c:numRef>
          </c:xVal>
          <c:yVal>
            <c:numRef>
              <c:f>'Diseño Aliv-Canal'!$J$40:$J$45</c:f>
              <c:numCache>
                <c:formatCode>0.00</c:formatCode>
                <c:ptCount val="6"/>
                <c:pt idx="0">
                  <c:v>0.23</c:v>
                </c:pt>
                <c:pt idx="1">
                  <c:v>0.3</c:v>
                </c:pt>
                <c:pt idx="2">
                  <c:v>0.38</c:v>
                </c:pt>
                <c:pt idx="3">
                  <c:v>0.45</c:v>
                </c:pt>
                <c:pt idx="4">
                  <c:v>0.53</c:v>
                </c:pt>
                <c:pt idx="5">
                  <c:v>0.6</c:v>
                </c:pt>
              </c:numCache>
            </c:numRef>
          </c:yVal>
          <c:smooth val="1"/>
          <c:extLst>
            <c:ext xmlns:c16="http://schemas.microsoft.com/office/drawing/2014/chart" uri="{C3380CC4-5D6E-409C-BE32-E72D297353CC}">
              <c16:uniqueId val="{00000018-8762-4E4C-83A5-E277CEFDE221}"/>
            </c:ext>
          </c:extLst>
        </c:ser>
        <c:ser>
          <c:idx val="8"/>
          <c:order val="8"/>
          <c:tx>
            <c:strRef>
              <c:f>'Diseño Aliv-Canal'!$C$35</c:f>
              <c:strCache>
                <c:ptCount val="1"/>
                <c:pt idx="0">
                  <c:v>E</c:v>
                </c:pt>
              </c:strCache>
            </c:strRef>
          </c:tx>
          <c:spPr>
            <a:ln w="28575">
              <a:noFill/>
            </a:ln>
          </c:spPr>
          <c:marker>
            <c:symbol val="circle"/>
            <c:size val="12"/>
            <c:spPr>
              <a:solidFill>
                <a:srgbClr val="0000FF"/>
              </a:solidFill>
              <a:ln>
                <a:solidFill>
                  <a:srgbClr val="0000FF"/>
                </a:solidFill>
                <a:prstDash val="solid"/>
              </a:ln>
            </c:spPr>
          </c:marker>
          <c:dPt>
            <c:idx val="0"/>
            <c:marker>
              <c:symbol val="x"/>
              <c:size val="12"/>
              <c:spPr>
                <a:noFill/>
                <a:ln>
                  <a:solidFill>
                    <a:srgbClr val="000000"/>
                  </a:solidFill>
                  <a:prstDash val="solid"/>
                </a:ln>
              </c:spPr>
            </c:marker>
            <c:bubble3D val="0"/>
            <c:extLst>
              <c:ext xmlns:c16="http://schemas.microsoft.com/office/drawing/2014/chart" uri="{C3380CC4-5D6E-409C-BE32-E72D297353CC}">
                <c16:uniqueId val="{0000001A-8762-4E4C-83A5-E277CEFDE221}"/>
              </c:ext>
            </c:extLst>
          </c:dPt>
          <c:dPt>
            <c:idx val="2"/>
            <c:marker>
              <c:symbol val="dash"/>
              <c:size val="14"/>
              <c:spPr>
                <a:noFill/>
                <a:ln>
                  <a:solidFill>
                    <a:srgbClr val="0000FF"/>
                  </a:solidFill>
                  <a:prstDash val="solid"/>
                </a:ln>
              </c:spPr>
            </c:marker>
            <c:bubble3D val="0"/>
            <c:extLst>
              <c:ext xmlns:c16="http://schemas.microsoft.com/office/drawing/2014/chart" uri="{C3380CC4-5D6E-409C-BE32-E72D297353CC}">
                <c16:uniqueId val="{0000001C-8762-4E4C-83A5-E277CEFDE221}"/>
              </c:ext>
            </c:extLst>
          </c:dPt>
          <c:dLbls>
            <c:dLbl>
              <c:idx val="0"/>
              <c:layout>
                <c:manualLayout>
                  <c:x val="-4.7186932849364767E-2"/>
                  <c:y val="-3.9806362378976459E-2"/>
                </c:manualLayout>
              </c:layout>
              <c:spPr>
                <a:noFill/>
                <a:ln w="25400">
                  <a:noFill/>
                </a:ln>
              </c:spPr>
              <c:txPr>
                <a:bodyPr/>
                <a:lstStyle/>
                <a:p>
                  <a:pPr>
                    <a:defRPr sz="1150" b="1" i="0" u="none" strike="noStrike" baseline="0">
                      <a:solidFill>
                        <a:srgbClr val="000000"/>
                      </a:solidFill>
                      <a:latin typeface="Arial"/>
                      <a:ea typeface="Arial"/>
                      <a:cs typeface="Arial"/>
                    </a:defRPr>
                  </a:pPr>
                  <a:endParaRPr lang="es-UY"/>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762-4E4C-83A5-E277CEFDE221}"/>
                </c:ext>
              </c:extLst>
            </c:dLbl>
            <c:dLbl>
              <c:idx val="1"/>
              <c:delete val="1"/>
              <c:extLst>
                <c:ext xmlns:c15="http://schemas.microsoft.com/office/drawing/2012/chart" uri="{CE6537A1-D6FC-4f65-9D91-7224C49458BB}"/>
                <c:ext xmlns:c16="http://schemas.microsoft.com/office/drawing/2014/chart" uri="{C3380CC4-5D6E-409C-BE32-E72D297353CC}">
                  <c16:uniqueId val="{0000001D-8762-4E4C-83A5-E277CEFDE221}"/>
                </c:ext>
              </c:extLst>
            </c:dLbl>
            <c:dLbl>
              <c:idx val="2"/>
              <c:delete val="1"/>
              <c:extLst>
                <c:ext xmlns:c15="http://schemas.microsoft.com/office/drawing/2012/chart" uri="{CE6537A1-D6FC-4f65-9D91-7224C49458BB}"/>
                <c:ext xmlns:c16="http://schemas.microsoft.com/office/drawing/2014/chart" uri="{C3380CC4-5D6E-409C-BE32-E72D297353CC}">
                  <c16:uniqueId val="{0000001C-8762-4E4C-83A5-E277CEFDE221}"/>
                </c:ext>
              </c:extLst>
            </c:dLbl>
            <c:spPr>
              <a:noFill/>
              <a:ln w="25400">
                <a:noFill/>
              </a:ln>
            </c:spPr>
            <c:txPr>
              <a:bodyPr wrap="square" lIns="38100" tIns="19050" rIns="38100" bIns="19050" anchor="ctr">
                <a:spAutoFit/>
              </a:bodyPr>
              <a:lstStyle/>
              <a:p>
                <a:pPr>
                  <a:defRPr sz="1150" b="1" i="0" u="none" strike="noStrike" baseline="0">
                    <a:solidFill>
                      <a:srgbClr val="000000"/>
                    </a:solidFill>
                    <a:latin typeface="Arial"/>
                    <a:ea typeface="Arial"/>
                    <a:cs typeface="Arial"/>
                  </a:defRPr>
                </a:pPr>
                <a:endParaRPr lang="es-UY"/>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'Diseño Aliv-Canal'!$B$37:$B$39</c:f>
              <c:numCache>
                <c:formatCode>General</c:formatCode>
                <c:ptCount val="3"/>
                <c:pt idx="0">
                  <c:v>200</c:v>
                </c:pt>
                <c:pt idx="1">
                  <c:v>200</c:v>
                </c:pt>
                <c:pt idx="2" formatCode="0">
                  <c:v>927.48616417870096</c:v>
                </c:pt>
              </c:numCache>
            </c:numRef>
          </c:xVal>
          <c:yVal>
            <c:numRef>
              <c:f>'Diseño Aliv-Canal'!$C$37:$C$39</c:f>
              <c:numCache>
                <c:formatCode>0.00</c:formatCode>
                <c:ptCount val="3"/>
                <c:pt idx="0" formatCode="General">
                  <c:v>0</c:v>
                </c:pt>
                <c:pt idx="1">
                  <c:v>0.45</c:v>
                </c:pt>
                <c:pt idx="2">
                  <c:v>0.45</c:v>
                </c:pt>
              </c:numCache>
            </c:numRef>
          </c:yVal>
          <c:smooth val="0"/>
          <c:extLst>
            <c:ext xmlns:c16="http://schemas.microsoft.com/office/drawing/2014/chart" uri="{C3380CC4-5D6E-409C-BE32-E72D297353CC}">
              <c16:uniqueId val="{0000001E-8762-4E4C-83A5-E277CEFDE221}"/>
            </c:ext>
          </c:extLst>
        </c:ser>
        <c:dLbls>
          <c:showLegendKey val="0"/>
          <c:showVal val="0"/>
          <c:showCatName val="0"/>
          <c:showSerName val="0"/>
          <c:showPercent val="0"/>
          <c:showBubbleSize val="0"/>
        </c:dLbls>
        <c:axId val="3"/>
        <c:axId val="4"/>
      </c:scatterChart>
      <c:valAx>
        <c:axId val="1485819008"/>
        <c:scaling>
          <c:orientation val="minMax"/>
        </c:scaling>
        <c:delete val="0"/>
        <c:axPos val="b"/>
        <c:majorGridlines>
          <c:spPr>
            <a:ln w="3175">
              <a:solidFill>
                <a:srgbClr val="00FFFF"/>
              </a:solidFill>
              <a:prstDash val="solid"/>
            </a:ln>
          </c:spPr>
        </c:majorGridlines>
        <c:title>
          <c:tx>
            <c:rich>
              <a:bodyPr/>
              <a:lstStyle/>
              <a:p>
                <a:pPr>
                  <a:defRPr sz="1150" b="1" i="0" u="none" strike="noStrike" baseline="0">
                    <a:solidFill>
                      <a:srgbClr val="000000"/>
                    </a:solidFill>
                    <a:latin typeface="Arial"/>
                    <a:ea typeface="Arial"/>
                    <a:cs typeface="Arial"/>
                  </a:defRPr>
                </a:pPr>
                <a:r>
                  <a:rPr lang="es-UY"/>
                  <a:t>Áncho del Vertedero (m)</a:t>
                </a:r>
              </a:p>
            </c:rich>
          </c:tx>
          <c:layout>
            <c:manualLayout>
              <c:xMode val="edge"/>
              <c:yMode val="edge"/>
              <c:x val="0.38152942172551013"/>
              <c:y val="0.9504650209863007"/>
            </c:manualLayout>
          </c:layout>
          <c:overlay val="0"/>
          <c:spPr>
            <a:noFill/>
            <a:ln w="25400">
              <a:noFill/>
            </a:ln>
          </c:spPr>
        </c:title>
        <c:numFmt formatCode="0" sourceLinked="1"/>
        <c:majorTickMark val="out"/>
        <c:minorTickMark val="in"/>
        <c:tickLblPos val="nextTo"/>
        <c:spPr>
          <a:ln w="3175">
            <a:solidFill>
              <a:srgbClr val="000000"/>
            </a:solidFill>
            <a:prstDash val="solid"/>
          </a:ln>
        </c:spPr>
        <c:txPr>
          <a:bodyPr rot="0" vert="horz"/>
          <a:lstStyle/>
          <a:p>
            <a:pPr>
              <a:defRPr sz="1150" b="1" i="0" u="none" strike="noStrike" baseline="0">
                <a:solidFill>
                  <a:srgbClr val="000000"/>
                </a:solidFill>
                <a:latin typeface="Arial"/>
                <a:ea typeface="Arial"/>
                <a:cs typeface="Arial"/>
              </a:defRPr>
            </a:pPr>
            <a:endParaRPr lang="es-UY"/>
          </a:p>
        </c:txPr>
        <c:crossAx val="1"/>
        <c:crosses val="autoZero"/>
        <c:crossBetween val="midCat"/>
      </c:valAx>
      <c:valAx>
        <c:axId val="1"/>
        <c:scaling>
          <c:orientation val="minMax"/>
        </c:scaling>
        <c:delete val="0"/>
        <c:axPos val="l"/>
        <c:title>
          <c:tx>
            <c:rich>
              <a:bodyPr/>
              <a:lstStyle/>
              <a:p>
                <a:pPr>
                  <a:defRPr sz="1100" b="0" i="0" u="none" strike="noStrike" baseline="0">
                    <a:solidFill>
                      <a:srgbClr val="000000"/>
                    </a:solidFill>
                    <a:latin typeface="Calibri"/>
                    <a:ea typeface="Calibri"/>
                    <a:cs typeface="Calibri"/>
                  </a:defRPr>
                </a:pPr>
                <a:r>
                  <a:rPr lang="es-UY" sz="1150" b="1" i="0" u="none" strike="noStrike" baseline="0">
                    <a:solidFill>
                      <a:srgbClr val="FF0000"/>
                    </a:solidFill>
                    <a:latin typeface="Arial"/>
                    <a:cs typeface="Arial"/>
                  </a:rPr>
                  <a:t>Velocidad del Flujo (m/s)</a:t>
                </a:r>
              </a:p>
              <a:p>
                <a:pPr>
                  <a:defRPr sz="1100" b="0" i="0" u="none" strike="noStrike" baseline="0">
                    <a:solidFill>
                      <a:srgbClr val="000000"/>
                    </a:solidFill>
                    <a:latin typeface="Calibri"/>
                    <a:ea typeface="Calibri"/>
                    <a:cs typeface="Calibri"/>
                  </a:defRPr>
                </a:pPr>
                <a:r>
                  <a:rPr lang="es-UY" sz="900" b="1" i="0" u="none" strike="noStrike" baseline="0">
                    <a:solidFill>
                      <a:srgbClr val="FF0000"/>
                    </a:solidFill>
                    <a:latin typeface="Arial"/>
                    <a:cs typeface="Arial"/>
                  </a:rPr>
                  <a:t>MEJOR &lt;---0 ---&gt; PEOR</a:t>
                </a:r>
              </a:p>
            </c:rich>
          </c:tx>
          <c:layout>
            <c:manualLayout>
              <c:xMode val="edge"/>
              <c:yMode val="edge"/>
              <c:x val="1.3533147066294132E-3"/>
              <c:y val="0.32346257350742547"/>
            </c:manualLayout>
          </c:layout>
          <c:overlay val="0"/>
          <c:spPr>
            <a:noFill/>
            <a:ln w="25400">
              <a:noFill/>
            </a:ln>
          </c:spPr>
        </c:title>
        <c:numFmt formatCode="0.00" sourceLinked="1"/>
        <c:majorTickMark val="out"/>
        <c:minorTickMark val="in"/>
        <c:tickLblPos val="nextTo"/>
        <c:spPr>
          <a:ln w="3175">
            <a:solidFill>
              <a:srgbClr val="FF0000"/>
            </a:solidFill>
            <a:prstDash val="solid"/>
          </a:ln>
        </c:spPr>
        <c:txPr>
          <a:bodyPr rot="0" vert="horz"/>
          <a:lstStyle/>
          <a:p>
            <a:pPr>
              <a:defRPr sz="1150" b="1" i="0" u="none" strike="noStrike" baseline="0">
                <a:solidFill>
                  <a:srgbClr val="FF0000"/>
                </a:solidFill>
                <a:latin typeface="Arial"/>
                <a:ea typeface="Arial"/>
                <a:cs typeface="Arial"/>
              </a:defRPr>
            </a:pPr>
            <a:endParaRPr lang="es-UY"/>
          </a:p>
        </c:txPr>
        <c:crossAx val="1485819008"/>
        <c:crosses val="autoZero"/>
        <c:crossBetween val="midCat"/>
      </c:valAx>
      <c:valAx>
        <c:axId val="3"/>
        <c:scaling>
          <c:orientation val="minMax"/>
        </c:scaling>
        <c:delete val="1"/>
        <c:axPos val="b"/>
        <c:numFmt formatCode="0" sourceLinked="1"/>
        <c:majorTickMark val="out"/>
        <c:minorTickMark val="none"/>
        <c:tickLblPos val="nextTo"/>
        <c:crossAx val="4"/>
        <c:crosses val="autoZero"/>
        <c:crossBetween val="midCat"/>
      </c:valAx>
      <c:valAx>
        <c:axId val="4"/>
        <c:scaling>
          <c:orientation val="minMax"/>
        </c:scaling>
        <c:delete val="0"/>
        <c:axPos val="r"/>
        <c:title>
          <c:tx>
            <c:rich>
              <a:bodyPr/>
              <a:lstStyle/>
              <a:p>
                <a:pPr>
                  <a:defRPr sz="1150" b="1" i="0" u="none" strike="noStrike" baseline="0">
                    <a:solidFill>
                      <a:srgbClr val="0000FF"/>
                    </a:solidFill>
                    <a:latin typeface="Arial"/>
                    <a:ea typeface="Arial"/>
                    <a:cs typeface="Arial"/>
                  </a:defRPr>
                </a:pPr>
                <a:r>
                  <a:rPr lang="es-UY"/>
                  <a:t>Sobreelevación "E" (m)</a:t>
                </a:r>
              </a:p>
            </c:rich>
          </c:tx>
          <c:layout>
            <c:manualLayout>
              <c:xMode val="edge"/>
              <c:yMode val="edge"/>
              <c:x val="0.92495808991617989"/>
              <c:y val="0.33029668759759462"/>
            </c:manualLayout>
          </c:layout>
          <c:overlay val="0"/>
          <c:spPr>
            <a:noFill/>
            <a:ln w="25400">
              <a:noFill/>
            </a:ln>
          </c:spPr>
        </c:title>
        <c:numFmt formatCode="0.00" sourceLinked="1"/>
        <c:majorTickMark val="cross"/>
        <c:minorTickMark val="in"/>
        <c:tickLblPos val="nextTo"/>
        <c:spPr>
          <a:ln w="3175">
            <a:solidFill>
              <a:srgbClr val="0000FF"/>
            </a:solidFill>
            <a:prstDash val="solid"/>
          </a:ln>
        </c:spPr>
        <c:txPr>
          <a:bodyPr rot="0" vert="horz"/>
          <a:lstStyle/>
          <a:p>
            <a:pPr>
              <a:defRPr sz="1150" b="1" i="0" u="none" strike="noStrike" baseline="0">
                <a:solidFill>
                  <a:srgbClr val="0000FF"/>
                </a:solidFill>
                <a:latin typeface="Arial"/>
                <a:ea typeface="Arial"/>
                <a:cs typeface="Arial"/>
              </a:defRPr>
            </a:pPr>
            <a:endParaRPr lang="es-UY"/>
          </a:p>
        </c:txPr>
        <c:crossAx val="3"/>
        <c:crosses val="max"/>
        <c:crossBetween val="midCat"/>
      </c:valAx>
      <c:spPr>
        <a:noFill/>
        <a:ln w="12700">
          <a:solidFill>
            <a:srgbClr val="808080"/>
          </a:solidFill>
          <a:prstDash val="solid"/>
        </a:ln>
      </c:spPr>
    </c:plotArea>
    <c:plotVisOnly val="1"/>
    <c:dispBlanksAs val="gap"/>
    <c:showDLblsOverMax val="0"/>
  </c:chart>
  <c:spPr>
    <a:solidFill>
      <a:schemeClr val="bg1">
        <a:lumMod val="95000"/>
      </a:schemeClr>
    </a:solidFill>
    <a:ln w="9525">
      <a:solidFill>
        <a:srgbClr val="000000"/>
      </a:solidFill>
    </a:ln>
  </c:spPr>
  <c:txPr>
    <a:bodyPr/>
    <a:lstStyle/>
    <a:p>
      <a:pPr>
        <a:defRPr sz="1150" b="0" i="0" u="none" strike="noStrike" baseline="0">
          <a:solidFill>
            <a:srgbClr val="000000"/>
          </a:solidFill>
          <a:latin typeface="Arial"/>
          <a:ea typeface="Arial"/>
          <a:cs typeface="Arial"/>
        </a:defRPr>
      </a:pPr>
      <a:endParaRPr lang="es-UY"/>
    </a:p>
  </c:txPr>
  <c:printSettings>
    <c:headerFooter alignWithMargins="0"/>
    <c:pageMargins b="1" l="0.75" r="0.75" t="1" header="0" footer="0"/>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UY"/>
              <a:t>Tirante máximo y ancho del vertedero-canal</a:t>
            </a:r>
          </a:p>
        </c:rich>
      </c:tx>
      <c:layout>
        <c:manualLayout>
          <c:xMode val="edge"/>
          <c:yMode val="edge"/>
          <c:x val="0.24227376588364868"/>
          <c:y val="0"/>
        </c:manualLayout>
      </c:layout>
      <c:overlay val="1"/>
      <c:spPr>
        <a:noFill/>
        <a:ln w="25400">
          <a:noFill/>
        </a:ln>
      </c:spPr>
    </c:title>
    <c:autoTitleDeleted val="0"/>
    <c:plotArea>
      <c:layout>
        <c:manualLayout>
          <c:layoutTarget val="inner"/>
          <c:xMode val="edge"/>
          <c:yMode val="edge"/>
          <c:x val="2.9296981199825593E-2"/>
          <c:y val="7.3132757968572701E-2"/>
          <c:w val="0.96742804378090153"/>
          <c:h val="0.79822506561679785"/>
        </c:manualLayout>
      </c:layout>
      <c:scatterChart>
        <c:scatterStyle val="lineMarker"/>
        <c:varyColors val="0"/>
        <c:ser>
          <c:idx val="0"/>
          <c:order val="0"/>
          <c:tx>
            <c:strRef>
              <c:f>'Diseño Aliv-Canal'!$K$13</c:f>
              <c:strCache>
                <c:ptCount val="1"/>
                <c:pt idx="0">
                  <c:v>B min =</c:v>
                </c:pt>
              </c:strCache>
            </c:strRef>
          </c:tx>
          <c:spPr>
            <a:ln>
              <a:solidFill>
                <a:srgbClr val="FF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0079-450C-83A8-F63CD719769C}"/>
                </c:ext>
              </c:extLst>
            </c:dLbl>
            <c:dLbl>
              <c:idx val="1"/>
              <c:delete val="1"/>
              <c:extLst>
                <c:ext xmlns:c15="http://schemas.microsoft.com/office/drawing/2012/chart" uri="{CE6537A1-D6FC-4f65-9D91-7224C49458BB}"/>
                <c:ext xmlns:c16="http://schemas.microsoft.com/office/drawing/2014/chart" uri="{C3380CC4-5D6E-409C-BE32-E72D297353CC}">
                  <c16:uniqueId val="{00000001-0079-450C-83A8-F63CD719769C}"/>
                </c:ext>
              </c:extLst>
            </c:dLbl>
            <c:dLbl>
              <c:idx val="2"/>
              <c:layout>
                <c:manualLayout>
                  <c:x val="-1.737242128121607E-2"/>
                  <c:y val="-0.6428571428571429"/>
                </c:manualLayout>
              </c:layout>
              <c:spPr>
                <a:noFill/>
                <a:ln w="25400">
                  <a:noFill/>
                </a:ln>
              </c:spPr>
              <c:txPr>
                <a:bodyPr/>
                <a:lstStyle/>
                <a:p>
                  <a:pPr>
                    <a:defRPr sz="1200" b="1" i="0" u="none" strike="noStrike" baseline="0">
                      <a:solidFill>
                        <a:srgbClr val="FF0000"/>
                      </a:solidFill>
                      <a:latin typeface="Calibri"/>
                      <a:ea typeface="Calibri"/>
                      <a:cs typeface="Calibri"/>
                    </a:defRPr>
                  </a:pPr>
                  <a:endParaRPr lang="es-UY"/>
                </a:p>
              </c:txPr>
              <c:dLblPos val="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0079-450C-83A8-F63CD719769C}"/>
                </c:ext>
              </c:extLst>
            </c:dLbl>
            <c:dLbl>
              <c:idx val="3"/>
              <c:delete val="1"/>
              <c:extLst>
                <c:ext xmlns:c15="http://schemas.microsoft.com/office/drawing/2012/chart" uri="{CE6537A1-D6FC-4f65-9D91-7224C49458BB}"/>
                <c:ext xmlns:c16="http://schemas.microsoft.com/office/drawing/2014/chart" uri="{C3380CC4-5D6E-409C-BE32-E72D297353CC}">
                  <c16:uniqueId val="{00000003-0079-450C-83A8-F63CD719769C}"/>
                </c:ext>
              </c:extLst>
            </c:dLbl>
            <c:spPr>
              <a:noFill/>
              <a:ln w="25400">
                <a:noFill/>
              </a:ln>
            </c:spPr>
            <c:txPr>
              <a:bodyPr wrap="square" lIns="38100" tIns="19050" rIns="38100" bIns="19050" anchor="ctr">
                <a:spAutoFit/>
              </a:bodyPr>
              <a:lstStyle/>
              <a:p>
                <a:pPr>
                  <a:defRPr sz="1200" b="1" i="0" u="none" strike="noStrike" baseline="0">
                    <a:solidFill>
                      <a:srgbClr val="FF0000"/>
                    </a:solidFill>
                    <a:latin typeface="Calibri"/>
                    <a:ea typeface="Calibri"/>
                    <a:cs typeface="Calibri"/>
                  </a:defRPr>
                </a:pPr>
                <a:endParaRPr lang="es-UY"/>
              </a:p>
            </c:txPr>
            <c:showLegendKey val="0"/>
            <c:showVal val="0"/>
            <c:showCatName val="1"/>
            <c:showSerName val="1"/>
            <c:showPercent val="0"/>
            <c:showBubbleSize val="0"/>
            <c:separator> </c:separator>
            <c:showLeaderLines val="0"/>
            <c:extLst>
              <c:ext xmlns:c15="http://schemas.microsoft.com/office/drawing/2012/chart" uri="{CE6537A1-D6FC-4f65-9D91-7224C49458BB}">
                <c15:showLeaderLines val="0"/>
              </c:ext>
            </c:extLst>
          </c:dLbls>
          <c:xVal>
            <c:numRef>
              <c:f>'Diseño Aliv-Canal'!$J$14:$J$17</c:f>
              <c:numCache>
                <c:formatCode>General</c:formatCode>
                <c:ptCount val="4"/>
                <c:pt idx="0" formatCode="0.00">
                  <c:v>-1.35</c:v>
                </c:pt>
                <c:pt idx="1">
                  <c:v>0</c:v>
                </c:pt>
                <c:pt idx="2" formatCode="0.0">
                  <c:v>194.27147137204383</c:v>
                </c:pt>
                <c:pt idx="3" formatCode="0.0">
                  <c:v>195.27147137204383</c:v>
                </c:pt>
              </c:numCache>
            </c:numRef>
          </c:xVal>
          <c:yVal>
            <c:numRef>
              <c:f>'Diseño Aliv-Canal'!$K$14:$K$17</c:f>
              <c:numCache>
                <c:formatCode>General</c:formatCode>
                <c:ptCount val="4"/>
                <c:pt idx="0" formatCode="0.00">
                  <c:v>1.35</c:v>
                </c:pt>
                <c:pt idx="1">
                  <c:v>0</c:v>
                </c:pt>
                <c:pt idx="2">
                  <c:v>0</c:v>
                </c:pt>
                <c:pt idx="3" formatCode="0.00">
                  <c:v>1.35</c:v>
                </c:pt>
              </c:numCache>
            </c:numRef>
          </c:yVal>
          <c:smooth val="0"/>
          <c:extLst>
            <c:ext xmlns:c16="http://schemas.microsoft.com/office/drawing/2014/chart" uri="{C3380CC4-5D6E-409C-BE32-E72D297353CC}">
              <c16:uniqueId val="{00000004-0079-450C-83A8-F63CD719769C}"/>
            </c:ext>
          </c:extLst>
        </c:ser>
        <c:ser>
          <c:idx val="1"/>
          <c:order val="1"/>
          <c:tx>
            <c:strRef>
              <c:f>'Diseño Aliv-Canal'!$M$13</c:f>
              <c:strCache>
                <c:ptCount val="1"/>
                <c:pt idx="0">
                  <c:v>B adopt =</c:v>
                </c:pt>
              </c:strCache>
            </c:strRef>
          </c:tx>
          <c:spPr>
            <a:ln w="50800">
              <a:solidFill>
                <a:srgbClr val="00B05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0079-450C-83A8-F63CD719769C}"/>
                </c:ext>
              </c:extLst>
            </c:dLbl>
            <c:dLbl>
              <c:idx val="1"/>
              <c:delete val="1"/>
              <c:extLst>
                <c:ext xmlns:c15="http://schemas.microsoft.com/office/drawing/2012/chart" uri="{CE6537A1-D6FC-4f65-9D91-7224C49458BB}"/>
                <c:ext xmlns:c16="http://schemas.microsoft.com/office/drawing/2014/chart" uri="{C3380CC4-5D6E-409C-BE32-E72D297353CC}">
                  <c16:uniqueId val="{00000006-0079-450C-83A8-F63CD719769C}"/>
                </c:ext>
              </c:extLst>
            </c:dLbl>
            <c:dLbl>
              <c:idx val="2"/>
              <c:layout>
                <c:manualLayout>
                  <c:x val="0"/>
                  <c:y val="-0.53213751868460391"/>
                </c:manualLayout>
              </c:layout>
              <c:spPr>
                <a:noFill/>
                <a:ln w="25400">
                  <a:noFill/>
                </a:ln>
              </c:spPr>
              <c:txPr>
                <a:bodyPr/>
                <a:lstStyle/>
                <a:p>
                  <a:pPr>
                    <a:defRPr sz="1200" b="1" i="0" u="none" strike="noStrike" baseline="0">
                      <a:solidFill>
                        <a:srgbClr val="339966"/>
                      </a:solidFill>
                      <a:latin typeface="Calibri"/>
                      <a:ea typeface="Calibri"/>
                      <a:cs typeface="Calibri"/>
                    </a:defRPr>
                  </a:pPr>
                  <a:endParaRPr lang="es-UY"/>
                </a:p>
              </c:txPr>
              <c:dLblPos val="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079-450C-83A8-F63CD719769C}"/>
                </c:ext>
              </c:extLst>
            </c:dLbl>
            <c:dLbl>
              <c:idx val="3"/>
              <c:delete val="1"/>
              <c:extLst>
                <c:ext xmlns:c15="http://schemas.microsoft.com/office/drawing/2012/chart" uri="{CE6537A1-D6FC-4f65-9D91-7224C49458BB}"/>
                <c:ext xmlns:c16="http://schemas.microsoft.com/office/drawing/2014/chart" uri="{C3380CC4-5D6E-409C-BE32-E72D297353CC}">
                  <c16:uniqueId val="{00000008-0079-450C-83A8-F63CD719769C}"/>
                </c:ext>
              </c:extLst>
            </c:dLbl>
            <c:dLbl>
              <c:idx val="4"/>
              <c:delete val="1"/>
              <c:extLst>
                <c:ext xmlns:c15="http://schemas.microsoft.com/office/drawing/2012/chart" uri="{CE6537A1-D6FC-4f65-9D91-7224C49458BB}"/>
                <c:ext xmlns:c16="http://schemas.microsoft.com/office/drawing/2014/chart" uri="{C3380CC4-5D6E-409C-BE32-E72D297353CC}">
                  <c16:uniqueId val="{00000009-0079-450C-83A8-F63CD719769C}"/>
                </c:ext>
              </c:extLst>
            </c:dLbl>
            <c:dLbl>
              <c:idx val="5"/>
              <c:delete val="1"/>
              <c:extLst>
                <c:ext xmlns:c15="http://schemas.microsoft.com/office/drawing/2012/chart" uri="{CE6537A1-D6FC-4f65-9D91-7224C49458BB}"/>
                <c:ext xmlns:c16="http://schemas.microsoft.com/office/drawing/2014/chart" uri="{C3380CC4-5D6E-409C-BE32-E72D297353CC}">
                  <c16:uniqueId val="{0000000A-0079-450C-83A8-F63CD719769C}"/>
                </c:ext>
              </c:extLst>
            </c:dLbl>
            <c:dLbl>
              <c:idx val="6"/>
              <c:layout>
                <c:manualLayout>
                  <c:x val="-8.6862106406080351E-3"/>
                  <c:y val="-0.48809523809523808"/>
                </c:manualLayout>
              </c:layout>
              <c:spPr>
                <a:noFill/>
                <a:ln w="25400">
                  <a:noFill/>
                </a:ln>
              </c:spPr>
              <c:txPr>
                <a:bodyPr/>
                <a:lstStyle/>
                <a:p>
                  <a:pPr>
                    <a:defRPr sz="1200" b="1" i="0" u="none" strike="noStrike" baseline="0">
                      <a:solidFill>
                        <a:srgbClr val="339966"/>
                      </a:solidFill>
                      <a:latin typeface="Calibri"/>
                      <a:ea typeface="Calibri"/>
                      <a:cs typeface="Calibri"/>
                    </a:defRPr>
                  </a:pPr>
                  <a:endParaRPr lang="es-UY"/>
                </a:p>
              </c:txPr>
              <c:dLblPos val="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079-450C-83A8-F63CD719769C}"/>
                </c:ext>
              </c:extLst>
            </c:dLbl>
            <c:dLbl>
              <c:idx val="7"/>
              <c:delete val="1"/>
              <c:extLst>
                <c:ext xmlns:c15="http://schemas.microsoft.com/office/drawing/2012/chart" uri="{CE6537A1-D6FC-4f65-9D91-7224C49458BB}"/>
                <c:ext xmlns:c16="http://schemas.microsoft.com/office/drawing/2014/chart" uri="{C3380CC4-5D6E-409C-BE32-E72D297353CC}">
                  <c16:uniqueId val="{0000000C-0079-450C-83A8-F63CD719769C}"/>
                </c:ext>
              </c:extLst>
            </c:dLbl>
            <c:spPr>
              <a:noFill/>
              <a:ln w="25400">
                <a:noFill/>
              </a:ln>
            </c:spPr>
            <c:txPr>
              <a:bodyPr wrap="square" lIns="38100" tIns="19050" rIns="38100" bIns="19050" anchor="ctr">
                <a:spAutoFit/>
              </a:bodyPr>
              <a:lstStyle/>
              <a:p>
                <a:pPr>
                  <a:defRPr sz="1400" b="1" i="0" u="none" strike="noStrike" baseline="0">
                    <a:solidFill>
                      <a:srgbClr val="339966"/>
                    </a:solidFill>
                    <a:latin typeface="Calibri"/>
                    <a:ea typeface="Calibri"/>
                    <a:cs typeface="Calibri"/>
                  </a:defRPr>
                </a:pPr>
                <a:endParaRPr lang="es-UY"/>
              </a:p>
            </c:txPr>
            <c:showLegendKey val="0"/>
            <c:showVal val="0"/>
            <c:showCatName val="1"/>
            <c:showSerName val="1"/>
            <c:showPercent val="0"/>
            <c:showBubbleSize val="0"/>
            <c:separator> </c:separator>
            <c:showLeaderLines val="0"/>
            <c:extLst>
              <c:ext xmlns:c15="http://schemas.microsoft.com/office/drawing/2012/chart" uri="{CE6537A1-D6FC-4f65-9D91-7224C49458BB}">
                <c15:showLeaderLines val="0"/>
              </c:ext>
            </c:extLst>
          </c:dLbls>
          <c:xVal>
            <c:numRef>
              <c:f>'Diseño Aliv-Canal'!$L$14:$L$17</c:f>
              <c:numCache>
                <c:formatCode>General</c:formatCode>
                <c:ptCount val="4"/>
                <c:pt idx="0">
                  <c:v>-1.35</c:v>
                </c:pt>
                <c:pt idx="1">
                  <c:v>0</c:v>
                </c:pt>
                <c:pt idx="2">
                  <c:v>200</c:v>
                </c:pt>
                <c:pt idx="3" formatCode="0.0">
                  <c:v>201</c:v>
                </c:pt>
              </c:numCache>
            </c:numRef>
          </c:xVal>
          <c:yVal>
            <c:numRef>
              <c:f>'Diseño Aliv-Canal'!$M$14:$M$17</c:f>
              <c:numCache>
                <c:formatCode>General</c:formatCode>
                <c:ptCount val="4"/>
                <c:pt idx="0" formatCode="0.00">
                  <c:v>1.35</c:v>
                </c:pt>
                <c:pt idx="1">
                  <c:v>0</c:v>
                </c:pt>
                <c:pt idx="2">
                  <c:v>0</c:v>
                </c:pt>
                <c:pt idx="3" formatCode="0.00">
                  <c:v>1.35</c:v>
                </c:pt>
              </c:numCache>
            </c:numRef>
          </c:yVal>
          <c:smooth val="0"/>
          <c:extLst>
            <c:ext xmlns:c16="http://schemas.microsoft.com/office/drawing/2014/chart" uri="{C3380CC4-5D6E-409C-BE32-E72D297353CC}">
              <c16:uniqueId val="{0000000D-0079-450C-83A8-F63CD719769C}"/>
            </c:ext>
          </c:extLst>
        </c:ser>
        <c:ser>
          <c:idx val="2"/>
          <c:order val="2"/>
          <c:tx>
            <c:strRef>
              <c:f>'Diseño Aliv-Canal'!$O$13</c:f>
              <c:strCache>
                <c:ptCount val="1"/>
                <c:pt idx="0">
                  <c:v>Tirante = </c:v>
                </c:pt>
              </c:strCache>
            </c:strRef>
          </c:tx>
          <c:spPr>
            <a:ln>
              <a:solidFill>
                <a:srgbClr val="0070C0"/>
              </a:solidFill>
            </a:ln>
          </c:spPr>
          <c:marker>
            <c:symbol val="none"/>
          </c:marker>
          <c:dLbls>
            <c:dLbl>
              <c:idx val="0"/>
              <c:layout>
                <c:manualLayout>
                  <c:x val="-4.3360433604336043E-3"/>
                  <c:y val="-5.3811659192825115E-2"/>
                </c:manualLayout>
              </c:layout>
              <c:spPr>
                <a:noFill/>
                <a:ln w="25400">
                  <a:noFill/>
                </a:ln>
              </c:spPr>
              <c:txPr>
                <a:bodyPr/>
                <a:lstStyle/>
                <a:p>
                  <a:pPr>
                    <a:defRPr sz="1000" b="1" i="0" u="none" strike="noStrike" baseline="0">
                      <a:solidFill>
                        <a:srgbClr val="0066CC"/>
                      </a:solidFill>
                      <a:latin typeface="Calibri"/>
                      <a:ea typeface="Calibri"/>
                      <a:cs typeface="Calibri"/>
                    </a:defRPr>
                  </a:pPr>
                  <a:endParaRPr lang="es-UY"/>
                </a:p>
              </c:txPr>
              <c:dLblPos val="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0079-450C-83A8-F63CD719769C}"/>
                </c:ext>
              </c:extLst>
            </c:dLbl>
            <c:dLbl>
              <c:idx val="1"/>
              <c:delete val="1"/>
              <c:extLst>
                <c:ext xmlns:c15="http://schemas.microsoft.com/office/drawing/2012/chart" uri="{CE6537A1-D6FC-4f65-9D91-7224C49458BB}"/>
                <c:ext xmlns:c16="http://schemas.microsoft.com/office/drawing/2014/chart" uri="{C3380CC4-5D6E-409C-BE32-E72D297353CC}">
                  <c16:uniqueId val="{0000000F-0079-450C-83A8-F63CD719769C}"/>
                </c:ext>
              </c:extLst>
            </c:dLbl>
            <c:dLbl>
              <c:idx val="8"/>
              <c:layout>
                <c:manualLayout>
                  <c:x val="1.1308147005911076E-2"/>
                  <c:y val="-4.1666666666666664E-2"/>
                </c:manualLayout>
              </c:layout>
              <c:spPr>
                <a:noFill/>
                <a:ln w="25400">
                  <a:noFill/>
                </a:ln>
              </c:spPr>
              <c:txPr>
                <a:bodyPr/>
                <a:lstStyle/>
                <a:p>
                  <a:pPr>
                    <a:defRPr sz="1000" b="1" i="0" u="none" strike="noStrike" baseline="0">
                      <a:solidFill>
                        <a:srgbClr val="0066CC"/>
                      </a:solidFill>
                      <a:latin typeface="Calibri"/>
                      <a:ea typeface="Calibri"/>
                      <a:cs typeface="Calibri"/>
                    </a:defRPr>
                  </a:pPr>
                  <a:endParaRPr lang="es-UY"/>
                </a:p>
              </c:txPr>
              <c:dLblPos val="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0079-450C-83A8-F63CD719769C}"/>
                </c:ext>
              </c:extLst>
            </c:dLbl>
            <c:dLbl>
              <c:idx val="9"/>
              <c:delete val="1"/>
              <c:extLst>
                <c:ext xmlns:c15="http://schemas.microsoft.com/office/drawing/2012/chart" uri="{CE6537A1-D6FC-4f65-9D91-7224C49458BB}"/>
                <c:ext xmlns:c16="http://schemas.microsoft.com/office/drawing/2014/chart" uri="{C3380CC4-5D6E-409C-BE32-E72D297353CC}">
                  <c16:uniqueId val="{00000011-0079-450C-83A8-F63CD719769C}"/>
                </c:ext>
              </c:extLst>
            </c:dLbl>
            <c:spPr>
              <a:noFill/>
              <a:ln w="25400">
                <a:noFill/>
              </a:ln>
            </c:spPr>
            <c:txPr>
              <a:bodyPr wrap="square" lIns="38100" tIns="19050" rIns="38100" bIns="19050" anchor="ctr">
                <a:spAutoFit/>
              </a:bodyPr>
              <a:lstStyle/>
              <a:p>
                <a:pPr>
                  <a:defRPr sz="1000" b="1" i="0" u="none" strike="noStrike" baseline="0">
                    <a:solidFill>
                      <a:srgbClr val="0066CC"/>
                    </a:solidFill>
                    <a:latin typeface="Calibri"/>
                    <a:ea typeface="Calibri"/>
                    <a:cs typeface="Calibri"/>
                  </a:defRPr>
                </a:pPr>
                <a:endParaRPr lang="es-UY"/>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xVal>
            <c:numRef>
              <c:f>'Diseño Aliv-Canal'!$N$14:$N$15</c:f>
              <c:numCache>
                <c:formatCode>0.00</c:formatCode>
                <c:ptCount val="2"/>
                <c:pt idx="0">
                  <c:v>-0.34660480452614101</c:v>
                </c:pt>
                <c:pt idx="1">
                  <c:v>200.34660480452615</c:v>
                </c:pt>
              </c:numCache>
            </c:numRef>
          </c:xVal>
          <c:yVal>
            <c:numRef>
              <c:f>'Diseño Aliv-Canal'!$O$14:$O$15</c:f>
              <c:numCache>
                <c:formatCode>0.00</c:formatCode>
                <c:ptCount val="2"/>
                <c:pt idx="0">
                  <c:v>0.34660480452614101</c:v>
                </c:pt>
                <c:pt idx="1">
                  <c:v>0.34660480452614101</c:v>
                </c:pt>
              </c:numCache>
            </c:numRef>
          </c:yVal>
          <c:smooth val="0"/>
          <c:extLst>
            <c:ext xmlns:c16="http://schemas.microsoft.com/office/drawing/2014/chart" uri="{C3380CC4-5D6E-409C-BE32-E72D297353CC}">
              <c16:uniqueId val="{00000012-0079-450C-83A8-F63CD719769C}"/>
            </c:ext>
          </c:extLst>
        </c:ser>
        <c:dLbls>
          <c:showLegendKey val="0"/>
          <c:showVal val="0"/>
          <c:showCatName val="0"/>
          <c:showSerName val="0"/>
          <c:showPercent val="0"/>
          <c:showBubbleSize val="0"/>
        </c:dLbls>
        <c:axId val="1485794880"/>
        <c:axId val="1"/>
      </c:scatterChart>
      <c:valAx>
        <c:axId val="1485794880"/>
        <c:scaling>
          <c:orientation val="minMax"/>
          <c:max val="300"/>
          <c:min val="-10"/>
        </c:scaling>
        <c:delete val="0"/>
        <c:axPos val="b"/>
        <c:title>
          <c:tx>
            <c:rich>
              <a:bodyPr/>
              <a:lstStyle/>
              <a:p>
                <a:pPr>
                  <a:defRPr/>
                </a:pPr>
                <a:r>
                  <a:rPr lang="es-ES"/>
                  <a:t>Ancho "B"</a:t>
                </a:r>
                <a:r>
                  <a:rPr lang="es-ES" baseline="0"/>
                  <a:t> del vertedero-canal (m)</a:t>
                </a:r>
                <a:endParaRPr lang="es-ES"/>
              </a:p>
            </c:rich>
          </c:tx>
          <c:overlay val="0"/>
          <c:spPr>
            <a:noFill/>
            <a:ln w="25400">
              <a:noFill/>
            </a:ln>
          </c:spPr>
        </c:title>
        <c:numFmt formatCode="General" sourceLinked="0"/>
        <c:majorTickMark val="out"/>
        <c:minorTickMark val="none"/>
        <c:tickLblPos val="nextTo"/>
        <c:txPr>
          <a:bodyPr rot="0" vert="horz"/>
          <a:lstStyle/>
          <a:p>
            <a:pPr>
              <a:defRPr sz="600" b="0" i="0" u="none" strike="noStrike" baseline="0">
                <a:solidFill>
                  <a:srgbClr val="000000"/>
                </a:solidFill>
                <a:latin typeface="Calibri"/>
                <a:ea typeface="Calibri"/>
                <a:cs typeface="Calibri"/>
              </a:defRPr>
            </a:pPr>
            <a:endParaRPr lang="es-UY"/>
          </a:p>
        </c:txPr>
        <c:crossAx val="1"/>
        <c:crosses val="autoZero"/>
        <c:crossBetween val="midCat"/>
        <c:majorUnit val="10"/>
      </c:valAx>
      <c:valAx>
        <c:axId val="1"/>
        <c:scaling>
          <c:orientation val="minMax"/>
          <c:max val="1.8"/>
          <c:min val="0"/>
        </c:scaling>
        <c:delete val="0"/>
        <c:axPos val="l"/>
        <c:numFmt formatCode="General"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UY"/>
          </a:p>
        </c:txPr>
        <c:crossAx val="1485794880"/>
        <c:crosses val="autoZero"/>
        <c:crossBetween val="midCat"/>
      </c:valAx>
      <c:spPr>
        <a:noFill/>
        <a:ln w="25400">
          <a:noFill/>
        </a:ln>
      </c:spPr>
    </c:plotArea>
    <c:plotVisOnly val="1"/>
    <c:dispBlanksAs val="gap"/>
    <c:showDLblsOverMax val="0"/>
  </c:chart>
  <c:spPr>
    <a:solidFill>
      <a:schemeClr val="bg1">
        <a:lumMod val="95000"/>
      </a:schemeClr>
    </a:solidFill>
    <a:ln>
      <a:solidFill>
        <a:srgbClr val="C00000"/>
      </a:solidFill>
    </a:ln>
  </c:spPr>
  <c:txPr>
    <a:bodyPr/>
    <a:lstStyle/>
    <a:p>
      <a:pPr>
        <a:defRPr sz="1000" b="0" i="0" u="none" strike="noStrike" baseline="0">
          <a:solidFill>
            <a:srgbClr val="000000"/>
          </a:solidFill>
          <a:latin typeface="Calibri"/>
          <a:ea typeface="Calibri"/>
          <a:cs typeface="Calibri"/>
        </a:defRPr>
      </a:pPr>
      <a:endParaRPr lang="es-UY"/>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sng" strike="noStrike" baseline="0">
                <a:solidFill>
                  <a:srgbClr val="000000"/>
                </a:solidFill>
                <a:latin typeface="Arial"/>
                <a:ea typeface="Arial"/>
                <a:cs typeface="Arial"/>
              </a:defRPr>
            </a:pPr>
            <a:r>
              <a:rPr lang="es-UY"/>
              <a:t>Sobreelevación en el embalse y tirante en vertedero</a:t>
            </a:r>
          </a:p>
        </c:rich>
      </c:tx>
      <c:layout>
        <c:manualLayout>
          <c:xMode val="edge"/>
          <c:yMode val="edge"/>
          <c:x val="1.9722133234416363E-3"/>
          <c:y val="6.8297670080533779E-3"/>
        </c:manualLayout>
      </c:layout>
      <c:overlay val="0"/>
      <c:spPr>
        <a:noFill/>
        <a:ln w="25400">
          <a:noFill/>
        </a:ln>
      </c:spPr>
    </c:title>
    <c:autoTitleDeleted val="0"/>
    <c:plotArea>
      <c:layout>
        <c:manualLayout>
          <c:layoutTarget val="inner"/>
          <c:xMode val="edge"/>
          <c:yMode val="edge"/>
          <c:x val="0"/>
          <c:y val="8.8366952644543778E-2"/>
          <c:w val="1"/>
          <c:h val="0.88590595987666498"/>
        </c:manualLayout>
      </c:layout>
      <c:scatterChart>
        <c:scatterStyle val="lineMarker"/>
        <c:varyColors val="0"/>
        <c:ser>
          <c:idx val="0"/>
          <c:order val="0"/>
          <c:tx>
            <c:strRef>
              <c:f>'Diseño Aliv-Canal'!$B$13</c:f>
              <c:strCache>
                <c:ptCount val="1"/>
                <c:pt idx="0">
                  <c:v>Cota coronamiento = Hv+</c:v>
                </c:pt>
              </c:strCache>
            </c:strRef>
          </c:tx>
          <c:spPr>
            <a:ln w="38100">
              <a:solidFill>
                <a:srgbClr val="993300"/>
              </a:solidFill>
              <a:prstDash val="solid"/>
            </a:ln>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0-3FE3-4650-AE42-473CB28CA406}"/>
                </c:ext>
              </c:extLst>
            </c:dLbl>
            <c:dLbl>
              <c:idx val="2"/>
              <c:delete val="1"/>
              <c:extLst>
                <c:ext xmlns:c15="http://schemas.microsoft.com/office/drawing/2012/chart" uri="{CE6537A1-D6FC-4f65-9D91-7224C49458BB}"/>
                <c:ext xmlns:c16="http://schemas.microsoft.com/office/drawing/2014/chart" uri="{C3380CC4-5D6E-409C-BE32-E72D297353CC}">
                  <c16:uniqueId val="{00000001-3FE3-4650-AE42-473CB28CA406}"/>
                </c:ext>
              </c:extLst>
            </c:dLbl>
            <c:dLbl>
              <c:idx val="3"/>
              <c:layout>
                <c:manualLayout>
                  <c:x val="-0.19251406390390069"/>
                  <c:y val="1.449667276438932E-2"/>
                </c:manualLayout>
              </c:layout>
              <c:spPr>
                <a:noFill/>
                <a:ln w="25400">
                  <a:noFill/>
                </a:ln>
              </c:spPr>
              <c:txPr>
                <a:bodyPr/>
                <a:lstStyle/>
                <a:p>
                  <a:pPr>
                    <a:defRPr sz="1000" b="0" i="0" u="none" strike="noStrike" baseline="0">
                      <a:solidFill>
                        <a:srgbClr val="000000"/>
                      </a:solidFill>
                      <a:latin typeface="Arial"/>
                      <a:ea typeface="Arial"/>
                      <a:cs typeface="Arial"/>
                    </a:defRPr>
                  </a:pPr>
                  <a:endParaRPr lang="es-UY"/>
                </a:p>
              </c:txPr>
              <c:dLblPos val="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3FE3-4650-AE42-473CB28CA406}"/>
                </c:ext>
              </c:extLst>
            </c:dLbl>
            <c:dLbl>
              <c:idx val="4"/>
              <c:delete val="1"/>
              <c:extLst>
                <c:ext xmlns:c15="http://schemas.microsoft.com/office/drawing/2012/chart" uri="{CE6537A1-D6FC-4f65-9D91-7224C49458BB}"/>
                <c:ext xmlns:c16="http://schemas.microsoft.com/office/drawing/2014/chart" uri="{C3380CC4-5D6E-409C-BE32-E72D297353CC}">
                  <c16:uniqueId val="{00000003-3FE3-4650-AE42-473CB28CA406}"/>
                </c:ext>
              </c:extLst>
            </c:dLbl>
            <c:dLbl>
              <c:idx val="5"/>
              <c:delete val="1"/>
              <c:extLst>
                <c:ext xmlns:c15="http://schemas.microsoft.com/office/drawing/2012/chart" uri="{CE6537A1-D6FC-4f65-9D91-7224C49458BB}"/>
                <c:ext xmlns:c16="http://schemas.microsoft.com/office/drawing/2014/chart" uri="{C3380CC4-5D6E-409C-BE32-E72D297353CC}">
                  <c16:uniqueId val="{00000004-3FE3-4650-AE42-473CB28CA406}"/>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'Diseño Aliv-Canal'!$A$14:$A$19</c:f>
              <c:numCache>
                <c:formatCode>0.00</c:formatCode>
                <c:ptCount val="6"/>
                <c:pt idx="0" formatCode="General">
                  <c:v>-6.75</c:v>
                </c:pt>
                <c:pt idx="1">
                  <c:v>5</c:v>
                </c:pt>
                <c:pt idx="2">
                  <c:v>6</c:v>
                </c:pt>
                <c:pt idx="3">
                  <c:v>8.35</c:v>
                </c:pt>
                <c:pt idx="4">
                  <c:v>9.35</c:v>
                </c:pt>
                <c:pt idx="5">
                  <c:v>11.7</c:v>
                </c:pt>
              </c:numCache>
            </c:numRef>
          </c:xVal>
          <c:yVal>
            <c:numRef>
              <c:f>'Diseño Aliv-Canal'!$B$14:$B$19</c:f>
              <c:numCache>
                <c:formatCode>General</c:formatCode>
                <c:ptCount val="6"/>
                <c:pt idx="0" formatCode="0.00">
                  <c:v>1.35</c:v>
                </c:pt>
                <c:pt idx="1">
                  <c:v>-1</c:v>
                </c:pt>
                <c:pt idx="2">
                  <c:v>-1</c:v>
                </c:pt>
                <c:pt idx="3" formatCode="0.00">
                  <c:v>1.35</c:v>
                </c:pt>
                <c:pt idx="4" formatCode="0.00">
                  <c:v>1.35</c:v>
                </c:pt>
                <c:pt idx="5">
                  <c:v>-1</c:v>
                </c:pt>
              </c:numCache>
            </c:numRef>
          </c:yVal>
          <c:smooth val="0"/>
          <c:extLst>
            <c:ext xmlns:c16="http://schemas.microsoft.com/office/drawing/2014/chart" uri="{C3380CC4-5D6E-409C-BE32-E72D297353CC}">
              <c16:uniqueId val="{00000005-3FE3-4650-AE42-473CB28CA406}"/>
            </c:ext>
          </c:extLst>
        </c:ser>
        <c:ser>
          <c:idx val="1"/>
          <c:order val="1"/>
          <c:tx>
            <c:strRef>
              <c:f>'Diseño Aliv-Canal'!$D$13</c:f>
              <c:strCache>
                <c:ptCount val="1"/>
                <c:pt idx="0">
                  <c:v>Hv</c:v>
                </c:pt>
              </c:strCache>
            </c:strRef>
          </c:tx>
          <c:spPr>
            <a:ln w="38100">
              <a:solidFill>
                <a:srgbClr val="000080"/>
              </a:solidFill>
              <a:prstDash val="solid"/>
            </a:ln>
          </c:spPr>
          <c:marker>
            <c:symbol val="none"/>
          </c:marker>
          <c:xVal>
            <c:numRef>
              <c:f>'Diseño Aliv-Canal'!$C$14:$C$15</c:f>
              <c:numCache>
                <c:formatCode>0.00</c:formatCode>
                <c:ptCount val="2"/>
                <c:pt idx="0">
                  <c:v>0</c:v>
                </c:pt>
                <c:pt idx="1">
                  <c:v>7</c:v>
                </c:pt>
              </c:numCache>
            </c:numRef>
          </c:xVal>
          <c:yVal>
            <c:numRef>
              <c:f>'Diseño Aliv-Canal'!$D$14:$D$15</c:f>
              <c:numCache>
                <c:formatCode>General</c:formatCode>
                <c:ptCount val="2"/>
                <c:pt idx="0">
                  <c:v>0</c:v>
                </c:pt>
                <c:pt idx="1">
                  <c:v>0</c:v>
                </c:pt>
              </c:numCache>
            </c:numRef>
          </c:yVal>
          <c:smooth val="0"/>
          <c:extLst>
            <c:ext xmlns:c16="http://schemas.microsoft.com/office/drawing/2014/chart" uri="{C3380CC4-5D6E-409C-BE32-E72D297353CC}">
              <c16:uniqueId val="{00000006-3FE3-4650-AE42-473CB28CA406}"/>
            </c:ext>
          </c:extLst>
        </c:ser>
        <c:ser>
          <c:idx val="2"/>
          <c:order val="2"/>
          <c:tx>
            <c:strRef>
              <c:f>'Diseño Aliv-Canal'!$F$13</c:f>
              <c:strCache>
                <c:ptCount val="1"/>
                <c:pt idx="0">
                  <c:v>Pendiente canal, S= 0,01</c:v>
                </c:pt>
              </c:strCache>
            </c:strRef>
          </c:tx>
          <c:spPr>
            <a:ln w="38100">
              <a:solidFill>
                <a:srgbClr val="003300"/>
              </a:solidFill>
              <a:prstDash val="soli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7-3FE3-4650-AE42-473CB28CA406}"/>
                </c:ext>
              </c:extLst>
            </c:dLbl>
            <c:dLbl>
              <c:idx val="1"/>
              <c:layout>
                <c:manualLayout>
                  <c:x val="2.0236091272384515E-2"/>
                  <c:y val="0.16554809843400448"/>
                </c:manualLayout>
              </c:layout>
              <c:spPr>
                <a:noFill/>
                <a:ln w="25400">
                  <a:noFill/>
                </a:ln>
              </c:spPr>
              <c:txPr>
                <a:bodyPr/>
                <a:lstStyle/>
                <a:p>
                  <a:pPr>
                    <a:defRPr sz="1000" b="0" i="0" u="none" strike="noStrike" baseline="0">
                      <a:solidFill>
                        <a:srgbClr val="000000"/>
                      </a:solidFill>
                      <a:latin typeface="Arial"/>
                      <a:ea typeface="Arial"/>
                      <a:cs typeface="Arial"/>
                    </a:defRPr>
                  </a:pPr>
                  <a:endParaRPr lang="es-UY"/>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3FE3-4650-AE42-473CB28CA406}"/>
                </c:ext>
              </c:extLst>
            </c:dLbl>
            <c:dLbl>
              <c:idx val="8"/>
              <c:delete val="1"/>
              <c:extLst>
                <c:ext xmlns:c15="http://schemas.microsoft.com/office/drawing/2012/chart" uri="{CE6537A1-D6FC-4f65-9D91-7224C49458BB}"/>
                <c:ext xmlns:c16="http://schemas.microsoft.com/office/drawing/2014/chart" uri="{C3380CC4-5D6E-409C-BE32-E72D297353CC}">
                  <c16:uniqueId val="{00000009-3FE3-4650-AE42-473CB28CA406}"/>
                </c:ext>
              </c:extLst>
            </c:dLbl>
            <c:dLbl>
              <c:idx val="9"/>
              <c:layout>
                <c:manualLayout>
                  <c:x val="9.5408485420343872E-3"/>
                  <c:y val="0.14317673378076062"/>
                </c:manualLayout>
              </c:layout>
              <c:spPr>
                <a:noFill/>
                <a:ln w="25400">
                  <a:noFill/>
                </a:ln>
              </c:spPr>
              <c:txPr>
                <a:bodyPr/>
                <a:lstStyle/>
                <a:p>
                  <a:pPr>
                    <a:defRPr sz="1000" b="0" i="0" u="none" strike="noStrike" baseline="0">
                      <a:solidFill>
                        <a:srgbClr val="000000"/>
                      </a:solidFill>
                      <a:latin typeface="Arial"/>
                      <a:ea typeface="Arial"/>
                      <a:cs typeface="Arial"/>
                    </a:defRPr>
                  </a:pPr>
                  <a:endParaRPr lang="es-UY"/>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3FE3-4650-AE42-473CB28CA406}"/>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'Diseño Aliv-Canal'!$E$14:$E$16</c:f>
              <c:numCache>
                <c:formatCode>0.00</c:formatCode>
                <c:ptCount val="3"/>
                <c:pt idx="0">
                  <c:v>7</c:v>
                </c:pt>
                <c:pt idx="1">
                  <c:v>10.7</c:v>
                </c:pt>
                <c:pt idx="2">
                  <c:v>15.7</c:v>
                </c:pt>
              </c:numCache>
            </c:numRef>
          </c:xVal>
          <c:yVal>
            <c:numRef>
              <c:f>'Diseño Aliv-Canal'!$F$14:$F$16</c:f>
              <c:numCache>
                <c:formatCode>General</c:formatCode>
                <c:ptCount val="3"/>
                <c:pt idx="0">
                  <c:v>0</c:v>
                </c:pt>
                <c:pt idx="1">
                  <c:v>0</c:v>
                </c:pt>
                <c:pt idx="2">
                  <c:v>-0.3</c:v>
                </c:pt>
              </c:numCache>
            </c:numRef>
          </c:yVal>
          <c:smooth val="0"/>
          <c:extLst>
            <c:ext xmlns:c16="http://schemas.microsoft.com/office/drawing/2014/chart" uri="{C3380CC4-5D6E-409C-BE32-E72D297353CC}">
              <c16:uniqueId val="{0000000B-3FE3-4650-AE42-473CB28CA406}"/>
            </c:ext>
          </c:extLst>
        </c:ser>
        <c:ser>
          <c:idx val="3"/>
          <c:order val="3"/>
          <c:tx>
            <c:strRef>
              <c:f>'Diseño Aliv-Canal'!$H$13</c:f>
              <c:strCache>
                <c:ptCount val="1"/>
                <c:pt idx="0">
                  <c:v>E = </c:v>
                </c:pt>
              </c:strCache>
            </c:strRef>
          </c:tx>
          <c:spPr>
            <a:ln w="38100">
              <a:solidFill>
                <a:srgbClr val="0000FF"/>
              </a:solidFill>
              <a:prstDash val="soli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C-3FE3-4650-AE42-473CB28CA406}"/>
                </c:ext>
              </c:extLst>
            </c:dLbl>
            <c:dLbl>
              <c:idx val="1"/>
              <c:layout>
                <c:manualLayout>
                  <c:x val="-0.1390822943084897"/>
                  <c:y val="-5.9016057336267282E-2"/>
                </c:manualLayout>
              </c:layout>
              <c:spPr>
                <a:noFill/>
                <a:ln w="25400">
                  <a:noFill/>
                </a:ln>
              </c:spPr>
              <c:txPr>
                <a:bodyPr/>
                <a:lstStyle/>
                <a:p>
                  <a:pPr>
                    <a:defRPr sz="1000" b="0" i="0" u="none" strike="noStrike" baseline="0">
                      <a:solidFill>
                        <a:srgbClr val="000000"/>
                      </a:solidFill>
                      <a:latin typeface="Arial"/>
                      <a:ea typeface="Arial"/>
                      <a:cs typeface="Arial"/>
                    </a:defRPr>
                  </a:pPr>
                  <a:endParaRPr lang="es-UY"/>
                </a:p>
              </c:txPr>
              <c:dLblPos val="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3FE3-4650-AE42-473CB28CA406}"/>
                </c:ext>
              </c:extLst>
            </c:dLbl>
            <c:dLbl>
              <c:idx val="2"/>
              <c:layout>
                <c:manualLayout>
                  <c:x val="-6.7453637574615057E-3"/>
                  <c:y val="-2.6845637583892617E-2"/>
                </c:manualLayout>
              </c:layout>
              <c:spPr>
                <a:noFill/>
                <a:ln w="25400">
                  <a:noFill/>
                </a:ln>
              </c:spPr>
              <c:txPr>
                <a:bodyPr/>
                <a:lstStyle/>
                <a:p>
                  <a:pPr>
                    <a:defRPr sz="1000" b="0" i="0" u="none" strike="noStrike" baseline="0">
                      <a:solidFill>
                        <a:srgbClr val="000000"/>
                      </a:solidFill>
                      <a:latin typeface="Arial"/>
                      <a:ea typeface="Arial"/>
                      <a:cs typeface="Arial"/>
                    </a:defRPr>
                  </a:pPr>
                  <a:endParaRPr lang="es-UY"/>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FE3-4650-AE42-473CB28CA406}"/>
                </c:ext>
              </c:extLst>
            </c:dLbl>
            <c:dLbl>
              <c:idx val="12"/>
              <c:layout>
                <c:manualLayout>
                  <c:x val="-0.19081697084068774"/>
                  <c:y val="-4.7606713634479901E-2"/>
                </c:manualLayout>
              </c:layout>
              <c:spPr>
                <a:noFill/>
                <a:ln w="25400">
                  <a:noFill/>
                </a:ln>
              </c:spPr>
              <c:txPr>
                <a:bodyPr/>
                <a:lstStyle/>
                <a:p>
                  <a:pPr>
                    <a:defRPr sz="1000" b="0" i="0" u="none" strike="noStrike" baseline="0">
                      <a:solidFill>
                        <a:srgbClr val="000000"/>
                      </a:solidFill>
                      <a:latin typeface="Arial"/>
                      <a:ea typeface="Arial"/>
                      <a:cs typeface="Arial"/>
                    </a:defRPr>
                  </a:pPr>
                  <a:endParaRPr lang="es-UY"/>
                </a:p>
              </c:txPr>
              <c:dLblPos val="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3FE3-4650-AE42-473CB28CA406}"/>
                </c:ext>
              </c:extLst>
            </c:dLbl>
            <c:dLbl>
              <c:idx val="13"/>
              <c:layout>
                <c:manualLayout>
                  <c:x val="1.4311085001072407E-2"/>
                  <c:y val="-3.0204962243797196E-2"/>
                </c:manualLayout>
              </c:layout>
              <c:spPr>
                <a:noFill/>
                <a:ln w="25400">
                  <a:noFill/>
                </a:ln>
              </c:spPr>
              <c:txPr>
                <a:bodyPr/>
                <a:lstStyle/>
                <a:p>
                  <a:pPr>
                    <a:defRPr sz="1000" b="0" i="0" u="none" strike="noStrike" baseline="0">
                      <a:solidFill>
                        <a:srgbClr val="000000"/>
                      </a:solidFill>
                      <a:latin typeface="Arial"/>
                      <a:ea typeface="Arial"/>
                      <a:cs typeface="Arial"/>
                    </a:defRPr>
                  </a:pPr>
                  <a:endParaRPr lang="es-UY"/>
                </a:p>
              </c:txPr>
              <c:dLblPos val="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3FE3-4650-AE42-473CB28CA406}"/>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s-UY"/>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xVal>
            <c:numRef>
              <c:f>'Diseño Aliv-Canal'!$G$14:$G$17</c:f>
              <c:numCache>
                <c:formatCode>0.00</c:formatCode>
                <c:ptCount val="4"/>
                <c:pt idx="0" formatCode="General">
                  <c:v>-2.25</c:v>
                </c:pt>
                <c:pt idx="1">
                  <c:v>7.45</c:v>
                </c:pt>
                <c:pt idx="2">
                  <c:v>10.7</c:v>
                </c:pt>
                <c:pt idx="3" formatCode="General">
                  <c:v>15.7</c:v>
                </c:pt>
              </c:numCache>
            </c:numRef>
          </c:xVal>
          <c:yVal>
            <c:numRef>
              <c:f>'Diseño Aliv-Canal'!$H$14:$H$17</c:f>
              <c:numCache>
                <c:formatCode>0.00</c:formatCode>
                <c:ptCount val="4"/>
                <c:pt idx="0">
                  <c:v>0.45</c:v>
                </c:pt>
                <c:pt idx="1">
                  <c:v>0.45</c:v>
                </c:pt>
                <c:pt idx="2">
                  <c:v>0.34660480452614101</c:v>
                </c:pt>
                <c:pt idx="3">
                  <c:v>4.6604804526141019E-2</c:v>
                </c:pt>
              </c:numCache>
            </c:numRef>
          </c:yVal>
          <c:smooth val="1"/>
          <c:extLst>
            <c:ext xmlns:c16="http://schemas.microsoft.com/office/drawing/2014/chart" uri="{C3380CC4-5D6E-409C-BE32-E72D297353CC}">
              <c16:uniqueId val="{00000011-3FE3-4650-AE42-473CB28CA406}"/>
            </c:ext>
          </c:extLst>
        </c:ser>
        <c:ser>
          <c:idx val="4"/>
          <c:order val="4"/>
          <c:tx>
            <c:strRef>
              <c:f>'Diseño Aliv-Canal'!$D$12</c:f>
              <c:strCache>
                <c:ptCount val="1"/>
                <c:pt idx="0">
                  <c:v>El régimen de flujo es ACEPTABLE (Subcrítico)</c:v>
                </c:pt>
              </c:strCache>
            </c:strRef>
          </c:tx>
          <c:spPr>
            <a:ln>
              <a:noFill/>
            </a:ln>
          </c:spPr>
          <c:marker>
            <c:symbol val="none"/>
          </c:marker>
          <c:yVal>
            <c:numLit>
              <c:formatCode>General</c:formatCode>
              <c:ptCount val="1"/>
              <c:pt idx="0">
                <c:v>1</c:v>
              </c:pt>
            </c:numLit>
          </c:yVal>
          <c:smooth val="0"/>
          <c:extLst>
            <c:ext xmlns:c16="http://schemas.microsoft.com/office/drawing/2014/chart" uri="{C3380CC4-5D6E-409C-BE32-E72D297353CC}">
              <c16:uniqueId val="{00000012-3FE3-4650-AE42-473CB28CA406}"/>
            </c:ext>
          </c:extLst>
        </c:ser>
        <c:ser>
          <c:idx val="6"/>
          <c:order val="5"/>
          <c:tx>
            <c:strRef>
              <c:f>'Diseño Aliv-Canal'!$D$11</c:f>
              <c:strCache>
                <c:ptCount val="1"/>
                <c:pt idx="0">
                  <c:v>Velocidad del flujo, v= 1,4 m/s</c:v>
                </c:pt>
              </c:strCache>
            </c:strRef>
          </c:tx>
          <c:spPr>
            <a:ln>
              <a:noFill/>
            </a:ln>
          </c:spPr>
          <c:marker>
            <c:symbol val="none"/>
          </c:marker>
          <c:yVal>
            <c:numLit>
              <c:formatCode>General</c:formatCode>
              <c:ptCount val="1"/>
              <c:pt idx="0">
                <c:v>1</c:v>
              </c:pt>
            </c:numLit>
          </c:yVal>
          <c:smooth val="0"/>
          <c:extLst>
            <c:ext xmlns:c16="http://schemas.microsoft.com/office/drawing/2014/chart" uri="{C3380CC4-5D6E-409C-BE32-E72D297353CC}">
              <c16:uniqueId val="{00000013-3FE3-4650-AE42-473CB28CA406}"/>
            </c:ext>
          </c:extLst>
        </c:ser>
        <c:ser>
          <c:idx val="5"/>
          <c:order val="6"/>
          <c:tx>
            <c:strRef>
              <c:f>'Diseño Aliv-Canal'!$D$10</c:f>
              <c:strCache>
                <c:ptCount val="1"/>
                <c:pt idx="0">
                  <c:v>Condición mínima de pastura: Variable</c:v>
                </c:pt>
              </c:strCache>
            </c:strRef>
          </c:tx>
          <c:spPr>
            <a:ln>
              <a:noFill/>
            </a:ln>
          </c:spPr>
          <c:marker>
            <c:symbol val="none"/>
          </c:marker>
          <c:yVal>
            <c:numLit>
              <c:formatCode>General</c:formatCode>
              <c:ptCount val="1"/>
              <c:pt idx="0">
                <c:v>1</c:v>
              </c:pt>
            </c:numLit>
          </c:yVal>
          <c:smooth val="0"/>
          <c:extLst>
            <c:ext xmlns:c16="http://schemas.microsoft.com/office/drawing/2014/chart" uri="{C3380CC4-5D6E-409C-BE32-E72D297353CC}">
              <c16:uniqueId val="{00000014-3FE3-4650-AE42-473CB28CA406}"/>
            </c:ext>
          </c:extLst>
        </c:ser>
        <c:dLbls>
          <c:showLegendKey val="0"/>
          <c:showVal val="0"/>
          <c:showCatName val="0"/>
          <c:showSerName val="0"/>
          <c:showPercent val="0"/>
          <c:showBubbleSize val="0"/>
        </c:dLbls>
        <c:axId val="1485811520"/>
        <c:axId val="1"/>
      </c:scatterChart>
      <c:valAx>
        <c:axId val="1485811520"/>
        <c:scaling>
          <c:orientation val="minMax"/>
          <c:max val="15"/>
          <c:min val="-5"/>
        </c:scaling>
        <c:delete val="0"/>
        <c:axPos val="b"/>
        <c:numFmt formatCode="General" sourceLinked="1"/>
        <c:majorTickMark val="none"/>
        <c:minorTickMark val="none"/>
        <c:tickLblPos val="none"/>
        <c:spPr>
          <a:ln w="9525">
            <a:noFill/>
          </a:ln>
        </c:spPr>
        <c:crossAx val="1"/>
        <c:crosses val="autoZero"/>
        <c:crossBetween val="midCat"/>
      </c:valAx>
      <c:valAx>
        <c:axId val="1"/>
        <c:scaling>
          <c:orientation val="minMax"/>
          <c:max val="2"/>
          <c:min val="-1"/>
        </c:scaling>
        <c:delete val="0"/>
        <c:axPos val="l"/>
        <c:title>
          <c:tx>
            <c:rich>
              <a:bodyPr/>
              <a:lstStyle/>
              <a:p>
                <a:pPr>
                  <a:defRPr sz="800" b="0" i="0" u="none" strike="noStrike" baseline="0">
                    <a:solidFill>
                      <a:srgbClr val="000000"/>
                    </a:solidFill>
                    <a:latin typeface="Arial"/>
                    <a:ea typeface="Arial"/>
                    <a:cs typeface="Arial"/>
                  </a:defRPr>
                </a:pPr>
                <a:r>
                  <a:rPr lang="es-UY"/>
                  <a:t>Sobreelevación "E" (m)</a:t>
                </a:r>
              </a:p>
            </c:rich>
          </c:tx>
          <c:layout>
            <c:manualLayout>
              <c:xMode val="edge"/>
              <c:yMode val="edge"/>
              <c:x val="0.16457974337790215"/>
              <c:y val="0.10961741969042024"/>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UY"/>
          </a:p>
        </c:txPr>
        <c:crossAx val="1485811520"/>
        <c:crosses val="autoZero"/>
        <c:crossBetween val="midCat"/>
        <c:majorUnit val="0.2"/>
      </c:valAx>
      <c:spPr>
        <a:noFill/>
        <a:ln w="25400">
          <a:noFill/>
        </a:ln>
      </c:spPr>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0.68237401057161551"/>
          <c:y val="2.6756786825744672E-2"/>
          <c:w val="0.3092532461703873"/>
          <c:h val="0.36456122050077111"/>
        </c:manualLayout>
      </c:layout>
      <c:overlay val="1"/>
      <c:spPr>
        <a:ln>
          <a:solidFill>
            <a:srgbClr val="C00000"/>
          </a:solidFill>
        </a:ln>
      </c:spPr>
      <c:txPr>
        <a:bodyPr/>
        <a:lstStyle/>
        <a:p>
          <a:pPr>
            <a:defRPr sz="675" b="1" i="0" u="none" strike="noStrike" baseline="0">
              <a:solidFill>
                <a:srgbClr val="FF0000"/>
              </a:solidFill>
              <a:latin typeface="Arial"/>
              <a:ea typeface="Arial"/>
              <a:cs typeface="Arial"/>
            </a:defRPr>
          </a:pPr>
          <a:endParaRPr lang="es-UY"/>
        </a:p>
      </c:txPr>
    </c:legend>
    <c:plotVisOnly val="1"/>
    <c:dispBlanksAs val="gap"/>
    <c:showDLblsOverMax val="0"/>
  </c:chart>
  <c:spPr>
    <a:solidFill>
      <a:schemeClr val="bg1">
        <a:lumMod val="95000"/>
      </a:schemeClr>
    </a:solidFill>
    <a:ln w="3175">
      <a:solidFill>
        <a:srgbClr val="C00000"/>
      </a:solidFill>
      <a:prstDash val="solid"/>
    </a:ln>
  </c:spPr>
  <c:txPr>
    <a:bodyPr/>
    <a:lstStyle/>
    <a:p>
      <a:pPr>
        <a:defRPr sz="1000" b="0" i="0" u="none" strike="noStrike" baseline="0">
          <a:solidFill>
            <a:srgbClr val="000000"/>
          </a:solidFill>
          <a:latin typeface="Arial"/>
          <a:ea typeface="Arial"/>
          <a:cs typeface="Arial"/>
        </a:defRPr>
      </a:pPr>
      <a:endParaRPr lang="es-UY"/>
    </a:p>
  </c:txPr>
  <c:printSettings>
    <c:headerFooter alignWithMargins="0"/>
    <c:pageMargins b="1" l="0.75" r="0.75" t="1" header="0" footer="0"/>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Arial"/>
                <a:ea typeface="Arial"/>
                <a:cs typeface="Arial"/>
              </a:defRPr>
            </a:pPr>
            <a:r>
              <a:rPr lang="es-UY"/>
              <a:t>Escurrimientos acumulados mensuales de la cuenca en el período 1981-2012, según el Modelo de Temez</a:t>
            </a:r>
          </a:p>
        </c:rich>
      </c:tx>
      <c:layout>
        <c:manualLayout>
          <c:xMode val="edge"/>
          <c:yMode val="edge"/>
          <c:x val="0.14511059626493009"/>
          <c:y val="2.180218705126789E-2"/>
        </c:manualLayout>
      </c:layout>
      <c:overlay val="0"/>
      <c:spPr>
        <a:noFill/>
        <a:ln w="25400">
          <a:noFill/>
        </a:ln>
      </c:spPr>
    </c:title>
    <c:autoTitleDeleted val="0"/>
    <c:plotArea>
      <c:layout>
        <c:manualLayout>
          <c:layoutTarget val="inner"/>
          <c:xMode val="edge"/>
          <c:yMode val="edge"/>
          <c:x val="0.13414648125258563"/>
          <c:y val="0.1803875158351595"/>
          <c:w val="0.78414715859465967"/>
          <c:h val="0.70339024631025271"/>
        </c:manualLayout>
      </c:layout>
      <c:barChart>
        <c:barDir val="col"/>
        <c:grouping val="clustered"/>
        <c:varyColors val="0"/>
        <c:ser>
          <c:idx val="3"/>
          <c:order val="0"/>
          <c:tx>
            <c:v>Precipitación</c:v>
          </c:tx>
          <c:spPr>
            <a:solidFill>
              <a:srgbClr val="000080"/>
            </a:solidFill>
            <a:ln w="12700">
              <a:solidFill>
                <a:srgbClr val="000080"/>
              </a:solidFill>
              <a:prstDash val="solid"/>
            </a:ln>
          </c:spPr>
          <c:invertIfNegative val="0"/>
          <c:val>
            <c:numRef>
              <c:f>'Esc 2'!$D$18:$D$401</c:f>
              <c:numCache>
                <c:formatCode>0.0</c:formatCode>
                <c:ptCount val="384"/>
                <c:pt idx="0">
                  <c:v>137.4</c:v>
                </c:pt>
                <c:pt idx="1">
                  <c:v>186.1</c:v>
                </c:pt>
                <c:pt idx="2">
                  <c:v>66</c:v>
                </c:pt>
                <c:pt idx="3">
                  <c:v>48</c:v>
                </c:pt>
                <c:pt idx="4">
                  <c:v>256.39999999999998</c:v>
                </c:pt>
                <c:pt idx="5">
                  <c:v>96.8</c:v>
                </c:pt>
                <c:pt idx="6">
                  <c:v>66.099999999999994</c:v>
                </c:pt>
                <c:pt idx="7">
                  <c:v>48.3</c:v>
                </c:pt>
                <c:pt idx="8">
                  <c:v>95.2</c:v>
                </c:pt>
                <c:pt idx="9">
                  <c:v>55.5</c:v>
                </c:pt>
                <c:pt idx="10">
                  <c:v>121.3</c:v>
                </c:pt>
                <c:pt idx="11">
                  <c:v>135.4</c:v>
                </c:pt>
                <c:pt idx="12">
                  <c:v>70.400000000000006</c:v>
                </c:pt>
                <c:pt idx="13">
                  <c:v>360.8</c:v>
                </c:pt>
                <c:pt idx="14">
                  <c:v>29.1</c:v>
                </c:pt>
                <c:pt idx="15">
                  <c:v>21.4</c:v>
                </c:pt>
                <c:pt idx="16">
                  <c:v>178.5</c:v>
                </c:pt>
                <c:pt idx="17">
                  <c:v>127.1</c:v>
                </c:pt>
                <c:pt idx="18">
                  <c:v>71.3</c:v>
                </c:pt>
                <c:pt idx="19">
                  <c:v>167</c:v>
                </c:pt>
                <c:pt idx="20">
                  <c:v>219.2</c:v>
                </c:pt>
                <c:pt idx="21">
                  <c:v>117.3</c:v>
                </c:pt>
                <c:pt idx="22">
                  <c:v>315.2</c:v>
                </c:pt>
                <c:pt idx="23">
                  <c:v>34.700000000000003</c:v>
                </c:pt>
                <c:pt idx="24">
                  <c:v>162.1</c:v>
                </c:pt>
                <c:pt idx="25">
                  <c:v>427.6</c:v>
                </c:pt>
                <c:pt idx="26">
                  <c:v>91.9</c:v>
                </c:pt>
                <c:pt idx="27">
                  <c:v>80.099999999999994</c:v>
                </c:pt>
                <c:pt idx="28">
                  <c:v>299.2</c:v>
                </c:pt>
                <c:pt idx="29">
                  <c:v>80.2</c:v>
                </c:pt>
                <c:pt idx="30">
                  <c:v>121.5</c:v>
                </c:pt>
                <c:pt idx="31">
                  <c:v>47.8</c:v>
                </c:pt>
                <c:pt idx="32">
                  <c:v>47.7</c:v>
                </c:pt>
                <c:pt idx="33">
                  <c:v>87</c:v>
                </c:pt>
                <c:pt idx="34">
                  <c:v>150.5</c:v>
                </c:pt>
                <c:pt idx="35">
                  <c:v>19.3</c:v>
                </c:pt>
                <c:pt idx="36">
                  <c:v>343.1</c:v>
                </c:pt>
                <c:pt idx="37">
                  <c:v>332.6</c:v>
                </c:pt>
                <c:pt idx="38">
                  <c:v>197.5</c:v>
                </c:pt>
                <c:pt idx="39">
                  <c:v>125.1</c:v>
                </c:pt>
                <c:pt idx="40">
                  <c:v>177.1</c:v>
                </c:pt>
                <c:pt idx="41">
                  <c:v>131.6</c:v>
                </c:pt>
                <c:pt idx="42">
                  <c:v>101.2</c:v>
                </c:pt>
                <c:pt idx="43">
                  <c:v>25.3</c:v>
                </c:pt>
                <c:pt idx="44">
                  <c:v>207.1</c:v>
                </c:pt>
                <c:pt idx="45">
                  <c:v>125.3</c:v>
                </c:pt>
                <c:pt idx="46">
                  <c:v>143.9</c:v>
                </c:pt>
                <c:pt idx="47">
                  <c:v>28.2</c:v>
                </c:pt>
                <c:pt idx="48">
                  <c:v>66.400000000000006</c:v>
                </c:pt>
                <c:pt idx="49">
                  <c:v>102.9</c:v>
                </c:pt>
                <c:pt idx="50">
                  <c:v>261.7</c:v>
                </c:pt>
                <c:pt idx="51">
                  <c:v>115.7</c:v>
                </c:pt>
                <c:pt idx="52">
                  <c:v>150.69999999999999</c:v>
                </c:pt>
                <c:pt idx="53">
                  <c:v>75.3</c:v>
                </c:pt>
                <c:pt idx="54">
                  <c:v>136.80000000000001</c:v>
                </c:pt>
                <c:pt idx="55">
                  <c:v>80</c:v>
                </c:pt>
                <c:pt idx="56">
                  <c:v>106.8</c:v>
                </c:pt>
                <c:pt idx="57">
                  <c:v>110.6</c:v>
                </c:pt>
                <c:pt idx="58">
                  <c:v>3.6</c:v>
                </c:pt>
                <c:pt idx="59">
                  <c:v>28.3</c:v>
                </c:pt>
                <c:pt idx="60">
                  <c:v>216.8</c:v>
                </c:pt>
                <c:pt idx="61">
                  <c:v>76.2</c:v>
                </c:pt>
                <c:pt idx="62">
                  <c:v>319.2</c:v>
                </c:pt>
                <c:pt idx="63">
                  <c:v>310.89999999999998</c:v>
                </c:pt>
                <c:pt idx="64">
                  <c:v>243.1</c:v>
                </c:pt>
                <c:pt idx="65">
                  <c:v>113.5</c:v>
                </c:pt>
                <c:pt idx="66">
                  <c:v>30.6</c:v>
                </c:pt>
                <c:pt idx="67">
                  <c:v>68.5</c:v>
                </c:pt>
                <c:pt idx="68">
                  <c:v>113.4</c:v>
                </c:pt>
                <c:pt idx="69">
                  <c:v>147.9</c:v>
                </c:pt>
                <c:pt idx="70">
                  <c:v>312.39999999999998</c:v>
                </c:pt>
                <c:pt idx="71">
                  <c:v>34.799999999999997</c:v>
                </c:pt>
                <c:pt idx="72">
                  <c:v>149.19999999999999</c:v>
                </c:pt>
                <c:pt idx="73">
                  <c:v>68.8</c:v>
                </c:pt>
                <c:pt idx="74">
                  <c:v>358.6</c:v>
                </c:pt>
                <c:pt idx="75">
                  <c:v>193.2</c:v>
                </c:pt>
                <c:pt idx="76">
                  <c:v>69.8</c:v>
                </c:pt>
                <c:pt idx="77">
                  <c:v>54.3</c:v>
                </c:pt>
                <c:pt idx="78">
                  <c:v>155.30000000000001</c:v>
                </c:pt>
                <c:pt idx="79">
                  <c:v>91.4</c:v>
                </c:pt>
                <c:pt idx="80">
                  <c:v>196.4</c:v>
                </c:pt>
                <c:pt idx="81">
                  <c:v>50.9</c:v>
                </c:pt>
                <c:pt idx="82">
                  <c:v>97.7</c:v>
                </c:pt>
                <c:pt idx="83">
                  <c:v>74.900000000000006</c:v>
                </c:pt>
                <c:pt idx="84">
                  <c:v>381.9</c:v>
                </c:pt>
                <c:pt idx="85">
                  <c:v>78.3</c:v>
                </c:pt>
                <c:pt idx="86">
                  <c:v>51.8</c:v>
                </c:pt>
                <c:pt idx="87">
                  <c:v>36.200000000000003</c:v>
                </c:pt>
                <c:pt idx="88">
                  <c:v>9.6999999999999993</c:v>
                </c:pt>
                <c:pt idx="89">
                  <c:v>68.2</c:v>
                </c:pt>
                <c:pt idx="90">
                  <c:v>33.9</c:v>
                </c:pt>
                <c:pt idx="91">
                  <c:v>65</c:v>
                </c:pt>
                <c:pt idx="92">
                  <c:v>162.4</c:v>
                </c:pt>
                <c:pt idx="93">
                  <c:v>60.9</c:v>
                </c:pt>
                <c:pt idx="94">
                  <c:v>100.9</c:v>
                </c:pt>
                <c:pt idx="95">
                  <c:v>79.400000000000006</c:v>
                </c:pt>
                <c:pt idx="96">
                  <c:v>53.7</c:v>
                </c:pt>
                <c:pt idx="97">
                  <c:v>11.7</c:v>
                </c:pt>
                <c:pt idx="98">
                  <c:v>136.6</c:v>
                </c:pt>
                <c:pt idx="99">
                  <c:v>144.80000000000001</c:v>
                </c:pt>
                <c:pt idx="100">
                  <c:v>16.600000000000001</c:v>
                </c:pt>
                <c:pt idx="101">
                  <c:v>20.5</c:v>
                </c:pt>
                <c:pt idx="102">
                  <c:v>24.9</c:v>
                </c:pt>
                <c:pt idx="103">
                  <c:v>125.5</c:v>
                </c:pt>
                <c:pt idx="104">
                  <c:v>21.4</c:v>
                </c:pt>
                <c:pt idx="105">
                  <c:v>97</c:v>
                </c:pt>
                <c:pt idx="106">
                  <c:v>109.6</c:v>
                </c:pt>
                <c:pt idx="107">
                  <c:v>197.7</c:v>
                </c:pt>
                <c:pt idx="108">
                  <c:v>163.1</c:v>
                </c:pt>
                <c:pt idx="109">
                  <c:v>240.3</c:v>
                </c:pt>
                <c:pt idx="110">
                  <c:v>210.4</c:v>
                </c:pt>
                <c:pt idx="111">
                  <c:v>279.60000000000002</c:v>
                </c:pt>
                <c:pt idx="112">
                  <c:v>72</c:v>
                </c:pt>
                <c:pt idx="113">
                  <c:v>23.4</c:v>
                </c:pt>
                <c:pt idx="114">
                  <c:v>39.5</c:v>
                </c:pt>
                <c:pt idx="115">
                  <c:v>20.9</c:v>
                </c:pt>
                <c:pt idx="116">
                  <c:v>86.4</c:v>
                </c:pt>
                <c:pt idx="117">
                  <c:v>135.1</c:v>
                </c:pt>
                <c:pt idx="118">
                  <c:v>174.7</c:v>
                </c:pt>
                <c:pt idx="119">
                  <c:v>308.39999999999998</c:v>
                </c:pt>
                <c:pt idx="120">
                  <c:v>39.5</c:v>
                </c:pt>
                <c:pt idx="121">
                  <c:v>57.7</c:v>
                </c:pt>
                <c:pt idx="122">
                  <c:v>80.3</c:v>
                </c:pt>
                <c:pt idx="123">
                  <c:v>520.6</c:v>
                </c:pt>
                <c:pt idx="124">
                  <c:v>106.5</c:v>
                </c:pt>
                <c:pt idx="125">
                  <c:v>168.1</c:v>
                </c:pt>
                <c:pt idx="126">
                  <c:v>130.19999999999999</c:v>
                </c:pt>
                <c:pt idx="127">
                  <c:v>35.9</c:v>
                </c:pt>
                <c:pt idx="128">
                  <c:v>40.700000000000003</c:v>
                </c:pt>
                <c:pt idx="129">
                  <c:v>182</c:v>
                </c:pt>
                <c:pt idx="130">
                  <c:v>59.9</c:v>
                </c:pt>
                <c:pt idx="131">
                  <c:v>292.39999999999998</c:v>
                </c:pt>
                <c:pt idx="132">
                  <c:v>63.6</c:v>
                </c:pt>
                <c:pt idx="133">
                  <c:v>238.1</c:v>
                </c:pt>
                <c:pt idx="134">
                  <c:v>165</c:v>
                </c:pt>
                <c:pt idx="135">
                  <c:v>394.7</c:v>
                </c:pt>
                <c:pt idx="136">
                  <c:v>287.2</c:v>
                </c:pt>
                <c:pt idx="137">
                  <c:v>247.9</c:v>
                </c:pt>
                <c:pt idx="138">
                  <c:v>102.5</c:v>
                </c:pt>
                <c:pt idx="139">
                  <c:v>16.2</c:v>
                </c:pt>
                <c:pt idx="140">
                  <c:v>98.6</c:v>
                </c:pt>
                <c:pt idx="141">
                  <c:v>89.1</c:v>
                </c:pt>
                <c:pt idx="142">
                  <c:v>59.4</c:v>
                </c:pt>
                <c:pt idx="143">
                  <c:v>116.8</c:v>
                </c:pt>
                <c:pt idx="144">
                  <c:v>253.3</c:v>
                </c:pt>
                <c:pt idx="145">
                  <c:v>73.599999999999994</c:v>
                </c:pt>
                <c:pt idx="146">
                  <c:v>64.900000000000006</c:v>
                </c:pt>
                <c:pt idx="147">
                  <c:v>119.8</c:v>
                </c:pt>
                <c:pt idx="148">
                  <c:v>367.4</c:v>
                </c:pt>
                <c:pt idx="149">
                  <c:v>72.8</c:v>
                </c:pt>
                <c:pt idx="150">
                  <c:v>51</c:v>
                </c:pt>
                <c:pt idx="151">
                  <c:v>9.5</c:v>
                </c:pt>
                <c:pt idx="152">
                  <c:v>41.9</c:v>
                </c:pt>
                <c:pt idx="153">
                  <c:v>284.3</c:v>
                </c:pt>
                <c:pt idx="154">
                  <c:v>227.5</c:v>
                </c:pt>
                <c:pt idx="155">
                  <c:v>134.4</c:v>
                </c:pt>
                <c:pt idx="156">
                  <c:v>14.4</c:v>
                </c:pt>
                <c:pt idx="157">
                  <c:v>205.4</c:v>
                </c:pt>
                <c:pt idx="158">
                  <c:v>100.6</c:v>
                </c:pt>
                <c:pt idx="159">
                  <c:v>71.599999999999994</c:v>
                </c:pt>
                <c:pt idx="160">
                  <c:v>71.8</c:v>
                </c:pt>
                <c:pt idx="161">
                  <c:v>129.80000000000001</c:v>
                </c:pt>
                <c:pt idx="162">
                  <c:v>60.9</c:v>
                </c:pt>
                <c:pt idx="163">
                  <c:v>63</c:v>
                </c:pt>
                <c:pt idx="164">
                  <c:v>73.099999999999994</c:v>
                </c:pt>
                <c:pt idx="165">
                  <c:v>181.8</c:v>
                </c:pt>
                <c:pt idx="166">
                  <c:v>47.3</c:v>
                </c:pt>
                <c:pt idx="167">
                  <c:v>143.30000000000001</c:v>
                </c:pt>
                <c:pt idx="168">
                  <c:v>50.9</c:v>
                </c:pt>
                <c:pt idx="169">
                  <c:v>188.6</c:v>
                </c:pt>
                <c:pt idx="170">
                  <c:v>133.9</c:v>
                </c:pt>
                <c:pt idx="171">
                  <c:v>62.6</c:v>
                </c:pt>
                <c:pt idx="172">
                  <c:v>58.5</c:v>
                </c:pt>
                <c:pt idx="173">
                  <c:v>74.599999999999994</c:v>
                </c:pt>
                <c:pt idx="174">
                  <c:v>111.8</c:v>
                </c:pt>
                <c:pt idx="175">
                  <c:v>3</c:v>
                </c:pt>
                <c:pt idx="176">
                  <c:v>96.7</c:v>
                </c:pt>
                <c:pt idx="177">
                  <c:v>179.3</c:v>
                </c:pt>
                <c:pt idx="178">
                  <c:v>54.2</c:v>
                </c:pt>
                <c:pt idx="179">
                  <c:v>11</c:v>
                </c:pt>
                <c:pt idx="180">
                  <c:v>358.7</c:v>
                </c:pt>
                <c:pt idx="181">
                  <c:v>91.1</c:v>
                </c:pt>
                <c:pt idx="182">
                  <c:v>98.3</c:v>
                </c:pt>
                <c:pt idx="183">
                  <c:v>300.8</c:v>
                </c:pt>
                <c:pt idx="184">
                  <c:v>10.7</c:v>
                </c:pt>
                <c:pt idx="185">
                  <c:v>20.2</c:v>
                </c:pt>
                <c:pt idx="186">
                  <c:v>23.4</c:v>
                </c:pt>
                <c:pt idx="187">
                  <c:v>35.9</c:v>
                </c:pt>
                <c:pt idx="188">
                  <c:v>79.7</c:v>
                </c:pt>
                <c:pt idx="189">
                  <c:v>120.9</c:v>
                </c:pt>
                <c:pt idx="190">
                  <c:v>108.6</c:v>
                </c:pt>
                <c:pt idx="191">
                  <c:v>93.1</c:v>
                </c:pt>
                <c:pt idx="192">
                  <c:v>78.3</c:v>
                </c:pt>
                <c:pt idx="193">
                  <c:v>245.2</c:v>
                </c:pt>
                <c:pt idx="194">
                  <c:v>43.1</c:v>
                </c:pt>
                <c:pt idx="195">
                  <c:v>96.8</c:v>
                </c:pt>
                <c:pt idx="196">
                  <c:v>122.7</c:v>
                </c:pt>
                <c:pt idx="197">
                  <c:v>65</c:v>
                </c:pt>
                <c:pt idx="198">
                  <c:v>123.7</c:v>
                </c:pt>
                <c:pt idx="199">
                  <c:v>46.4</c:v>
                </c:pt>
                <c:pt idx="200">
                  <c:v>46.6</c:v>
                </c:pt>
                <c:pt idx="201">
                  <c:v>216.2</c:v>
                </c:pt>
                <c:pt idx="202">
                  <c:v>185.7</c:v>
                </c:pt>
                <c:pt idx="203">
                  <c:v>436.9</c:v>
                </c:pt>
                <c:pt idx="204">
                  <c:v>449.7</c:v>
                </c:pt>
                <c:pt idx="205">
                  <c:v>205.7</c:v>
                </c:pt>
                <c:pt idx="206">
                  <c:v>299.2</c:v>
                </c:pt>
                <c:pt idx="207">
                  <c:v>301.2</c:v>
                </c:pt>
                <c:pt idx="208">
                  <c:v>129.30000000000001</c:v>
                </c:pt>
                <c:pt idx="209">
                  <c:v>219.1</c:v>
                </c:pt>
                <c:pt idx="210">
                  <c:v>129.1</c:v>
                </c:pt>
                <c:pt idx="211">
                  <c:v>46.4</c:v>
                </c:pt>
                <c:pt idx="212">
                  <c:v>195.2</c:v>
                </c:pt>
                <c:pt idx="213">
                  <c:v>33.5</c:v>
                </c:pt>
                <c:pt idx="214">
                  <c:v>114.4</c:v>
                </c:pt>
                <c:pt idx="215">
                  <c:v>91.2</c:v>
                </c:pt>
                <c:pt idx="216">
                  <c:v>16.7</c:v>
                </c:pt>
                <c:pt idx="217">
                  <c:v>168.2</c:v>
                </c:pt>
                <c:pt idx="218">
                  <c:v>55.6</c:v>
                </c:pt>
                <c:pt idx="219">
                  <c:v>151</c:v>
                </c:pt>
                <c:pt idx="220">
                  <c:v>59.8</c:v>
                </c:pt>
                <c:pt idx="221">
                  <c:v>71.400000000000006</c:v>
                </c:pt>
                <c:pt idx="222">
                  <c:v>98.3</c:v>
                </c:pt>
                <c:pt idx="223">
                  <c:v>17.899999999999999</c:v>
                </c:pt>
                <c:pt idx="224">
                  <c:v>40.700000000000003</c:v>
                </c:pt>
                <c:pt idx="225">
                  <c:v>82.9</c:v>
                </c:pt>
                <c:pt idx="226">
                  <c:v>3.5</c:v>
                </c:pt>
                <c:pt idx="227">
                  <c:v>37.799999999999997</c:v>
                </c:pt>
                <c:pt idx="228">
                  <c:v>130.4</c:v>
                </c:pt>
                <c:pt idx="229">
                  <c:v>99.6</c:v>
                </c:pt>
                <c:pt idx="230">
                  <c:v>172.6</c:v>
                </c:pt>
                <c:pt idx="231">
                  <c:v>114.7</c:v>
                </c:pt>
                <c:pt idx="232">
                  <c:v>252.9</c:v>
                </c:pt>
                <c:pt idx="233">
                  <c:v>110.7</c:v>
                </c:pt>
                <c:pt idx="234">
                  <c:v>82.8</c:v>
                </c:pt>
                <c:pt idx="235">
                  <c:v>98.6</c:v>
                </c:pt>
                <c:pt idx="236">
                  <c:v>180.9</c:v>
                </c:pt>
                <c:pt idx="237">
                  <c:v>162</c:v>
                </c:pt>
                <c:pt idx="238">
                  <c:v>143.4</c:v>
                </c:pt>
                <c:pt idx="239">
                  <c:v>93</c:v>
                </c:pt>
                <c:pt idx="240">
                  <c:v>143.19999999999999</c:v>
                </c:pt>
                <c:pt idx="241">
                  <c:v>89.1</c:v>
                </c:pt>
                <c:pt idx="242">
                  <c:v>99.9</c:v>
                </c:pt>
                <c:pt idx="243">
                  <c:v>417.4</c:v>
                </c:pt>
                <c:pt idx="244">
                  <c:v>219.9</c:v>
                </c:pt>
                <c:pt idx="245">
                  <c:v>93.3</c:v>
                </c:pt>
                <c:pt idx="246">
                  <c:v>34</c:v>
                </c:pt>
                <c:pt idx="247">
                  <c:v>184.9</c:v>
                </c:pt>
                <c:pt idx="248">
                  <c:v>229.8</c:v>
                </c:pt>
                <c:pt idx="249">
                  <c:v>126.5</c:v>
                </c:pt>
                <c:pt idx="250">
                  <c:v>171.4</c:v>
                </c:pt>
                <c:pt idx="251">
                  <c:v>70.900000000000006</c:v>
                </c:pt>
                <c:pt idx="252">
                  <c:v>115.3</c:v>
                </c:pt>
                <c:pt idx="253">
                  <c:v>115.2</c:v>
                </c:pt>
                <c:pt idx="254">
                  <c:v>363.7</c:v>
                </c:pt>
                <c:pt idx="255">
                  <c:v>382.9</c:v>
                </c:pt>
                <c:pt idx="256">
                  <c:v>128.6</c:v>
                </c:pt>
                <c:pt idx="257">
                  <c:v>71.7</c:v>
                </c:pt>
                <c:pt idx="258">
                  <c:v>193.5</c:v>
                </c:pt>
                <c:pt idx="259">
                  <c:v>74.8</c:v>
                </c:pt>
                <c:pt idx="260">
                  <c:v>283.39999999999998</c:v>
                </c:pt>
                <c:pt idx="261">
                  <c:v>211.9</c:v>
                </c:pt>
                <c:pt idx="262">
                  <c:v>434.5</c:v>
                </c:pt>
                <c:pt idx="263">
                  <c:v>288.3</c:v>
                </c:pt>
                <c:pt idx="264">
                  <c:v>118.3</c:v>
                </c:pt>
                <c:pt idx="265">
                  <c:v>217.7</c:v>
                </c:pt>
                <c:pt idx="266">
                  <c:v>195.4</c:v>
                </c:pt>
                <c:pt idx="267">
                  <c:v>170.5</c:v>
                </c:pt>
                <c:pt idx="268">
                  <c:v>180.9</c:v>
                </c:pt>
                <c:pt idx="269">
                  <c:v>93.7</c:v>
                </c:pt>
                <c:pt idx="270">
                  <c:v>38</c:v>
                </c:pt>
                <c:pt idx="271">
                  <c:v>140.4</c:v>
                </c:pt>
                <c:pt idx="272">
                  <c:v>71.5</c:v>
                </c:pt>
                <c:pt idx="273">
                  <c:v>146.1</c:v>
                </c:pt>
                <c:pt idx="274">
                  <c:v>156.6</c:v>
                </c:pt>
                <c:pt idx="275">
                  <c:v>173.9</c:v>
                </c:pt>
                <c:pt idx="276">
                  <c:v>48.2</c:v>
                </c:pt>
                <c:pt idx="277">
                  <c:v>61.3</c:v>
                </c:pt>
                <c:pt idx="278">
                  <c:v>53.3</c:v>
                </c:pt>
                <c:pt idx="279">
                  <c:v>125</c:v>
                </c:pt>
                <c:pt idx="280">
                  <c:v>29.2</c:v>
                </c:pt>
                <c:pt idx="281">
                  <c:v>82.1</c:v>
                </c:pt>
                <c:pt idx="282">
                  <c:v>30.5</c:v>
                </c:pt>
                <c:pt idx="283">
                  <c:v>18.399999999999999</c:v>
                </c:pt>
                <c:pt idx="284">
                  <c:v>109.2</c:v>
                </c:pt>
                <c:pt idx="285">
                  <c:v>191.5</c:v>
                </c:pt>
                <c:pt idx="286">
                  <c:v>192.4</c:v>
                </c:pt>
                <c:pt idx="287">
                  <c:v>85.4</c:v>
                </c:pt>
                <c:pt idx="288">
                  <c:v>81.3</c:v>
                </c:pt>
                <c:pt idx="289">
                  <c:v>26.7</c:v>
                </c:pt>
                <c:pt idx="290">
                  <c:v>82.3</c:v>
                </c:pt>
                <c:pt idx="291">
                  <c:v>120.2</c:v>
                </c:pt>
                <c:pt idx="292">
                  <c:v>169.4</c:v>
                </c:pt>
                <c:pt idx="293">
                  <c:v>175.3</c:v>
                </c:pt>
                <c:pt idx="294">
                  <c:v>23.5</c:v>
                </c:pt>
                <c:pt idx="295">
                  <c:v>91.3</c:v>
                </c:pt>
                <c:pt idx="296">
                  <c:v>112.8</c:v>
                </c:pt>
                <c:pt idx="297">
                  <c:v>108.5</c:v>
                </c:pt>
                <c:pt idx="298">
                  <c:v>109.8</c:v>
                </c:pt>
                <c:pt idx="299">
                  <c:v>145</c:v>
                </c:pt>
                <c:pt idx="300">
                  <c:v>54.6</c:v>
                </c:pt>
                <c:pt idx="301">
                  <c:v>9.1999999999999993</c:v>
                </c:pt>
                <c:pt idx="302">
                  <c:v>68.3</c:v>
                </c:pt>
                <c:pt idx="303">
                  <c:v>125.8</c:v>
                </c:pt>
                <c:pt idx="304">
                  <c:v>82</c:v>
                </c:pt>
                <c:pt idx="305">
                  <c:v>139.4</c:v>
                </c:pt>
                <c:pt idx="306">
                  <c:v>52.6</c:v>
                </c:pt>
                <c:pt idx="307">
                  <c:v>26.8</c:v>
                </c:pt>
                <c:pt idx="308">
                  <c:v>52.3</c:v>
                </c:pt>
                <c:pt idx="309">
                  <c:v>114.3</c:v>
                </c:pt>
                <c:pt idx="310">
                  <c:v>252.3</c:v>
                </c:pt>
                <c:pt idx="311">
                  <c:v>173.5</c:v>
                </c:pt>
                <c:pt idx="312">
                  <c:v>50.1</c:v>
                </c:pt>
                <c:pt idx="313">
                  <c:v>213.5</c:v>
                </c:pt>
                <c:pt idx="314">
                  <c:v>277.7</c:v>
                </c:pt>
                <c:pt idx="315">
                  <c:v>116.2</c:v>
                </c:pt>
                <c:pt idx="316">
                  <c:v>24.2</c:v>
                </c:pt>
                <c:pt idx="317">
                  <c:v>67.599999999999994</c:v>
                </c:pt>
                <c:pt idx="318">
                  <c:v>40.6</c:v>
                </c:pt>
                <c:pt idx="319">
                  <c:v>109.3</c:v>
                </c:pt>
                <c:pt idx="320">
                  <c:v>116.6</c:v>
                </c:pt>
                <c:pt idx="321">
                  <c:v>238.6</c:v>
                </c:pt>
                <c:pt idx="322">
                  <c:v>29.7</c:v>
                </c:pt>
                <c:pt idx="323">
                  <c:v>68.8</c:v>
                </c:pt>
                <c:pt idx="324">
                  <c:v>61.8</c:v>
                </c:pt>
                <c:pt idx="325">
                  <c:v>82.8</c:v>
                </c:pt>
                <c:pt idx="326">
                  <c:v>75.3</c:v>
                </c:pt>
                <c:pt idx="327">
                  <c:v>128.1</c:v>
                </c:pt>
                <c:pt idx="328">
                  <c:v>52.5</c:v>
                </c:pt>
                <c:pt idx="329">
                  <c:v>107.1</c:v>
                </c:pt>
                <c:pt idx="330">
                  <c:v>127.3</c:v>
                </c:pt>
                <c:pt idx="331">
                  <c:v>83.8</c:v>
                </c:pt>
                <c:pt idx="332">
                  <c:v>70.7</c:v>
                </c:pt>
                <c:pt idx="333">
                  <c:v>205.2</c:v>
                </c:pt>
                <c:pt idx="334">
                  <c:v>18</c:v>
                </c:pt>
                <c:pt idx="335">
                  <c:v>65.2</c:v>
                </c:pt>
                <c:pt idx="336">
                  <c:v>54.9</c:v>
                </c:pt>
                <c:pt idx="337">
                  <c:v>262.60000000000002</c:v>
                </c:pt>
                <c:pt idx="338">
                  <c:v>43.7</c:v>
                </c:pt>
                <c:pt idx="339">
                  <c:v>17.5</c:v>
                </c:pt>
                <c:pt idx="340">
                  <c:v>146</c:v>
                </c:pt>
                <c:pt idx="341">
                  <c:v>14</c:v>
                </c:pt>
                <c:pt idx="342">
                  <c:v>21.2</c:v>
                </c:pt>
                <c:pt idx="343">
                  <c:v>21.8</c:v>
                </c:pt>
                <c:pt idx="344">
                  <c:v>195.7</c:v>
                </c:pt>
                <c:pt idx="345">
                  <c:v>81.099999999999994</c:v>
                </c:pt>
                <c:pt idx="346">
                  <c:v>613.29999999999995</c:v>
                </c:pt>
                <c:pt idx="347">
                  <c:v>272.39999999999998</c:v>
                </c:pt>
                <c:pt idx="348">
                  <c:v>357.5</c:v>
                </c:pt>
                <c:pt idx="349">
                  <c:v>166.2</c:v>
                </c:pt>
                <c:pt idx="350">
                  <c:v>46.7</c:v>
                </c:pt>
                <c:pt idx="351">
                  <c:v>62.9</c:v>
                </c:pt>
                <c:pt idx="352">
                  <c:v>126.8</c:v>
                </c:pt>
                <c:pt idx="353">
                  <c:v>22.4</c:v>
                </c:pt>
                <c:pt idx="354">
                  <c:v>168.5</c:v>
                </c:pt>
                <c:pt idx="355">
                  <c:v>13.6</c:v>
                </c:pt>
                <c:pt idx="356">
                  <c:v>143.9</c:v>
                </c:pt>
                <c:pt idx="357">
                  <c:v>24.4</c:v>
                </c:pt>
                <c:pt idx="358">
                  <c:v>32.700000000000003</c:v>
                </c:pt>
                <c:pt idx="359">
                  <c:v>78.5</c:v>
                </c:pt>
                <c:pt idx="360">
                  <c:v>78</c:v>
                </c:pt>
                <c:pt idx="361">
                  <c:v>124</c:v>
                </c:pt>
                <c:pt idx="362">
                  <c:v>44.1</c:v>
                </c:pt>
                <c:pt idx="363">
                  <c:v>95.4</c:v>
                </c:pt>
                <c:pt idx="364">
                  <c:v>115</c:v>
                </c:pt>
                <c:pt idx="365">
                  <c:v>58.5</c:v>
                </c:pt>
                <c:pt idx="366">
                  <c:v>54.2</c:v>
                </c:pt>
                <c:pt idx="367">
                  <c:v>37.9</c:v>
                </c:pt>
                <c:pt idx="368">
                  <c:v>89.8</c:v>
                </c:pt>
                <c:pt idx="369">
                  <c:v>121.4</c:v>
                </c:pt>
                <c:pt idx="370">
                  <c:v>100.9</c:v>
                </c:pt>
                <c:pt idx="371">
                  <c:v>130.5</c:v>
                </c:pt>
                <c:pt idx="372">
                  <c:v>41.6</c:v>
                </c:pt>
                <c:pt idx="373">
                  <c:v>125.2</c:v>
                </c:pt>
                <c:pt idx="374">
                  <c:v>50</c:v>
                </c:pt>
                <c:pt idx="375">
                  <c:v>151.1</c:v>
                </c:pt>
                <c:pt idx="376">
                  <c:v>33.299999999999997</c:v>
                </c:pt>
                <c:pt idx="377">
                  <c:v>73.400000000000006</c:v>
                </c:pt>
                <c:pt idx="378">
                  <c:v>14.9</c:v>
                </c:pt>
                <c:pt idx="379">
                  <c:v>114.4</c:v>
                </c:pt>
                <c:pt idx="380">
                  <c:v>95.9</c:v>
                </c:pt>
                <c:pt idx="381">
                  <c:v>369.1</c:v>
                </c:pt>
                <c:pt idx="382">
                  <c:v>24.7</c:v>
                </c:pt>
                <c:pt idx="383">
                  <c:v>299</c:v>
                </c:pt>
              </c:numCache>
            </c:numRef>
          </c:val>
          <c:extLst>
            <c:ext xmlns:c16="http://schemas.microsoft.com/office/drawing/2014/chart" uri="{C3380CC4-5D6E-409C-BE32-E72D297353CC}">
              <c16:uniqueId val="{00000000-6A32-42CD-AF9F-92374F12653E}"/>
            </c:ext>
          </c:extLst>
        </c:ser>
        <c:ser>
          <c:idx val="1"/>
          <c:order val="3"/>
          <c:tx>
            <c:strRef>
              <c:f>'Ingreso Datos'!$E$3</c:f>
              <c:strCache>
                <c:ptCount val="1"/>
                <c:pt idx="0">
                  <c:v>Planilla complementaria al Manual de diseño y construcción de pequeñas presas, Versión 1.04, del 01/04/2013</c:v>
                </c:pt>
              </c:strCache>
            </c:strRef>
          </c:tx>
          <c:spPr>
            <a:noFill/>
            <a:ln w="25400">
              <a:noFill/>
            </a:ln>
          </c:spPr>
          <c:invertIfNegative val="0"/>
          <c:val>
            <c:numRef>
              <c:f>'Esc 1'!$G$27</c:f>
              <c:numCache>
                <c:formatCode>General</c:formatCode>
                <c:ptCount val="1"/>
              </c:numCache>
            </c:numRef>
          </c:val>
          <c:extLst>
            <c:ext xmlns:c16="http://schemas.microsoft.com/office/drawing/2014/chart" uri="{C3380CC4-5D6E-409C-BE32-E72D297353CC}">
              <c16:uniqueId val="{00000001-6A32-42CD-AF9F-92374F12653E}"/>
            </c:ext>
          </c:extLst>
        </c:ser>
        <c:ser>
          <c:idx val="2"/>
          <c:order val="4"/>
          <c:tx>
            <c:strRef>
              <c:f>'Datos reordenados'!$A$7</c:f>
              <c:strCache>
                <c:ptCount val="1"/>
                <c:pt idx="0">
                  <c:v>Esc.Medio Anual: 22,01 Hm3</c:v>
                </c:pt>
              </c:strCache>
            </c:strRef>
          </c:tx>
          <c:spPr>
            <a:noFill/>
            <a:ln w="25400">
              <a:noFill/>
            </a:ln>
          </c:spPr>
          <c:invertIfNegative val="0"/>
          <c:val>
            <c:numLit>
              <c:formatCode>General</c:formatCode>
              <c:ptCount val="1"/>
              <c:pt idx="0">
                <c:v>1</c:v>
              </c:pt>
            </c:numLit>
          </c:val>
          <c:extLst>
            <c:ext xmlns:c16="http://schemas.microsoft.com/office/drawing/2014/chart" uri="{C3380CC4-5D6E-409C-BE32-E72D297353CC}">
              <c16:uniqueId val="{00000002-6A32-42CD-AF9F-92374F12653E}"/>
            </c:ext>
          </c:extLst>
        </c:ser>
        <c:dLbls>
          <c:showLegendKey val="0"/>
          <c:showVal val="0"/>
          <c:showCatName val="0"/>
          <c:showSerName val="0"/>
          <c:showPercent val="0"/>
          <c:showBubbleSize val="0"/>
        </c:dLbls>
        <c:gapWidth val="150"/>
        <c:axId val="1485811936"/>
        <c:axId val="1"/>
      </c:barChart>
      <c:barChart>
        <c:barDir val="col"/>
        <c:grouping val="clustered"/>
        <c:varyColors val="0"/>
        <c:ser>
          <c:idx val="4"/>
          <c:order val="1"/>
          <c:tx>
            <c:v>Escurrimiento</c:v>
          </c:tx>
          <c:spPr>
            <a:solidFill>
              <a:srgbClr val="800000"/>
            </a:solidFill>
            <a:ln w="3175">
              <a:solidFill>
                <a:srgbClr val="800000"/>
              </a:solidFill>
              <a:prstDash val="solid"/>
            </a:ln>
          </c:spPr>
          <c:invertIfNegative val="0"/>
          <c:val>
            <c:numRef>
              <c:f>'Esc 2'!$O$18:$O$401</c:f>
              <c:numCache>
                <c:formatCode>0.00</c:formatCode>
                <c:ptCount val="384"/>
                <c:pt idx="0">
                  <c:v>0.97746626122915181</c:v>
                </c:pt>
                <c:pt idx="1">
                  <c:v>2.2079423550386661</c:v>
                </c:pt>
                <c:pt idx="2">
                  <c:v>0.93857414317624599</c:v>
                </c:pt>
                <c:pt idx="3">
                  <c:v>0.43648873501418523</c:v>
                </c:pt>
                <c:pt idx="4">
                  <c:v>4.3519900633041679</c:v>
                </c:pt>
                <c:pt idx="5">
                  <c:v>2.2870331470868153</c:v>
                </c:pt>
                <c:pt idx="6">
                  <c:v>1.2247821853808032</c:v>
                </c:pt>
                <c:pt idx="7">
                  <c:v>0.61304020420748184</c:v>
                </c:pt>
                <c:pt idx="8">
                  <c:v>0.97204477325863348</c:v>
                </c:pt>
                <c:pt idx="9">
                  <c:v>0.5576900814448178</c:v>
                </c:pt>
                <c:pt idx="10">
                  <c:v>1.0336739415844816</c:v>
                </c:pt>
                <c:pt idx="11">
                  <c:v>1.3111676374592658</c:v>
                </c:pt>
                <c:pt idx="12">
                  <c:v>0.65272604576960713</c:v>
                </c:pt>
                <c:pt idx="13">
                  <c:v>5.3329586211753686</c:v>
                </c:pt>
                <c:pt idx="14">
                  <c:v>1.1841798878829288</c:v>
                </c:pt>
                <c:pt idx="15">
                  <c:v>0.17531614809473417</c:v>
                </c:pt>
                <c:pt idx="16">
                  <c:v>2.6169070571409283</c:v>
                </c:pt>
                <c:pt idx="17">
                  <c:v>2.538916221622558</c:v>
                </c:pt>
                <c:pt idx="18">
                  <c:v>1.4227751663943491</c:v>
                </c:pt>
                <c:pt idx="19">
                  <c:v>2.6356080230327152</c:v>
                </c:pt>
                <c:pt idx="20">
                  <c:v>3.7204742959877279</c:v>
                </c:pt>
                <c:pt idx="21">
                  <c:v>1.8504732619204203</c:v>
                </c:pt>
                <c:pt idx="22">
                  <c:v>4.6537826754236651</c:v>
                </c:pt>
                <c:pt idx="23">
                  <c:v>1.0929693897472346</c:v>
                </c:pt>
                <c:pt idx="24">
                  <c:v>1.4301066889817158</c:v>
                </c:pt>
                <c:pt idx="25">
                  <c:v>7.0593676713086255</c:v>
                </c:pt>
                <c:pt idx="26">
                  <c:v>1.932234558992534</c:v>
                </c:pt>
                <c:pt idx="27">
                  <c:v>0.98816565637740317</c:v>
                </c:pt>
                <c:pt idx="28">
                  <c:v>5.4548732982233084</c:v>
                </c:pt>
                <c:pt idx="29">
                  <c:v>2.1381846530826674</c:v>
                </c:pt>
                <c:pt idx="30">
                  <c:v>2.1434527721558672</c:v>
                </c:pt>
                <c:pt idx="31">
                  <c:v>0.90236731693755545</c:v>
                </c:pt>
                <c:pt idx="32">
                  <c:v>0.41927041498801532</c:v>
                </c:pt>
                <c:pt idx="33">
                  <c:v>0.69661277982757164</c:v>
                </c:pt>
                <c:pt idx="34">
                  <c:v>1.5353281145551652</c:v>
                </c:pt>
                <c:pt idx="35">
                  <c:v>0.46523814881150954</c:v>
                </c:pt>
                <c:pt idx="36">
                  <c:v>4.4488209077702319</c:v>
                </c:pt>
                <c:pt idx="37">
                  <c:v>5.6164811013013276</c:v>
                </c:pt>
                <c:pt idx="38">
                  <c:v>3.3736832357075297</c:v>
                </c:pt>
                <c:pt idx="39">
                  <c:v>2.0764758018993188</c:v>
                </c:pt>
                <c:pt idx="40">
                  <c:v>3.0635796809425657</c:v>
                </c:pt>
                <c:pt idx="41">
                  <c:v>2.6675315267237472</c:v>
                </c:pt>
                <c:pt idx="42">
                  <c:v>1.9793418827716363</c:v>
                </c:pt>
                <c:pt idx="43">
                  <c:v>0.59518605992495821</c:v>
                </c:pt>
                <c:pt idx="44">
                  <c:v>2.8662339145583076</c:v>
                </c:pt>
                <c:pt idx="45">
                  <c:v>1.8619081223909717</c:v>
                </c:pt>
                <c:pt idx="46">
                  <c:v>1.659807013965793</c:v>
                </c:pt>
                <c:pt idx="47">
                  <c:v>0.48689531028964028</c:v>
                </c:pt>
                <c:pt idx="48">
                  <c:v>0.31215159541990339</c:v>
                </c:pt>
                <c:pt idx="49">
                  <c:v>0.78676040790645008</c:v>
                </c:pt>
                <c:pt idx="50">
                  <c:v>3.6986915685198305</c:v>
                </c:pt>
                <c:pt idx="51">
                  <c:v>2.0569547254924045</c:v>
                </c:pt>
                <c:pt idx="52">
                  <c:v>2.5117525475714375</c:v>
                </c:pt>
                <c:pt idx="53">
                  <c:v>1.4856496946109377</c:v>
                </c:pt>
                <c:pt idx="54">
                  <c:v>2.2938728831925346</c:v>
                </c:pt>
                <c:pt idx="55">
                  <c:v>1.4007951225875015</c:v>
                </c:pt>
                <c:pt idx="56">
                  <c:v>1.3351291835576042</c:v>
                </c:pt>
                <c:pt idx="57">
                  <c:v>1.2669774209845777</c:v>
                </c:pt>
                <c:pt idx="58">
                  <c:v>0.34773476772142126</c:v>
                </c:pt>
                <c:pt idx="59">
                  <c:v>7.5138381570113835E-2</c:v>
                </c:pt>
                <c:pt idx="60">
                  <c:v>2.1435958332752723</c:v>
                </c:pt>
                <c:pt idx="61">
                  <c:v>1.016533595050382</c:v>
                </c:pt>
                <c:pt idx="62">
                  <c:v>4.8191979634840951</c:v>
                </c:pt>
                <c:pt idx="63">
                  <c:v>6.0688689174704793</c:v>
                </c:pt>
                <c:pt idx="64">
                  <c:v>5.1492603601121818</c:v>
                </c:pt>
                <c:pt idx="65">
                  <c:v>2.6658623830909933</c:v>
                </c:pt>
                <c:pt idx="66">
                  <c:v>0.80857784733267313</c:v>
                </c:pt>
                <c:pt idx="67">
                  <c:v>0.68750832662350281</c:v>
                </c:pt>
                <c:pt idx="68">
                  <c:v>1.3150027866349794</c:v>
                </c:pt>
                <c:pt idx="69">
                  <c:v>1.8402389541538222</c:v>
                </c:pt>
                <c:pt idx="70">
                  <c:v>4.6768426349767269</c:v>
                </c:pt>
                <c:pt idx="71">
                  <c:v>1.0932403688626386</c:v>
                </c:pt>
                <c:pt idx="72">
                  <c:v>1.2563953167350537</c:v>
                </c:pt>
                <c:pt idx="73">
                  <c:v>0.71544185007040983</c:v>
                </c:pt>
                <c:pt idx="74">
                  <c:v>5.6076797468613622</c:v>
                </c:pt>
                <c:pt idx="75">
                  <c:v>3.7131579275384499</c:v>
                </c:pt>
                <c:pt idx="76">
                  <c:v>1.4424435022225457</c:v>
                </c:pt>
                <c:pt idx="77">
                  <c:v>0.776170677251249</c:v>
                </c:pt>
                <c:pt idx="78">
                  <c:v>2.4351401581393484</c:v>
                </c:pt>
                <c:pt idx="79">
                  <c:v>1.626200276731576</c:v>
                </c:pt>
                <c:pt idx="80">
                  <c:v>2.9664817526222409</c:v>
                </c:pt>
                <c:pt idx="81">
                  <c:v>0.96385127403454618</c:v>
                </c:pt>
                <c:pt idx="82">
                  <c:v>0.77396578129949178</c:v>
                </c:pt>
                <c:pt idx="83">
                  <c:v>0.57210372625474881</c:v>
                </c:pt>
                <c:pt idx="84">
                  <c:v>5.3243723446951083</c:v>
                </c:pt>
                <c:pt idx="85">
                  <c:v>1.5362369544855854</c:v>
                </c:pt>
                <c:pt idx="86">
                  <c:v>0.47828727925989312</c:v>
                </c:pt>
                <c:pt idx="87">
                  <c:v>0.24883947992380465</c:v>
                </c:pt>
                <c:pt idx="88">
                  <c:v>7.0021648194232414E-2</c:v>
                </c:pt>
                <c:pt idx="89">
                  <c:v>0.69257865966307652</c:v>
                </c:pt>
                <c:pt idx="90">
                  <c:v>0.44208096174249184</c:v>
                </c:pt>
                <c:pt idx="91">
                  <c:v>0.60164491853797419</c:v>
                </c:pt>
                <c:pt idx="92">
                  <c:v>2.1288756423945916</c:v>
                </c:pt>
                <c:pt idx="93">
                  <c:v>0.90151391774496881</c:v>
                </c:pt>
                <c:pt idx="94">
                  <c:v>0.82924490992781763</c:v>
                </c:pt>
                <c:pt idx="95">
                  <c:v>0.62513822946527597</c:v>
                </c:pt>
                <c:pt idx="96">
                  <c:v>0.33036872686975627</c:v>
                </c:pt>
                <c:pt idx="97">
                  <c:v>8.4743039245574456E-2</c:v>
                </c:pt>
                <c:pt idx="98">
                  <c:v>1.2452626862407248</c:v>
                </c:pt>
                <c:pt idx="99">
                  <c:v>2.0675106188007719</c:v>
                </c:pt>
                <c:pt idx="100">
                  <c:v>0.58445778420664352</c:v>
                </c:pt>
                <c:pt idx="101">
                  <c:v>0.13060266637193654</c:v>
                </c:pt>
                <c:pt idx="102">
                  <c:v>0.12612396158848768</c:v>
                </c:pt>
                <c:pt idx="103">
                  <c:v>1.5024548150498713</c:v>
                </c:pt>
                <c:pt idx="104">
                  <c:v>0.51029773958707625</c:v>
                </c:pt>
                <c:pt idx="105">
                  <c:v>0.77296632702223811</c:v>
                </c:pt>
                <c:pt idx="106">
                  <c:v>1.0190348154765727</c:v>
                </c:pt>
                <c:pt idx="107">
                  <c:v>2.169429384334451</c:v>
                </c:pt>
                <c:pt idx="108">
                  <c:v>1.9117418686128513</c:v>
                </c:pt>
                <c:pt idx="109">
                  <c:v>3.2987880374625029</c:v>
                </c:pt>
                <c:pt idx="110">
                  <c:v>3.2755427124288121</c:v>
                </c:pt>
                <c:pt idx="111">
                  <c:v>5.1031988500854801</c:v>
                </c:pt>
                <c:pt idx="112">
                  <c:v>1.7273007222502474</c:v>
                </c:pt>
                <c:pt idx="113">
                  <c:v>0.43089573194331665</c:v>
                </c:pt>
                <c:pt idx="114">
                  <c:v>0.31522565825328502</c:v>
                </c:pt>
                <c:pt idx="115">
                  <c:v>0.14954038095261399</c:v>
                </c:pt>
                <c:pt idx="116">
                  <c:v>0.72726937618778598</c:v>
                </c:pt>
                <c:pt idx="117">
                  <c:v>1.502943783055201</c:v>
                </c:pt>
                <c:pt idx="118">
                  <c:v>2.1142006927963881</c:v>
                </c:pt>
                <c:pt idx="119">
                  <c:v>4.3775984045470135</c:v>
                </c:pt>
                <c:pt idx="120">
                  <c:v>1.064710329664095</c:v>
                </c:pt>
                <c:pt idx="121">
                  <c:v>0.35954223353442671</c:v>
                </c:pt>
                <c:pt idx="122">
                  <c:v>0.59268656891053217</c:v>
                </c:pt>
                <c:pt idx="123">
                  <c:v>10.055145195650462</c:v>
                </c:pt>
                <c:pt idx="124">
                  <c:v>2.845310997850055</c:v>
                </c:pt>
                <c:pt idx="125">
                  <c:v>3.1772496412462048</c:v>
                </c:pt>
                <c:pt idx="126">
                  <c:v>2.6732909213366023</c:v>
                </c:pt>
                <c:pt idx="127">
                  <c:v>0.85434156071895118</c:v>
                </c:pt>
                <c:pt idx="128">
                  <c:v>0.31559661562587105</c:v>
                </c:pt>
                <c:pt idx="129">
                  <c:v>2.0995902407617644</c:v>
                </c:pt>
                <c:pt idx="130">
                  <c:v>0.85112764119659046</c:v>
                </c:pt>
                <c:pt idx="131">
                  <c:v>3.6672163746130648</c:v>
                </c:pt>
                <c:pt idx="132">
                  <c:v>1.123995307352069</c:v>
                </c:pt>
                <c:pt idx="133">
                  <c:v>2.9485198087141691</c:v>
                </c:pt>
                <c:pt idx="134">
                  <c:v>2.450702405132164</c:v>
                </c:pt>
                <c:pt idx="135">
                  <c:v>7.4961555014323569</c:v>
                </c:pt>
                <c:pt idx="136">
                  <c:v>6.3437471900394513</c:v>
                </c:pt>
                <c:pt idx="137">
                  <c:v>5.7114258684301751</c:v>
                </c:pt>
                <c:pt idx="138">
                  <c:v>2.5595847651183505</c:v>
                </c:pt>
                <c:pt idx="139">
                  <c:v>0.60839622693770046</c:v>
                </c:pt>
                <c:pt idx="140">
                  <c:v>0.94481338279087956</c:v>
                </c:pt>
                <c:pt idx="141">
                  <c:v>0.92435160460304922</c:v>
                </c:pt>
                <c:pt idx="142">
                  <c:v>0.49495101196294117</c:v>
                </c:pt>
                <c:pt idx="143">
                  <c:v>0.87608838647687404</c:v>
                </c:pt>
                <c:pt idx="144">
                  <c:v>3.0157966842199424</c:v>
                </c:pt>
                <c:pt idx="145">
                  <c:v>1.1391347941772403</c:v>
                </c:pt>
                <c:pt idx="146">
                  <c:v>0.54525131074230671</c:v>
                </c:pt>
                <c:pt idx="147">
                  <c:v>1.380005780457698</c:v>
                </c:pt>
                <c:pt idx="148">
                  <c:v>7.1774993841081658</c:v>
                </c:pt>
                <c:pt idx="149">
                  <c:v>2.2085488624040517</c:v>
                </c:pt>
                <c:pt idx="150">
                  <c:v>0.8995147004337436</c:v>
                </c:pt>
                <c:pt idx="151">
                  <c:v>0.21850563953958732</c:v>
                </c:pt>
                <c:pt idx="152">
                  <c:v>0.20359504800048703</c:v>
                </c:pt>
                <c:pt idx="153">
                  <c:v>4.0399405482483672</c:v>
                </c:pt>
                <c:pt idx="154">
                  <c:v>3.5196205700245167</c:v>
                </c:pt>
                <c:pt idx="155">
                  <c:v>1.7754616934199599</c:v>
                </c:pt>
                <c:pt idx="156">
                  <c:v>0.41876719818921965</c:v>
                </c:pt>
                <c:pt idx="157">
                  <c:v>2.2368779178405997</c:v>
                </c:pt>
                <c:pt idx="158">
                  <c:v>1.3738967012974468</c:v>
                </c:pt>
                <c:pt idx="159">
                  <c:v>0.8450054134208721</c:v>
                </c:pt>
                <c:pt idx="160">
                  <c:v>0.8745357486316041</c:v>
                </c:pt>
                <c:pt idx="161">
                  <c:v>2.0541116506810591</c:v>
                </c:pt>
                <c:pt idx="162">
                  <c:v>1.1870659107322468</c:v>
                </c:pt>
                <c:pt idx="163">
                  <c:v>0.76644238197810455</c:v>
                </c:pt>
                <c:pt idx="164">
                  <c:v>0.73081880291737267</c:v>
                </c:pt>
                <c:pt idx="165">
                  <c:v>2.2283668943362724</c:v>
                </c:pt>
                <c:pt idx="166">
                  <c:v>0.77002237604564638</c:v>
                </c:pt>
                <c:pt idx="167">
                  <c:v>1.2067068538325647</c:v>
                </c:pt>
                <c:pt idx="168">
                  <c:v>0.52572956517308989</c:v>
                </c:pt>
                <c:pt idx="169">
                  <c:v>2.0082099557297304</c:v>
                </c:pt>
                <c:pt idx="170">
                  <c:v>1.7798740888773319</c:v>
                </c:pt>
                <c:pt idx="171">
                  <c:v>0.86305963052308188</c:v>
                </c:pt>
                <c:pt idx="172">
                  <c:v>0.65727743455393761</c:v>
                </c:pt>
                <c:pt idx="173">
                  <c:v>0.98094142699067477</c:v>
                </c:pt>
                <c:pt idx="174">
                  <c:v>1.7330227172185215</c:v>
                </c:pt>
                <c:pt idx="175">
                  <c:v>0.48965447857490396</c:v>
                </c:pt>
                <c:pt idx="176">
                  <c:v>0.89281672080141983</c:v>
                </c:pt>
                <c:pt idx="177">
                  <c:v>2.272372124129153</c:v>
                </c:pt>
                <c:pt idx="178">
                  <c:v>0.8178666112538413</c:v>
                </c:pt>
                <c:pt idx="179">
                  <c:v>0.14152461496823857</c:v>
                </c:pt>
                <c:pt idx="180">
                  <c:v>4.721192703338625</c:v>
                </c:pt>
                <c:pt idx="181">
                  <c:v>1.5984929857180759</c:v>
                </c:pt>
                <c:pt idx="182">
                  <c:v>1.0094538423990449</c:v>
                </c:pt>
                <c:pt idx="183">
                  <c:v>5.0738029597072147</c:v>
                </c:pt>
                <c:pt idx="184">
                  <c:v>1.0938720677932481</c:v>
                </c:pt>
                <c:pt idx="185">
                  <c:v>0.17107481196927027</c:v>
                </c:pt>
                <c:pt idx="186">
                  <c:v>0.11672546968216982</c:v>
                </c:pt>
                <c:pt idx="187">
                  <c:v>0.1984378821467927</c:v>
                </c:pt>
                <c:pt idx="188">
                  <c:v>0.67536493750691695</c:v>
                </c:pt>
                <c:pt idx="189">
                  <c:v>1.2664734520006768</c:v>
                </c:pt>
                <c:pt idx="190">
                  <c:v>1.1212041818026688</c:v>
                </c:pt>
                <c:pt idx="191">
                  <c:v>0.80347538058367485</c:v>
                </c:pt>
                <c:pt idx="192">
                  <c:v>0.5637495369989024</c:v>
                </c:pt>
                <c:pt idx="193">
                  <c:v>3.0546624997943197</c:v>
                </c:pt>
                <c:pt idx="194">
                  <c:v>0.93413372951097884</c:v>
                </c:pt>
                <c:pt idx="195">
                  <c:v>1.0063512731512976</c:v>
                </c:pt>
                <c:pt idx="196">
                  <c:v>1.8250709270352528</c:v>
                </c:pt>
                <c:pt idx="197">
                  <c:v>1.1501441087750466</c:v>
                </c:pt>
                <c:pt idx="198">
                  <c:v>1.9253908067903287</c:v>
                </c:pt>
                <c:pt idx="199">
                  <c:v>0.84492966231634103</c:v>
                </c:pt>
                <c:pt idx="200">
                  <c:v>0.39525669827797</c:v>
                </c:pt>
                <c:pt idx="201">
                  <c:v>2.7392752632538877</c:v>
                </c:pt>
                <c:pt idx="202">
                  <c:v>2.588228913195707</c:v>
                </c:pt>
                <c:pt idx="203">
                  <c:v>7.0610983456772765</c:v>
                </c:pt>
                <c:pt idx="204">
                  <c:v>7.8953274343088387</c:v>
                </c:pt>
                <c:pt idx="205">
                  <c:v>3.5880927394766715</c:v>
                </c:pt>
                <c:pt idx="206">
                  <c:v>4.9682294139700245</c:v>
                </c:pt>
                <c:pt idx="207">
                  <c:v>5.8550879681411914</c:v>
                </c:pt>
                <c:pt idx="208">
                  <c:v>2.7954028888846847</c:v>
                </c:pt>
                <c:pt idx="209">
                  <c:v>4.3011689228409962</c:v>
                </c:pt>
                <c:pt idx="210">
                  <c:v>2.8647837656870787</c:v>
                </c:pt>
                <c:pt idx="211">
                  <c:v>0.99571820744324291</c:v>
                </c:pt>
                <c:pt idx="212">
                  <c:v>2.7384022710393836</c:v>
                </c:pt>
                <c:pt idx="213">
                  <c:v>0.81418534234094764</c:v>
                </c:pt>
                <c:pt idx="214">
                  <c:v>0.92347090854610969</c:v>
                </c:pt>
                <c:pt idx="215">
                  <c:v>0.78043345449184931</c:v>
                </c:pt>
                <c:pt idx="216">
                  <c:v>0.21872461701640933</c:v>
                </c:pt>
                <c:pt idx="217">
                  <c:v>1.6106490957828623</c:v>
                </c:pt>
                <c:pt idx="218">
                  <c:v>0.74465444644105538</c:v>
                </c:pt>
                <c:pt idx="219">
                  <c:v>1.9126080506193481</c:v>
                </c:pt>
                <c:pt idx="220">
                  <c:v>1.0319578447879716</c:v>
                </c:pt>
                <c:pt idx="221">
                  <c:v>0.9691423471695223</c:v>
                </c:pt>
                <c:pt idx="222">
                  <c:v>1.4684905011764331</c:v>
                </c:pt>
                <c:pt idx="223">
                  <c:v>0.46056974024328939</c:v>
                </c:pt>
                <c:pt idx="224">
                  <c:v>0.22787781037732352</c:v>
                </c:pt>
                <c:pt idx="225">
                  <c:v>0.61115697884345166</c:v>
                </c:pt>
                <c:pt idx="226">
                  <c:v>0.20629452361074468</c:v>
                </c:pt>
                <c:pt idx="227">
                  <c:v>0.1007997047968858</c:v>
                </c:pt>
                <c:pt idx="228">
                  <c:v>0.92575102317146174</c:v>
                </c:pt>
                <c:pt idx="229">
                  <c:v>0.95798863748833207</c:v>
                </c:pt>
                <c:pt idx="230">
                  <c:v>2.0740148780578176</c:v>
                </c:pt>
                <c:pt idx="231">
                  <c:v>1.7267055424284801</c:v>
                </c:pt>
                <c:pt idx="232">
                  <c:v>4.6014840132756394</c:v>
                </c:pt>
                <c:pt idx="233">
                  <c:v>2.5703306721492472</c:v>
                </c:pt>
                <c:pt idx="234">
                  <c:v>1.5871563469340495</c:v>
                </c:pt>
                <c:pt idx="235">
                  <c:v>1.4603550544234074</c:v>
                </c:pt>
                <c:pt idx="236">
                  <c:v>2.6733544071468862</c:v>
                </c:pt>
                <c:pt idx="237">
                  <c:v>2.3695310803039562</c:v>
                </c:pt>
                <c:pt idx="238">
                  <c:v>1.7948076770134282</c:v>
                </c:pt>
                <c:pt idx="239">
                  <c:v>0.95755534284969701</c:v>
                </c:pt>
                <c:pt idx="240">
                  <c:v>1.2819754554387026</c:v>
                </c:pt>
                <c:pt idx="241">
                  <c:v>0.90588117406010116</c:v>
                </c:pt>
                <c:pt idx="242">
                  <c:v>0.95682222337675293</c:v>
                </c:pt>
                <c:pt idx="243">
                  <c:v>7.7064382341868178</c:v>
                </c:pt>
                <c:pt idx="244">
                  <c:v>4.8932754855399851</c:v>
                </c:pt>
                <c:pt idx="245">
                  <c:v>2.2364626505745342</c:v>
                </c:pt>
                <c:pt idx="246">
                  <c:v>0.73884318577829444</c:v>
                </c:pt>
                <c:pt idx="247">
                  <c:v>2.7279597133596929</c:v>
                </c:pt>
                <c:pt idx="248">
                  <c:v>3.9710575915946498</c:v>
                </c:pt>
                <c:pt idx="249">
                  <c:v>2.0240927628522014</c:v>
                </c:pt>
                <c:pt idx="250">
                  <c:v>2.0906795842913977</c:v>
                </c:pt>
                <c:pt idx="251">
                  <c:v>0.85148496556440167</c:v>
                </c:pt>
                <c:pt idx="252">
                  <c:v>0.88443721663617714</c:v>
                </c:pt>
                <c:pt idx="253">
                  <c:v>1.1068274845559511</c:v>
                </c:pt>
                <c:pt idx="254">
                  <c:v>5.8749144704805207</c:v>
                </c:pt>
                <c:pt idx="255">
                  <c:v>7.8119582626253585</c:v>
                </c:pt>
                <c:pt idx="256">
                  <c:v>3.0426337210146976</c:v>
                </c:pt>
                <c:pt idx="257">
                  <c:v>1.4222617364225363</c:v>
                </c:pt>
                <c:pt idx="258">
                  <c:v>3.4235609137194132</c:v>
                </c:pt>
                <c:pt idx="259">
                  <c:v>1.5680062211930974</c:v>
                </c:pt>
                <c:pt idx="260">
                  <c:v>4.6909854094333454</c:v>
                </c:pt>
                <c:pt idx="261">
                  <c:v>3.5897027212132468</c:v>
                </c:pt>
                <c:pt idx="262">
                  <c:v>7.5571920762610061</c:v>
                </c:pt>
                <c:pt idx="263">
                  <c:v>4.7914892713351875</c:v>
                </c:pt>
                <c:pt idx="264">
                  <c:v>1.7467861542629939</c:v>
                </c:pt>
                <c:pt idx="265">
                  <c:v>2.7716894386007231</c:v>
                </c:pt>
                <c:pt idx="266">
                  <c:v>2.9173207721659389</c:v>
                </c:pt>
                <c:pt idx="267">
                  <c:v>2.8329230836080459</c:v>
                </c:pt>
                <c:pt idx="268">
                  <c:v>3.3266863252435415</c:v>
                </c:pt>
                <c:pt idx="269">
                  <c:v>1.97932387868501</c:v>
                </c:pt>
                <c:pt idx="270">
                  <c:v>0.74961632468732642</c:v>
                </c:pt>
                <c:pt idx="271">
                  <c:v>1.8848015806315648</c:v>
                </c:pt>
                <c:pt idx="272">
                  <c:v>1.0497665829548883</c:v>
                </c:pt>
                <c:pt idx="273">
                  <c:v>1.6602444759439636</c:v>
                </c:pt>
                <c:pt idx="274">
                  <c:v>1.8796665758614439</c:v>
                </c:pt>
                <c:pt idx="275">
                  <c:v>2.0108562422320593</c:v>
                </c:pt>
                <c:pt idx="276">
                  <c:v>0.65972203852961264</c:v>
                </c:pt>
                <c:pt idx="277">
                  <c:v>0.36265994539276752</c:v>
                </c:pt>
                <c:pt idx="278">
                  <c:v>0.33526557877816465</c:v>
                </c:pt>
                <c:pt idx="279">
                  <c:v>1.4170673181873239</c:v>
                </c:pt>
                <c:pt idx="280">
                  <c:v>0.55838175188018624</c:v>
                </c:pt>
                <c:pt idx="281">
                  <c:v>1.0066705492833965</c:v>
                </c:pt>
                <c:pt idx="282">
                  <c:v>0.49435793997549388</c:v>
                </c:pt>
                <c:pt idx="283">
                  <c:v>0.13151231060719321</c:v>
                </c:pt>
                <c:pt idx="284">
                  <c:v>1.0563098211392361</c:v>
                </c:pt>
                <c:pt idx="285">
                  <c:v>2.5393492522562786</c:v>
                </c:pt>
                <c:pt idx="286">
                  <c:v>2.632156243209034</c:v>
                </c:pt>
                <c:pt idx="287">
                  <c:v>1.0774930703727055</c:v>
                </c:pt>
                <c:pt idx="288">
                  <c:v>0.5981599177187934</c:v>
                </c:pt>
                <c:pt idx="289">
                  <c:v>0.20669116545306121</c:v>
                </c:pt>
                <c:pt idx="290">
                  <c:v>0.54578093018758311</c:v>
                </c:pt>
                <c:pt idx="291">
                  <c:v>1.4326718560647225</c:v>
                </c:pt>
                <c:pt idx="292">
                  <c:v>2.8320706384508068</c:v>
                </c:pt>
                <c:pt idx="293">
                  <c:v>3.5164101058204804</c:v>
                </c:pt>
                <c:pt idx="294">
                  <c:v>0.95735409489229106</c:v>
                </c:pt>
                <c:pt idx="295">
                  <c:v>1.0204335546783734</c:v>
                </c:pt>
                <c:pt idx="296">
                  <c:v>1.411841737303356</c:v>
                </c:pt>
                <c:pt idx="297">
                  <c:v>1.2630754926784467</c:v>
                </c:pt>
                <c:pt idx="298">
                  <c:v>1.1014993875748462</c:v>
                </c:pt>
                <c:pt idx="299">
                  <c:v>1.4125770619008062</c:v>
                </c:pt>
                <c:pt idx="300">
                  <c:v>0.57293643675309658</c:v>
                </c:pt>
                <c:pt idx="301">
                  <c:v>0.10776980916110269</c:v>
                </c:pt>
                <c:pt idx="302">
                  <c:v>0.37363712454445791</c:v>
                </c:pt>
                <c:pt idx="303">
                  <c:v>1.4712788458162485</c:v>
                </c:pt>
                <c:pt idx="304">
                  <c:v>1.2551147038154353</c:v>
                </c:pt>
                <c:pt idx="305">
                  <c:v>2.3143495379603469</c:v>
                </c:pt>
                <c:pt idx="306">
                  <c:v>1.1146604626496359</c:v>
                </c:pt>
                <c:pt idx="307">
                  <c:v>0.33147355403424439</c:v>
                </c:pt>
                <c:pt idx="308">
                  <c:v>0.34027186275459198</c:v>
                </c:pt>
                <c:pt idx="309">
                  <c:v>1.0586241636233671</c:v>
                </c:pt>
                <c:pt idx="310">
                  <c:v>3.3528384742299466</c:v>
                </c:pt>
                <c:pt idx="311">
                  <c:v>2.3338028063745155</c:v>
                </c:pt>
                <c:pt idx="312">
                  <c:v>0.70150070953023813</c:v>
                </c:pt>
                <c:pt idx="313">
                  <c:v>2.4448663837919011</c:v>
                </c:pt>
                <c:pt idx="314">
                  <c:v>4.4355083714632766</c:v>
                </c:pt>
                <c:pt idx="315">
                  <c:v>2.1559300385696734</c:v>
                </c:pt>
                <c:pt idx="316">
                  <c:v>0.56471327673362115</c:v>
                </c:pt>
                <c:pt idx="317">
                  <c:v>0.75375936521567566</c:v>
                </c:pt>
                <c:pt idx="318">
                  <c:v>0.52477884448659573</c:v>
                </c:pt>
                <c:pt idx="319">
                  <c:v>1.3117120342468203</c:v>
                </c:pt>
                <c:pt idx="320">
                  <c:v>1.5556878831701981</c:v>
                </c:pt>
                <c:pt idx="321">
                  <c:v>3.4835128703473868</c:v>
                </c:pt>
                <c:pt idx="322">
                  <c:v>0.89744338873678209</c:v>
                </c:pt>
                <c:pt idx="323">
                  <c:v>0.38543698511258301</c:v>
                </c:pt>
                <c:pt idx="324">
                  <c:v>0.33759697609359379</c:v>
                </c:pt>
                <c:pt idx="325">
                  <c:v>0.55685887798099354</c:v>
                </c:pt>
                <c:pt idx="326">
                  <c:v>0.61740377875672092</c:v>
                </c:pt>
                <c:pt idx="327">
                  <c:v>1.5521319418630715</c:v>
                </c:pt>
                <c:pt idx="328">
                  <c:v>0.83967172951887992</c:v>
                </c:pt>
                <c:pt idx="329">
                  <c:v>1.5530036263473679</c:v>
                </c:pt>
                <c:pt idx="330">
                  <c:v>2.2399470660624541</c:v>
                </c:pt>
                <c:pt idx="331">
                  <c:v>1.4351137448071876</c:v>
                </c:pt>
                <c:pt idx="332">
                  <c:v>0.84634856841611517</c:v>
                </c:pt>
                <c:pt idx="333">
                  <c:v>2.6498952698780021</c:v>
                </c:pt>
                <c:pt idx="334">
                  <c:v>0.72084582568108946</c:v>
                </c:pt>
                <c:pt idx="335">
                  <c:v>0.32783713033537853</c:v>
                </c:pt>
                <c:pt idx="336">
                  <c:v>0.2776216617604737</c:v>
                </c:pt>
                <c:pt idx="337">
                  <c:v>3.3026918419001565</c:v>
                </c:pt>
                <c:pt idx="338">
                  <c:v>0.98750866282925387</c:v>
                </c:pt>
                <c:pt idx="339">
                  <c:v>0.16498180994988842</c:v>
                </c:pt>
                <c:pt idx="340">
                  <c:v>1.9679056611099606</c:v>
                </c:pt>
                <c:pt idx="341">
                  <c:v>0.61216802526258307</c:v>
                </c:pt>
                <c:pt idx="342">
                  <c:v>0.13206731052670065</c:v>
                </c:pt>
                <c:pt idx="343">
                  <c:v>8.4454796819812369E-2</c:v>
                </c:pt>
                <c:pt idx="344">
                  <c:v>2.5805411963110343</c:v>
                </c:pt>
                <c:pt idx="345">
                  <c:v>1.2287162213699232</c:v>
                </c:pt>
                <c:pt idx="346">
                  <c:v>11.094163374253856</c:v>
                </c:pt>
                <c:pt idx="347">
                  <c:v>4.7547699096318947</c:v>
                </c:pt>
                <c:pt idx="348">
                  <c:v>5.6569382009131388</c:v>
                </c:pt>
                <c:pt idx="349">
                  <c:v>2.6967714196430803</c:v>
                </c:pt>
                <c:pt idx="350">
                  <c:v>0.77400116822994414</c:v>
                </c:pt>
                <c:pt idx="351">
                  <c:v>0.53890348851404068</c:v>
                </c:pt>
                <c:pt idx="352">
                  <c:v>1.7507974781102629</c:v>
                </c:pt>
                <c:pt idx="353">
                  <c:v>0.59837205000656934</c:v>
                </c:pt>
                <c:pt idx="354">
                  <c:v>2.5804005844467772</c:v>
                </c:pt>
                <c:pt idx="355">
                  <c:v>0.73096378480596391</c:v>
                </c:pt>
                <c:pt idx="356">
                  <c:v>1.6833945615019299</c:v>
                </c:pt>
                <c:pt idx="357">
                  <c:v>0.55195651306105964</c:v>
                </c:pt>
                <c:pt idx="358">
                  <c:v>0.13439598683121523</c:v>
                </c:pt>
                <c:pt idx="359">
                  <c:v>0.39671249245561202</c:v>
                </c:pt>
                <c:pt idx="360">
                  <c:v>0.48701005294308175</c:v>
                </c:pt>
                <c:pt idx="361">
                  <c:v>1.0938049301948733</c:v>
                </c:pt>
                <c:pt idx="362">
                  <c:v>0.49417112334495794</c:v>
                </c:pt>
                <c:pt idx="363">
                  <c:v>0.94454743775202044</c:v>
                </c:pt>
                <c:pt idx="364">
                  <c:v>1.6754256000882841</c:v>
                </c:pt>
                <c:pt idx="365">
                  <c:v>1.0058686506208585</c:v>
                </c:pt>
                <c:pt idx="366">
                  <c:v>0.68657441339423342</c:v>
                </c:pt>
                <c:pt idx="367">
                  <c:v>0.37203752568884041</c:v>
                </c:pt>
                <c:pt idx="368">
                  <c:v>0.83617929611427866</c:v>
                </c:pt>
                <c:pt idx="369">
                  <c:v>1.3201349788235048</c:v>
                </c:pt>
                <c:pt idx="370">
                  <c:v>1.036135347863435</c:v>
                </c:pt>
                <c:pt idx="371">
                  <c:v>1.1965369595009541</c:v>
                </c:pt>
                <c:pt idx="372">
                  <c:v>0.44213596727781768</c:v>
                </c:pt>
                <c:pt idx="373">
                  <c:v>1.0358366832257739</c:v>
                </c:pt>
                <c:pt idx="374">
                  <c:v>0.53646098715421542</c:v>
                </c:pt>
                <c:pt idx="375">
                  <c:v>1.8810768154581674</c:v>
                </c:pt>
                <c:pt idx="376">
                  <c:v>0.7098478090230157</c:v>
                </c:pt>
                <c:pt idx="377">
                  <c:v>0.88591983692282872</c:v>
                </c:pt>
                <c:pt idx="378">
                  <c:v>0.31527889782511082</c:v>
                </c:pt>
                <c:pt idx="379">
                  <c:v>1.3079747847515204</c:v>
                </c:pt>
                <c:pt idx="380">
                  <c:v>1.254202635131918</c:v>
                </c:pt>
                <c:pt idx="381">
                  <c:v>6.0956730241857606</c:v>
                </c:pt>
                <c:pt idx="382">
                  <c:v>1.2422735450723712</c:v>
                </c:pt>
                <c:pt idx="383">
                  <c:v>3.7682939510531757</c:v>
                </c:pt>
              </c:numCache>
            </c:numRef>
          </c:val>
          <c:extLst>
            <c:ext xmlns:c16="http://schemas.microsoft.com/office/drawing/2014/chart" uri="{C3380CC4-5D6E-409C-BE32-E72D297353CC}">
              <c16:uniqueId val="{00000003-6A32-42CD-AF9F-92374F12653E}"/>
            </c:ext>
          </c:extLst>
        </c:ser>
        <c:ser>
          <c:idx val="0"/>
          <c:order val="2"/>
          <c:tx>
            <c:strRef>
              <c:f>'Ingreso Datos'!$G$2</c:f>
              <c:strCache>
                <c:ptCount val="1"/>
                <c:pt idx="0">
                  <c:v>Presa del Ejemplo del Manual</c:v>
                </c:pt>
              </c:strCache>
            </c:strRef>
          </c:tx>
          <c:spPr>
            <a:noFill/>
            <a:ln w="25400">
              <a:noFill/>
            </a:ln>
          </c:spPr>
          <c:invertIfNegative val="0"/>
          <c:val>
            <c:numRef>
              <c:f>'Esc 1'!$G$30</c:f>
              <c:numCache>
                <c:formatCode>0.0</c:formatCode>
                <c:ptCount val="1"/>
              </c:numCache>
            </c:numRef>
          </c:val>
          <c:extLst>
            <c:ext xmlns:c16="http://schemas.microsoft.com/office/drawing/2014/chart" uri="{C3380CC4-5D6E-409C-BE32-E72D297353CC}">
              <c16:uniqueId val="{00000004-6A32-42CD-AF9F-92374F12653E}"/>
            </c:ext>
          </c:extLst>
        </c:ser>
        <c:dLbls>
          <c:showLegendKey val="0"/>
          <c:showVal val="0"/>
          <c:showCatName val="0"/>
          <c:showSerName val="0"/>
          <c:showPercent val="0"/>
          <c:showBubbleSize val="0"/>
        </c:dLbls>
        <c:gapWidth val="150"/>
        <c:axId val="3"/>
        <c:axId val="4"/>
      </c:barChart>
      <c:catAx>
        <c:axId val="1485811936"/>
        <c:scaling>
          <c:orientation val="minMax"/>
        </c:scaling>
        <c:delete val="0"/>
        <c:axPos val="b"/>
        <c:title>
          <c:tx>
            <c:rich>
              <a:bodyPr/>
              <a:lstStyle/>
              <a:p>
                <a:pPr>
                  <a:defRPr sz="1200" b="0" i="0" u="none" strike="noStrike" baseline="0">
                    <a:solidFill>
                      <a:srgbClr val="000000"/>
                    </a:solidFill>
                    <a:latin typeface="Arial"/>
                    <a:ea typeface="Arial"/>
                    <a:cs typeface="Arial"/>
                  </a:defRPr>
                </a:pPr>
                <a:r>
                  <a:rPr lang="es-UY"/>
                  <a:t>1981 - 2010</a:t>
                </a:r>
              </a:p>
            </c:rich>
          </c:tx>
          <c:layout>
            <c:manualLayout>
              <c:xMode val="edge"/>
              <c:yMode val="edge"/>
              <c:x val="0.40694040481520327"/>
              <c:y val="0.94767503510958928"/>
            </c:manualLayout>
          </c:layout>
          <c:overlay val="0"/>
          <c:spPr>
            <a:noFill/>
            <a:ln w="25400">
              <a:noFill/>
            </a:ln>
          </c:spPr>
        </c:title>
        <c:majorTickMark val="out"/>
        <c:minorTickMark val="none"/>
        <c:tickLblPos val="none"/>
        <c:spPr>
          <a:ln w="9525">
            <a:noFill/>
          </a:ln>
        </c:spPr>
        <c:crossAx val="1"/>
        <c:crosses val="autoZero"/>
        <c:auto val="0"/>
        <c:lblAlgn val="ctr"/>
        <c:lblOffset val="100"/>
        <c:tickMarkSkip val="1"/>
        <c:noMultiLvlLbl val="0"/>
      </c:catAx>
      <c:valAx>
        <c:axId val="1"/>
        <c:scaling>
          <c:orientation val="minMax"/>
          <c:max val="700"/>
          <c:min val="-700"/>
        </c:scaling>
        <c:delete val="0"/>
        <c:axPos val="l"/>
        <c:majorGridlines>
          <c:spPr>
            <a:ln w="3175">
              <a:solidFill>
                <a:srgbClr val="339966"/>
              </a:solidFill>
              <a:prstDash val="solid"/>
            </a:ln>
          </c:spPr>
        </c:majorGridlines>
        <c:title>
          <c:tx>
            <c:rich>
              <a:bodyPr/>
              <a:lstStyle/>
              <a:p>
                <a:pPr>
                  <a:defRPr sz="1200" b="0" i="0" u="none" strike="noStrike" baseline="0">
                    <a:solidFill>
                      <a:srgbClr val="000000"/>
                    </a:solidFill>
                    <a:latin typeface="Arial"/>
                    <a:ea typeface="Arial"/>
                    <a:cs typeface="Arial"/>
                  </a:defRPr>
                </a:pPr>
                <a:r>
                  <a:rPr lang="es-UY"/>
                  <a:t>Precipitación (mm/mes)</a:t>
                </a:r>
              </a:p>
            </c:rich>
          </c:tx>
          <c:layout>
            <c:manualLayout>
              <c:xMode val="edge"/>
              <c:yMode val="edge"/>
              <c:x val="1.4258073605610433E-2"/>
              <c:y val="0.222060972338377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UY"/>
          </a:p>
        </c:txPr>
        <c:crossAx val="1485811936"/>
        <c:crosses val="autoZero"/>
        <c:crossBetween val="between"/>
        <c:majorUnit val="100"/>
      </c:valAx>
      <c:catAx>
        <c:axId val="3"/>
        <c:scaling>
          <c:orientation val="minMax"/>
        </c:scaling>
        <c:delete val="0"/>
        <c:axPos val="b"/>
        <c:majorTickMark val="out"/>
        <c:minorTickMark val="none"/>
        <c:tickLblPos val="none"/>
        <c:spPr>
          <a:ln w="3175">
            <a:solidFill>
              <a:srgbClr val="000000"/>
            </a:solidFill>
            <a:prstDash val="solid"/>
          </a:ln>
        </c:spPr>
        <c:crossAx val="4"/>
        <c:crosses val="autoZero"/>
        <c:auto val="0"/>
        <c:lblAlgn val="ctr"/>
        <c:lblOffset val="100"/>
        <c:tickMarkSkip val="12"/>
        <c:noMultiLvlLbl val="0"/>
      </c:catAx>
      <c:valAx>
        <c:axId val="4"/>
        <c:scaling>
          <c:orientation val="minMax"/>
          <c:max val="28"/>
          <c:min val="0"/>
        </c:scaling>
        <c:delete val="0"/>
        <c:axPos val="r"/>
        <c:title>
          <c:tx>
            <c:rich>
              <a:bodyPr/>
              <a:lstStyle/>
              <a:p>
                <a:pPr>
                  <a:defRPr sz="1200" b="0" i="0" u="none" strike="noStrike" baseline="0">
                    <a:solidFill>
                      <a:srgbClr val="000000"/>
                    </a:solidFill>
                    <a:latin typeface="Arial"/>
                    <a:ea typeface="Arial"/>
                    <a:cs typeface="Arial"/>
                  </a:defRPr>
                </a:pPr>
                <a:r>
                  <a:rPr lang="es-UY"/>
                  <a:t>Escurrimiento (Hm3/mes) .</a:t>
                </a:r>
              </a:p>
            </c:rich>
          </c:tx>
          <c:layout>
            <c:manualLayout>
              <c:xMode val="edge"/>
              <c:yMode val="edge"/>
              <c:x val="0.95736572689845179"/>
              <c:y val="0.61973868997838188"/>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UY"/>
          </a:p>
        </c:txPr>
        <c:crossAx val="3"/>
        <c:crosses val="max"/>
        <c:crossBetween val="between"/>
        <c:majorUnit val="2"/>
      </c:valAx>
      <c:spPr>
        <a:solidFill>
          <a:srgbClr val="FFFFFF"/>
        </a:solidFill>
        <a:ln w="12700">
          <a:solidFill>
            <a:srgbClr val="808080"/>
          </a:solidFill>
          <a:prstDash val="solid"/>
        </a:ln>
      </c:spPr>
    </c:plotArea>
    <c:legend>
      <c:legendPos val="r"/>
      <c:legendEntry>
        <c:idx val="0"/>
        <c:delete val="1"/>
      </c:legendEntry>
      <c:legendEntry>
        <c:idx val="1"/>
        <c:txPr>
          <a:bodyPr/>
          <a:lstStyle/>
          <a:p>
            <a:pPr>
              <a:defRPr sz="700" b="0" i="0" u="none" strike="noStrike" baseline="0">
                <a:solidFill>
                  <a:srgbClr val="000000"/>
                </a:solidFill>
                <a:latin typeface="Arial"/>
                <a:ea typeface="Arial"/>
                <a:cs typeface="Arial"/>
              </a:defRPr>
            </a:pPr>
            <a:endParaRPr lang="es-UY"/>
          </a:p>
        </c:txPr>
      </c:legendEntry>
      <c:legendEntry>
        <c:idx val="3"/>
        <c:delete val="1"/>
      </c:legendEntry>
      <c:layout>
        <c:manualLayout>
          <c:xMode val="edge"/>
          <c:yMode val="edge"/>
          <c:x val="0.11664447782658531"/>
          <c:y val="0.90119063929529897"/>
          <c:w val="0.78851667010771676"/>
          <c:h val="8.430493077278603E-2"/>
        </c:manualLayout>
      </c:layout>
      <c:overlay val="0"/>
      <c:spPr>
        <a:solidFill>
          <a:srgbClr val="FFFFFF"/>
        </a:solidFill>
        <a:ln w="25400">
          <a:noFill/>
        </a:ln>
      </c:spPr>
      <c:txPr>
        <a:bodyPr/>
        <a:lstStyle/>
        <a:p>
          <a:pPr>
            <a:defRPr sz="700" b="0" i="0" u="none" strike="noStrike" baseline="0">
              <a:solidFill>
                <a:srgbClr val="000000"/>
              </a:solidFill>
              <a:latin typeface="Arial"/>
              <a:ea typeface="Arial"/>
              <a:cs typeface="Arial"/>
            </a:defRPr>
          </a:pPr>
          <a:endParaRPr lang="es-UY"/>
        </a:p>
      </c:txPr>
    </c:legend>
    <c:plotVisOnly val="1"/>
    <c:dispBlanksAs val="gap"/>
    <c:showDLblsOverMax val="0"/>
  </c:chart>
  <c:spPr>
    <a:solidFill>
      <a:schemeClr val="bg1"/>
    </a:solidFill>
    <a:ln w="9525">
      <a:noFill/>
    </a:ln>
  </c:spPr>
  <c:txPr>
    <a:bodyPr/>
    <a:lstStyle/>
    <a:p>
      <a:pPr>
        <a:defRPr sz="2000" b="0" i="0" u="none" strike="noStrike" baseline="0">
          <a:solidFill>
            <a:srgbClr val="000000"/>
          </a:solidFill>
          <a:latin typeface="Arial"/>
          <a:ea typeface="Arial"/>
          <a:cs typeface="Arial"/>
        </a:defRPr>
      </a:pPr>
      <a:endParaRPr lang="es-UY"/>
    </a:p>
  </c:txPr>
  <c:printSettings>
    <c:headerFooter/>
    <c:pageMargins b="0.75000000000000011" l="0.70000000000000007" r="0.70000000000000007" t="0.75000000000000011" header="0.30000000000000004" footer="0.30000000000000004"/>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Arial"/>
                <a:ea typeface="Arial"/>
                <a:cs typeface="Arial"/>
              </a:defRPr>
            </a:pPr>
            <a:r>
              <a:rPr lang="es-UY"/>
              <a:t>Volúmenes escurridos en invierno y verano (1981-2012)</a:t>
            </a:r>
          </a:p>
        </c:rich>
      </c:tx>
      <c:layout>
        <c:manualLayout>
          <c:xMode val="edge"/>
          <c:yMode val="edge"/>
          <c:x val="0.11301713945613796"/>
          <c:y val="1.3862870987280436E-2"/>
        </c:manualLayout>
      </c:layout>
      <c:overlay val="0"/>
      <c:spPr>
        <a:noFill/>
        <a:ln w="25400">
          <a:noFill/>
        </a:ln>
      </c:spPr>
    </c:title>
    <c:autoTitleDeleted val="0"/>
    <c:plotArea>
      <c:layout>
        <c:manualLayout>
          <c:layoutTarget val="inner"/>
          <c:xMode val="edge"/>
          <c:yMode val="edge"/>
          <c:x val="0.11138940672515256"/>
          <c:y val="0.12825316640660472"/>
          <c:w val="0.77847428070836955"/>
          <c:h val="0.66728821362276947"/>
        </c:manualLayout>
      </c:layout>
      <c:barChart>
        <c:barDir val="col"/>
        <c:grouping val="stacked"/>
        <c:varyColors val="0"/>
        <c:ser>
          <c:idx val="1"/>
          <c:order val="0"/>
          <c:tx>
            <c:strRef>
              <c:f>'Datos reordenados'!$F$24</c:f>
              <c:strCache>
                <c:ptCount val="1"/>
                <c:pt idx="0">
                  <c:v>abril a setiembre</c:v>
                </c:pt>
              </c:strCache>
            </c:strRef>
          </c:tx>
          <c:spPr>
            <a:solidFill>
              <a:srgbClr val="FFCC99"/>
            </a:solidFill>
            <a:ln w="12700">
              <a:solidFill>
                <a:srgbClr val="FF6600"/>
              </a:solidFill>
              <a:prstDash val="solid"/>
            </a:ln>
          </c:spPr>
          <c:invertIfNegative val="0"/>
          <c:dLbls>
            <c:numFmt formatCode="0.0" sourceLinked="0"/>
            <c:spPr>
              <a:noFill/>
              <a:ln w="25400">
                <a:noFill/>
              </a:ln>
            </c:spPr>
            <c:txPr>
              <a:bodyPr rot="-5400000" vert="horz" wrap="square" lIns="38100" tIns="19050" rIns="38100" bIns="19050" anchor="ctr">
                <a:spAutoFit/>
              </a:bodyPr>
              <a:lstStyle/>
              <a:p>
                <a:pPr algn="ctr">
                  <a:defRPr sz="875" b="0" i="0" u="none" strike="noStrike" baseline="0">
                    <a:solidFill>
                      <a:srgbClr val="000000"/>
                    </a:solidFill>
                    <a:latin typeface="Arial"/>
                    <a:ea typeface="Arial"/>
                    <a:cs typeface="Arial"/>
                  </a:defRPr>
                </a:pPr>
                <a:endParaRPr lang="es-UY"/>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reordenados'!$G$8:$AL$8</c:f>
              <c:strCache>
                <c:ptCount val="32"/>
                <c:pt idx="0">
                  <c:v>81-82</c:v>
                </c:pt>
                <c:pt idx="1">
                  <c:v>82-83</c:v>
                </c:pt>
                <c:pt idx="2">
                  <c:v>83-84</c:v>
                </c:pt>
                <c:pt idx="3">
                  <c:v>84-85</c:v>
                </c:pt>
                <c:pt idx="4">
                  <c:v>85-86</c:v>
                </c:pt>
                <c:pt idx="5">
                  <c:v>86-87</c:v>
                </c:pt>
                <c:pt idx="6">
                  <c:v>87-88</c:v>
                </c:pt>
                <c:pt idx="7">
                  <c:v>88-89</c:v>
                </c:pt>
                <c:pt idx="8">
                  <c:v>89-90</c:v>
                </c:pt>
                <c:pt idx="9">
                  <c:v>90-91</c:v>
                </c:pt>
                <c:pt idx="10">
                  <c:v>91-92</c:v>
                </c:pt>
                <c:pt idx="11">
                  <c:v>92-93</c:v>
                </c:pt>
                <c:pt idx="12">
                  <c:v>93-94</c:v>
                </c:pt>
                <c:pt idx="13">
                  <c:v>94-95</c:v>
                </c:pt>
                <c:pt idx="14">
                  <c:v>95-96</c:v>
                </c:pt>
                <c:pt idx="15">
                  <c:v>96-97</c:v>
                </c:pt>
                <c:pt idx="16">
                  <c:v>97-98</c:v>
                </c:pt>
                <c:pt idx="17">
                  <c:v>98-99</c:v>
                </c:pt>
                <c:pt idx="18">
                  <c:v>99-00</c:v>
                </c:pt>
                <c:pt idx="19">
                  <c:v>00-01</c:v>
                </c:pt>
                <c:pt idx="20">
                  <c:v>01-02</c:v>
                </c:pt>
                <c:pt idx="21">
                  <c:v>02-03</c:v>
                </c:pt>
                <c:pt idx="22">
                  <c:v>03-04</c:v>
                </c:pt>
                <c:pt idx="23">
                  <c:v>04-05</c:v>
                </c:pt>
                <c:pt idx="24">
                  <c:v>05-06</c:v>
                </c:pt>
                <c:pt idx="25">
                  <c:v>06-07</c:v>
                </c:pt>
                <c:pt idx="26">
                  <c:v>07-08</c:v>
                </c:pt>
                <c:pt idx="27">
                  <c:v>08-09</c:v>
                </c:pt>
                <c:pt idx="28">
                  <c:v>09-10</c:v>
                </c:pt>
                <c:pt idx="29">
                  <c:v>10-11</c:v>
                </c:pt>
                <c:pt idx="30">
                  <c:v>11-12</c:v>
                </c:pt>
                <c:pt idx="31">
                  <c:v>12-13</c:v>
                </c:pt>
              </c:strCache>
            </c:strRef>
          </c:cat>
          <c:val>
            <c:numRef>
              <c:f>'Datos reordenados'!$G$24:$AL$24</c:f>
              <c:numCache>
                <c:formatCode>0.00</c:formatCode>
                <c:ptCount val="32"/>
                <c:pt idx="0">
                  <c:v>9.8853791082520885</c:v>
                </c:pt>
                <c:pt idx="1">
                  <c:v>13.109996912273012</c:v>
                </c:pt>
                <c:pt idx="2">
                  <c:v>12.046314111764815</c:v>
                </c:pt>
                <c:pt idx="3">
                  <c:v>13.248348866820534</c:v>
                </c:pt>
                <c:pt idx="4">
                  <c:v>11.084154157012421</c:v>
                </c:pt>
                <c:pt idx="5">
                  <c:v>16.695080621264811</c:v>
                </c:pt>
                <c:pt idx="6">
                  <c:v>12.959594294505411</c:v>
                </c:pt>
                <c:pt idx="7">
                  <c:v>4.1840413104561716</c:v>
                </c:pt>
                <c:pt idx="8">
                  <c:v>4.9214475856047875</c:v>
                </c:pt>
                <c:pt idx="9">
                  <c:v>8.4534307196727294</c:v>
                </c:pt>
                <c:pt idx="10">
                  <c:v>19.920934932428146</c:v>
                </c:pt>
                <c:pt idx="11">
                  <c:v>23.664122934748914</c:v>
                </c:pt>
                <c:pt idx="12">
                  <c:v>12.087669414943733</c:v>
                </c:pt>
                <c:pt idx="13">
                  <c:v>6.4579799083612599</c:v>
                </c:pt>
                <c:pt idx="14">
                  <c:v>5.6167724086625395</c:v>
                </c:pt>
                <c:pt idx="15">
                  <c:v>7.3292781288056137</c:v>
                </c:pt>
                <c:pt idx="16">
                  <c:v>7.1471434763462369</c:v>
                </c:pt>
                <c:pt idx="17">
                  <c:v>19.550564024036579</c:v>
                </c:pt>
                <c:pt idx="18">
                  <c:v>6.0706462943738879</c:v>
                </c:pt>
                <c:pt idx="19">
                  <c:v>14.61938603635771</c:v>
                </c:pt>
                <c:pt idx="20">
                  <c:v>22.274036861033977</c:v>
                </c:pt>
                <c:pt idx="21">
                  <c:v>21.959406264408447</c:v>
                </c:pt>
                <c:pt idx="22">
                  <c:v>11.823117775810376</c:v>
                </c:pt>
                <c:pt idx="23">
                  <c:v>4.6642996910728298</c:v>
                </c:pt>
                <c:pt idx="24">
                  <c:v>11.170781987210031</c:v>
                </c:pt>
                <c:pt idx="25">
                  <c:v>6.8271489670305021</c:v>
                </c:pt>
                <c:pt idx="26">
                  <c:v>6.8665814424225839</c:v>
                </c:pt>
                <c:pt idx="27">
                  <c:v>8.4662166770150762</c:v>
                </c:pt>
                <c:pt idx="28">
                  <c:v>5.5421187999799795</c:v>
                </c:pt>
                <c:pt idx="29">
                  <c:v>7.8828319473855446</c:v>
                </c:pt>
                <c:pt idx="30">
                  <c:v>5.5206329236585159</c:v>
                </c:pt>
                <c:pt idx="31">
                  <c:v>6.3543007791125614</c:v>
                </c:pt>
              </c:numCache>
            </c:numRef>
          </c:val>
          <c:extLst>
            <c:ext xmlns:c16="http://schemas.microsoft.com/office/drawing/2014/chart" uri="{C3380CC4-5D6E-409C-BE32-E72D297353CC}">
              <c16:uniqueId val="{00000000-BD8F-4346-8CAD-985BE815254E}"/>
            </c:ext>
          </c:extLst>
        </c:ser>
        <c:ser>
          <c:idx val="2"/>
          <c:order val="1"/>
          <c:tx>
            <c:strRef>
              <c:f>'Datos reordenados'!$F$25</c:f>
              <c:strCache>
                <c:ptCount val="1"/>
                <c:pt idx="0">
                  <c:v>octubre a marzo</c:v>
                </c:pt>
              </c:strCache>
            </c:strRef>
          </c:tx>
          <c:spPr>
            <a:solidFill>
              <a:srgbClr val="00CCFF"/>
            </a:solidFill>
            <a:ln w="12700">
              <a:solidFill>
                <a:srgbClr val="3366FF"/>
              </a:solidFill>
              <a:prstDash val="solid"/>
            </a:ln>
          </c:spPr>
          <c:invertIfNegative val="0"/>
          <c:dLbls>
            <c:numFmt formatCode="0.0" sourceLinked="0"/>
            <c:spPr>
              <a:noFill/>
              <a:ln w="25400">
                <a:noFill/>
              </a:ln>
            </c:spPr>
            <c:txPr>
              <a:bodyPr rot="-5400000" vert="horz" wrap="square" lIns="38100" tIns="19050" rIns="38100" bIns="19050" anchor="ctr">
                <a:spAutoFit/>
              </a:bodyPr>
              <a:lstStyle/>
              <a:p>
                <a:pPr algn="ctr">
                  <a:defRPr sz="875" b="0" i="0" u="none" strike="noStrike" baseline="0">
                    <a:solidFill>
                      <a:srgbClr val="000000"/>
                    </a:solidFill>
                    <a:latin typeface="Arial"/>
                    <a:ea typeface="Arial"/>
                    <a:cs typeface="Arial"/>
                  </a:defRPr>
                </a:pPr>
                <a:endParaRPr lang="es-UY"/>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reordenados'!$G$8:$AL$8</c:f>
              <c:strCache>
                <c:ptCount val="32"/>
                <c:pt idx="0">
                  <c:v>81-82</c:v>
                </c:pt>
                <c:pt idx="1">
                  <c:v>82-83</c:v>
                </c:pt>
                <c:pt idx="2">
                  <c:v>83-84</c:v>
                </c:pt>
                <c:pt idx="3">
                  <c:v>84-85</c:v>
                </c:pt>
                <c:pt idx="4">
                  <c:v>85-86</c:v>
                </c:pt>
                <c:pt idx="5">
                  <c:v>86-87</c:v>
                </c:pt>
                <c:pt idx="6">
                  <c:v>87-88</c:v>
                </c:pt>
                <c:pt idx="7">
                  <c:v>88-89</c:v>
                </c:pt>
                <c:pt idx="8">
                  <c:v>89-90</c:v>
                </c:pt>
                <c:pt idx="9">
                  <c:v>90-91</c:v>
                </c:pt>
                <c:pt idx="10">
                  <c:v>91-92</c:v>
                </c:pt>
                <c:pt idx="11">
                  <c:v>92-93</c:v>
                </c:pt>
                <c:pt idx="12">
                  <c:v>93-94</c:v>
                </c:pt>
                <c:pt idx="13">
                  <c:v>94-95</c:v>
                </c:pt>
                <c:pt idx="14">
                  <c:v>95-96</c:v>
                </c:pt>
                <c:pt idx="15">
                  <c:v>96-97</c:v>
                </c:pt>
                <c:pt idx="16">
                  <c:v>97-98</c:v>
                </c:pt>
                <c:pt idx="17">
                  <c:v>98-99</c:v>
                </c:pt>
                <c:pt idx="18">
                  <c:v>99-00</c:v>
                </c:pt>
                <c:pt idx="19">
                  <c:v>00-01</c:v>
                </c:pt>
                <c:pt idx="20">
                  <c:v>01-02</c:v>
                </c:pt>
                <c:pt idx="21">
                  <c:v>02-03</c:v>
                </c:pt>
                <c:pt idx="22">
                  <c:v>03-04</c:v>
                </c:pt>
                <c:pt idx="23">
                  <c:v>04-05</c:v>
                </c:pt>
                <c:pt idx="24">
                  <c:v>05-06</c:v>
                </c:pt>
                <c:pt idx="25">
                  <c:v>06-07</c:v>
                </c:pt>
                <c:pt idx="26">
                  <c:v>07-08</c:v>
                </c:pt>
                <c:pt idx="27">
                  <c:v>08-09</c:v>
                </c:pt>
                <c:pt idx="28">
                  <c:v>09-10</c:v>
                </c:pt>
                <c:pt idx="29">
                  <c:v>10-11</c:v>
                </c:pt>
                <c:pt idx="30">
                  <c:v>11-12</c:v>
                </c:pt>
                <c:pt idx="31">
                  <c:v>12-13</c:v>
                </c:pt>
              </c:strCache>
            </c:strRef>
          </c:cat>
          <c:val>
            <c:numRef>
              <c:f>'Datos reordenados'!$G$25:$AL$25</c:f>
              <c:numCache>
                <c:formatCode>0.00</c:formatCode>
                <c:ptCount val="32"/>
                <c:pt idx="0">
                  <c:v>10.072396215316468</c:v>
                </c:pt>
                <c:pt idx="1">
                  <c:v>18.018934246374194</c:v>
                </c:pt>
                <c:pt idx="2">
                  <c:v>16.136164287973337</c:v>
                </c:pt>
                <c:pt idx="3">
                  <c:v>8.8062140184925894</c:v>
                </c:pt>
                <c:pt idx="4">
                  <c:v>9.6691779620858611</c:v>
                </c:pt>
                <c:pt idx="5">
                  <c:v>15.189838871660012</c:v>
                </c:pt>
                <c:pt idx="6">
                  <c:v>9.6488173600293745</c:v>
                </c:pt>
                <c:pt idx="7">
                  <c:v>4.0162715094941177</c:v>
                </c:pt>
                <c:pt idx="8">
                  <c:v>12.447503145337429</c:v>
                </c:pt>
                <c:pt idx="9">
                  <c:v>10.011682012507656</c:v>
                </c:pt>
                <c:pt idx="10">
                  <c:v>13.141151777769823</c:v>
                </c:pt>
                <c:pt idx="11">
                  <c:v>6.9955737921823538</c:v>
                </c:pt>
                <c:pt idx="12">
                  <c:v>13.36456462902011</c:v>
                </c:pt>
                <c:pt idx="13">
                  <c:v>8.5189097339946347</c:v>
                </c:pt>
                <c:pt idx="14">
                  <c:v>10.56090288180698</c:v>
                </c:pt>
                <c:pt idx="15">
                  <c:v>7.7436987806912221</c:v>
                </c:pt>
                <c:pt idx="16">
                  <c:v>28.840252109882407</c:v>
                </c:pt>
                <c:pt idx="17">
                  <c:v>5.092117864619234</c:v>
                </c:pt>
                <c:pt idx="18">
                  <c:v>4.8760057459686941</c:v>
                </c:pt>
                <c:pt idx="19">
                  <c:v>8.2665729530426386</c:v>
                </c:pt>
                <c:pt idx="20">
                  <c:v>12.832436484380651</c:v>
                </c:pt>
                <c:pt idx="21">
                  <c:v>23.374180433839101</c:v>
                </c:pt>
                <c:pt idx="22">
                  <c:v>6.9084148567380117</c:v>
                </c:pt>
                <c:pt idx="23">
                  <c:v>7.5996305791974557</c:v>
                </c:pt>
                <c:pt idx="24">
                  <c:v>4.8314953126127556</c:v>
                </c:pt>
                <c:pt idx="25">
                  <c:v>14.327140909013245</c:v>
                </c:pt>
                <c:pt idx="26">
                  <c:v>6.2782528770280601</c:v>
                </c:pt>
                <c:pt idx="27">
                  <c:v>8.2664003923843552</c:v>
                </c:pt>
                <c:pt idx="28">
                  <c:v>26.205360294041839</c:v>
                </c:pt>
                <c:pt idx="29">
                  <c:v>3.1580510988307999</c:v>
                </c:pt>
                <c:pt idx="30">
                  <c:v>5.5672409238457012</c:v>
                </c:pt>
                <c:pt idx="31">
                  <c:v>11.106240520311307</c:v>
                </c:pt>
              </c:numCache>
            </c:numRef>
          </c:val>
          <c:extLst>
            <c:ext xmlns:c16="http://schemas.microsoft.com/office/drawing/2014/chart" uri="{C3380CC4-5D6E-409C-BE32-E72D297353CC}">
              <c16:uniqueId val="{00000001-BD8F-4346-8CAD-985BE815254E}"/>
            </c:ext>
          </c:extLst>
        </c:ser>
        <c:ser>
          <c:idx val="4"/>
          <c:order val="2"/>
          <c:tx>
            <c:strRef>
              <c:f>'Datos reordenados'!$A$1</c:f>
              <c:strCache>
                <c:ptCount val="1"/>
                <c:pt idx="0">
                  <c:v>Presa del Ejemplo del Manual</c:v>
                </c:pt>
              </c:strCache>
            </c:strRef>
          </c:tx>
          <c:spPr>
            <a:noFill/>
            <a:ln w="25400">
              <a:noFill/>
            </a:ln>
          </c:spPr>
          <c:invertIfNegative val="0"/>
          <c:cat>
            <c:strRef>
              <c:f>'Datos reordenados'!$G$8:$AL$8</c:f>
              <c:strCache>
                <c:ptCount val="32"/>
                <c:pt idx="0">
                  <c:v>81-82</c:v>
                </c:pt>
                <c:pt idx="1">
                  <c:v>82-83</c:v>
                </c:pt>
                <c:pt idx="2">
                  <c:v>83-84</c:v>
                </c:pt>
                <c:pt idx="3">
                  <c:v>84-85</c:v>
                </c:pt>
                <c:pt idx="4">
                  <c:v>85-86</c:v>
                </c:pt>
                <c:pt idx="5">
                  <c:v>86-87</c:v>
                </c:pt>
                <c:pt idx="6">
                  <c:v>87-88</c:v>
                </c:pt>
                <c:pt idx="7">
                  <c:v>88-89</c:v>
                </c:pt>
                <c:pt idx="8">
                  <c:v>89-90</c:v>
                </c:pt>
                <c:pt idx="9">
                  <c:v>90-91</c:v>
                </c:pt>
                <c:pt idx="10">
                  <c:v>91-92</c:v>
                </c:pt>
                <c:pt idx="11">
                  <c:v>92-93</c:v>
                </c:pt>
                <c:pt idx="12">
                  <c:v>93-94</c:v>
                </c:pt>
                <c:pt idx="13">
                  <c:v>94-95</c:v>
                </c:pt>
                <c:pt idx="14">
                  <c:v>95-96</c:v>
                </c:pt>
                <c:pt idx="15">
                  <c:v>96-97</c:v>
                </c:pt>
                <c:pt idx="16">
                  <c:v>97-98</c:v>
                </c:pt>
                <c:pt idx="17">
                  <c:v>98-99</c:v>
                </c:pt>
                <c:pt idx="18">
                  <c:v>99-00</c:v>
                </c:pt>
                <c:pt idx="19">
                  <c:v>00-01</c:v>
                </c:pt>
                <c:pt idx="20">
                  <c:v>01-02</c:v>
                </c:pt>
                <c:pt idx="21">
                  <c:v>02-03</c:v>
                </c:pt>
                <c:pt idx="22">
                  <c:v>03-04</c:v>
                </c:pt>
                <c:pt idx="23">
                  <c:v>04-05</c:v>
                </c:pt>
                <c:pt idx="24">
                  <c:v>05-06</c:v>
                </c:pt>
                <c:pt idx="25">
                  <c:v>06-07</c:v>
                </c:pt>
                <c:pt idx="26">
                  <c:v>07-08</c:v>
                </c:pt>
                <c:pt idx="27">
                  <c:v>08-09</c:v>
                </c:pt>
                <c:pt idx="28">
                  <c:v>09-10</c:v>
                </c:pt>
                <c:pt idx="29">
                  <c:v>10-11</c:v>
                </c:pt>
                <c:pt idx="30">
                  <c:v>11-12</c:v>
                </c:pt>
                <c:pt idx="31">
                  <c:v>12-13</c:v>
                </c:pt>
              </c:strCache>
            </c:strRef>
          </c:cat>
          <c:val>
            <c:numLit>
              <c:formatCode>General</c:formatCode>
              <c:ptCount val="1"/>
              <c:pt idx="0">
                <c:v>0</c:v>
              </c:pt>
            </c:numLit>
          </c:val>
          <c:extLst>
            <c:ext xmlns:c16="http://schemas.microsoft.com/office/drawing/2014/chart" uri="{C3380CC4-5D6E-409C-BE32-E72D297353CC}">
              <c16:uniqueId val="{00000002-BD8F-4346-8CAD-985BE815254E}"/>
            </c:ext>
          </c:extLst>
        </c:ser>
        <c:dLbls>
          <c:showLegendKey val="0"/>
          <c:showVal val="0"/>
          <c:showCatName val="0"/>
          <c:showSerName val="0"/>
          <c:showPercent val="0"/>
          <c:showBubbleSize val="0"/>
        </c:dLbls>
        <c:gapWidth val="150"/>
        <c:overlap val="100"/>
        <c:axId val="1485795712"/>
        <c:axId val="1"/>
      </c:barChart>
      <c:barChart>
        <c:barDir val="col"/>
        <c:grouping val="clustered"/>
        <c:varyColors val="0"/>
        <c:ser>
          <c:idx val="3"/>
          <c:order val="3"/>
          <c:tx>
            <c:strRef>
              <c:f>'Datos reordenados'!$F$26</c:f>
              <c:strCache>
                <c:ptCount val="1"/>
                <c:pt idx="0">
                  <c:v>Esc. Total</c:v>
                </c:pt>
              </c:strCache>
            </c:strRef>
          </c:tx>
          <c:spPr>
            <a:noFill/>
            <a:ln w="25400">
              <a:noFill/>
            </a:ln>
          </c:spPr>
          <c:invertIfNegative val="0"/>
          <c:dLbls>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s-UY"/>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reordenados'!$G$8:$AJ$8</c:f>
              <c:strCache>
                <c:ptCount val="30"/>
                <c:pt idx="0">
                  <c:v>81-82</c:v>
                </c:pt>
                <c:pt idx="1">
                  <c:v>82-83</c:v>
                </c:pt>
                <c:pt idx="2">
                  <c:v>83-84</c:v>
                </c:pt>
                <c:pt idx="3">
                  <c:v>84-85</c:v>
                </c:pt>
                <c:pt idx="4">
                  <c:v>85-86</c:v>
                </c:pt>
                <c:pt idx="5">
                  <c:v>86-87</c:v>
                </c:pt>
                <c:pt idx="6">
                  <c:v>87-88</c:v>
                </c:pt>
                <c:pt idx="7">
                  <c:v>88-89</c:v>
                </c:pt>
                <c:pt idx="8">
                  <c:v>89-90</c:v>
                </c:pt>
                <c:pt idx="9">
                  <c:v>90-91</c:v>
                </c:pt>
                <c:pt idx="10">
                  <c:v>91-92</c:v>
                </c:pt>
                <c:pt idx="11">
                  <c:v>92-93</c:v>
                </c:pt>
                <c:pt idx="12">
                  <c:v>93-94</c:v>
                </c:pt>
                <c:pt idx="13">
                  <c:v>94-95</c:v>
                </c:pt>
                <c:pt idx="14">
                  <c:v>95-96</c:v>
                </c:pt>
                <c:pt idx="15">
                  <c:v>96-97</c:v>
                </c:pt>
                <c:pt idx="16">
                  <c:v>97-98</c:v>
                </c:pt>
                <c:pt idx="17">
                  <c:v>98-99</c:v>
                </c:pt>
                <c:pt idx="18">
                  <c:v>99-00</c:v>
                </c:pt>
                <c:pt idx="19">
                  <c:v>00-01</c:v>
                </c:pt>
                <c:pt idx="20">
                  <c:v>01-02</c:v>
                </c:pt>
                <c:pt idx="21">
                  <c:v>02-03</c:v>
                </c:pt>
                <c:pt idx="22">
                  <c:v>03-04</c:v>
                </c:pt>
                <c:pt idx="23">
                  <c:v>04-05</c:v>
                </c:pt>
                <c:pt idx="24">
                  <c:v>05-06</c:v>
                </c:pt>
                <c:pt idx="25">
                  <c:v>06-07</c:v>
                </c:pt>
                <c:pt idx="26">
                  <c:v>07-08</c:v>
                </c:pt>
                <c:pt idx="27">
                  <c:v>08-09</c:v>
                </c:pt>
                <c:pt idx="28">
                  <c:v>09-10</c:v>
                </c:pt>
                <c:pt idx="29">
                  <c:v>10-11</c:v>
                </c:pt>
              </c:strCache>
            </c:strRef>
          </c:cat>
          <c:val>
            <c:numRef>
              <c:f>'Datos reordenados'!$G$26:$AL$26</c:f>
              <c:numCache>
                <c:formatCode>General</c:formatCode>
                <c:ptCount val="32"/>
                <c:pt idx="0">
                  <c:v>19.957775323568555</c:v>
                </c:pt>
                <c:pt idx="1">
                  <c:v>31.128931158647205</c:v>
                </c:pt>
                <c:pt idx="2">
                  <c:v>28.182478399738152</c:v>
                </c:pt>
                <c:pt idx="3">
                  <c:v>22.054562885313125</c:v>
                </c:pt>
                <c:pt idx="4">
                  <c:v>20.753332119098282</c:v>
                </c:pt>
                <c:pt idx="5">
                  <c:v>31.884919492924823</c:v>
                </c:pt>
                <c:pt idx="6">
                  <c:v>22.608411654534784</c:v>
                </c:pt>
                <c:pt idx="7">
                  <c:v>8.2003128199502893</c:v>
                </c:pt>
                <c:pt idx="8">
                  <c:v>17.368950730942217</c:v>
                </c:pt>
                <c:pt idx="9">
                  <c:v>18.465112732180387</c:v>
                </c:pt>
                <c:pt idx="10">
                  <c:v>33.062086710197967</c:v>
                </c:pt>
                <c:pt idx="11">
                  <c:v>30.659696726931266</c:v>
                </c:pt>
                <c:pt idx="12">
                  <c:v>25.452234043963841</c:v>
                </c:pt>
                <c:pt idx="13">
                  <c:v>14.976889642355895</c:v>
                </c:pt>
                <c:pt idx="14">
                  <c:v>16.177675290469519</c:v>
                </c:pt>
                <c:pt idx="15">
                  <c:v>15.072976909496836</c:v>
                </c:pt>
                <c:pt idx="16">
                  <c:v>35.987395586228644</c:v>
                </c:pt>
                <c:pt idx="17">
                  <c:v>24.642681888655812</c:v>
                </c:pt>
                <c:pt idx="18">
                  <c:v>10.946652040342581</c:v>
                </c:pt>
                <c:pt idx="19">
                  <c:v>22.885958989400351</c:v>
                </c:pt>
                <c:pt idx="20">
                  <c:v>35.106473345414628</c:v>
                </c:pt>
                <c:pt idx="21">
                  <c:v>45.333586698247544</c:v>
                </c:pt>
                <c:pt idx="22">
                  <c:v>18.731532632548387</c:v>
                </c:pt>
                <c:pt idx="23">
                  <c:v>12.263930270270286</c:v>
                </c:pt>
                <c:pt idx="24">
                  <c:v>16.002277299822786</c:v>
                </c:pt>
                <c:pt idx="25">
                  <c:v>21.154289876043748</c:v>
                </c:pt>
                <c:pt idx="26">
                  <c:v>13.144834319450645</c:v>
                </c:pt>
                <c:pt idx="27">
                  <c:v>16.732617069399431</c:v>
                </c:pt>
                <c:pt idx="28">
                  <c:v>31.74747909402182</c:v>
                </c:pt>
                <c:pt idx="29">
                  <c:v>11.040883046216344</c:v>
                </c:pt>
                <c:pt idx="30">
                  <c:v>11.087873847504216</c:v>
                </c:pt>
                <c:pt idx="31">
                  <c:v>17.460541299423866</c:v>
                </c:pt>
              </c:numCache>
            </c:numRef>
          </c:val>
          <c:extLst>
            <c:ext xmlns:c16="http://schemas.microsoft.com/office/drawing/2014/chart" uri="{C3380CC4-5D6E-409C-BE32-E72D297353CC}">
              <c16:uniqueId val="{00000003-BD8F-4346-8CAD-985BE815254E}"/>
            </c:ext>
          </c:extLst>
        </c:ser>
        <c:ser>
          <c:idx val="5"/>
          <c:order val="4"/>
          <c:tx>
            <c:strRef>
              <c:f>'Datos reordenados'!$A$7</c:f>
              <c:strCache>
                <c:ptCount val="1"/>
                <c:pt idx="0">
                  <c:v>Esc.Medio Anual: 22,01 Hm3</c:v>
                </c:pt>
              </c:strCache>
            </c:strRef>
          </c:tx>
          <c:spPr>
            <a:noFill/>
            <a:ln w="25400">
              <a:noFill/>
            </a:ln>
          </c:spPr>
          <c:invertIfNegative val="0"/>
          <c:errBars>
            <c:errBarType val="both"/>
            <c:errValType val="fixedVal"/>
            <c:noEndCap val="0"/>
            <c:val val="0.01"/>
            <c:spPr>
              <a:ln w="12700">
                <a:solidFill>
                  <a:srgbClr val="000000"/>
                </a:solidFill>
                <a:prstDash val="solid"/>
              </a:ln>
            </c:spPr>
          </c:errBars>
          <c:cat>
            <c:strRef>
              <c:f>'Datos reordenados'!$G$8:$AL$8</c:f>
              <c:strCache>
                <c:ptCount val="32"/>
                <c:pt idx="0">
                  <c:v>81-82</c:v>
                </c:pt>
                <c:pt idx="1">
                  <c:v>82-83</c:v>
                </c:pt>
                <c:pt idx="2">
                  <c:v>83-84</c:v>
                </c:pt>
                <c:pt idx="3">
                  <c:v>84-85</c:v>
                </c:pt>
                <c:pt idx="4">
                  <c:v>85-86</c:v>
                </c:pt>
                <c:pt idx="5">
                  <c:v>86-87</c:v>
                </c:pt>
                <c:pt idx="6">
                  <c:v>87-88</c:v>
                </c:pt>
                <c:pt idx="7">
                  <c:v>88-89</c:v>
                </c:pt>
                <c:pt idx="8">
                  <c:v>89-90</c:v>
                </c:pt>
                <c:pt idx="9">
                  <c:v>90-91</c:v>
                </c:pt>
                <c:pt idx="10">
                  <c:v>91-92</c:v>
                </c:pt>
                <c:pt idx="11">
                  <c:v>92-93</c:v>
                </c:pt>
                <c:pt idx="12">
                  <c:v>93-94</c:v>
                </c:pt>
                <c:pt idx="13">
                  <c:v>94-95</c:v>
                </c:pt>
                <c:pt idx="14">
                  <c:v>95-96</c:v>
                </c:pt>
                <c:pt idx="15">
                  <c:v>96-97</c:v>
                </c:pt>
                <c:pt idx="16">
                  <c:v>97-98</c:v>
                </c:pt>
                <c:pt idx="17">
                  <c:v>98-99</c:v>
                </c:pt>
                <c:pt idx="18">
                  <c:v>99-00</c:v>
                </c:pt>
                <c:pt idx="19">
                  <c:v>00-01</c:v>
                </c:pt>
                <c:pt idx="20">
                  <c:v>01-02</c:v>
                </c:pt>
                <c:pt idx="21">
                  <c:v>02-03</c:v>
                </c:pt>
                <c:pt idx="22">
                  <c:v>03-04</c:v>
                </c:pt>
                <c:pt idx="23">
                  <c:v>04-05</c:v>
                </c:pt>
                <c:pt idx="24">
                  <c:v>05-06</c:v>
                </c:pt>
                <c:pt idx="25">
                  <c:v>06-07</c:v>
                </c:pt>
                <c:pt idx="26">
                  <c:v>07-08</c:v>
                </c:pt>
                <c:pt idx="27">
                  <c:v>08-09</c:v>
                </c:pt>
                <c:pt idx="28">
                  <c:v>09-10</c:v>
                </c:pt>
                <c:pt idx="29">
                  <c:v>10-11</c:v>
                </c:pt>
                <c:pt idx="30">
                  <c:v>11-12</c:v>
                </c:pt>
                <c:pt idx="31">
                  <c:v>12-13</c:v>
                </c:pt>
              </c:strCache>
            </c:strRef>
          </c:cat>
          <c:val>
            <c:numRef>
              <c:f>'Datos reordenados'!$G$22:$AL$22</c:f>
              <c:numCache>
                <c:formatCode>General</c:formatCode>
                <c:ptCount val="32"/>
                <c:pt idx="0">
                  <c:v>22.01</c:v>
                </c:pt>
                <c:pt idx="1">
                  <c:v>22.01</c:v>
                </c:pt>
                <c:pt idx="2">
                  <c:v>22.01</c:v>
                </c:pt>
                <c:pt idx="3">
                  <c:v>22.01</c:v>
                </c:pt>
                <c:pt idx="4">
                  <c:v>22.01</c:v>
                </c:pt>
                <c:pt idx="5">
                  <c:v>22.01</c:v>
                </c:pt>
                <c:pt idx="6">
                  <c:v>22.01</c:v>
                </c:pt>
                <c:pt idx="7">
                  <c:v>22.01</c:v>
                </c:pt>
                <c:pt idx="8">
                  <c:v>22.01</c:v>
                </c:pt>
                <c:pt idx="9">
                  <c:v>22.01</c:v>
                </c:pt>
                <c:pt idx="10">
                  <c:v>22.01</c:v>
                </c:pt>
                <c:pt idx="11">
                  <c:v>22.01</c:v>
                </c:pt>
                <c:pt idx="12">
                  <c:v>22.01</c:v>
                </c:pt>
                <c:pt idx="13">
                  <c:v>22.01</c:v>
                </c:pt>
                <c:pt idx="14">
                  <c:v>22.01</c:v>
                </c:pt>
                <c:pt idx="15">
                  <c:v>22.01</c:v>
                </c:pt>
                <c:pt idx="16">
                  <c:v>22.01</c:v>
                </c:pt>
                <c:pt idx="17">
                  <c:v>22.01</c:v>
                </c:pt>
                <c:pt idx="18">
                  <c:v>22.01</c:v>
                </c:pt>
                <c:pt idx="19">
                  <c:v>22.01</c:v>
                </c:pt>
                <c:pt idx="20">
                  <c:v>22.01</c:v>
                </c:pt>
                <c:pt idx="21">
                  <c:v>22.01</c:v>
                </c:pt>
                <c:pt idx="22">
                  <c:v>22.01</c:v>
                </c:pt>
                <c:pt idx="23">
                  <c:v>22.01</c:v>
                </c:pt>
                <c:pt idx="24">
                  <c:v>22.01</c:v>
                </c:pt>
                <c:pt idx="25">
                  <c:v>22.01</c:v>
                </c:pt>
                <c:pt idx="26">
                  <c:v>22.01</c:v>
                </c:pt>
                <c:pt idx="27">
                  <c:v>22.01</c:v>
                </c:pt>
                <c:pt idx="28">
                  <c:v>22.01</c:v>
                </c:pt>
                <c:pt idx="29">
                  <c:v>22.01</c:v>
                </c:pt>
                <c:pt idx="30">
                  <c:v>22.01</c:v>
                </c:pt>
                <c:pt idx="31">
                  <c:v>22.01</c:v>
                </c:pt>
              </c:numCache>
            </c:numRef>
          </c:val>
          <c:extLst>
            <c:ext xmlns:c16="http://schemas.microsoft.com/office/drawing/2014/chart" uri="{C3380CC4-5D6E-409C-BE32-E72D297353CC}">
              <c16:uniqueId val="{00000004-BD8F-4346-8CAD-985BE815254E}"/>
            </c:ext>
          </c:extLst>
        </c:ser>
        <c:dLbls>
          <c:showLegendKey val="0"/>
          <c:showVal val="0"/>
          <c:showCatName val="0"/>
          <c:showSerName val="0"/>
          <c:showPercent val="0"/>
          <c:showBubbleSize val="0"/>
        </c:dLbls>
        <c:gapWidth val="150"/>
        <c:axId val="3"/>
        <c:axId val="4"/>
      </c:barChart>
      <c:catAx>
        <c:axId val="1485795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75" b="0" i="0" u="none" strike="noStrike" baseline="0">
                <a:solidFill>
                  <a:srgbClr val="000000"/>
                </a:solidFill>
                <a:latin typeface="Arial"/>
                <a:ea typeface="Arial"/>
                <a:cs typeface="Arial"/>
              </a:defRPr>
            </a:pPr>
            <a:endParaRPr lang="es-UY"/>
          </a:p>
        </c:txPr>
        <c:crossAx val="1"/>
        <c:crosses val="autoZero"/>
        <c:auto val="1"/>
        <c:lblAlgn val="ctr"/>
        <c:lblOffset val="100"/>
        <c:tickLblSkip val="1"/>
        <c:tickMarkSkip val="1"/>
        <c:noMultiLvlLbl val="0"/>
      </c:catAx>
      <c:valAx>
        <c:axId val="1"/>
        <c:scaling>
          <c:orientation val="minMax"/>
          <c:min val="0"/>
        </c:scaling>
        <c:delete val="0"/>
        <c:axPos val="l"/>
        <c:majorGridlines>
          <c:spPr>
            <a:ln w="3175">
              <a:solidFill>
                <a:srgbClr val="008080"/>
              </a:solidFill>
              <a:prstDash val="solid"/>
            </a:ln>
          </c:spPr>
        </c:majorGridlines>
        <c:title>
          <c:tx>
            <c:rich>
              <a:bodyPr/>
              <a:lstStyle/>
              <a:p>
                <a:pPr>
                  <a:defRPr sz="1075" b="1" i="0" u="none" strike="noStrike" baseline="0">
                    <a:solidFill>
                      <a:srgbClr val="000000"/>
                    </a:solidFill>
                    <a:latin typeface="Arial"/>
                    <a:ea typeface="Arial"/>
                    <a:cs typeface="Arial"/>
                  </a:defRPr>
                </a:pPr>
                <a:r>
                  <a:rPr lang="es-UY"/>
                  <a:t>Volumen acumulado (Hm3)</a:t>
                </a:r>
              </a:p>
            </c:rich>
          </c:tx>
          <c:layout>
            <c:manualLayout>
              <c:xMode val="edge"/>
              <c:yMode val="edge"/>
              <c:x val="1.2572527004093845E-2"/>
              <c:y val="0.3451202907328891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s-UY"/>
          </a:p>
        </c:txPr>
        <c:crossAx val="148579571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0"/>
        </c:scaling>
        <c:delete val="0"/>
        <c:axPos val="r"/>
        <c:title>
          <c:tx>
            <c:rich>
              <a:bodyPr/>
              <a:lstStyle/>
              <a:p>
                <a:pPr>
                  <a:defRPr sz="1075" b="1" i="0" u="none" strike="noStrike" baseline="0">
                    <a:solidFill>
                      <a:srgbClr val="000000"/>
                    </a:solidFill>
                    <a:latin typeface="Arial"/>
                    <a:ea typeface="Arial"/>
                    <a:cs typeface="Arial"/>
                  </a:defRPr>
                </a:pPr>
                <a:r>
                  <a:rPr lang="es-UY"/>
                  <a:t>Volumen acumulado (Hm3)</a:t>
                </a:r>
              </a:p>
            </c:rich>
          </c:tx>
          <c:layout>
            <c:manualLayout>
              <c:xMode val="edge"/>
              <c:yMode val="edge"/>
              <c:x val="0.96518366000981237"/>
              <c:y val="0.3451202907328891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s-UY"/>
          </a:p>
        </c:txPr>
        <c:crossAx val="3"/>
        <c:crosses val="max"/>
        <c:crossBetween val="between"/>
      </c:valAx>
      <c:spPr>
        <a:noFill/>
        <a:ln w="12700">
          <a:solidFill>
            <a:srgbClr val="808080"/>
          </a:solidFill>
          <a:prstDash val="solid"/>
        </a:ln>
      </c:spPr>
    </c:plotArea>
    <c:legend>
      <c:legendPos val="b"/>
      <c:legendEntry>
        <c:idx val="3"/>
        <c:delete val="1"/>
      </c:legendEntry>
      <c:layout>
        <c:manualLayout>
          <c:xMode val="edge"/>
          <c:yMode val="edge"/>
          <c:x val="4.9443312019692279E-2"/>
          <c:y val="0.9419951292895461"/>
          <c:w val="0.92985325508001937"/>
          <c:h val="4.4644318923675173E-2"/>
        </c:manualLayout>
      </c:layout>
      <c:overlay val="0"/>
      <c:spPr>
        <a:solidFill>
          <a:srgbClr val="FFFFFF"/>
        </a:solidFill>
        <a:ln w="25400">
          <a:noFill/>
        </a:ln>
      </c:spPr>
      <c:txPr>
        <a:bodyPr/>
        <a:lstStyle/>
        <a:p>
          <a:pPr>
            <a:defRPr sz="620" b="1" i="0" u="none" strike="noStrike" baseline="0">
              <a:solidFill>
                <a:srgbClr val="000000"/>
              </a:solidFill>
              <a:latin typeface="Arial"/>
              <a:ea typeface="Arial"/>
              <a:cs typeface="Arial"/>
            </a:defRPr>
          </a:pPr>
          <a:endParaRPr lang="es-UY"/>
        </a:p>
      </c:txPr>
    </c:legend>
    <c:plotVisOnly val="1"/>
    <c:dispBlanksAs val="gap"/>
    <c:showDLblsOverMax val="0"/>
  </c:chart>
  <c:spPr>
    <a:solidFill>
      <a:srgbClr val="FFFFFF"/>
    </a:solidFill>
    <a:ln w="9525">
      <a:noFill/>
    </a:ln>
  </c:spPr>
  <c:txPr>
    <a:bodyPr/>
    <a:lstStyle/>
    <a:p>
      <a:pPr>
        <a:defRPr sz="1075" b="0" i="0" u="none" strike="noStrike" baseline="0">
          <a:solidFill>
            <a:srgbClr val="000000"/>
          </a:solidFill>
          <a:latin typeface="Arial"/>
          <a:ea typeface="Arial"/>
          <a:cs typeface="Arial"/>
        </a:defRPr>
      </a:pPr>
      <a:endParaRPr lang="es-UY"/>
    </a:p>
  </c:txPr>
  <c:printSettings>
    <c:headerFooter alignWithMargins="0"/>
    <c:pageMargins b="0.31496062992125984" l="0.23622047244094491" r="0.31496062992125984" t="0.47244094488188981" header="0" footer="0"/>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sz="1400" b="1" i="0" u="none" strike="noStrike" baseline="0">
                <a:solidFill>
                  <a:srgbClr val="000000"/>
                </a:solidFill>
                <a:latin typeface="Calibri"/>
                <a:ea typeface="Calibri"/>
                <a:cs typeface="Calibri"/>
              </a:defRPr>
            </a:pPr>
            <a:r>
              <a:rPr lang="es-UY"/>
              <a:t>Análisis de Satisfacción de la Demanda
Volúmenes embalsados a fin de cada mes  (1981-2012)</a:t>
            </a:r>
          </a:p>
        </c:rich>
      </c:tx>
      <c:overlay val="0"/>
      <c:spPr>
        <a:noFill/>
        <a:ln w="25400">
          <a:noFill/>
        </a:ln>
      </c:spPr>
    </c:title>
    <c:autoTitleDeleted val="0"/>
    <c:plotArea>
      <c:layout>
        <c:manualLayout>
          <c:layoutTarget val="inner"/>
          <c:xMode val="edge"/>
          <c:yMode val="edge"/>
          <c:x val="8.2730923694779107E-2"/>
          <c:y val="8.3427282976324693E-2"/>
          <c:w val="0.89879518072289155"/>
          <c:h val="0.68545659526493785"/>
        </c:manualLayout>
      </c:layout>
      <c:lineChart>
        <c:grouping val="standard"/>
        <c:varyColors val="0"/>
        <c:ser>
          <c:idx val="23"/>
          <c:order val="0"/>
          <c:tx>
            <c:strRef>
              <c:f>'Datos reordenados'!$A$1</c:f>
              <c:strCache>
                <c:ptCount val="1"/>
                <c:pt idx="0">
                  <c:v>Presa del Ejemplo del Manual</c:v>
                </c:pt>
              </c:strCache>
            </c:strRef>
          </c:tx>
          <c:spPr>
            <a:ln w="28575">
              <a:noFill/>
            </a:ln>
          </c:spPr>
          <c:marker>
            <c:symbol val="none"/>
          </c:marker>
          <c:val>
            <c:numLit>
              <c:formatCode>General</c:formatCode>
              <c:ptCount val="1"/>
              <c:pt idx="0">
                <c:v>1</c:v>
              </c:pt>
            </c:numLit>
          </c:val>
          <c:smooth val="0"/>
          <c:extLst>
            <c:ext xmlns:c16="http://schemas.microsoft.com/office/drawing/2014/chart" uri="{C3380CC4-5D6E-409C-BE32-E72D297353CC}">
              <c16:uniqueId val="{00000000-32F4-4192-A3D7-64CCE6F30103}"/>
            </c:ext>
          </c:extLst>
        </c:ser>
        <c:ser>
          <c:idx val="24"/>
          <c:order val="1"/>
          <c:tx>
            <c:strRef>
              <c:f>'Datos reordenados'!$A$2</c:f>
              <c:strCache>
                <c:ptCount val="1"/>
                <c:pt idx="0">
                  <c:v>Cota de toma: 100,5 m</c:v>
                </c:pt>
              </c:strCache>
            </c:strRef>
          </c:tx>
          <c:spPr>
            <a:ln w="28575">
              <a:noFill/>
            </a:ln>
          </c:spPr>
          <c:marker>
            <c:symbol val="none"/>
          </c:marker>
          <c:val>
            <c:numLit>
              <c:formatCode>General</c:formatCode>
              <c:ptCount val="1"/>
              <c:pt idx="0">
                <c:v>1</c:v>
              </c:pt>
            </c:numLit>
          </c:val>
          <c:smooth val="0"/>
          <c:extLst>
            <c:ext xmlns:c16="http://schemas.microsoft.com/office/drawing/2014/chart" uri="{C3380CC4-5D6E-409C-BE32-E72D297353CC}">
              <c16:uniqueId val="{00000001-32F4-4192-A3D7-64CCE6F30103}"/>
            </c:ext>
          </c:extLst>
        </c:ser>
        <c:ser>
          <c:idx val="25"/>
          <c:order val="2"/>
          <c:tx>
            <c:strRef>
              <c:f>'Datos reordenados'!$A$3</c:f>
              <c:strCache>
                <c:ptCount val="1"/>
                <c:pt idx="0">
                  <c:v>Cota de vertedero: 106 m</c:v>
                </c:pt>
              </c:strCache>
            </c:strRef>
          </c:tx>
          <c:spPr>
            <a:ln w="28575">
              <a:noFill/>
            </a:ln>
          </c:spPr>
          <c:marker>
            <c:symbol val="none"/>
          </c:marker>
          <c:val>
            <c:numLit>
              <c:formatCode>General</c:formatCode>
              <c:ptCount val="1"/>
              <c:pt idx="0">
                <c:v>1</c:v>
              </c:pt>
            </c:numLit>
          </c:val>
          <c:smooth val="0"/>
          <c:extLst>
            <c:ext xmlns:c16="http://schemas.microsoft.com/office/drawing/2014/chart" uri="{C3380CC4-5D6E-409C-BE32-E72D297353CC}">
              <c16:uniqueId val="{00000002-32F4-4192-A3D7-64CCE6F30103}"/>
            </c:ext>
          </c:extLst>
        </c:ser>
        <c:ser>
          <c:idx val="34"/>
          <c:order val="3"/>
          <c:tx>
            <c:strRef>
              <c:f>'Datos reordenados'!$A$5</c:f>
              <c:strCache>
                <c:ptCount val="1"/>
                <c:pt idx="0">
                  <c:v>Volumen máx: 7,49 Hm3</c:v>
                </c:pt>
              </c:strCache>
            </c:strRef>
          </c:tx>
          <c:spPr>
            <a:ln w="28575">
              <a:noFill/>
            </a:ln>
          </c:spPr>
          <c:marker>
            <c:symbol val="none"/>
          </c:marker>
          <c:val>
            <c:numLit>
              <c:formatCode>General</c:formatCode>
              <c:ptCount val="1"/>
              <c:pt idx="0">
                <c:v>1</c:v>
              </c:pt>
            </c:numLit>
          </c:val>
          <c:smooth val="0"/>
          <c:extLst>
            <c:ext xmlns:c16="http://schemas.microsoft.com/office/drawing/2014/chart" uri="{C3380CC4-5D6E-409C-BE32-E72D297353CC}">
              <c16:uniqueId val="{00000003-32F4-4192-A3D7-64CCE6F30103}"/>
            </c:ext>
          </c:extLst>
        </c:ser>
        <c:ser>
          <c:idx val="26"/>
          <c:order val="4"/>
          <c:tx>
            <c:strRef>
              <c:f>'Datos reordenados'!$A$4</c:f>
              <c:strCache>
                <c:ptCount val="1"/>
                <c:pt idx="0">
                  <c:v>Área a regar: 1100 Hás</c:v>
                </c:pt>
              </c:strCache>
            </c:strRef>
          </c:tx>
          <c:spPr>
            <a:ln w="28575">
              <a:noFill/>
            </a:ln>
          </c:spPr>
          <c:marker>
            <c:symbol val="none"/>
          </c:marker>
          <c:val>
            <c:numLit>
              <c:formatCode>General</c:formatCode>
              <c:ptCount val="1"/>
              <c:pt idx="0">
                <c:v>1</c:v>
              </c:pt>
            </c:numLit>
          </c:val>
          <c:smooth val="0"/>
          <c:extLst>
            <c:ext xmlns:c16="http://schemas.microsoft.com/office/drawing/2014/chart" uri="{C3380CC4-5D6E-409C-BE32-E72D297353CC}">
              <c16:uniqueId val="{00000004-32F4-4192-A3D7-64CCE6F30103}"/>
            </c:ext>
          </c:extLst>
        </c:ser>
        <c:ser>
          <c:idx val="35"/>
          <c:order val="5"/>
          <c:tx>
            <c:strRef>
              <c:f>'Datos reordenados'!$A$7</c:f>
              <c:strCache>
                <c:ptCount val="1"/>
                <c:pt idx="0">
                  <c:v>Esc.Medio Anual: 22,01 Hm3</c:v>
                </c:pt>
              </c:strCache>
            </c:strRef>
          </c:tx>
          <c:spPr>
            <a:ln w="28575">
              <a:noFill/>
            </a:ln>
          </c:spPr>
          <c:marker>
            <c:symbol val="none"/>
          </c:marker>
          <c:val>
            <c:numLit>
              <c:formatCode>General</c:formatCode>
              <c:ptCount val="1"/>
              <c:pt idx="0">
                <c:v>1</c:v>
              </c:pt>
            </c:numLit>
          </c:val>
          <c:smooth val="0"/>
          <c:extLst>
            <c:ext xmlns:c16="http://schemas.microsoft.com/office/drawing/2014/chart" uri="{C3380CC4-5D6E-409C-BE32-E72D297353CC}">
              <c16:uniqueId val="{00000005-32F4-4192-A3D7-64CCE6F30103}"/>
            </c:ext>
          </c:extLst>
        </c:ser>
        <c:ser>
          <c:idx val="29"/>
          <c:order val="6"/>
          <c:tx>
            <c:strRef>
              <c:f>'Datos reordenados'!$G$29</c:f>
              <c:strCache>
                <c:ptCount val="1"/>
                <c:pt idx="0">
                  <c:v>81-82</c:v>
                </c:pt>
              </c:strCache>
            </c:strRef>
          </c:tx>
          <c:spPr>
            <a:ln w="28575">
              <a:noFill/>
            </a:ln>
          </c:spPr>
          <c:marker>
            <c:symbol val="none"/>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reordenados'!$G$30:$G$42</c:f>
              <c:numCache>
                <c:formatCode>0.00</c:formatCode>
                <c:ptCount val="13"/>
                <c:pt idx="0">
                  <c:v>2.0660640566982478</c:v>
                </c:pt>
                <c:pt idx="1">
                  <c:v>2.4459494507539867</c:v>
                </c:pt>
                <c:pt idx="2">
                  <c:v>6.8804721422138755</c:v>
                </c:pt>
                <c:pt idx="3">
                  <c:v>7.6368477630678893</c:v>
                </c:pt>
                <c:pt idx="4">
                  <c:v>7.6368477630678893</c:v>
                </c:pt>
                <c:pt idx="5">
                  <c:v>7.6368477630678893</c:v>
                </c:pt>
                <c:pt idx="6">
                  <c:v>7.6368477630678893</c:v>
                </c:pt>
                <c:pt idx="7">
                  <c:v>7.3084079721174247</c:v>
                </c:pt>
                <c:pt idx="8">
                  <c:v>5.8423989681416293</c:v>
                </c:pt>
                <c:pt idx="9">
                  <c:v>2.6944129989189269</c:v>
                </c:pt>
                <c:pt idx="10">
                  <c:v>0.14364725252241328</c:v>
                </c:pt>
                <c:pt idx="11">
                  <c:v>3.8213422708397502</c:v>
                </c:pt>
                <c:pt idx="12">
                  <c:v>4.2201396207523549</c:v>
                </c:pt>
              </c:numCache>
            </c:numRef>
          </c:val>
          <c:smooth val="0"/>
          <c:extLst>
            <c:ext xmlns:c16="http://schemas.microsoft.com/office/drawing/2014/chart" uri="{C3380CC4-5D6E-409C-BE32-E72D297353CC}">
              <c16:uniqueId val="{00000006-32F4-4192-A3D7-64CCE6F30103}"/>
            </c:ext>
          </c:extLst>
        </c:ser>
        <c:ser>
          <c:idx val="27"/>
          <c:order val="7"/>
          <c:tx>
            <c:strRef>
              <c:f>'Datos reordenados'!$H$29</c:f>
              <c:strCache>
                <c:ptCount val="1"/>
                <c:pt idx="0">
                  <c:v>82-83</c:v>
                </c:pt>
              </c:strCache>
            </c:strRef>
          </c:tx>
          <c:spPr>
            <a:ln w="28575">
              <a:noFill/>
            </a:ln>
          </c:spPr>
          <c:marker>
            <c:symbol val="none"/>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reordenados'!$H$30:$H$42</c:f>
              <c:numCache>
                <c:formatCode>0.00</c:formatCode>
                <c:ptCount val="13"/>
                <c:pt idx="0">
                  <c:v>4.2201396207523549</c:v>
                </c:pt>
                <c:pt idx="1">
                  <c:v>4.2761306252260178</c:v>
                </c:pt>
                <c:pt idx="2">
                  <c:v>6.959637973532498</c:v>
                </c:pt>
                <c:pt idx="3">
                  <c:v>7.6368477630678893</c:v>
                </c:pt>
                <c:pt idx="4">
                  <c:v>7.6368477630678893</c:v>
                </c:pt>
                <c:pt idx="5">
                  <c:v>7.6368477630678893</c:v>
                </c:pt>
                <c:pt idx="6">
                  <c:v>7.6368477630678893</c:v>
                </c:pt>
                <c:pt idx="7">
                  <c:v>7.6368477630678893</c:v>
                </c:pt>
                <c:pt idx="8">
                  <c:v>7.6368477630678893</c:v>
                </c:pt>
                <c:pt idx="9">
                  <c:v>3.9915269222051437</c:v>
                </c:pt>
                <c:pt idx="10">
                  <c:v>1.8143560356579815</c:v>
                </c:pt>
                <c:pt idx="11">
                  <c:v>7.2457749040840653</c:v>
                </c:pt>
                <c:pt idx="12">
                  <c:v>7.6368477630678893</c:v>
                </c:pt>
              </c:numCache>
            </c:numRef>
          </c:val>
          <c:smooth val="0"/>
          <c:extLst>
            <c:ext xmlns:c16="http://schemas.microsoft.com/office/drawing/2014/chart" uri="{C3380CC4-5D6E-409C-BE32-E72D297353CC}">
              <c16:uniqueId val="{00000007-32F4-4192-A3D7-64CCE6F30103}"/>
            </c:ext>
          </c:extLst>
        </c:ser>
        <c:ser>
          <c:idx val="28"/>
          <c:order val="8"/>
          <c:tx>
            <c:strRef>
              <c:f>'Datos reordenados'!$I$29</c:f>
              <c:strCache>
                <c:ptCount val="1"/>
                <c:pt idx="0">
                  <c:v>83-84</c:v>
                </c:pt>
              </c:strCache>
            </c:strRef>
          </c:tx>
          <c:spPr>
            <a:ln w="28575">
              <a:noFill/>
            </a:ln>
          </c:spPr>
          <c:marker>
            <c:symbol val="none"/>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reordenados'!$I$30:$I$42</c:f>
              <c:numCache>
                <c:formatCode>0.00</c:formatCode>
                <c:ptCount val="13"/>
                <c:pt idx="0">
                  <c:v>7.6368477630678893</c:v>
                </c:pt>
                <c:pt idx="1">
                  <c:v>7.6368477630678893</c:v>
                </c:pt>
                <c:pt idx="2">
                  <c:v>7.6368477630678893</c:v>
                </c:pt>
                <c:pt idx="3">
                  <c:v>7.6368477630678893</c:v>
                </c:pt>
                <c:pt idx="4">
                  <c:v>7.6368477630678893</c:v>
                </c:pt>
                <c:pt idx="5">
                  <c:v>7.6368477630678893</c:v>
                </c:pt>
                <c:pt idx="6">
                  <c:v>7.6368477630678893</c:v>
                </c:pt>
                <c:pt idx="7">
                  <c:v>7.5235465688294214</c:v>
                </c:pt>
                <c:pt idx="8">
                  <c:v>6.5801904777740861</c:v>
                </c:pt>
                <c:pt idx="9">
                  <c:v>2.4015135416376188</c:v>
                </c:pt>
                <c:pt idx="10">
                  <c:v>3.3477085476349151</c:v>
                </c:pt>
                <c:pt idx="11">
                  <c:v>7.2519838606021594</c:v>
                </c:pt>
                <c:pt idx="12">
                  <c:v>7.6368477630678893</c:v>
                </c:pt>
              </c:numCache>
            </c:numRef>
          </c:val>
          <c:smooth val="0"/>
          <c:extLst>
            <c:ext xmlns:c16="http://schemas.microsoft.com/office/drawing/2014/chart" uri="{C3380CC4-5D6E-409C-BE32-E72D297353CC}">
              <c16:uniqueId val="{00000008-32F4-4192-A3D7-64CCE6F30103}"/>
            </c:ext>
          </c:extLst>
        </c:ser>
        <c:ser>
          <c:idx val="22"/>
          <c:order val="9"/>
          <c:tx>
            <c:strRef>
              <c:f>'Datos reordenados'!$J$29</c:f>
              <c:strCache>
                <c:ptCount val="1"/>
                <c:pt idx="0">
                  <c:v>84-85</c:v>
                </c:pt>
              </c:strCache>
            </c:strRef>
          </c:tx>
          <c:spPr>
            <a:ln w="28575">
              <a:noFill/>
            </a:ln>
          </c:spPr>
          <c:marker>
            <c:symbol val="none"/>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reordenados'!$J$30:$J$42</c:f>
              <c:numCache>
                <c:formatCode>0.00</c:formatCode>
                <c:ptCount val="13"/>
                <c:pt idx="0">
                  <c:v>7.6368477630678893</c:v>
                </c:pt>
                <c:pt idx="1">
                  <c:v>7.6368477630678893</c:v>
                </c:pt>
                <c:pt idx="2">
                  <c:v>7.6368477630678893</c:v>
                </c:pt>
                <c:pt idx="3">
                  <c:v>7.6368477630678893</c:v>
                </c:pt>
                <c:pt idx="4">
                  <c:v>7.6368477630678893</c:v>
                </c:pt>
                <c:pt idx="5">
                  <c:v>7.6368477630678893</c:v>
                </c:pt>
                <c:pt idx="6">
                  <c:v>7.6368477630678893</c:v>
                </c:pt>
                <c:pt idx="7">
                  <c:v>7.6368477630678893</c:v>
                </c:pt>
                <c:pt idx="8">
                  <c:v>6.7831175832796147</c:v>
                </c:pt>
                <c:pt idx="9">
                  <c:v>2.6319240448566843</c:v>
                </c:pt>
                <c:pt idx="10">
                  <c:v>0.14364725252241328</c:v>
                </c:pt>
                <c:pt idx="11">
                  <c:v>0.14364725252241328</c:v>
                </c:pt>
                <c:pt idx="12">
                  <c:v>3.3277024276279379</c:v>
                </c:pt>
              </c:numCache>
            </c:numRef>
          </c:val>
          <c:smooth val="0"/>
          <c:extLst>
            <c:ext xmlns:c16="http://schemas.microsoft.com/office/drawing/2014/chart" uri="{C3380CC4-5D6E-409C-BE32-E72D297353CC}">
              <c16:uniqueId val="{00000009-32F4-4192-A3D7-64CCE6F30103}"/>
            </c:ext>
          </c:extLst>
        </c:ser>
        <c:ser>
          <c:idx val="33"/>
          <c:order val="10"/>
          <c:tx>
            <c:strRef>
              <c:f>'Datos reordenados'!$K$29</c:f>
              <c:strCache>
                <c:ptCount val="1"/>
                <c:pt idx="0">
                  <c:v>85-86</c:v>
                </c:pt>
              </c:strCache>
            </c:strRef>
          </c:tx>
          <c:spPr>
            <a:ln w="25400">
              <a:solidFill>
                <a:srgbClr val="FF0000"/>
              </a:solidFill>
              <a:prstDash val="solid"/>
            </a:ln>
          </c:spPr>
          <c:marker>
            <c:symbol val="plus"/>
            <c:size val="7"/>
            <c:spPr>
              <a:noFill/>
              <a:ln>
                <a:solidFill>
                  <a:srgbClr val="FF0000"/>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reordenados'!$K$30:$K$42</c:f>
              <c:numCache>
                <c:formatCode>0.00</c:formatCode>
                <c:ptCount val="13"/>
                <c:pt idx="0">
                  <c:v>3.3277024276279379</c:v>
                </c:pt>
                <c:pt idx="1">
                  <c:v>5.3117588232381996</c:v>
                </c:pt>
                <c:pt idx="2">
                  <c:v>7.6368477630678893</c:v>
                </c:pt>
                <c:pt idx="3">
                  <c:v>7.6368477630678893</c:v>
                </c:pt>
                <c:pt idx="4">
                  <c:v>7.6368477630678893</c:v>
                </c:pt>
                <c:pt idx="5">
                  <c:v>7.6368477630678893</c:v>
                </c:pt>
                <c:pt idx="6">
                  <c:v>7.6368477630678893</c:v>
                </c:pt>
                <c:pt idx="7">
                  <c:v>7.6368477630678893</c:v>
                </c:pt>
                <c:pt idx="8">
                  <c:v>5.2385609434035318</c:v>
                </c:pt>
                <c:pt idx="9">
                  <c:v>0.80382926058428428</c:v>
                </c:pt>
                <c:pt idx="10">
                  <c:v>0.14364725252241328</c:v>
                </c:pt>
                <c:pt idx="11">
                  <c:v>0.14364725252241328</c:v>
                </c:pt>
                <c:pt idx="12">
                  <c:v>4.4658646344009769</c:v>
                </c:pt>
              </c:numCache>
            </c:numRef>
          </c:val>
          <c:smooth val="0"/>
          <c:extLst>
            <c:ext xmlns:c16="http://schemas.microsoft.com/office/drawing/2014/chart" uri="{C3380CC4-5D6E-409C-BE32-E72D297353CC}">
              <c16:uniqueId val="{0000000A-32F4-4192-A3D7-64CCE6F30103}"/>
            </c:ext>
          </c:extLst>
        </c:ser>
        <c:ser>
          <c:idx val="32"/>
          <c:order val="11"/>
          <c:tx>
            <c:strRef>
              <c:f>'Datos reordenados'!$L$29</c:f>
              <c:strCache>
                <c:ptCount val="1"/>
                <c:pt idx="0">
                  <c:v>86-87</c:v>
                </c:pt>
              </c:strCache>
            </c:strRef>
          </c:tx>
          <c:spPr>
            <a:ln w="25400">
              <a:solidFill>
                <a:srgbClr val="333333"/>
              </a:solidFill>
              <a:prstDash val="solid"/>
            </a:ln>
          </c:spPr>
          <c:marker>
            <c:symbol val="circle"/>
            <c:size val="7"/>
            <c:spPr>
              <a:solidFill>
                <a:srgbClr val="FFFFFF"/>
              </a:solidFill>
              <a:ln>
                <a:solidFill>
                  <a:srgbClr val="333333"/>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reordenados'!$L$30:$L$42</c:f>
              <c:numCache>
                <c:formatCode>0.00</c:formatCode>
                <c:ptCount val="13"/>
                <c:pt idx="0">
                  <c:v>4.4658646344009769</c:v>
                </c:pt>
                <c:pt idx="1">
                  <c:v>7.6368477630678893</c:v>
                </c:pt>
                <c:pt idx="2">
                  <c:v>7.6368477630678893</c:v>
                </c:pt>
                <c:pt idx="3">
                  <c:v>7.6368477630678893</c:v>
                </c:pt>
                <c:pt idx="4">
                  <c:v>7.6368477630678893</c:v>
                </c:pt>
                <c:pt idx="5">
                  <c:v>7.6368477630678893</c:v>
                </c:pt>
                <c:pt idx="6">
                  <c:v>7.6368477630678893</c:v>
                </c:pt>
                <c:pt idx="7">
                  <c:v>7.6368477630678893</c:v>
                </c:pt>
                <c:pt idx="8">
                  <c:v>7.6368477630678893</c:v>
                </c:pt>
                <c:pt idx="9">
                  <c:v>3.9920164914175347</c:v>
                </c:pt>
                <c:pt idx="10">
                  <c:v>1.6338876289688553</c:v>
                </c:pt>
                <c:pt idx="11">
                  <c:v>0.58938134389632202</c:v>
                </c:pt>
                <c:pt idx="12">
                  <c:v>5.7202658454524151</c:v>
                </c:pt>
              </c:numCache>
            </c:numRef>
          </c:val>
          <c:smooth val="0"/>
          <c:extLst>
            <c:ext xmlns:c16="http://schemas.microsoft.com/office/drawing/2014/chart" uri="{C3380CC4-5D6E-409C-BE32-E72D297353CC}">
              <c16:uniqueId val="{0000000B-32F4-4192-A3D7-64CCE6F30103}"/>
            </c:ext>
          </c:extLst>
        </c:ser>
        <c:ser>
          <c:idx val="31"/>
          <c:order val="12"/>
          <c:tx>
            <c:strRef>
              <c:f>'Datos reordenados'!$M$29</c:f>
              <c:strCache>
                <c:ptCount val="1"/>
                <c:pt idx="0">
                  <c:v>87-88</c:v>
                </c:pt>
              </c:strCache>
            </c:strRef>
          </c:tx>
          <c:spPr>
            <a:ln w="25400">
              <a:solidFill>
                <a:srgbClr val="000000"/>
              </a:solidFill>
              <a:prstDash val="solid"/>
            </a:ln>
          </c:spPr>
          <c:marker>
            <c:symbol val="star"/>
            <c:size val="7"/>
            <c:spPr>
              <a:noFill/>
              <a:ln>
                <a:solidFill>
                  <a:srgbClr val="000000"/>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reordenados'!$M$30:$M$42</c:f>
              <c:numCache>
                <c:formatCode>0.00</c:formatCode>
                <c:ptCount val="13"/>
                <c:pt idx="0">
                  <c:v>5.7202658454524151</c:v>
                </c:pt>
                <c:pt idx="1">
                  <c:v>7.6368477630678893</c:v>
                </c:pt>
                <c:pt idx="2">
                  <c:v>7.6368477630678893</c:v>
                </c:pt>
                <c:pt idx="3">
                  <c:v>7.6368477630678893</c:v>
                </c:pt>
                <c:pt idx="4">
                  <c:v>7.6368477630678893</c:v>
                </c:pt>
                <c:pt idx="5">
                  <c:v>7.6368477630678893</c:v>
                </c:pt>
                <c:pt idx="6">
                  <c:v>7.6368477630678893</c:v>
                </c:pt>
                <c:pt idx="7">
                  <c:v>7.6368477630678893</c:v>
                </c:pt>
                <c:pt idx="8">
                  <c:v>5.8702151269530871</c:v>
                </c:pt>
                <c:pt idx="9">
                  <c:v>1.9334857174081153</c:v>
                </c:pt>
                <c:pt idx="10">
                  <c:v>3.7638173601048841</c:v>
                </c:pt>
                <c:pt idx="11">
                  <c:v>3.4102531360289658</c:v>
                </c:pt>
                <c:pt idx="12">
                  <c:v>3.2226600357842772</c:v>
                </c:pt>
              </c:numCache>
            </c:numRef>
          </c:val>
          <c:smooth val="0"/>
          <c:extLst>
            <c:ext xmlns:c16="http://schemas.microsoft.com/office/drawing/2014/chart" uri="{C3380CC4-5D6E-409C-BE32-E72D297353CC}">
              <c16:uniqueId val="{0000000C-32F4-4192-A3D7-64CCE6F30103}"/>
            </c:ext>
          </c:extLst>
        </c:ser>
        <c:ser>
          <c:idx val="30"/>
          <c:order val="13"/>
          <c:tx>
            <c:strRef>
              <c:f>'Datos reordenados'!$N$29</c:f>
              <c:strCache>
                <c:ptCount val="1"/>
                <c:pt idx="0">
                  <c:v>88-89</c:v>
                </c:pt>
              </c:strCache>
            </c:strRef>
          </c:tx>
          <c:spPr>
            <a:ln w="38100">
              <a:solidFill>
                <a:srgbClr val="333399"/>
              </a:solidFill>
              <a:prstDash val="solid"/>
            </a:ln>
          </c:spPr>
          <c:marker>
            <c:symbol val="x"/>
            <c:size val="9"/>
            <c:spPr>
              <a:noFill/>
              <a:ln>
                <a:solidFill>
                  <a:srgbClr val="333399"/>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reordenados'!$N$30:$N$42</c:f>
              <c:numCache>
                <c:formatCode>0.00</c:formatCode>
                <c:ptCount val="13"/>
                <c:pt idx="0">
                  <c:v>3.2226600357842772</c:v>
                </c:pt>
                <c:pt idx="1">
                  <c:v>3.3909330030648825</c:v>
                </c:pt>
                <c:pt idx="2">
                  <c:v>3.383051352574113</c:v>
                </c:pt>
                <c:pt idx="3">
                  <c:v>4.0772036763813428</c:v>
                </c:pt>
                <c:pt idx="4">
                  <c:v>4.4505029026450043</c:v>
                </c:pt>
                <c:pt idx="5">
                  <c:v>4.9861899830471099</c:v>
                </c:pt>
                <c:pt idx="6">
                  <c:v>7.1038266923057973</c:v>
                </c:pt>
                <c:pt idx="7">
                  <c:v>7.1046670722190726</c:v>
                </c:pt>
                <c:pt idx="8">
                  <c:v>5.4062392996531443</c:v>
                </c:pt>
                <c:pt idx="9">
                  <c:v>1.5455562272395973</c:v>
                </c:pt>
                <c:pt idx="10">
                  <c:v>0.14364725252241328</c:v>
                </c:pt>
                <c:pt idx="11">
                  <c:v>0.14364725252241328</c:v>
                </c:pt>
                <c:pt idx="12">
                  <c:v>0.85782947096594631</c:v>
                </c:pt>
              </c:numCache>
            </c:numRef>
          </c:val>
          <c:smooth val="0"/>
          <c:extLst>
            <c:ext xmlns:c16="http://schemas.microsoft.com/office/drawing/2014/chart" uri="{C3380CC4-5D6E-409C-BE32-E72D297353CC}">
              <c16:uniqueId val="{0000000D-32F4-4192-A3D7-64CCE6F30103}"/>
            </c:ext>
          </c:extLst>
        </c:ser>
        <c:ser>
          <c:idx val="0"/>
          <c:order val="14"/>
          <c:tx>
            <c:strRef>
              <c:f>'Datos reordenados'!$O$29</c:f>
              <c:strCache>
                <c:ptCount val="1"/>
                <c:pt idx="0">
                  <c:v>89-90</c:v>
                </c:pt>
              </c:strCache>
            </c:strRef>
          </c:tx>
          <c:spPr>
            <a:ln w="38100">
              <a:solidFill>
                <a:srgbClr val="000080"/>
              </a:solidFill>
              <a:prstDash val="solid"/>
            </a:ln>
          </c:spPr>
          <c:marker>
            <c:symbol val="diamond"/>
            <c:size val="9"/>
            <c:spPr>
              <a:solidFill>
                <a:srgbClr val="000080"/>
              </a:solidFill>
              <a:ln>
                <a:solidFill>
                  <a:srgbClr val="000080"/>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reordenados'!$O$30:$O$42</c:f>
              <c:numCache>
                <c:formatCode>0.00</c:formatCode>
                <c:ptCount val="13"/>
                <c:pt idx="0">
                  <c:v>0.85782947096594631</c:v>
                </c:pt>
                <c:pt idx="1">
                  <c:v>2.9172847481808062</c:v>
                </c:pt>
                <c:pt idx="2">
                  <c:v>3.4057439045017737</c:v>
                </c:pt>
                <c:pt idx="3">
                  <c:v>3.4910508191230161</c:v>
                </c:pt>
                <c:pt idx="4">
                  <c:v>3.5617457100473429</c:v>
                </c:pt>
                <c:pt idx="5">
                  <c:v>5.0558937501342847</c:v>
                </c:pt>
                <c:pt idx="6">
                  <c:v>5.3701145298695927</c:v>
                </c:pt>
                <c:pt idx="7">
                  <c:v>5.381978660146105</c:v>
                </c:pt>
                <c:pt idx="8">
                  <c:v>3.9106314975969925</c:v>
                </c:pt>
                <c:pt idx="9">
                  <c:v>1.7126009317799182</c:v>
                </c:pt>
                <c:pt idx="10">
                  <c:v>0.14364725252241328</c:v>
                </c:pt>
                <c:pt idx="11">
                  <c:v>1.7478345735897656</c:v>
                </c:pt>
                <c:pt idx="12">
                  <c:v>4.4531632911371437</c:v>
                </c:pt>
              </c:numCache>
            </c:numRef>
          </c:val>
          <c:smooth val="0"/>
          <c:extLst>
            <c:ext xmlns:c16="http://schemas.microsoft.com/office/drawing/2014/chart" uri="{C3380CC4-5D6E-409C-BE32-E72D297353CC}">
              <c16:uniqueId val="{0000000E-32F4-4192-A3D7-64CCE6F30103}"/>
            </c:ext>
          </c:extLst>
        </c:ser>
        <c:ser>
          <c:idx val="1"/>
          <c:order val="15"/>
          <c:tx>
            <c:strRef>
              <c:f>'Datos reordenados'!$P$29</c:f>
              <c:strCache>
                <c:ptCount val="1"/>
                <c:pt idx="0">
                  <c:v>90-91</c:v>
                </c:pt>
              </c:strCache>
            </c:strRef>
          </c:tx>
          <c:spPr>
            <a:ln w="38100">
              <a:solidFill>
                <a:srgbClr val="FF00FF"/>
              </a:solidFill>
              <a:prstDash val="solid"/>
            </a:ln>
          </c:spPr>
          <c:marker>
            <c:symbol val="square"/>
            <c:size val="7"/>
            <c:spPr>
              <a:solidFill>
                <a:srgbClr val="FF00FF"/>
              </a:solidFill>
              <a:ln>
                <a:solidFill>
                  <a:srgbClr val="FF00FF"/>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reordenados'!$P$30:$P$42</c:f>
              <c:numCache>
                <c:formatCode>0.00</c:formatCode>
                <c:ptCount val="13"/>
                <c:pt idx="0">
                  <c:v>4.4531632911371437</c:v>
                </c:pt>
                <c:pt idx="1">
                  <c:v>7.6368477630678893</c:v>
                </c:pt>
                <c:pt idx="2">
                  <c:v>7.6368477630678893</c:v>
                </c:pt>
                <c:pt idx="3">
                  <c:v>7.6368477630678893</c:v>
                </c:pt>
                <c:pt idx="4">
                  <c:v>7.6368477630678893</c:v>
                </c:pt>
                <c:pt idx="5">
                  <c:v>7.6162282181439442</c:v>
                </c:pt>
                <c:pt idx="6">
                  <c:v>7.6368477630678893</c:v>
                </c:pt>
                <c:pt idx="7">
                  <c:v>7.6368477630678893</c:v>
                </c:pt>
                <c:pt idx="8">
                  <c:v>7.2734319800689908</c:v>
                </c:pt>
                <c:pt idx="9">
                  <c:v>7.2746631687221699</c:v>
                </c:pt>
                <c:pt idx="10">
                  <c:v>4.3908438686505189</c:v>
                </c:pt>
                <c:pt idx="11">
                  <c:v>2.9047125402527332</c:v>
                </c:pt>
                <c:pt idx="12">
                  <c:v>2.883112594947332</c:v>
                </c:pt>
              </c:numCache>
            </c:numRef>
          </c:val>
          <c:smooth val="0"/>
          <c:extLst>
            <c:ext xmlns:c16="http://schemas.microsoft.com/office/drawing/2014/chart" uri="{C3380CC4-5D6E-409C-BE32-E72D297353CC}">
              <c16:uniqueId val="{0000000F-32F4-4192-A3D7-64CCE6F30103}"/>
            </c:ext>
          </c:extLst>
        </c:ser>
        <c:ser>
          <c:idx val="2"/>
          <c:order val="16"/>
          <c:tx>
            <c:strRef>
              <c:f>'Datos reordenados'!$Q$29</c:f>
              <c:strCache>
                <c:ptCount val="1"/>
                <c:pt idx="0">
                  <c:v>91-92</c:v>
                </c:pt>
              </c:strCache>
            </c:strRef>
          </c:tx>
          <c:spPr>
            <a:ln w="38100">
              <a:solidFill>
                <a:srgbClr val="99CC00"/>
              </a:solidFill>
              <a:prstDash val="solid"/>
            </a:ln>
          </c:spPr>
          <c:marker>
            <c:symbol val="triangle"/>
            <c:size val="9"/>
            <c:spPr>
              <a:solidFill>
                <a:srgbClr val="FFFF00"/>
              </a:solidFill>
              <a:ln>
                <a:solidFill>
                  <a:srgbClr val="FFFF00"/>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reordenados'!$Q$30:$Q$42</c:f>
              <c:numCache>
                <c:formatCode>0.00</c:formatCode>
                <c:ptCount val="13"/>
                <c:pt idx="0">
                  <c:v>2.883112594947332</c:v>
                </c:pt>
                <c:pt idx="1">
                  <c:v>7.6368477630678893</c:v>
                </c:pt>
                <c:pt idx="2">
                  <c:v>7.6368477630678893</c:v>
                </c:pt>
                <c:pt idx="3">
                  <c:v>7.6368477630678893</c:v>
                </c:pt>
                <c:pt idx="4">
                  <c:v>7.6368477630678893</c:v>
                </c:pt>
                <c:pt idx="5">
                  <c:v>7.6368477630678893</c:v>
                </c:pt>
                <c:pt idx="6">
                  <c:v>7.6368477630678893</c:v>
                </c:pt>
                <c:pt idx="7">
                  <c:v>7.6368477630678893</c:v>
                </c:pt>
                <c:pt idx="8">
                  <c:v>5.8340489929650934</c:v>
                </c:pt>
                <c:pt idx="9">
                  <c:v>5.1692938194448539</c:v>
                </c:pt>
                <c:pt idx="10">
                  <c:v>2.4954569524192687</c:v>
                </c:pt>
                <c:pt idx="11">
                  <c:v>3.7514630083036185</c:v>
                </c:pt>
                <c:pt idx="12">
                  <c:v>5.584210753992898</c:v>
                </c:pt>
              </c:numCache>
            </c:numRef>
          </c:val>
          <c:smooth val="0"/>
          <c:extLst>
            <c:ext xmlns:c16="http://schemas.microsoft.com/office/drawing/2014/chart" uri="{C3380CC4-5D6E-409C-BE32-E72D297353CC}">
              <c16:uniqueId val="{00000010-32F4-4192-A3D7-64CCE6F30103}"/>
            </c:ext>
          </c:extLst>
        </c:ser>
        <c:ser>
          <c:idx val="3"/>
          <c:order val="17"/>
          <c:tx>
            <c:strRef>
              <c:f>'Datos reordenados'!$R$29</c:f>
              <c:strCache>
                <c:ptCount val="1"/>
                <c:pt idx="0">
                  <c:v>92-93</c:v>
                </c:pt>
              </c:strCache>
            </c:strRef>
          </c:tx>
          <c:spPr>
            <a:ln w="38100">
              <a:solidFill>
                <a:srgbClr val="008080"/>
              </a:solidFill>
              <a:prstDash val="solid"/>
            </a:ln>
          </c:spPr>
          <c:marker>
            <c:symbol val="x"/>
            <c:size val="9"/>
            <c:spPr>
              <a:solidFill>
                <a:srgbClr val="CCFFCC"/>
              </a:solidFill>
              <a:ln>
                <a:solidFill>
                  <a:srgbClr val="008080"/>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reordenados'!$R$30:$R$42</c:f>
              <c:numCache>
                <c:formatCode>0.00</c:formatCode>
                <c:ptCount val="13"/>
                <c:pt idx="0">
                  <c:v>5.584210753992898</c:v>
                </c:pt>
                <c:pt idx="1">
                  <c:v>7.6368477630678893</c:v>
                </c:pt>
                <c:pt idx="2">
                  <c:v>7.6368477630678893</c:v>
                </c:pt>
                <c:pt idx="3">
                  <c:v>7.6368477630678893</c:v>
                </c:pt>
                <c:pt idx="4">
                  <c:v>7.6368477630678893</c:v>
                </c:pt>
                <c:pt idx="5">
                  <c:v>7.6368477630678893</c:v>
                </c:pt>
                <c:pt idx="6">
                  <c:v>7.6368477630678893</c:v>
                </c:pt>
                <c:pt idx="7">
                  <c:v>7.6368477630678893</c:v>
                </c:pt>
                <c:pt idx="8">
                  <c:v>5.5189196997404917</c:v>
                </c:pt>
                <c:pt idx="9">
                  <c:v>1.9495149001521366</c:v>
                </c:pt>
                <c:pt idx="10">
                  <c:v>1.4243470018153355</c:v>
                </c:pt>
                <c:pt idx="11">
                  <c:v>0.79245232769775908</c:v>
                </c:pt>
                <c:pt idx="12">
                  <c:v>0.76901956816126227</c:v>
                </c:pt>
              </c:numCache>
            </c:numRef>
          </c:val>
          <c:smooth val="0"/>
          <c:extLst>
            <c:ext xmlns:c16="http://schemas.microsoft.com/office/drawing/2014/chart" uri="{C3380CC4-5D6E-409C-BE32-E72D297353CC}">
              <c16:uniqueId val="{00000011-32F4-4192-A3D7-64CCE6F30103}"/>
            </c:ext>
          </c:extLst>
        </c:ser>
        <c:ser>
          <c:idx val="4"/>
          <c:order val="18"/>
          <c:tx>
            <c:strRef>
              <c:f>'Datos reordenados'!$S$29</c:f>
              <c:strCache>
                <c:ptCount val="1"/>
                <c:pt idx="0">
                  <c:v>93-94</c:v>
                </c:pt>
              </c:strCache>
            </c:strRef>
          </c:tx>
          <c:spPr>
            <a:ln w="38100">
              <a:solidFill>
                <a:srgbClr val="800080"/>
              </a:solidFill>
              <a:prstDash val="solid"/>
            </a:ln>
          </c:spPr>
          <c:marker>
            <c:symbol val="star"/>
            <c:size val="9"/>
            <c:spPr>
              <a:noFill/>
              <a:ln>
                <a:solidFill>
                  <a:srgbClr val="800080"/>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reordenados'!$S$30:$S$42</c:f>
              <c:numCache>
                <c:formatCode>0.00</c:formatCode>
                <c:ptCount val="13"/>
                <c:pt idx="0">
                  <c:v>0.76901956816126227</c:v>
                </c:pt>
                <c:pt idx="1">
                  <c:v>2.143268035453842</c:v>
                </c:pt>
                <c:pt idx="2">
                  <c:v>7.6368477630678893</c:v>
                </c:pt>
                <c:pt idx="3">
                  <c:v>7.6368477630678893</c:v>
                </c:pt>
                <c:pt idx="4">
                  <c:v>7.6368477630678893</c:v>
                </c:pt>
                <c:pt idx="5">
                  <c:v>7.6368477630678893</c:v>
                </c:pt>
                <c:pt idx="6">
                  <c:v>7.6368477630678893</c:v>
                </c:pt>
                <c:pt idx="7">
                  <c:v>7.6368477630678893</c:v>
                </c:pt>
                <c:pt idx="8">
                  <c:v>7.6368477630678893</c:v>
                </c:pt>
                <c:pt idx="9">
                  <c:v>4.8486993028369669</c:v>
                </c:pt>
                <c:pt idx="10">
                  <c:v>1.4700979283129421</c:v>
                </c:pt>
                <c:pt idx="11">
                  <c:v>2.0110045059095234</c:v>
                </c:pt>
                <c:pt idx="12">
                  <c:v>2.7687249802438743</c:v>
                </c:pt>
              </c:numCache>
            </c:numRef>
          </c:val>
          <c:smooth val="0"/>
          <c:extLst>
            <c:ext xmlns:c16="http://schemas.microsoft.com/office/drawing/2014/chart" uri="{C3380CC4-5D6E-409C-BE32-E72D297353CC}">
              <c16:uniqueId val="{00000012-32F4-4192-A3D7-64CCE6F30103}"/>
            </c:ext>
          </c:extLst>
        </c:ser>
        <c:ser>
          <c:idx val="5"/>
          <c:order val="19"/>
          <c:tx>
            <c:strRef>
              <c:f>'Datos reordenados'!$T$29</c:f>
              <c:strCache>
                <c:ptCount val="1"/>
                <c:pt idx="0">
                  <c:v>94-95</c:v>
                </c:pt>
              </c:strCache>
            </c:strRef>
          </c:tx>
          <c:spPr>
            <a:ln w="38100">
              <a:solidFill>
                <a:srgbClr val="800000"/>
              </a:solidFill>
              <a:prstDash val="solid"/>
            </a:ln>
          </c:spPr>
          <c:marker>
            <c:symbol val="circle"/>
            <c:size val="9"/>
            <c:spPr>
              <a:solidFill>
                <a:srgbClr val="800000"/>
              </a:solidFill>
              <a:ln>
                <a:solidFill>
                  <a:srgbClr val="800000"/>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reordenados'!$T$30:$T$42</c:f>
              <c:numCache>
                <c:formatCode>0.00</c:formatCode>
                <c:ptCount val="13"/>
                <c:pt idx="0">
                  <c:v>2.7687249802438743</c:v>
                </c:pt>
                <c:pt idx="1">
                  <c:v>3.5571403443345742</c:v>
                </c:pt>
                <c:pt idx="2">
                  <c:v>4.4070143778542565</c:v>
                </c:pt>
                <c:pt idx="3">
                  <c:v>6.4863533941344604</c:v>
                </c:pt>
                <c:pt idx="4">
                  <c:v>7.5748642854333603</c:v>
                </c:pt>
                <c:pt idx="5">
                  <c:v>7.6368477630678893</c:v>
                </c:pt>
                <c:pt idx="6">
                  <c:v>7.6368477630678893</c:v>
                </c:pt>
                <c:pt idx="7">
                  <c:v>7.6368477630678893</c:v>
                </c:pt>
                <c:pt idx="8">
                  <c:v>5.7280316189398972</c:v>
                </c:pt>
                <c:pt idx="9">
                  <c:v>2.5042150923959552</c:v>
                </c:pt>
                <c:pt idx="10">
                  <c:v>0.14364725252241328</c:v>
                </c:pt>
                <c:pt idx="11">
                  <c:v>0.46186285707904684</c:v>
                </c:pt>
                <c:pt idx="12">
                  <c:v>1.6823512766697797</c:v>
                </c:pt>
              </c:numCache>
            </c:numRef>
          </c:val>
          <c:smooth val="0"/>
          <c:extLst>
            <c:ext xmlns:c16="http://schemas.microsoft.com/office/drawing/2014/chart" uri="{C3380CC4-5D6E-409C-BE32-E72D297353CC}">
              <c16:uniqueId val="{00000013-32F4-4192-A3D7-64CCE6F30103}"/>
            </c:ext>
          </c:extLst>
        </c:ser>
        <c:ser>
          <c:idx val="6"/>
          <c:order val="20"/>
          <c:tx>
            <c:strRef>
              <c:f>'Datos reordenados'!$U$29</c:f>
              <c:strCache>
                <c:ptCount val="1"/>
                <c:pt idx="0">
                  <c:v>95-96</c:v>
                </c:pt>
              </c:strCache>
            </c:strRef>
          </c:tx>
          <c:spPr>
            <a:ln w="38100">
              <a:solidFill>
                <a:srgbClr val="008080"/>
              </a:solidFill>
              <a:prstDash val="solid"/>
            </a:ln>
          </c:spPr>
          <c:marker>
            <c:symbol val="plus"/>
            <c:size val="9"/>
            <c:spPr>
              <a:noFill/>
              <a:ln>
                <a:solidFill>
                  <a:srgbClr val="008080"/>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reordenados'!$U$30:$U$42</c:f>
              <c:numCache>
                <c:formatCode>0.00</c:formatCode>
                <c:ptCount val="13"/>
                <c:pt idx="0">
                  <c:v>1.6823512766697797</c:v>
                </c:pt>
                <c:pt idx="1">
                  <c:v>2.4896893722532845</c:v>
                </c:pt>
                <c:pt idx="2">
                  <c:v>3.1194536352950193</c:v>
                </c:pt>
                <c:pt idx="3">
                  <c:v>4.0936317643581424</c:v>
                </c:pt>
                <c:pt idx="4">
                  <c:v>5.8156992334978206</c:v>
                </c:pt>
                <c:pt idx="5">
                  <c:v>6.0812241376063234</c:v>
                </c:pt>
                <c:pt idx="6">
                  <c:v>6.9122927275492518</c:v>
                </c:pt>
                <c:pt idx="7">
                  <c:v>7.6368477630678893</c:v>
                </c:pt>
                <c:pt idx="8">
                  <c:v>5.7890760781344772</c:v>
                </c:pt>
                <c:pt idx="9">
                  <c:v>1.3513653919413331</c:v>
                </c:pt>
                <c:pt idx="10">
                  <c:v>2.5773532829200372</c:v>
                </c:pt>
                <c:pt idx="11">
                  <c:v>2.3456359616590028</c:v>
                </c:pt>
                <c:pt idx="12">
                  <c:v>2.7517013171519289</c:v>
                </c:pt>
              </c:numCache>
            </c:numRef>
          </c:val>
          <c:smooth val="0"/>
          <c:extLst>
            <c:ext xmlns:c16="http://schemas.microsoft.com/office/drawing/2014/chart" uri="{C3380CC4-5D6E-409C-BE32-E72D297353CC}">
              <c16:uniqueId val="{00000014-32F4-4192-A3D7-64CCE6F30103}"/>
            </c:ext>
          </c:extLst>
        </c:ser>
        <c:ser>
          <c:idx val="7"/>
          <c:order val="21"/>
          <c:tx>
            <c:strRef>
              <c:f>'Datos reordenados'!$V$29</c:f>
              <c:strCache>
                <c:ptCount val="1"/>
                <c:pt idx="0">
                  <c:v>96-97</c:v>
                </c:pt>
              </c:strCache>
            </c:strRef>
          </c:tx>
          <c:spPr>
            <a:ln w="38100">
              <a:solidFill>
                <a:srgbClr val="0000FF"/>
              </a:solidFill>
              <a:prstDash val="solid"/>
            </a:ln>
          </c:spPr>
          <c:marker>
            <c:symbol val="dot"/>
            <c:size val="9"/>
            <c:spPr>
              <a:noFill/>
              <a:ln>
                <a:solidFill>
                  <a:srgbClr val="0000FF"/>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reordenados'!$V$30:$V$42</c:f>
              <c:numCache>
                <c:formatCode>0.00</c:formatCode>
                <c:ptCount val="13"/>
                <c:pt idx="0">
                  <c:v>2.7517013171519289</c:v>
                </c:pt>
                <c:pt idx="1">
                  <c:v>7.6368477630678893</c:v>
                </c:pt>
                <c:pt idx="2">
                  <c:v>7.6368477630678893</c:v>
                </c:pt>
                <c:pt idx="3">
                  <c:v>7.6368477630678893</c:v>
                </c:pt>
                <c:pt idx="4">
                  <c:v>7.6368477630678893</c:v>
                </c:pt>
                <c:pt idx="5">
                  <c:v>7.6368477630678893</c:v>
                </c:pt>
                <c:pt idx="6">
                  <c:v>7.6368477630678893</c:v>
                </c:pt>
                <c:pt idx="7">
                  <c:v>7.6368477630678893</c:v>
                </c:pt>
                <c:pt idx="8">
                  <c:v>6.2074853401884686</c:v>
                </c:pt>
                <c:pt idx="9">
                  <c:v>2.5022515259567868</c:v>
                </c:pt>
                <c:pt idx="10">
                  <c:v>0.14364725252241328</c:v>
                </c:pt>
                <c:pt idx="11">
                  <c:v>1.5136034647925425</c:v>
                </c:pt>
                <c:pt idx="12">
                  <c:v>1.8052858054991003</c:v>
                </c:pt>
              </c:numCache>
            </c:numRef>
          </c:val>
          <c:smooth val="0"/>
          <c:extLst>
            <c:ext xmlns:c16="http://schemas.microsoft.com/office/drawing/2014/chart" uri="{C3380CC4-5D6E-409C-BE32-E72D297353CC}">
              <c16:uniqueId val="{00000015-32F4-4192-A3D7-64CCE6F30103}"/>
            </c:ext>
          </c:extLst>
        </c:ser>
        <c:ser>
          <c:idx val="8"/>
          <c:order val="22"/>
          <c:tx>
            <c:strRef>
              <c:f>'Datos reordenados'!$W$29</c:f>
              <c:strCache>
                <c:ptCount val="1"/>
                <c:pt idx="0">
                  <c:v>97-98</c:v>
                </c:pt>
              </c:strCache>
            </c:strRef>
          </c:tx>
          <c:spPr>
            <a:ln w="38100">
              <a:solidFill>
                <a:srgbClr val="00CCFF"/>
              </a:solidFill>
              <a:prstDash val="solid"/>
            </a:ln>
          </c:spPr>
          <c:marker>
            <c:symbol val="square"/>
            <c:size val="7"/>
            <c:spPr>
              <a:solidFill>
                <a:srgbClr val="00CCFF"/>
              </a:solidFill>
              <a:ln>
                <a:solidFill>
                  <a:srgbClr val="00CCFF"/>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reordenados'!$W$30:$W$42</c:f>
              <c:numCache>
                <c:formatCode>0.00</c:formatCode>
                <c:ptCount val="13"/>
                <c:pt idx="0">
                  <c:v>1.8052858054991003</c:v>
                </c:pt>
                <c:pt idx="1">
                  <c:v>2.7917762229961109</c:v>
                </c:pt>
                <c:pt idx="2">
                  <c:v>4.6206486849615063</c:v>
                </c:pt>
                <c:pt idx="3">
                  <c:v>5.7253290960055638</c:v>
                </c:pt>
                <c:pt idx="4">
                  <c:v>7.6368477630678893</c:v>
                </c:pt>
                <c:pt idx="5">
                  <c:v>7.6368477630678893</c:v>
                </c:pt>
                <c:pt idx="6">
                  <c:v>7.6368477630678893</c:v>
                </c:pt>
                <c:pt idx="7">
                  <c:v>7.6368477630678893</c:v>
                </c:pt>
                <c:pt idx="8">
                  <c:v>7.6368477630678893</c:v>
                </c:pt>
                <c:pt idx="9">
                  <c:v>7.6368477630678893</c:v>
                </c:pt>
                <c:pt idx="10">
                  <c:v>7.6368477630678893</c:v>
                </c:pt>
                <c:pt idx="11">
                  <c:v>7.6368477630678893</c:v>
                </c:pt>
                <c:pt idx="12">
                  <c:v>7.6368477630678893</c:v>
                </c:pt>
              </c:numCache>
            </c:numRef>
          </c:val>
          <c:smooth val="0"/>
          <c:extLst>
            <c:ext xmlns:c16="http://schemas.microsoft.com/office/drawing/2014/chart" uri="{C3380CC4-5D6E-409C-BE32-E72D297353CC}">
              <c16:uniqueId val="{00000016-32F4-4192-A3D7-64CCE6F30103}"/>
            </c:ext>
          </c:extLst>
        </c:ser>
        <c:ser>
          <c:idx val="9"/>
          <c:order val="23"/>
          <c:tx>
            <c:strRef>
              <c:f>'Datos reordenados'!$X$29</c:f>
              <c:strCache>
                <c:ptCount val="1"/>
                <c:pt idx="0">
                  <c:v>98-99</c:v>
                </c:pt>
              </c:strCache>
            </c:strRef>
          </c:tx>
          <c:spPr>
            <a:ln w="38100">
              <a:solidFill>
                <a:srgbClr val="969696"/>
              </a:solidFill>
              <a:prstDash val="solid"/>
            </a:ln>
          </c:spPr>
          <c:marker>
            <c:symbol val="diamond"/>
            <c:size val="9"/>
            <c:spPr>
              <a:solidFill>
                <a:srgbClr val="CCFFFF"/>
              </a:solidFill>
              <a:ln>
                <a:solidFill>
                  <a:srgbClr val="000000"/>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reordenados'!$X$30:$X$42</c:f>
              <c:numCache>
                <c:formatCode>0.00</c:formatCode>
                <c:ptCount val="13"/>
                <c:pt idx="0">
                  <c:v>7.6368477630678893</c:v>
                </c:pt>
                <c:pt idx="1">
                  <c:v>7.6368477630678893</c:v>
                </c:pt>
                <c:pt idx="2">
                  <c:v>7.6368477630678893</c:v>
                </c:pt>
                <c:pt idx="3">
                  <c:v>7.6368477630678893</c:v>
                </c:pt>
                <c:pt idx="4">
                  <c:v>7.6368477630678893</c:v>
                </c:pt>
                <c:pt idx="5">
                  <c:v>7.6368477630678893</c:v>
                </c:pt>
                <c:pt idx="6">
                  <c:v>7.6368477630678893</c:v>
                </c:pt>
                <c:pt idx="7">
                  <c:v>7.4678706083143842</c:v>
                </c:pt>
                <c:pt idx="8">
                  <c:v>5.8826020361994056</c:v>
                </c:pt>
                <c:pt idx="9">
                  <c:v>2.164966086557345</c:v>
                </c:pt>
                <c:pt idx="10">
                  <c:v>0.14364725252241328</c:v>
                </c:pt>
                <c:pt idx="11">
                  <c:v>0.14364725252241328</c:v>
                </c:pt>
                <c:pt idx="12">
                  <c:v>0.34164650153816345</c:v>
                </c:pt>
              </c:numCache>
            </c:numRef>
          </c:val>
          <c:smooth val="0"/>
          <c:extLst>
            <c:ext xmlns:c16="http://schemas.microsoft.com/office/drawing/2014/chart" uri="{C3380CC4-5D6E-409C-BE32-E72D297353CC}">
              <c16:uniqueId val="{00000017-32F4-4192-A3D7-64CCE6F30103}"/>
            </c:ext>
          </c:extLst>
        </c:ser>
        <c:ser>
          <c:idx val="10"/>
          <c:order val="24"/>
          <c:tx>
            <c:strRef>
              <c:f>'Datos reordenados'!$Y$29</c:f>
              <c:strCache>
                <c:ptCount val="1"/>
                <c:pt idx="0">
                  <c:v>99-00</c:v>
                </c:pt>
              </c:strCache>
            </c:strRef>
          </c:tx>
          <c:spPr>
            <a:ln w="38100">
              <a:solidFill>
                <a:srgbClr val="993300"/>
              </a:solidFill>
              <a:prstDash val="solid"/>
            </a:ln>
          </c:spPr>
          <c:marker>
            <c:symbol val="square"/>
            <c:size val="9"/>
            <c:spPr>
              <a:solidFill>
                <a:srgbClr val="CCFFCC"/>
              </a:solidFill>
              <a:ln>
                <a:solidFill>
                  <a:srgbClr val="800000"/>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reordenados'!$Y$30:$Y$42</c:f>
              <c:numCache>
                <c:formatCode>0.00</c:formatCode>
                <c:ptCount val="13"/>
                <c:pt idx="0">
                  <c:v>0.34164650153816345</c:v>
                </c:pt>
                <c:pt idx="1">
                  <c:v>2.2587273232240133</c:v>
                </c:pt>
                <c:pt idx="2">
                  <c:v>3.2436747562867607</c:v>
                </c:pt>
                <c:pt idx="3">
                  <c:v>4.2007997616133235</c:v>
                </c:pt>
                <c:pt idx="4">
                  <c:v>5.6507052856847499</c:v>
                </c:pt>
                <c:pt idx="5">
                  <c:v>5.9313975907782828</c:v>
                </c:pt>
                <c:pt idx="6">
                  <c:v>6.0224191989534637</c:v>
                </c:pt>
                <c:pt idx="7">
                  <c:v>5.8449017836359562</c:v>
                </c:pt>
                <c:pt idx="8">
                  <c:v>3.3967935716260467</c:v>
                </c:pt>
                <c:pt idx="9">
                  <c:v>0.14364725252241328</c:v>
                </c:pt>
                <c:pt idx="10">
                  <c:v>0.14364725252241328</c:v>
                </c:pt>
                <c:pt idx="11">
                  <c:v>0.14364725252241328</c:v>
                </c:pt>
                <c:pt idx="12">
                  <c:v>1.6838413727915333</c:v>
                </c:pt>
              </c:numCache>
            </c:numRef>
          </c:val>
          <c:smooth val="0"/>
          <c:extLst>
            <c:ext xmlns:c16="http://schemas.microsoft.com/office/drawing/2014/chart" uri="{C3380CC4-5D6E-409C-BE32-E72D297353CC}">
              <c16:uniqueId val="{00000018-32F4-4192-A3D7-64CCE6F30103}"/>
            </c:ext>
          </c:extLst>
        </c:ser>
        <c:ser>
          <c:idx val="11"/>
          <c:order val="25"/>
          <c:tx>
            <c:strRef>
              <c:f>'Datos reordenados'!$Z$29</c:f>
              <c:strCache>
                <c:ptCount val="1"/>
                <c:pt idx="0">
                  <c:v>00-01</c:v>
                </c:pt>
              </c:strCache>
            </c:strRef>
          </c:tx>
          <c:spPr>
            <a:ln w="38100">
              <a:solidFill>
                <a:srgbClr val="3366FF"/>
              </a:solidFill>
              <a:prstDash val="solid"/>
            </a:ln>
          </c:spPr>
          <c:marker>
            <c:symbol val="triangle"/>
            <c:size val="9"/>
            <c:spPr>
              <a:solidFill>
                <a:srgbClr val="FFFF99"/>
              </a:solidFill>
              <a:ln>
                <a:solidFill>
                  <a:srgbClr val="3366FF"/>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reordenados'!$Z$30:$Z$42</c:f>
              <c:numCache>
                <c:formatCode>0.00</c:formatCode>
                <c:ptCount val="13"/>
                <c:pt idx="0">
                  <c:v>1.6838413727915333</c:v>
                </c:pt>
                <c:pt idx="1">
                  <c:v>3.3759278903610968</c:v>
                </c:pt>
                <c:pt idx="2">
                  <c:v>7.6368477630678893</c:v>
                </c:pt>
                <c:pt idx="3">
                  <c:v>7.6368477630678893</c:v>
                </c:pt>
                <c:pt idx="4">
                  <c:v>7.6368477630678893</c:v>
                </c:pt>
                <c:pt idx="5">
                  <c:v>7.6368477630678893</c:v>
                </c:pt>
                <c:pt idx="6">
                  <c:v>7.6368477630678893</c:v>
                </c:pt>
                <c:pt idx="7">
                  <c:v>7.6368477630678893</c:v>
                </c:pt>
                <c:pt idx="8">
                  <c:v>6.9007615649754763</c:v>
                </c:pt>
                <c:pt idx="9">
                  <c:v>3.3083308971738727</c:v>
                </c:pt>
                <c:pt idx="10">
                  <c:v>0.98650532248058376</c:v>
                </c:pt>
                <c:pt idx="11">
                  <c:v>0.1677193702927755</c:v>
                </c:pt>
                <c:pt idx="12">
                  <c:v>0.58465326088255309</c:v>
                </c:pt>
              </c:numCache>
            </c:numRef>
          </c:val>
          <c:smooth val="0"/>
          <c:extLst>
            <c:ext xmlns:c16="http://schemas.microsoft.com/office/drawing/2014/chart" uri="{C3380CC4-5D6E-409C-BE32-E72D297353CC}">
              <c16:uniqueId val="{00000019-32F4-4192-A3D7-64CCE6F30103}"/>
            </c:ext>
          </c:extLst>
        </c:ser>
        <c:ser>
          <c:idx val="12"/>
          <c:order val="26"/>
          <c:tx>
            <c:strRef>
              <c:f>'Datos reordenados'!$AA$29</c:f>
              <c:strCache>
                <c:ptCount val="1"/>
                <c:pt idx="0">
                  <c:v>01-02</c:v>
                </c:pt>
              </c:strCache>
            </c:strRef>
          </c:tx>
          <c:spPr>
            <a:ln w="38100">
              <a:solidFill>
                <a:srgbClr val="00FF00"/>
              </a:solidFill>
              <a:prstDash val="solid"/>
            </a:ln>
          </c:spPr>
          <c:marker>
            <c:symbol val="x"/>
            <c:size val="7"/>
            <c:spPr>
              <a:noFill/>
              <a:ln>
                <a:solidFill>
                  <a:srgbClr val="00FF00"/>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reordenados'!$AA$30:$AA$42</c:f>
              <c:numCache>
                <c:formatCode>0.00</c:formatCode>
                <c:ptCount val="13"/>
                <c:pt idx="0">
                  <c:v>0.58465326088255309</c:v>
                </c:pt>
                <c:pt idx="1">
                  <c:v>7.6368477630678893</c:v>
                </c:pt>
                <c:pt idx="2">
                  <c:v>7.6368477630678893</c:v>
                </c:pt>
                <c:pt idx="3">
                  <c:v>7.6368477630678893</c:v>
                </c:pt>
                <c:pt idx="4">
                  <c:v>7.6368477630678893</c:v>
                </c:pt>
                <c:pt idx="5">
                  <c:v>7.6368477630678893</c:v>
                </c:pt>
                <c:pt idx="6">
                  <c:v>7.6368477630678893</c:v>
                </c:pt>
                <c:pt idx="7">
                  <c:v>7.6368477630678893</c:v>
                </c:pt>
                <c:pt idx="8">
                  <c:v>7.2430238656968955</c:v>
                </c:pt>
                <c:pt idx="9">
                  <c:v>3.4915549814402294</c:v>
                </c:pt>
                <c:pt idx="10">
                  <c:v>0.75815674988426451</c:v>
                </c:pt>
                <c:pt idx="11">
                  <c:v>0.15464650572618166</c:v>
                </c:pt>
                <c:pt idx="12">
                  <c:v>5.5410993136366695</c:v>
                </c:pt>
              </c:numCache>
            </c:numRef>
          </c:val>
          <c:smooth val="0"/>
          <c:extLst>
            <c:ext xmlns:c16="http://schemas.microsoft.com/office/drawing/2014/chart" uri="{C3380CC4-5D6E-409C-BE32-E72D297353CC}">
              <c16:uniqueId val="{0000001A-32F4-4192-A3D7-64CCE6F30103}"/>
            </c:ext>
          </c:extLst>
        </c:ser>
        <c:ser>
          <c:idx val="13"/>
          <c:order val="27"/>
          <c:tx>
            <c:strRef>
              <c:f>'Datos reordenados'!$AB$29</c:f>
              <c:strCache>
                <c:ptCount val="1"/>
                <c:pt idx="0">
                  <c:v>02-03</c:v>
                </c:pt>
              </c:strCache>
            </c:strRef>
          </c:tx>
          <c:spPr>
            <a:ln w="38100">
              <a:solidFill>
                <a:srgbClr val="FF99CC"/>
              </a:solidFill>
              <a:prstDash val="solid"/>
            </a:ln>
          </c:spPr>
          <c:marker>
            <c:symbol val="star"/>
            <c:size val="9"/>
            <c:spPr>
              <a:noFill/>
              <a:ln>
                <a:solidFill>
                  <a:srgbClr val="FF99CC"/>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reordenados'!$AB$30:$AB$42</c:f>
              <c:numCache>
                <c:formatCode>0.00</c:formatCode>
                <c:ptCount val="13"/>
                <c:pt idx="0">
                  <c:v>5.5410993136366695</c:v>
                </c:pt>
                <c:pt idx="1">
                  <c:v>7.6368477630678893</c:v>
                </c:pt>
                <c:pt idx="2">
                  <c:v>7.6368477630678893</c:v>
                </c:pt>
                <c:pt idx="3">
                  <c:v>7.6368477630678893</c:v>
                </c:pt>
                <c:pt idx="4">
                  <c:v>7.6368477630678893</c:v>
                </c:pt>
                <c:pt idx="5">
                  <c:v>7.6368477630678893</c:v>
                </c:pt>
                <c:pt idx="6">
                  <c:v>7.6368477630678893</c:v>
                </c:pt>
                <c:pt idx="7">
                  <c:v>7.6368477630678893</c:v>
                </c:pt>
                <c:pt idx="8">
                  <c:v>7.6368477630678893</c:v>
                </c:pt>
                <c:pt idx="9">
                  <c:v>7.6368477630678893</c:v>
                </c:pt>
                <c:pt idx="10">
                  <c:v>5.5448484229949004</c:v>
                </c:pt>
                <c:pt idx="11">
                  <c:v>6.583981489943568</c:v>
                </c:pt>
                <c:pt idx="12">
                  <c:v>7.6368477630678893</c:v>
                </c:pt>
              </c:numCache>
            </c:numRef>
          </c:val>
          <c:smooth val="0"/>
          <c:extLst>
            <c:ext xmlns:c16="http://schemas.microsoft.com/office/drawing/2014/chart" uri="{C3380CC4-5D6E-409C-BE32-E72D297353CC}">
              <c16:uniqueId val="{0000001B-32F4-4192-A3D7-64CCE6F30103}"/>
            </c:ext>
          </c:extLst>
        </c:ser>
        <c:ser>
          <c:idx val="14"/>
          <c:order val="28"/>
          <c:tx>
            <c:strRef>
              <c:f>'Datos reordenados'!$AC$29</c:f>
              <c:strCache>
                <c:ptCount val="1"/>
                <c:pt idx="0">
                  <c:v>03-04</c:v>
                </c:pt>
              </c:strCache>
            </c:strRef>
          </c:tx>
          <c:spPr>
            <a:ln w="38100">
              <a:solidFill>
                <a:srgbClr val="CC99FF"/>
              </a:solidFill>
              <a:prstDash val="solid"/>
            </a:ln>
          </c:spPr>
          <c:marker>
            <c:symbol val="circle"/>
            <c:size val="9"/>
            <c:spPr>
              <a:solidFill>
                <a:srgbClr val="CC99FF"/>
              </a:solidFill>
              <a:ln>
                <a:solidFill>
                  <a:srgbClr val="CC99FF"/>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reordenados'!$AC$30:$AC$42</c:f>
              <c:numCache>
                <c:formatCode>0.00</c:formatCode>
                <c:ptCount val="13"/>
                <c:pt idx="0">
                  <c:v>7.6368477630678893</c:v>
                </c:pt>
                <c:pt idx="1">
                  <c:v>7.6368477630678893</c:v>
                </c:pt>
                <c:pt idx="2">
                  <c:v>7.6368477630678893</c:v>
                </c:pt>
                <c:pt idx="3">
                  <c:v>7.6368477630678893</c:v>
                </c:pt>
                <c:pt idx="4">
                  <c:v>7.6368477630678893</c:v>
                </c:pt>
                <c:pt idx="5">
                  <c:v>7.6368477630678893</c:v>
                </c:pt>
                <c:pt idx="6">
                  <c:v>7.6368477630678893</c:v>
                </c:pt>
                <c:pt idx="7">
                  <c:v>7.6368477630678893</c:v>
                </c:pt>
                <c:pt idx="8">
                  <c:v>7.0137708810859367</c:v>
                </c:pt>
                <c:pt idx="9">
                  <c:v>4.5522408012120303</c:v>
                </c:pt>
                <c:pt idx="10">
                  <c:v>1.4644891733698913</c:v>
                </c:pt>
                <c:pt idx="11">
                  <c:v>0.14364725252241328</c:v>
                </c:pt>
                <c:pt idx="12">
                  <c:v>0.14364725252241328</c:v>
                </c:pt>
              </c:numCache>
            </c:numRef>
          </c:val>
          <c:smooth val="0"/>
          <c:extLst>
            <c:ext xmlns:c16="http://schemas.microsoft.com/office/drawing/2014/chart" uri="{C3380CC4-5D6E-409C-BE32-E72D297353CC}">
              <c16:uniqueId val="{0000001C-32F4-4192-A3D7-64CCE6F30103}"/>
            </c:ext>
          </c:extLst>
        </c:ser>
        <c:ser>
          <c:idx val="15"/>
          <c:order val="29"/>
          <c:tx>
            <c:strRef>
              <c:f>'Datos reordenados'!$AD$29</c:f>
              <c:strCache>
                <c:ptCount val="1"/>
                <c:pt idx="0">
                  <c:v>04-05</c:v>
                </c:pt>
              </c:strCache>
            </c:strRef>
          </c:tx>
          <c:spPr>
            <a:ln w="38100">
              <a:solidFill>
                <a:srgbClr val="FFCC99"/>
              </a:solidFill>
              <a:prstDash val="solid"/>
            </a:ln>
          </c:spPr>
          <c:marker>
            <c:symbol val="circle"/>
            <c:size val="9"/>
            <c:spPr>
              <a:noFill/>
              <a:ln>
                <a:solidFill>
                  <a:srgbClr val="000000"/>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reordenados'!$AD$30:$AD$42</c:f>
              <c:numCache>
                <c:formatCode>0.00</c:formatCode>
                <c:ptCount val="13"/>
                <c:pt idx="0">
                  <c:v>0.14364725252241328</c:v>
                </c:pt>
                <c:pt idx="1">
                  <c:v>1.5594045384709692</c:v>
                </c:pt>
                <c:pt idx="2">
                  <c:v>2.0668566923180456</c:v>
                </c:pt>
                <c:pt idx="3">
                  <c:v>3.0776147241932583</c:v>
                </c:pt>
                <c:pt idx="4">
                  <c:v>3.5043930081185879</c:v>
                </c:pt>
                <c:pt idx="5">
                  <c:v>3.5290340725032037</c:v>
                </c:pt>
                <c:pt idx="6">
                  <c:v>4.5522842862912727</c:v>
                </c:pt>
                <c:pt idx="7">
                  <c:v>6.3951716272045269</c:v>
                </c:pt>
                <c:pt idx="8">
                  <c:v>6.5569350650628602</c:v>
                </c:pt>
                <c:pt idx="9">
                  <c:v>3.0676219441752748</c:v>
                </c:pt>
                <c:pt idx="10">
                  <c:v>0.14364725252241328</c:v>
                </c:pt>
                <c:pt idx="11">
                  <c:v>0.14364725252241328</c:v>
                </c:pt>
                <c:pt idx="12">
                  <c:v>0.15858073093484892</c:v>
                </c:pt>
              </c:numCache>
            </c:numRef>
          </c:val>
          <c:smooth val="0"/>
          <c:extLst>
            <c:ext xmlns:c16="http://schemas.microsoft.com/office/drawing/2014/chart" uri="{C3380CC4-5D6E-409C-BE32-E72D297353CC}">
              <c16:uniqueId val="{0000001D-32F4-4192-A3D7-64CCE6F30103}"/>
            </c:ext>
          </c:extLst>
        </c:ser>
        <c:ser>
          <c:idx val="16"/>
          <c:order val="30"/>
          <c:tx>
            <c:strRef>
              <c:f>'Datos reordenados'!$AE$29</c:f>
              <c:strCache>
                <c:ptCount val="1"/>
                <c:pt idx="0">
                  <c:v>05-06</c:v>
                </c:pt>
              </c:strCache>
            </c:strRef>
          </c:tx>
          <c:spPr>
            <a:ln w="38100">
              <a:solidFill>
                <a:srgbClr val="3366FF"/>
              </a:solidFill>
              <a:prstDash val="solid"/>
            </a:ln>
          </c:spPr>
          <c:marker>
            <c:symbol val="diamond"/>
            <c:size val="9"/>
            <c:spPr>
              <a:noFill/>
              <a:ln>
                <a:solidFill>
                  <a:srgbClr val="000000"/>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reordenados'!$AE$30:$AE$42</c:f>
              <c:numCache>
                <c:formatCode>0.00</c:formatCode>
                <c:ptCount val="13"/>
                <c:pt idx="0">
                  <c:v>0.15858073093484892</c:v>
                </c:pt>
                <c:pt idx="1">
                  <c:v>1.5863582708675503</c:v>
                </c:pt>
                <c:pt idx="2">
                  <c:v>4.4349271082592212</c:v>
                </c:pt>
                <c:pt idx="3">
                  <c:v>7.6368477630678893</c:v>
                </c:pt>
                <c:pt idx="4">
                  <c:v>7.6368477630678893</c:v>
                </c:pt>
                <c:pt idx="5">
                  <c:v>7.6368477630678893</c:v>
                </c:pt>
                <c:pt idx="6">
                  <c:v>7.6368477630678893</c:v>
                </c:pt>
                <c:pt idx="7">
                  <c:v>7.6368477630678893</c:v>
                </c:pt>
                <c:pt idx="8">
                  <c:v>6.1934351428571626</c:v>
                </c:pt>
                <c:pt idx="9">
                  <c:v>3.147465209804861</c:v>
                </c:pt>
                <c:pt idx="10">
                  <c:v>0.14364725252241328</c:v>
                </c:pt>
                <c:pt idx="11">
                  <c:v>0.14364725252241328</c:v>
                </c:pt>
                <c:pt idx="12">
                  <c:v>0.14364725252241328</c:v>
                </c:pt>
              </c:numCache>
            </c:numRef>
          </c:val>
          <c:smooth val="0"/>
          <c:extLst>
            <c:ext xmlns:c16="http://schemas.microsoft.com/office/drawing/2014/chart" uri="{C3380CC4-5D6E-409C-BE32-E72D297353CC}">
              <c16:uniqueId val="{0000001E-32F4-4192-A3D7-64CCE6F30103}"/>
            </c:ext>
          </c:extLst>
        </c:ser>
        <c:ser>
          <c:idx val="17"/>
          <c:order val="31"/>
          <c:tx>
            <c:strRef>
              <c:f>'Datos reordenados'!$AF$29</c:f>
              <c:strCache>
                <c:ptCount val="1"/>
                <c:pt idx="0">
                  <c:v>06-07</c:v>
                </c:pt>
              </c:strCache>
            </c:strRef>
          </c:tx>
          <c:spPr>
            <a:ln w="38100">
              <a:solidFill>
                <a:srgbClr val="33CCCC"/>
              </a:solidFill>
              <a:prstDash val="solid"/>
            </a:ln>
          </c:spPr>
          <c:marker>
            <c:symbol val="diamond"/>
            <c:size val="9"/>
            <c:spPr>
              <a:noFill/>
              <a:ln>
                <a:solidFill>
                  <a:srgbClr val="000000"/>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reordenados'!$AF$30:$AF$42</c:f>
              <c:numCache>
                <c:formatCode>0.00</c:formatCode>
                <c:ptCount val="13"/>
                <c:pt idx="0">
                  <c:v>0.14364725252241328</c:v>
                </c:pt>
                <c:pt idx="1">
                  <c:v>1.6127635869479926</c:v>
                </c:pt>
                <c:pt idx="2">
                  <c:v>2.8453498960342487</c:v>
                </c:pt>
                <c:pt idx="3">
                  <c:v>5.1797280332632711</c:v>
                </c:pt>
                <c:pt idx="4">
                  <c:v>6.1947349221469228</c:v>
                </c:pt>
                <c:pt idx="5">
                  <c:v>6.3732511054591292</c:v>
                </c:pt>
                <c:pt idx="6">
                  <c:v>6.5891005806110226</c:v>
                </c:pt>
                <c:pt idx="7">
                  <c:v>6.8868891320710279</c:v>
                </c:pt>
                <c:pt idx="8">
                  <c:v>7.6368477630678893</c:v>
                </c:pt>
                <c:pt idx="9">
                  <c:v>5.4464443100069113</c:v>
                </c:pt>
                <c:pt idx="10">
                  <c:v>2.3530188844030278</c:v>
                </c:pt>
                <c:pt idx="11">
                  <c:v>3.0978542811007248</c:v>
                </c:pt>
                <c:pt idx="12">
                  <c:v>6.9950058263149586</c:v>
                </c:pt>
              </c:numCache>
            </c:numRef>
          </c:val>
          <c:smooth val="0"/>
          <c:extLst>
            <c:ext xmlns:c16="http://schemas.microsoft.com/office/drawing/2014/chart" uri="{C3380CC4-5D6E-409C-BE32-E72D297353CC}">
              <c16:uniqueId val="{0000001F-32F4-4192-A3D7-64CCE6F30103}"/>
            </c:ext>
          </c:extLst>
        </c:ser>
        <c:ser>
          <c:idx val="18"/>
          <c:order val="32"/>
          <c:tx>
            <c:strRef>
              <c:f>'Datos reordenados'!$AG$29</c:f>
              <c:strCache>
                <c:ptCount val="1"/>
                <c:pt idx="0">
                  <c:v>07-08</c:v>
                </c:pt>
              </c:strCache>
            </c:strRef>
          </c:tx>
          <c:spPr>
            <a:ln w="38100">
              <a:solidFill>
                <a:srgbClr val="99CC00"/>
              </a:solidFill>
              <a:prstDash val="solid"/>
            </a:ln>
          </c:spPr>
          <c:marker>
            <c:symbol val="diamond"/>
            <c:size val="9"/>
            <c:spPr>
              <a:solidFill>
                <a:srgbClr val="99CC00"/>
              </a:solidFill>
              <a:ln>
                <a:solidFill>
                  <a:srgbClr val="000000"/>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reordenados'!$AG$30:$AG$42</c:f>
              <c:numCache>
                <c:formatCode>0.00</c:formatCode>
                <c:ptCount val="13"/>
                <c:pt idx="0">
                  <c:v>6.9950058263149586</c:v>
                </c:pt>
                <c:pt idx="1">
                  <c:v>7.6368477630678893</c:v>
                </c:pt>
                <c:pt idx="2">
                  <c:v>7.6368477630678893</c:v>
                </c:pt>
                <c:pt idx="3">
                  <c:v>7.6368477630678893</c:v>
                </c:pt>
                <c:pt idx="4">
                  <c:v>7.6368477630678893</c:v>
                </c:pt>
                <c:pt idx="5">
                  <c:v>7.6368477630678893</c:v>
                </c:pt>
                <c:pt idx="6">
                  <c:v>7.6368477630678893</c:v>
                </c:pt>
                <c:pt idx="7">
                  <c:v>7.6368477630678893</c:v>
                </c:pt>
                <c:pt idx="8">
                  <c:v>5.7911387864144901</c:v>
                </c:pt>
                <c:pt idx="9">
                  <c:v>1.6776502802181055</c:v>
                </c:pt>
                <c:pt idx="10">
                  <c:v>0.14364725252241328</c:v>
                </c:pt>
                <c:pt idx="11">
                  <c:v>0.14364725252241328</c:v>
                </c:pt>
                <c:pt idx="12">
                  <c:v>0.22569305506177451</c:v>
                </c:pt>
              </c:numCache>
            </c:numRef>
          </c:val>
          <c:smooth val="0"/>
          <c:extLst>
            <c:ext xmlns:c16="http://schemas.microsoft.com/office/drawing/2014/chart" uri="{C3380CC4-5D6E-409C-BE32-E72D297353CC}">
              <c16:uniqueId val="{00000020-32F4-4192-A3D7-64CCE6F30103}"/>
            </c:ext>
          </c:extLst>
        </c:ser>
        <c:ser>
          <c:idx val="19"/>
          <c:order val="33"/>
          <c:tx>
            <c:strRef>
              <c:f>'Datos reordenados'!$AH$29</c:f>
              <c:strCache>
                <c:ptCount val="1"/>
                <c:pt idx="0">
                  <c:v>08-09</c:v>
                </c:pt>
              </c:strCache>
            </c:strRef>
          </c:tx>
          <c:spPr>
            <a:ln w="38100">
              <a:solidFill>
                <a:srgbClr val="FFCC00"/>
              </a:solidFill>
              <a:prstDash val="solid"/>
            </a:ln>
          </c:spPr>
          <c:marker>
            <c:symbol val="square"/>
            <c:size val="7"/>
            <c:spPr>
              <a:solidFill>
                <a:srgbClr val="FFCC00"/>
              </a:solidFill>
              <a:ln>
                <a:solidFill>
                  <a:srgbClr val="000000"/>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reordenados'!$AH$30:$AH$42</c:f>
              <c:numCache>
                <c:formatCode>0.00</c:formatCode>
                <c:ptCount val="13"/>
                <c:pt idx="0">
                  <c:v>0.22569305506177451</c:v>
                </c:pt>
                <c:pt idx="1">
                  <c:v>1.7748560389899501</c:v>
                </c:pt>
                <c:pt idx="2">
                  <c:v>2.5741353254619974</c:v>
                </c:pt>
                <c:pt idx="3">
                  <c:v>4.1392772100873092</c:v>
                </c:pt>
                <c:pt idx="4">
                  <c:v>6.3591445713587875</c:v>
                </c:pt>
                <c:pt idx="5">
                  <c:v>7.6368477630678893</c:v>
                </c:pt>
                <c:pt idx="6">
                  <c:v>7.6368477630678893</c:v>
                </c:pt>
                <c:pt idx="7">
                  <c:v>7.6368477630678893</c:v>
                </c:pt>
                <c:pt idx="8">
                  <c:v>5.604393404519497</c:v>
                </c:pt>
                <c:pt idx="9">
                  <c:v>1.4404688927074947</c:v>
                </c:pt>
                <c:pt idx="10">
                  <c:v>0.14364725252241328</c:v>
                </c:pt>
                <c:pt idx="11">
                  <c:v>1.7669760327865531</c:v>
                </c:pt>
                <c:pt idx="12">
                  <c:v>2.0974475334164007</c:v>
                </c:pt>
              </c:numCache>
            </c:numRef>
          </c:val>
          <c:smooth val="0"/>
          <c:extLst>
            <c:ext xmlns:c16="http://schemas.microsoft.com/office/drawing/2014/chart" uri="{C3380CC4-5D6E-409C-BE32-E72D297353CC}">
              <c16:uniqueId val="{00000021-32F4-4192-A3D7-64CCE6F30103}"/>
            </c:ext>
          </c:extLst>
        </c:ser>
        <c:ser>
          <c:idx val="20"/>
          <c:order val="34"/>
          <c:tx>
            <c:strRef>
              <c:f>'Datos reordenados'!$AI$29</c:f>
              <c:strCache>
                <c:ptCount val="1"/>
                <c:pt idx="0">
                  <c:v>09-10</c:v>
                </c:pt>
              </c:strCache>
            </c:strRef>
          </c:tx>
          <c:spPr>
            <a:ln w="38100">
              <a:solidFill>
                <a:srgbClr val="FF9900"/>
              </a:solidFill>
              <a:prstDash val="sysDash"/>
            </a:ln>
          </c:spPr>
          <c:marker>
            <c:symbol val="triangle"/>
            <c:size val="9"/>
            <c:spPr>
              <a:solidFill>
                <a:srgbClr val="FF9900"/>
              </a:solidFill>
              <a:ln>
                <a:solidFill>
                  <a:srgbClr val="FF9900"/>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reordenados'!$AI$30:$AI$42</c:f>
              <c:numCache>
                <c:formatCode>0.00</c:formatCode>
                <c:ptCount val="13"/>
                <c:pt idx="0">
                  <c:v>2.0974475334164007</c:v>
                </c:pt>
                <c:pt idx="1">
                  <c:v>2.1808895643057093</c:v>
                </c:pt>
                <c:pt idx="2">
                  <c:v>4.1817994841083364</c:v>
                </c:pt>
                <c:pt idx="3">
                  <c:v>4.6885318501964219</c:v>
                </c:pt>
                <c:pt idx="4">
                  <c:v>4.7451895957011594</c:v>
                </c:pt>
                <c:pt idx="5">
                  <c:v>4.711873536864525</c:v>
                </c:pt>
                <c:pt idx="6">
                  <c:v>7.3218287140751528</c:v>
                </c:pt>
                <c:pt idx="7">
                  <c:v>7.6368477630678893</c:v>
                </c:pt>
                <c:pt idx="8">
                  <c:v>7.6368477630678893</c:v>
                </c:pt>
                <c:pt idx="9">
                  <c:v>7.6368477630678893</c:v>
                </c:pt>
                <c:pt idx="10">
                  <c:v>7.6368477630678893</c:v>
                </c:pt>
                <c:pt idx="11">
                  <c:v>7.6368477630678893</c:v>
                </c:pt>
                <c:pt idx="12">
                  <c:v>7.5911061814169445</c:v>
                </c:pt>
              </c:numCache>
            </c:numRef>
          </c:val>
          <c:smooth val="0"/>
          <c:extLst>
            <c:ext xmlns:c16="http://schemas.microsoft.com/office/drawing/2014/chart" uri="{C3380CC4-5D6E-409C-BE32-E72D297353CC}">
              <c16:uniqueId val="{00000022-32F4-4192-A3D7-64CCE6F30103}"/>
            </c:ext>
          </c:extLst>
        </c:ser>
        <c:ser>
          <c:idx val="21"/>
          <c:order val="35"/>
          <c:tx>
            <c:strRef>
              <c:f>'Datos reordenados'!$AJ$29</c:f>
              <c:strCache>
                <c:ptCount val="1"/>
                <c:pt idx="0">
                  <c:v>10-11</c:v>
                </c:pt>
              </c:strCache>
            </c:strRef>
          </c:tx>
          <c:spPr>
            <a:ln w="38100">
              <a:solidFill>
                <a:srgbClr val="FF6600"/>
              </a:solidFill>
              <a:prstDash val="solid"/>
            </a:ln>
          </c:spPr>
          <c:marker>
            <c:symbol val="x"/>
            <c:size val="9"/>
            <c:spPr>
              <a:noFill/>
              <a:ln>
                <a:solidFill>
                  <a:srgbClr val="000000"/>
                </a:solidFill>
                <a:prstDash val="solid"/>
              </a:ln>
            </c:spPr>
          </c:marker>
          <c:cat>
            <c:strRef>
              <c:f>'Datos reordenados'!$F$30:$F$42</c:f>
              <c:strCache>
                <c:ptCount val="13"/>
                <c:pt idx="0">
                  <c:v>MAR</c:v>
                </c:pt>
                <c:pt idx="1">
                  <c:v>ABR</c:v>
                </c:pt>
                <c:pt idx="2">
                  <c:v>MAY</c:v>
                </c:pt>
                <c:pt idx="3">
                  <c:v>JUN</c:v>
                </c:pt>
                <c:pt idx="4">
                  <c:v>JUL</c:v>
                </c:pt>
                <c:pt idx="5">
                  <c:v>AGO</c:v>
                </c:pt>
                <c:pt idx="6">
                  <c:v>SEP</c:v>
                </c:pt>
                <c:pt idx="7">
                  <c:v>OCT</c:v>
                </c:pt>
                <c:pt idx="8">
                  <c:v>NOV</c:v>
                </c:pt>
                <c:pt idx="9">
                  <c:v>DIC</c:v>
                </c:pt>
                <c:pt idx="10">
                  <c:v>ENE</c:v>
                </c:pt>
                <c:pt idx="11">
                  <c:v>FEB</c:v>
                </c:pt>
                <c:pt idx="12">
                  <c:v>MAR</c:v>
                </c:pt>
              </c:strCache>
            </c:strRef>
          </c:cat>
          <c:val>
            <c:numRef>
              <c:f>'Datos reordenados'!$AJ$30:$AJ$42</c:f>
              <c:numCache>
                <c:formatCode>0.00</c:formatCode>
                <c:ptCount val="13"/>
                <c:pt idx="0">
                  <c:v>7.5911061814169445</c:v>
                </c:pt>
                <c:pt idx="1">
                  <c:v>7.6368477630678893</c:v>
                </c:pt>
                <c:pt idx="2">
                  <c:v>7.6368477630678893</c:v>
                </c:pt>
                <c:pt idx="3">
                  <c:v>7.6368477630678893</c:v>
                </c:pt>
                <c:pt idx="4">
                  <c:v>7.6368477630678893</c:v>
                </c:pt>
                <c:pt idx="5">
                  <c:v>7.6368477630678893</c:v>
                </c:pt>
                <c:pt idx="6">
                  <c:v>7.6368477630678893</c:v>
                </c:pt>
                <c:pt idx="7">
                  <c:v>7.2118695489345965</c:v>
                </c:pt>
                <c:pt idx="8">
                  <c:v>4.7172577573998593</c:v>
                </c:pt>
                <c:pt idx="9">
                  <c:v>0.67855091650389721</c:v>
                </c:pt>
                <c:pt idx="10">
                  <c:v>0.14364725252241328</c:v>
                </c:pt>
                <c:pt idx="11">
                  <c:v>0.14364725252241328</c:v>
                </c:pt>
                <c:pt idx="12">
                  <c:v>0.14364725252241328</c:v>
                </c:pt>
              </c:numCache>
            </c:numRef>
          </c:val>
          <c:smooth val="0"/>
          <c:extLst>
            <c:ext xmlns:c16="http://schemas.microsoft.com/office/drawing/2014/chart" uri="{C3380CC4-5D6E-409C-BE32-E72D297353CC}">
              <c16:uniqueId val="{00000023-32F4-4192-A3D7-64CCE6F30103}"/>
            </c:ext>
          </c:extLst>
        </c:ser>
        <c:ser>
          <c:idx val="36"/>
          <c:order val="36"/>
          <c:tx>
            <c:strRef>
              <c:f>'Datos reordenados'!$AK$29</c:f>
              <c:strCache>
                <c:ptCount val="1"/>
                <c:pt idx="0">
                  <c:v>11-12</c:v>
                </c:pt>
              </c:strCache>
            </c:strRef>
          </c:tx>
          <c:spPr>
            <a:ln w="38100">
              <a:solidFill>
                <a:schemeClr val="accent3">
                  <a:lumMod val="50000"/>
                </a:schemeClr>
              </a:solidFill>
            </a:ln>
          </c:spPr>
          <c:marker>
            <c:symbol val="square"/>
            <c:size val="5"/>
            <c:spPr>
              <a:solidFill>
                <a:schemeClr val="accent3">
                  <a:lumMod val="75000"/>
                </a:schemeClr>
              </a:solidFill>
            </c:spPr>
          </c:marker>
          <c:val>
            <c:numRef>
              <c:f>'Datos reordenados'!$AK$30:$AK$42</c:f>
              <c:numCache>
                <c:formatCode>0.00</c:formatCode>
                <c:ptCount val="13"/>
                <c:pt idx="0">
                  <c:v>0.14364725252241328</c:v>
                </c:pt>
                <c:pt idx="1">
                  <c:v>1.0808848783555871</c:v>
                </c:pt>
                <c:pt idx="2">
                  <c:v>2.7563763689632572</c:v>
                </c:pt>
                <c:pt idx="3">
                  <c:v>3.7269008352876014</c:v>
                </c:pt>
                <c:pt idx="4">
                  <c:v>4.3687554697271249</c:v>
                </c:pt>
                <c:pt idx="5">
                  <c:v>4.6376990827891662</c:v>
                </c:pt>
                <c:pt idx="6">
                  <c:v>5.4107763667894293</c:v>
                </c:pt>
                <c:pt idx="7">
                  <c:v>5.9745545624714618</c:v>
                </c:pt>
                <c:pt idx="8">
                  <c:v>4.4856492586123657</c:v>
                </c:pt>
                <c:pt idx="9">
                  <c:v>1.2678523071069456</c:v>
                </c:pt>
                <c:pt idx="10">
                  <c:v>0.14364725252241328</c:v>
                </c:pt>
                <c:pt idx="11">
                  <c:v>0.14364725252241328</c:v>
                </c:pt>
                <c:pt idx="12">
                  <c:v>0.14364725252241328</c:v>
                </c:pt>
              </c:numCache>
            </c:numRef>
          </c:val>
          <c:smooth val="0"/>
          <c:extLst>
            <c:ext xmlns:c16="http://schemas.microsoft.com/office/drawing/2014/chart" uri="{C3380CC4-5D6E-409C-BE32-E72D297353CC}">
              <c16:uniqueId val="{00000024-32F4-4192-A3D7-64CCE6F30103}"/>
            </c:ext>
          </c:extLst>
        </c:ser>
        <c:ser>
          <c:idx val="37"/>
          <c:order val="37"/>
          <c:tx>
            <c:strRef>
              <c:f>'Datos reordenados'!$AL$29</c:f>
              <c:strCache>
                <c:ptCount val="1"/>
                <c:pt idx="0">
                  <c:v>12-13</c:v>
                </c:pt>
              </c:strCache>
            </c:strRef>
          </c:tx>
          <c:spPr>
            <a:ln w="38100">
              <a:solidFill>
                <a:schemeClr val="tx1"/>
              </a:solidFill>
            </a:ln>
          </c:spPr>
          <c:marker>
            <c:symbol val="circle"/>
            <c:size val="5"/>
            <c:spPr>
              <a:solidFill>
                <a:schemeClr val="tx1">
                  <a:lumMod val="95000"/>
                  <a:lumOff val="5000"/>
                </a:schemeClr>
              </a:solidFill>
            </c:spPr>
          </c:marker>
          <c:val>
            <c:numRef>
              <c:f>'Datos reordenados'!$AL$30:$AL$42</c:f>
              <c:numCache>
                <c:formatCode>0.00</c:formatCode>
                <c:ptCount val="13"/>
                <c:pt idx="0">
                  <c:v>0.14364725252241328</c:v>
                </c:pt>
                <c:pt idx="1">
                  <c:v>2.0294923999027317</c:v>
                </c:pt>
                <c:pt idx="2">
                  <c:v>2.6768069066272138</c:v>
                </c:pt>
                <c:pt idx="3">
                  <c:v>3.5605661702237978</c:v>
                </c:pt>
                <c:pt idx="4">
                  <c:v>3.7868545946435681</c:v>
                </c:pt>
                <c:pt idx="5">
                  <c:v>5.0786564982842339</c:v>
                </c:pt>
                <c:pt idx="6">
                  <c:v>6.2407362053926825</c:v>
                </c:pt>
                <c:pt idx="7">
                  <c:v>7.6368477630678893</c:v>
                </c:pt>
                <c:pt idx="8">
                  <c:v>6.0781817426451203</c:v>
                </c:pt>
                <c:pt idx="9">
                  <c:v>5.5191619399781837</c:v>
                </c:pt>
                <c:pt idx="10">
                  <c:v>0</c:v>
                </c:pt>
                <c:pt idx="11">
                  <c:v>0</c:v>
                </c:pt>
                <c:pt idx="12">
                  <c:v>0</c:v>
                </c:pt>
              </c:numCache>
            </c:numRef>
          </c:val>
          <c:smooth val="0"/>
          <c:extLst>
            <c:ext xmlns:c16="http://schemas.microsoft.com/office/drawing/2014/chart" uri="{C3380CC4-5D6E-409C-BE32-E72D297353CC}">
              <c16:uniqueId val="{00000025-32F4-4192-A3D7-64CCE6F30103}"/>
            </c:ext>
          </c:extLst>
        </c:ser>
        <c:dLbls>
          <c:showLegendKey val="0"/>
          <c:showVal val="0"/>
          <c:showCatName val="0"/>
          <c:showSerName val="0"/>
          <c:showPercent val="0"/>
          <c:showBubbleSize val="0"/>
        </c:dLbls>
        <c:smooth val="0"/>
        <c:axId val="1485816096"/>
        <c:axId val="1"/>
      </c:lineChart>
      <c:catAx>
        <c:axId val="1485816096"/>
        <c:scaling>
          <c:orientation val="minMax"/>
        </c:scaling>
        <c:delete val="0"/>
        <c:axPos val="b"/>
        <c:majorGridlines>
          <c:spPr>
            <a:ln w="3175">
              <a:solidFill>
                <a:srgbClr val="00808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UY"/>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8080"/>
              </a:solidFill>
              <a:prstDash val="sysDash"/>
            </a:ln>
          </c:spPr>
        </c:majorGridlines>
        <c:title>
          <c:tx>
            <c:rich>
              <a:bodyPr/>
              <a:lstStyle/>
              <a:p>
                <a:pPr>
                  <a:defRPr sz="1450" b="1" i="0" u="none" strike="noStrike" baseline="0">
                    <a:solidFill>
                      <a:srgbClr val="000000"/>
                    </a:solidFill>
                    <a:latin typeface="Arial"/>
                    <a:ea typeface="Arial"/>
                    <a:cs typeface="Arial"/>
                  </a:defRPr>
                </a:pPr>
                <a:r>
                  <a:rPr lang="es-UY"/>
                  <a:t>Volumen embalsado (Hm3)</a:t>
                </a:r>
              </a:p>
            </c:rich>
          </c:tx>
          <c:layout>
            <c:manualLayout>
              <c:xMode val="edge"/>
              <c:yMode val="edge"/>
              <c:x val="1.3576909909672662E-2"/>
              <c:y val="0.2709341613988391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UY"/>
          </a:p>
        </c:txPr>
        <c:crossAx val="1485816096"/>
        <c:crosses val="autoZero"/>
        <c:crossBetween val="between"/>
      </c:valAx>
      <c:spPr>
        <a:solidFill>
          <a:srgbClr val="FFFFFF"/>
        </a:solidFill>
        <a:ln w="12700">
          <a:solidFill>
            <a:srgbClr val="808080"/>
          </a:solidFill>
          <a:prstDash val="solid"/>
        </a:ln>
      </c:spPr>
    </c:plotArea>
    <c:legend>
      <c:legendPos val="r"/>
      <c:legendEntry>
        <c:idx val="0"/>
        <c:txPr>
          <a:bodyPr/>
          <a:lstStyle/>
          <a:p>
            <a:pPr>
              <a:defRPr sz="800" b="1" i="0" u="none" strike="noStrike" baseline="0">
                <a:solidFill>
                  <a:srgbClr val="000000"/>
                </a:solidFill>
                <a:latin typeface="Arial"/>
                <a:ea typeface="Arial"/>
                <a:cs typeface="Arial"/>
              </a:defRPr>
            </a:pPr>
            <a:endParaRPr lang="es-UY"/>
          </a:p>
        </c:txPr>
      </c:legendEntry>
      <c:legendEntry>
        <c:idx val="1"/>
        <c:txPr>
          <a:bodyPr/>
          <a:lstStyle/>
          <a:p>
            <a:pPr>
              <a:defRPr sz="800" b="1" i="0" u="none" strike="noStrike" baseline="0">
                <a:solidFill>
                  <a:srgbClr val="000000"/>
                </a:solidFill>
                <a:latin typeface="Arial"/>
                <a:ea typeface="Arial"/>
                <a:cs typeface="Arial"/>
              </a:defRPr>
            </a:pPr>
            <a:endParaRPr lang="es-UY"/>
          </a:p>
        </c:txPr>
      </c:legendEntry>
      <c:legendEntry>
        <c:idx val="2"/>
        <c:txPr>
          <a:bodyPr/>
          <a:lstStyle/>
          <a:p>
            <a:pPr>
              <a:defRPr sz="800" b="1" i="0" u="none" strike="noStrike" baseline="0">
                <a:solidFill>
                  <a:srgbClr val="000000"/>
                </a:solidFill>
                <a:latin typeface="Arial"/>
                <a:ea typeface="Arial"/>
                <a:cs typeface="Arial"/>
              </a:defRPr>
            </a:pPr>
            <a:endParaRPr lang="es-UY"/>
          </a:p>
        </c:txPr>
      </c:legendEntry>
      <c:legendEntry>
        <c:idx val="3"/>
        <c:txPr>
          <a:bodyPr/>
          <a:lstStyle/>
          <a:p>
            <a:pPr>
              <a:defRPr sz="800" b="1" i="0" u="none" strike="noStrike" baseline="0">
                <a:solidFill>
                  <a:srgbClr val="000000"/>
                </a:solidFill>
                <a:latin typeface="Arial"/>
                <a:ea typeface="Arial"/>
                <a:cs typeface="Arial"/>
              </a:defRPr>
            </a:pPr>
            <a:endParaRPr lang="es-UY"/>
          </a:p>
        </c:txPr>
      </c:legendEntry>
      <c:legendEntry>
        <c:idx val="4"/>
        <c:txPr>
          <a:bodyPr/>
          <a:lstStyle/>
          <a:p>
            <a:pPr>
              <a:defRPr sz="800" b="1" i="0" u="none" strike="noStrike" baseline="0">
                <a:solidFill>
                  <a:srgbClr val="000000"/>
                </a:solidFill>
                <a:latin typeface="Arial"/>
                <a:ea typeface="Arial"/>
                <a:cs typeface="Arial"/>
              </a:defRPr>
            </a:pPr>
            <a:endParaRPr lang="es-UY"/>
          </a:p>
        </c:txPr>
      </c:legendEntry>
      <c:legendEntry>
        <c:idx val="5"/>
        <c:txPr>
          <a:bodyPr/>
          <a:lstStyle/>
          <a:p>
            <a:pPr>
              <a:defRPr sz="800" b="1" i="0" u="none" strike="noStrike" baseline="0">
                <a:solidFill>
                  <a:srgbClr val="000000"/>
                </a:solidFill>
                <a:latin typeface="Arial"/>
                <a:ea typeface="Arial"/>
                <a:cs typeface="Arial"/>
              </a:defRPr>
            </a:pPr>
            <a:endParaRPr lang="es-UY"/>
          </a:p>
        </c:txPr>
      </c:legendEntry>
      <c:legendEntry>
        <c:idx val="6"/>
        <c:txPr>
          <a:bodyPr/>
          <a:lstStyle/>
          <a:p>
            <a:pPr>
              <a:defRPr sz="800" b="1" i="0" u="none" strike="noStrike" baseline="0">
                <a:solidFill>
                  <a:srgbClr val="000000"/>
                </a:solidFill>
                <a:latin typeface="Arial"/>
                <a:ea typeface="Arial"/>
                <a:cs typeface="Arial"/>
              </a:defRPr>
            </a:pPr>
            <a:endParaRPr lang="es-UY"/>
          </a:p>
        </c:txPr>
      </c:legendEntry>
      <c:legendEntry>
        <c:idx val="7"/>
        <c:txPr>
          <a:bodyPr/>
          <a:lstStyle/>
          <a:p>
            <a:pPr>
              <a:defRPr sz="800" b="1" i="0" u="none" strike="noStrike" baseline="0">
                <a:solidFill>
                  <a:srgbClr val="000000"/>
                </a:solidFill>
                <a:latin typeface="Arial"/>
                <a:ea typeface="Arial"/>
                <a:cs typeface="Arial"/>
              </a:defRPr>
            </a:pPr>
            <a:endParaRPr lang="es-UY"/>
          </a:p>
        </c:txPr>
      </c:legendEntry>
      <c:legendEntry>
        <c:idx val="8"/>
        <c:txPr>
          <a:bodyPr/>
          <a:lstStyle/>
          <a:p>
            <a:pPr>
              <a:defRPr sz="800" b="1" i="0" u="none" strike="noStrike" baseline="0">
                <a:solidFill>
                  <a:srgbClr val="000000"/>
                </a:solidFill>
                <a:latin typeface="Arial"/>
                <a:ea typeface="Arial"/>
                <a:cs typeface="Arial"/>
              </a:defRPr>
            </a:pPr>
            <a:endParaRPr lang="es-UY"/>
          </a:p>
        </c:txPr>
      </c:legendEntry>
      <c:legendEntry>
        <c:idx val="9"/>
        <c:txPr>
          <a:bodyPr/>
          <a:lstStyle/>
          <a:p>
            <a:pPr>
              <a:defRPr sz="800" b="1" i="0" u="none" strike="noStrike" baseline="0">
                <a:solidFill>
                  <a:srgbClr val="000000"/>
                </a:solidFill>
                <a:latin typeface="Arial"/>
                <a:ea typeface="Arial"/>
                <a:cs typeface="Arial"/>
              </a:defRPr>
            </a:pPr>
            <a:endParaRPr lang="es-UY"/>
          </a:p>
        </c:txPr>
      </c:legendEntry>
      <c:legendEntry>
        <c:idx val="10"/>
        <c:txPr>
          <a:bodyPr/>
          <a:lstStyle/>
          <a:p>
            <a:pPr>
              <a:defRPr sz="800" b="1" i="0" u="none" strike="noStrike" baseline="0">
                <a:solidFill>
                  <a:srgbClr val="000000"/>
                </a:solidFill>
                <a:latin typeface="Arial"/>
                <a:ea typeface="Arial"/>
                <a:cs typeface="Arial"/>
              </a:defRPr>
            </a:pPr>
            <a:endParaRPr lang="es-UY"/>
          </a:p>
        </c:txPr>
      </c:legendEntry>
      <c:legendEntry>
        <c:idx val="11"/>
        <c:txPr>
          <a:bodyPr/>
          <a:lstStyle/>
          <a:p>
            <a:pPr>
              <a:defRPr sz="800" b="1" i="0" u="none" strike="noStrike" baseline="0">
                <a:solidFill>
                  <a:srgbClr val="000000"/>
                </a:solidFill>
                <a:latin typeface="Arial"/>
                <a:ea typeface="Arial"/>
                <a:cs typeface="Arial"/>
              </a:defRPr>
            </a:pPr>
            <a:endParaRPr lang="es-UY"/>
          </a:p>
        </c:txPr>
      </c:legendEntry>
      <c:legendEntry>
        <c:idx val="12"/>
        <c:txPr>
          <a:bodyPr/>
          <a:lstStyle/>
          <a:p>
            <a:pPr>
              <a:defRPr sz="800" b="1" i="0" u="none" strike="noStrike" baseline="0">
                <a:solidFill>
                  <a:srgbClr val="000000"/>
                </a:solidFill>
                <a:latin typeface="Arial"/>
                <a:ea typeface="Arial"/>
                <a:cs typeface="Arial"/>
              </a:defRPr>
            </a:pPr>
            <a:endParaRPr lang="es-UY"/>
          </a:p>
        </c:txPr>
      </c:legendEntry>
      <c:legendEntry>
        <c:idx val="13"/>
        <c:txPr>
          <a:bodyPr/>
          <a:lstStyle/>
          <a:p>
            <a:pPr>
              <a:defRPr sz="800" b="1" i="0" u="none" strike="noStrike" baseline="0">
                <a:solidFill>
                  <a:srgbClr val="000000"/>
                </a:solidFill>
                <a:latin typeface="Arial"/>
                <a:ea typeface="Arial"/>
                <a:cs typeface="Arial"/>
              </a:defRPr>
            </a:pPr>
            <a:endParaRPr lang="es-UY"/>
          </a:p>
        </c:txPr>
      </c:legendEntry>
      <c:layout>
        <c:manualLayout>
          <c:xMode val="edge"/>
          <c:yMode val="edge"/>
          <c:x val="2.0060180541624875E-3"/>
          <c:y val="0.80168776371308015"/>
          <c:w val="0.99398194583751254"/>
          <c:h val="0.18565400843881857"/>
        </c:manualLayout>
      </c:layout>
      <c:overlay val="0"/>
      <c:spPr>
        <a:noFill/>
        <a:ln w="25400">
          <a:noFill/>
        </a:ln>
      </c:spPr>
      <c:txPr>
        <a:bodyPr/>
        <a:lstStyle/>
        <a:p>
          <a:pPr>
            <a:defRPr sz="800" b="1" i="0" u="none" strike="noStrike" baseline="0">
              <a:solidFill>
                <a:srgbClr val="000000"/>
              </a:solidFill>
              <a:latin typeface="Arial"/>
              <a:ea typeface="Arial"/>
              <a:cs typeface="Arial"/>
            </a:defRPr>
          </a:pPr>
          <a:endParaRPr lang="es-UY"/>
        </a:p>
      </c:txPr>
    </c:legend>
    <c:plotVisOnly val="1"/>
    <c:dispBlanksAs val="gap"/>
    <c:showDLblsOverMax val="0"/>
  </c:chart>
  <c:spPr>
    <a:solidFill>
      <a:srgbClr val="FFFFFF"/>
    </a:solidFill>
    <a:ln w="9525">
      <a:noFill/>
    </a:ln>
  </c:spPr>
  <c:txPr>
    <a:bodyPr/>
    <a:lstStyle/>
    <a:p>
      <a:pPr>
        <a:defRPr sz="1475" b="0" i="0" u="none" strike="noStrike" baseline="0">
          <a:solidFill>
            <a:srgbClr val="000000"/>
          </a:solidFill>
          <a:latin typeface="Arial"/>
          <a:ea typeface="Arial"/>
          <a:cs typeface="Arial"/>
        </a:defRPr>
      </a:pPr>
      <a:endParaRPr lang="es-UY"/>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s-UY"/>
              <a:t>Curvas Cota-Área-Volumen del embalse</a:t>
            </a:r>
          </a:p>
        </c:rich>
      </c:tx>
      <c:layout>
        <c:manualLayout>
          <c:xMode val="edge"/>
          <c:yMode val="edge"/>
          <c:x val="0.2558751449673442"/>
          <c:y val="1.944859066529727E-2"/>
        </c:manualLayout>
      </c:layout>
      <c:overlay val="0"/>
      <c:spPr>
        <a:noFill/>
        <a:ln w="25400">
          <a:noFill/>
        </a:ln>
      </c:spPr>
    </c:title>
    <c:autoTitleDeleted val="0"/>
    <c:plotArea>
      <c:layout>
        <c:manualLayout>
          <c:layoutTarget val="inner"/>
          <c:xMode val="edge"/>
          <c:yMode val="edge"/>
          <c:x val="0.16014253426950609"/>
          <c:y val="0.18038544322036726"/>
          <c:w val="0.66429495696980301"/>
          <c:h val="0.59369577914276217"/>
        </c:manualLayout>
      </c:layout>
      <c:scatterChart>
        <c:scatterStyle val="lineMarker"/>
        <c:varyColors val="0"/>
        <c:ser>
          <c:idx val="0"/>
          <c:order val="1"/>
          <c:tx>
            <c:strRef>
              <c:f>'Ingreso Datos'!$C$8</c:f>
              <c:strCache>
                <c:ptCount val="1"/>
                <c:pt idx="0">
                  <c:v>Área medida (Há)</c:v>
                </c:pt>
              </c:strCache>
            </c:strRef>
          </c:tx>
          <c:spPr>
            <a:ln w="28575">
              <a:noFill/>
            </a:ln>
          </c:spPr>
          <c:marker>
            <c:symbol val="circle"/>
            <c:size val="7"/>
            <c:spPr>
              <a:solidFill>
                <a:srgbClr val="0000FF"/>
              </a:solidFill>
              <a:ln>
                <a:solidFill>
                  <a:srgbClr val="0000FF"/>
                </a:solidFill>
                <a:prstDash val="solid"/>
              </a:ln>
            </c:spPr>
          </c:marker>
          <c:xVal>
            <c:numRef>
              <c:f>'Ingreso Datos'!$C$10:$C$30</c:f>
              <c:numCache>
                <c:formatCode>General</c:formatCode>
                <c:ptCount val="21"/>
                <c:pt idx="0">
                  <c:v>37.700000000000003</c:v>
                </c:pt>
                <c:pt idx="1">
                  <c:v>84.4</c:v>
                </c:pt>
                <c:pt idx="2">
                  <c:v>135.9</c:v>
                </c:pt>
                <c:pt idx="3">
                  <c:v>177</c:v>
                </c:pt>
                <c:pt idx="4">
                  <c:v>224.6</c:v>
                </c:pt>
                <c:pt idx="5">
                  <c:v>300.89999999999998</c:v>
                </c:pt>
              </c:numCache>
            </c:numRef>
          </c:xVal>
          <c:yVal>
            <c:numRef>
              <c:f>'Ingreso Datos'!$B$10:$B$29</c:f>
              <c:numCache>
                <c:formatCode>General</c:formatCode>
                <c:ptCount val="20"/>
                <c:pt idx="0">
                  <c:v>101.2</c:v>
                </c:pt>
                <c:pt idx="1">
                  <c:v>102.2</c:v>
                </c:pt>
                <c:pt idx="2">
                  <c:v>103.2</c:v>
                </c:pt>
                <c:pt idx="3">
                  <c:v>104.2</c:v>
                </c:pt>
                <c:pt idx="4">
                  <c:v>105.2</c:v>
                </c:pt>
                <c:pt idx="5">
                  <c:v>106.2</c:v>
                </c:pt>
              </c:numCache>
            </c:numRef>
          </c:yVal>
          <c:smooth val="0"/>
          <c:extLst>
            <c:ext xmlns:c16="http://schemas.microsoft.com/office/drawing/2014/chart" uri="{C3380CC4-5D6E-409C-BE32-E72D297353CC}">
              <c16:uniqueId val="{00000000-A8AF-4E39-81FE-7E47D1A1F391}"/>
            </c:ext>
          </c:extLst>
        </c:ser>
        <c:ser>
          <c:idx val="1"/>
          <c:order val="2"/>
          <c:tx>
            <c:strRef>
              <c:f>'Geom Emb'!$H$16</c:f>
              <c:strCache>
                <c:ptCount val="1"/>
                <c:pt idx="0">
                  <c:v>Área (Há) = F1(Cota)</c:v>
                </c:pt>
              </c:strCache>
            </c:strRef>
          </c:tx>
          <c:spPr>
            <a:ln w="50800">
              <a:solidFill>
                <a:srgbClr val="0000FF"/>
              </a:solidFill>
            </a:ln>
          </c:spPr>
          <c:marker>
            <c:symbol val="none"/>
          </c:marker>
          <c:xVal>
            <c:numRef>
              <c:f>'Geom Emb'!$H$17:$H$36</c:f>
              <c:numCache>
                <c:formatCode>0.0</c:formatCode>
                <c:ptCount val="20"/>
                <c:pt idx="0">
                  <c:v>41.755781281892666</c:v>
                </c:pt>
                <c:pt idx="1">
                  <c:v>77.320527162992761</c:v>
                </c:pt>
                <c:pt idx="2">
                  <c:v>122.356130295593</c:v>
                </c:pt>
                <c:pt idx="3">
                  <c:v>176.41762040906599</c:v>
                </c:pt>
                <c:pt idx="4">
                  <c:v>239.16691306842282</c:v>
                </c:pt>
                <c:pt idx="5">
                  <c:v>310.33320590390042</c:v>
                </c:pt>
                <c:pt idx="6">
                  <c:v>310.33320590390042</c:v>
                </c:pt>
                <c:pt idx="7">
                  <c:v>310.33320590390042</c:v>
                </c:pt>
                <c:pt idx="8">
                  <c:v>310.33320590390042</c:v>
                </c:pt>
                <c:pt idx="9">
                  <c:v>310.33320590390042</c:v>
                </c:pt>
                <c:pt idx="10">
                  <c:v>310.33320590390042</c:v>
                </c:pt>
                <c:pt idx="11">
                  <c:v>310.33320590390042</c:v>
                </c:pt>
                <c:pt idx="12">
                  <c:v>310.33320590390042</c:v>
                </c:pt>
                <c:pt idx="13">
                  <c:v>310.33320590390042</c:v>
                </c:pt>
                <c:pt idx="14">
                  <c:v>310.33320590390042</c:v>
                </c:pt>
                <c:pt idx="15">
                  <c:v>310.33320590390042</c:v>
                </c:pt>
                <c:pt idx="16">
                  <c:v>310.33320590390042</c:v>
                </c:pt>
                <c:pt idx="17">
                  <c:v>310.33320590390042</c:v>
                </c:pt>
                <c:pt idx="18">
                  <c:v>310.33320590390042</c:v>
                </c:pt>
                <c:pt idx="19">
                  <c:v>310.33320590390042</c:v>
                </c:pt>
              </c:numCache>
            </c:numRef>
          </c:xVal>
          <c:yVal>
            <c:numRef>
              <c:f>'Ingreso Datos'!$B$10:$B$29</c:f>
              <c:numCache>
                <c:formatCode>General</c:formatCode>
                <c:ptCount val="20"/>
                <c:pt idx="0">
                  <c:v>101.2</c:v>
                </c:pt>
                <c:pt idx="1">
                  <c:v>102.2</c:v>
                </c:pt>
                <c:pt idx="2">
                  <c:v>103.2</c:v>
                </c:pt>
                <c:pt idx="3">
                  <c:v>104.2</c:v>
                </c:pt>
                <c:pt idx="4">
                  <c:v>105.2</c:v>
                </c:pt>
                <c:pt idx="5">
                  <c:v>106.2</c:v>
                </c:pt>
              </c:numCache>
            </c:numRef>
          </c:yVal>
          <c:smooth val="1"/>
          <c:extLst>
            <c:ext xmlns:c16="http://schemas.microsoft.com/office/drawing/2014/chart" uri="{C3380CC4-5D6E-409C-BE32-E72D297353CC}">
              <c16:uniqueId val="{00000001-A8AF-4E39-81FE-7E47D1A1F391}"/>
            </c:ext>
          </c:extLst>
        </c:ser>
        <c:ser>
          <c:idx val="3"/>
          <c:order val="3"/>
          <c:tx>
            <c:strRef>
              <c:f>'Ingreso Datos'!$A$30</c:f>
              <c:strCache>
                <c:ptCount val="1"/>
                <c:pt idx="0">
                  <c:v>Coef Correlac. R2= 0,9939</c:v>
                </c:pt>
              </c:strCache>
            </c:strRef>
          </c:tx>
          <c:spPr>
            <a:ln w="28575">
              <a:noFill/>
            </a:ln>
          </c:spPr>
          <c:marker>
            <c:symbol val="none"/>
          </c:marker>
          <c:xVal>
            <c:numRef>
              <c:f>'Ingreso Datos'!$C$10:$C$30</c:f>
              <c:numCache>
                <c:formatCode>General</c:formatCode>
                <c:ptCount val="21"/>
                <c:pt idx="0">
                  <c:v>37.700000000000003</c:v>
                </c:pt>
                <c:pt idx="1">
                  <c:v>84.4</c:v>
                </c:pt>
                <c:pt idx="2">
                  <c:v>135.9</c:v>
                </c:pt>
                <c:pt idx="3">
                  <c:v>177</c:v>
                </c:pt>
                <c:pt idx="4">
                  <c:v>224.6</c:v>
                </c:pt>
                <c:pt idx="5">
                  <c:v>300.89999999999998</c:v>
                </c:pt>
              </c:numCache>
            </c:numRef>
          </c:xVal>
          <c:yVal>
            <c:numRef>
              <c:f>'Ingreso Datos'!$B$10:$B$29</c:f>
              <c:numCache>
                <c:formatCode>General</c:formatCode>
                <c:ptCount val="20"/>
                <c:pt idx="0">
                  <c:v>101.2</c:v>
                </c:pt>
                <c:pt idx="1">
                  <c:v>102.2</c:v>
                </c:pt>
                <c:pt idx="2">
                  <c:v>103.2</c:v>
                </c:pt>
                <c:pt idx="3">
                  <c:v>104.2</c:v>
                </c:pt>
                <c:pt idx="4">
                  <c:v>105.2</c:v>
                </c:pt>
                <c:pt idx="5">
                  <c:v>106.2</c:v>
                </c:pt>
              </c:numCache>
            </c:numRef>
          </c:yVal>
          <c:smooth val="0"/>
          <c:extLst>
            <c:ext xmlns:c16="http://schemas.microsoft.com/office/drawing/2014/chart" uri="{C3380CC4-5D6E-409C-BE32-E72D297353CC}">
              <c16:uniqueId val="{00000002-A8AF-4E39-81FE-7E47D1A1F391}"/>
            </c:ext>
          </c:extLst>
        </c:ser>
        <c:dLbls>
          <c:showLegendKey val="0"/>
          <c:showVal val="0"/>
          <c:showCatName val="0"/>
          <c:showSerName val="0"/>
          <c:showPercent val="0"/>
          <c:showBubbleSize val="0"/>
        </c:dLbls>
        <c:axId val="1485824832"/>
        <c:axId val="1"/>
      </c:scatterChart>
      <c:scatterChart>
        <c:scatterStyle val="lineMarker"/>
        <c:varyColors val="0"/>
        <c:ser>
          <c:idx val="2"/>
          <c:order val="0"/>
          <c:tx>
            <c:strRef>
              <c:f>'Geom Emb'!$I$16</c:f>
              <c:strCache>
                <c:ptCount val="1"/>
                <c:pt idx="0">
                  <c:v>Vol (Hm3) = F2(Cota)</c:v>
                </c:pt>
              </c:strCache>
            </c:strRef>
          </c:tx>
          <c:spPr>
            <a:ln w="38100">
              <a:solidFill>
                <a:srgbClr val="FF0000"/>
              </a:solidFill>
              <a:prstDash val="sysDash"/>
            </a:ln>
          </c:spPr>
          <c:marker>
            <c:symbol val="none"/>
          </c:marker>
          <c:xVal>
            <c:numRef>
              <c:f>'Geom Emb'!$I$17:$I$36</c:f>
              <c:numCache>
                <c:formatCode>0.00</c:formatCode>
                <c:ptCount val="20"/>
                <c:pt idx="0">
                  <c:v>0.36671363125898937</c:v>
                </c:pt>
                <c:pt idx="1">
                  <c:v>0.95397669956504061</c:v>
                </c:pt>
                <c:pt idx="2">
                  <c:v>1.9446737084754979</c:v>
                </c:pt>
                <c:pt idx="3">
                  <c:v>3.4311742378086203</c:v>
                </c:pt>
                <c:pt idx="4">
                  <c:v>5.5019781969633845</c:v>
                </c:pt>
                <c:pt idx="5">
                  <c:v>8.242564153164837</c:v>
                </c:pt>
                <c:pt idx="6">
                  <c:v>8.242564153164837</c:v>
                </c:pt>
                <c:pt idx="7">
                  <c:v>8.242564153164837</c:v>
                </c:pt>
                <c:pt idx="8">
                  <c:v>8.242564153164837</c:v>
                </c:pt>
                <c:pt idx="9">
                  <c:v>8.242564153164837</c:v>
                </c:pt>
                <c:pt idx="10">
                  <c:v>8.242564153164837</c:v>
                </c:pt>
                <c:pt idx="11">
                  <c:v>8.242564153164837</c:v>
                </c:pt>
                <c:pt idx="12">
                  <c:v>8.242564153164837</c:v>
                </c:pt>
                <c:pt idx="13">
                  <c:v>8.242564153164837</c:v>
                </c:pt>
                <c:pt idx="14">
                  <c:v>8.242564153164837</c:v>
                </c:pt>
                <c:pt idx="15">
                  <c:v>8.242564153164837</c:v>
                </c:pt>
                <c:pt idx="16">
                  <c:v>8.242564153164837</c:v>
                </c:pt>
                <c:pt idx="17">
                  <c:v>8.242564153164837</c:v>
                </c:pt>
                <c:pt idx="18">
                  <c:v>8.242564153164837</c:v>
                </c:pt>
                <c:pt idx="19">
                  <c:v>8.242564153164837</c:v>
                </c:pt>
              </c:numCache>
            </c:numRef>
          </c:xVal>
          <c:yVal>
            <c:numRef>
              <c:f>'Ingreso Datos'!$B$10:$B$29</c:f>
              <c:numCache>
                <c:formatCode>General</c:formatCode>
                <c:ptCount val="20"/>
                <c:pt idx="0">
                  <c:v>101.2</c:v>
                </c:pt>
                <c:pt idx="1">
                  <c:v>102.2</c:v>
                </c:pt>
                <c:pt idx="2">
                  <c:v>103.2</c:v>
                </c:pt>
                <c:pt idx="3">
                  <c:v>104.2</c:v>
                </c:pt>
                <c:pt idx="4">
                  <c:v>105.2</c:v>
                </c:pt>
                <c:pt idx="5">
                  <c:v>106.2</c:v>
                </c:pt>
              </c:numCache>
            </c:numRef>
          </c:yVal>
          <c:smooth val="1"/>
          <c:extLst>
            <c:ext xmlns:c16="http://schemas.microsoft.com/office/drawing/2014/chart" uri="{C3380CC4-5D6E-409C-BE32-E72D297353CC}">
              <c16:uniqueId val="{00000003-A8AF-4E39-81FE-7E47D1A1F391}"/>
            </c:ext>
          </c:extLst>
        </c:ser>
        <c:dLbls>
          <c:showLegendKey val="0"/>
          <c:showVal val="0"/>
          <c:showCatName val="0"/>
          <c:showSerName val="0"/>
          <c:showPercent val="0"/>
          <c:showBubbleSize val="0"/>
        </c:dLbls>
        <c:axId val="3"/>
        <c:axId val="4"/>
      </c:scatterChart>
      <c:valAx>
        <c:axId val="1485824832"/>
        <c:scaling>
          <c:orientation val="minMax"/>
          <c:min val="0"/>
        </c:scaling>
        <c:delete val="0"/>
        <c:axPos val="b"/>
        <c:majorGridlines>
          <c:spPr>
            <a:ln w="3175">
              <a:solidFill>
                <a:srgbClr val="969696"/>
              </a:solidFill>
              <a:prstDash val="solid"/>
            </a:ln>
          </c:spPr>
        </c:majorGridlines>
        <c:title>
          <c:tx>
            <c:rich>
              <a:bodyPr/>
              <a:lstStyle/>
              <a:p>
                <a:pPr>
                  <a:defRPr sz="1050" b="1" i="0" u="none" strike="noStrike" baseline="0">
                    <a:solidFill>
                      <a:srgbClr val="0000FF"/>
                    </a:solidFill>
                    <a:latin typeface="Arial"/>
                    <a:ea typeface="Arial"/>
                    <a:cs typeface="Arial"/>
                  </a:defRPr>
                </a:pPr>
                <a:r>
                  <a:rPr lang="es-UY"/>
                  <a:t>Área (Hás)</a:t>
                </a:r>
              </a:p>
            </c:rich>
          </c:tx>
          <c:layout>
            <c:manualLayout>
              <c:xMode val="edge"/>
              <c:yMode val="edge"/>
              <c:x val="0.43944439357870962"/>
              <c:y val="0.8507600136939405"/>
            </c:manualLayout>
          </c:layout>
          <c:overlay val="0"/>
          <c:spPr>
            <a:noFill/>
            <a:ln w="25400">
              <a:noFill/>
            </a:ln>
          </c:spPr>
        </c:title>
        <c:numFmt formatCode="General" sourceLinked="1"/>
        <c:majorTickMark val="out"/>
        <c:minorTickMark val="in"/>
        <c:tickLblPos val="nextTo"/>
        <c:spPr>
          <a:ln w="19050">
            <a:solidFill>
              <a:srgbClr val="0000FF"/>
            </a:solidFill>
            <a:prstDash val="solid"/>
          </a:ln>
        </c:spPr>
        <c:txPr>
          <a:bodyPr rot="0" vert="horz"/>
          <a:lstStyle/>
          <a:p>
            <a:pPr>
              <a:defRPr sz="1200" b="1" i="0" u="none" strike="noStrike" baseline="0">
                <a:solidFill>
                  <a:srgbClr val="0000FF"/>
                </a:solidFill>
                <a:latin typeface="Arial"/>
                <a:ea typeface="Arial"/>
                <a:cs typeface="Arial"/>
              </a:defRPr>
            </a:pPr>
            <a:endParaRPr lang="es-UY"/>
          </a:p>
        </c:txPr>
        <c:crossAx val="1"/>
        <c:crosses val="autoZero"/>
        <c:crossBetween val="midCat"/>
      </c:valAx>
      <c:valAx>
        <c:axId val="1"/>
        <c:scaling>
          <c:orientation val="minMax"/>
        </c:scaling>
        <c:delete val="0"/>
        <c:axPos val="l"/>
        <c:majorGridlines>
          <c:spPr>
            <a:ln w="3175">
              <a:solidFill>
                <a:srgbClr val="969696"/>
              </a:solidFill>
              <a:prstDash val="solid"/>
            </a:ln>
          </c:spPr>
        </c:majorGridlines>
        <c:title>
          <c:tx>
            <c:rich>
              <a:bodyPr/>
              <a:lstStyle/>
              <a:p>
                <a:pPr>
                  <a:defRPr sz="1200" b="1" i="0" u="none" strike="noStrike" baseline="0">
                    <a:solidFill>
                      <a:srgbClr val="000000"/>
                    </a:solidFill>
                    <a:latin typeface="Arial"/>
                    <a:ea typeface="Arial"/>
                    <a:cs typeface="Arial"/>
                  </a:defRPr>
                </a:pPr>
                <a:r>
                  <a:rPr lang="es-UY"/>
                  <a:t>Cotas (m)</a:t>
                </a:r>
              </a:p>
            </c:rich>
          </c:tx>
          <c:layout>
            <c:manualLayout>
              <c:xMode val="edge"/>
              <c:yMode val="edge"/>
              <c:x val="5.5219434779954835E-2"/>
              <c:y val="0.38313317357069493"/>
            </c:manualLayout>
          </c:layout>
          <c:overlay val="0"/>
          <c:spPr>
            <a:noFill/>
            <a:ln w="25400">
              <a:noFill/>
            </a:ln>
          </c:spPr>
        </c:title>
        <c:numFmt formatCode="General" sourceLinked="0"/>
        <c:majorTickMark val="out"/>
        <c:minorTickMark val="out"/>
        <c:tickLblPos val="nextTo"/>
        <c:spPr>
          <a:ln w="12700">
            <a:solidFill>
              <a:schemeClr val="tx1"/>
            </a:solidFill>
            <a:prstDash val="solid"/>
          </a:ln>
        </c:spPr>
        <c:txPr>
          <a:bodyPr rot="0" vert="horz"/>
          <a:lstStyle/>
          <a:p>
            <a:pPr>
              <a:defRPr sz="1125" b="0" i="0" u="none" strike="noStrike" baseline="0">
                <a:solidFill>
                  <a:srgbClr val="000000"/>
                </a:solidFill>
                <a:latin typeface="Arial"/>
                <a:ea typeface="Arial"/>
                <a:cs typeface="Arial"/>
              </a:defRPr>
            </a:pPr>
            <a:endParaRPr lang="es-UY"/>
          </a:p>
        </c:txPr>
        <c:crossAx val="1485824832"/>
        <c:crosses val="autoZero"/>
        <c:crossBetween val="midCat"/>
      </c:valAx>
      <c:valAx>
        <c:axId val="3"/>
        <c:scaling>
          <c:orientation val="minMax"/>
          <c:min val="0"/>
        </c:scaling>
        <c:delete val="0"/>
        <c:axPos val="t"/>
        <c:title>
          <c:tx>
            <c:rich>
              <a:bodyPr/>
              <a:lstStyle/>
              <a:p>
                <a:pPr>
                  <a:defRPr sz="1050" b="1" i="0" u="none" strike="noStrike" baseline="0">
                    <a:solidFill>
                      <a:srgbClr val="FF0000"/>
                    </a:solidFill>
                    <a:latin typeface="Arial"/>
                    <a:ea typeface="Arial"/>
                    <a:cs typeface="Arial"/>
                  </a:defRPr>
                </a:pPr>
                <a:r>
                  <a:rPr lang="es-UY"/>
                  <a:t>Volumen (Hm3)</a:t>
                </a:r>
              </a:p>
            </c:rich>
          </c:tx>
          <c:layout>
            <c:manualLayout>
              <c:xMode val="edge"/>
              <c:yMode val="edge"/>
              <c:x val="0.39715192577671976"/>
              <c:y val="6.8674883030925477E-2"/>
            </c:manualLayout>
          </c:layout>
          <c:overlay val="0"/>
          <c:spPr>
            <a:noFill/>
            <a:ln w="25400">
              <a:noFill/>
            </a:ln>
          </c:spPr>
        </c:title>
        <c:numFmt formatCode="General" sourceLinked="0"/>
        <c:majorTickMark val="out"/>
        <c:minorTickMark val="in"/>
        <c:tickLblPos val="nextTo"/>
        <c:spPr>
          <a:ln w="19050">
            <a:solidFill>
              <a:srgbClr val="FF0000"/>
            </a:solidFill>
          </a:ln>
        </c:spPr>
        <c:txPr>
          <a:bodyPr rot="0" vert="horz"/>
          <a:lstStyle/>
          <a:p>
            <a:pPr>
              <a:defRPr sz="1100" b="1" i="0" u="none" strike="noStrike" baseline="0">
                <a:solidFill>
                  <a:srgbClr val="FF0000"/>
                </a:solidFill>
                <a:latin typeface="Arial"/>
                <a:ea typeface="Arial"/>
                <a:cs typeface="Arial"/>
              </a:defRPr>
            </a:pPr>
            <a:endParaRPr lang="es-UY"/>
          </a:p>
        </c:txPr>
        <c:crossAx val="4"/>
        <c:crosses val="max"/>
        <c:crossBetween val="midCat"/>
      </c:valAx>
      <c:valAx>
        <c:axId val="4"/>
        <c:scaling>
          <c:orientation val="minMax"/>
        </c:scaling>
        <c:delete val="0"/>
        <c:axPos val="r"/>
        <c:title>
          <c:tx>
            <c:rich>
              <a:bodyPr/>
              <a:lstStyle/>
              <a:p>
                <a:pPr>
                  <a:defRPr sz="1200" b="1" i="0" u="none" strike="noStrike" baseline="0">
                    <a:solidFill>
                      <a:srgbClr val="000000"/>
                    </a:solidFill>
                    <a:latin typeface="Arial"/>
                    <a:ea typeface="Arial"/>
                    <a:cs typeface="Arial"/>
                  </a:defRPr>
                </a:pPr>
                <a:r>
                  <a:rPr lang="es-UY"/>
                  <a:t>Cotas (m)</a:t>
                </a:r>
              </a:p>
            </c:rich>
          </c:tx>
          <c:layout>
            <c:manualLayout>
              <c:xMode val="edge"/>
              <c:yMode val="edge"/>
              <c:x val="0.90352041750595136"/>
              <c:y val="0.37262558484537261"/>
            </c:manualLayout>
          </c:layout>
          <c:overlay val="0"/>
          <c:spPr>
            <a:noFill/>
            <a:ln w="25400">
              <a:noFill/>
            </a:ln>
          </c:spPr>
        </c:title>
        <c:numFmt formatCode="General" sourceLinked="0"/>
        <c:majorTickMark val="out"/>
        <c:minorTickMark val="out"/>
        <c:tickLblPos val="nextTo"/>
        <c:spPr>
          <a:ln>
            <a:solidFill>
              <a:schemeClr val="tx1"/>
            </a:solidFill>
          </a:ln>
        </c:spPr>
        <c:txPr>
          <a:bodyPr rot="0" vert="horz"/>
          <a:lstStyle/>
          <a:p>
            <a:pPr>
              <a:defRPr sz="1200" b="0" i="0" u="none" strike="noStrike" baseline="0">
                <a:solidFill>
                  <a:srgbClr val="000000"/>
                </a:solidFill>
                <a:latin typeface="Arial"/>
                <a:ea typeface="Arial"/>
                <a:cs typeface="Arial"/>
              </a:defRPr>
            </a:pPr>
            <a:endParaRPr lang="es-UY"/>
          </a:p>
        </c:txPr>
        <c:crossAx val="3"/>
        <c:crosses val="max"/>
        <c:crossBetween val="midCat"/>
      </c:valAx>
      <c:spPr>
        <a:noFill/>
        <a:ln w="12700">
          <a:solidFill>
            <a:srgbClr val="808080"/>
          </a:solidFill>
          <a:prstDash val="solid"/>
        </a:ln>
      </c:spPr>
    </c:plotArea>
    <c:legend>
      <c:legendPos val="r"/>
      <c:layout>
        <c:manualLayout>
          <c:xMode val="edge"/>
          <c:yMode val="edge"/>
          <c:x val="0.19635339205739361"/>
          <c:y val="0.89288454418461149"/>
          <c:w val="0.74127210799961774"/>
          <c:h val="0.10084343087261495"/>
        </c:manualLayout>
      </c:layout>
      <c:overlay val="0"/>
      <c:spPr>
        <a:solidFill>
          <a:srgbClr val="FFFFFF"/>
        </a:solidFill>
        <a:ln w="25400">
          <a:noFill/>
        </a:ln>
      </c:spPr>
      <c:txPr>
        <a:bodyPr/>
        <a:lstStyle/>
        <a:p>
          <a:pPr>
            <a:defRPr sz="845" b="0" i="0" u="none" strike="noStrike" baseline="0">
              <a:solidFill>
                <a:srgbClr val="000000"/>
              </a:solidFill>
              <a:latin typeface="Arial"/>
              <a:ea typeface="Arial"/>
              <a:cs typeface="Arial"/>
            </a:defRPr>
          </a:pPr>
          <a:endParaRPr lang="es-UY"/>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a:ea typeface="Arial"/>
          <a:cs typeface="Arial"/>
        </a:defRPr>
      </a:pPr>
      <a:endParaRPr lang="es-UY"/>
    </a:p>
  </c:txPr>
  <c:printSettings>
    <c:headerFooter alignWithMargins="0"/>
    <c:pageMargins b="1" l="0.75000000000000056" r="0.75000000000000056"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UY" sz="1000" b="1" i="0" u="none" strike="noStrike" baseline="0">
                <a:solidFill>
                  <a:srgbClr val="000000"/>
                </a:solidFill>
                <a:latin typeface="Calibri"/>
                <a:cs typeface="Calibri"/>
              </a:rPr>
              <a:t>Ubicación de la cuenca, de las estaciones </a:t>
            </a:r>
          </a:p>
          <a:p>
            <a:pPr>
              <a:defRPr sz="1000" b="0" i="0" u="none" strike="noStrike" baseline="0">
                <a:solidFill>
                  <a:srgbClr val="000000"/>
                </a:solidFill>
                <a:latin typeface="Calibri"/>
                <a:ea typeface="Calibri"/>
                <a:cs typeface="Calibri"/>
              </a:defRPr>
            </a:pPr>
            <a:r>
              <a:rPr lang="es-UY" sz="1000" b="1" i="0" u="none" strike="noStrike" baseline="0">
                <a:solidFill>
                  <a:srgbClr val="000000"/>
                </a:solidFill>
                <a:latin typeface="Calibri"/>
                <a:cs typeface="Calibri"/>
              </a:rPr>
              <a:t>pluviométricas y evaporimétricas, y </a:t>
            </a:r>
          </a:p>
          <a:p>
            <a:pPr>
              <a:defRPr sz="1000" b="0" i="0" u="none" strike="noStrike" baseline="0">
                <a:solidFill>
                  <a:srgbClr val="000000"/>
                </a:solidFill>
                <a:latin typeface="Calibri"/>
                <a:ea typeface="Calibri"/>
                <a:cs typeface="Calibri"/>
              </a:defRPr>
            </a:pPr>
            <a:r>
              <a:rPr lang="es-UY" sz="1000" b="1" i="0" u="none" strike="noStrike" baseline="0">
                <a:solidFill>
                  <a:srgbClr val="000000"/>
                </a:solidFill>
                <a:latin typeface="Calibri"/>
                <a:cs typeface="Calibri"/>
              </a:rPr>
              <a:t>Mapa 2.3 - Isolíneas de Evapotrans-</a:t>
            </a:r>
          </a:p>
          <a:p>
            <a:pPr>
              <a:defRPr sz="1000" b="0" i="0" u="none" strike="noStrike" baseline="0">
                <a:solidFill>
                  <a:srgbClr val="000000"/>
                </a:solidFill>
                <a:latin typeface="Calibri"/>
                <a:ea typeface="Calibri"/>
                <a:cs typeface="Calibri"/>
              </a:defRPr>
            </a:pPr>
            <a:r>
              <a:rPr lang="es-UY" sz="1000" b="1" i="0" u="none" strike="noStrike" baseline="0">
                <a:solidFill>
                  <a:srgbClr val="000000"/>
                </a:solidFill>
                <a:latin typeface="Calibri"/>
                <a:cs typeface="Calibri"/>
              </a:rPr>
              <a:t>piración Media Anual ETPm</a:t>
            </a:r>
          </a:p>
        </c:rich>
      </c:tx>
      <c:layout>
        <c:manualLayout>
          <c:xMode val="edge"/>
          <c:yMode val="edge"/>
          <c:x val="0.49796879556722079"/>
          <c:y val="9.727485236220473E-3"/>
        </c:manualLayout>
      </c:layout>
      <c:overlay val="1"/>
      <c:spPr>
        <a:solidFill>
          <a:schemeClr val="bg1"/>
        </a:solidFill>
        <a:ln>
          <a:solidFill>
            <a:schemeClr val="tx1"/>
          </a:solidFill>
        </a:ln>
      </c:spPr>
    </c:title>
    <c:autoTitleDeleted val="0"/>
    <c:plotArea>
      <c:layout>
        <c:manualLayout>
          <c:layoutTarget val="inner"/>
          <c:xMode val="edge"/>
          <c:yMode val="edge"/>
          <c:x val="0.15021474967177198"/>
          <c:y val="4.0856069940180741E-2"/>
          <c:w val="0.8025759482463245"/>
          <c:h val="0.84630430590374395"/>
        </c:manualLayout>
      </c:layout>
      <c:scatterChart>
        <c:scatterStyle val="lineMarker"/>
        <c:varyColors val="0"/>
        <c:ser>
          <c:idx val="1"/>
          <c:order val="0"/>
          <c:tx>
            <c:strRef>
              <c:f>UbiPluvio!$C$3</c:f>
              <c:strCache>
                <c:ptCount val="1"/>
                <c:pt idx="0">
                  <c:v>Aiguá</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UbiPluvio!$C$4:$C$52</c:f>
              <c:numCache>
                <c:formatCode>General</c:formatCode>
                <c:ptCount val="49"/>
                <c:pt idx="0">
                  <c:v>6215500</c:v>
                </c:pt>
              </c:numCache>
            </c:numRef>
          </c:yVal>
          <c:smooth val="0"/>
          <c:extLst>
            <c:ext xmlns:c16="http://schemas.microsoft.com/office/drawing/2014/chart" uri="{C3380CC4-5D6E-409C-BE32-E72D297353CC}">
              <c16:uniqueId val="{00000000-0EAE-4C6E-9571-7FFC89E01C23}"/>
            </c:ext>
          </c:extLst>
        </c:ser>
        <c:ser>
          <c:idx val="2"/>
          <c:order val="1"/>
          <c:tx>
            <c:strRef>
              <c:f>UbiPluvio!$D$3</c:f>
              <c:strCache>
                <c:ptCount val="1"/>
                <c:pt idx="0">
                  <c:v>Arroyo Malo</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UbiPluvio!$D$4:$D$52</c:f>
              <c:numCache>
                <c:formatCode>General</c:formatCode>
                <c:ptCount val="49"/>
                <c:pt idx="1">
                  <c:v>6398000</c:v>
                </c:pt>
              </c:numCache>
            </c:numRef>
          </c:yVal>
          <c:smooth val="0"/>
          <c:extLst>
            <c:ext xmlns:c16="http://schemas.microsoft.com/office/drawing/2014/chart" uri="{C3380CC4-5D6E-409C-BE32-E72D297353CC}">
              <c16:uniqueId val="{00000001-0EAE-4C6E-9571-7FFC89E01C23}"/>
            </c:ext>
          </c:extLst>
        </c:ser>
        <c:ser>
          <c:idx val="3"/>
          <c:order val="2"/>
          <c:tx>
            <c:strRef>
              <c:f>UbiPluvio!$E$3</c:f>
              <c:strCache>
                <c:ptCount val="1"/>
                <c:pt idx="0">
                  <c:v>Artigas</c:v>
                </c:pt>
              </c:strCache>
            </c:strRef>
          </c:tx>
          <c:spPr>
            <a:ln w="28575">
              <a:noFill/>
            </a:ln>
          </c:spPr>
          <c:marker>
            <c:symbol val="circle"/>
            <c:size val="10"/>
            <c:spPr>
              <a:noFill/>
              <a:ln>
                <a:solidFill>
                  <a:srgbClr val="0000FF"/>
                </a:solidFill>
                <a:prstDash val="solid"/>
              </a:ln>
            </c:spPr>
          </c:marker>
          <c:dLbls>
            <c:dLbl>
              <c:idx val="2"/>
              <c:spPr>
                <a:noFill/>
                <a:ln w="25400">
                  <a:noFill/>
                </a:ln>
              </c:spPr>
              <c:txPr>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0EAE-4C6E-9571-7FFC89E01C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UbiPluvio!$E$4:$E$52</c:f>
              <c:numCache>
                <c:formatCode>General</c:formatCode>
                <c:ptCount val="49"/>
                <c:pt idx="2">
                  <c:v>6637500</c:v>
                </c:pt>
              </c:numCache>
            </c:numRef>
          </c:yVal>
          <c:smooth val="0"/>
          <c:extLst>
            <c:ext xmlns:c16="http://schemas.microsoft.com/office/drawing/2014/chart" uri="{C3380CC4-5D6E-409C-BE32-E72D297353CC}">
              <c16:uniqueId val="{00000003-0EAE-4C6E-9571-7FFC89E01C23}"/>
            </c:ext>
          </c:extLst>
        </c:ser>
        <c:ser>
          <c:idx val="4"/>
          <c:order val="3"/>
          <c:tx>
            <c:strRef>
              <c:f>UbiPluvio!$F$3</c:f>
              <c:strCache>
                <c:ptCount val="1"/>
                <c:pt idx="0">
                  <c:v>Barriga Negra (Polanco)</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UbiPluvio!$F$4:$F$52</c:f>
              <c:numCache>
                <c:formatCode>General</c:formatCode>
                <c:ptCount val="49"/>
                <c:pt idx="3">
                  <c:v>6247500</c:v>
                </c:pt>
              </c:numCache>
            </c:numRef>
          </c:yVal>
          <c:smooth val="0"/>
          <c:extLst>
            <c:ext xmlns:c16="http://schemas.microsoft.com/office/drawing/2014/chart" uri="{C3380CC4-5D6E-409C-BE32-E72D297353CC}">
              <c16:uniqueId val="{00000004-0EAE-4C6E-9571-7FFC89E01C23}"/>
            </c:ext>
          </c:extLst>
        </c:ser>
        <c:ser>
          <c:idx val="5"/>
          <c:order val="4"/>
          <c:tx>
            <c:strRef>
              <c:f>UbiPluvio!$G$3</c:f>
              <c:strCache>
                <c:ptCount val="1"/>
                <c:pt idx="0">
                  <c:v>Bernabé Rivera</c:v>
                </c:pt>
              </c:strCache>
            </c:strRef>
          </c:tx>
          <c:spPr>
            <a:ln w="28575">
              <a:noFill/>
            </a:ln>
          </c:spPr>
          <c:marker>
            <c:symbol val="circle"/>
            <c:size val="10"/>
            <c:spPr>
              <a:noFill/>
              <a:ln>
                <a:solidFill>
                  <a:srgbClr val="0000FF"/>
                </a:solidFill>
                <a:prstDash val="solid"/>
              </a:ln>
            </c:spPr>
          </c:marker>
          <c:dLbls>
            <c:dLbl>
              <c:idx val="4"/>
              <c:spPr>
                <a:noFill/>
                <a:ln w="25400">
                  <a:noFill/>
                </a:ln>
              </c:spPr>
              <c:txPr>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extLst>
                <c:ext xmlns:c16="http://schemas.microsoft.com/office/drawing/2014/chart" uri="{C3380CC4-5D6E-409C-BE32-E72D297353CC}">
                  <c16:uniqueId val="{00000005-0EAE-4C6E-9571-7FFC89E01C23}"/>
                </c:ext>
              </c:extLst>
            </c:dLbl>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UbiPluvio!$G$4:$G$52</c:f>
              <c:numCache>
                <c:formatCode>General</c:formatCode>
                <c:ptCount val="49"/>
                <c:pt idx="4">
                  <c:v>6648500</c:v>
                </c:pt>
              </c:numCache>
            </c:numRef>
          </c:yVal>
          <c:smooth val="0"/>
          <c:extLst>
            <c:ext xmlns:c16="http://schemas.microsoft.com/office/drawing/2014/chart" uri="{C3380CC4-5D6E-409C-BE32-E72D297353CC}">
              <c16:uniqueId val="{00000006-0EAE-4C6E-9571-7FFC89E01C23}"/>
            </c:ext>
          </c:extLst>
        </c:ser>
        <c:ser>
          <c:idx val="6"/>
          <c:order val="5"/>
          <c:tx>
            <c:strRef>
              <c:f>UbiPluvio!$H$3</c:f>
              <c:strCache>
                <c:ptCount val="1"/>
                <c:pt idx="0">
                  <c:v>Casupá</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UbiPluvio!$H$4:$H$52</c:f>
              <c:numCache>
                <c:formatCode>General</c:formatCode>
                <c:ptCount val="49"/>
                <c:pt idx="5">
                  <c:v>6227400</c:v>
                </c:pt>
              </c:numCache>
            </c:numRef>
          </c:yVal>
          <c:smooth val="0"/>
          <c:extLst>
            <c:ext xmlns:c16="http://schemas.microsoft.com/office/drawing/2014/chart" uri="{C3380CC4-5D6E-409C-BE32-E72D297353CC}">
              <c16:uniqueId val="{00000007-0EAE-4C6E-9571-7FFC89E01C23}"/>
            </c:ext>
          </c:extLst>
        </c:ser>
        <c:ser>
          <c:idx val="7"/>
          <c:order val="6"/>
          <c:tx>
            <c:strRef>
              <c:f>UbiPluvio!$I$3</c:f>
              <c:strCache>
                <c:ptCount val="1"/>
                <c:pt idx="0">
                  <c:v>Cerro Chato</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UbiPluvio!$I$4:$I$52</c:f>
              <c:numCache>
                <c:formatCode>General</c:formatCode>
                <c:ptCount val="49"/>
                <c:pt idx="6">
                  <c:v>6337200</c:v>
                </c:pt>
              </c:numCache>
            </c:numRef>
          </c:yVal>
          <c:smooth val="0"/>
          <c:extLst>
            <c:ext xmlns:c16="http://schemas.microsoft.com/office/drawing/2014/chart" uri="{C3380CC4-5D6E-409C-BE32-E72D297353CC}">
              <c16:uniqueId val="{00000008-0EAE-4C6E-9571-7FFC89E01C23}"/>
            </c:ext>
          </c:extLst>
        </c:ser>
        <c:ser>
          <c:idx val="8"/>
          <c:order val="7"/>
          <c:tx>
            <c:strRef>
              <c:f>UbiPluvio!$J$3</c:f>
              <c:strCache>
                <c:ptCount val="1"/>
                <c:pt idx="0">
                  <c:v>Conchillas</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UbiPluvio!$J$4:$J$52</c:f>
              <c:numCache>
                <c:formatCode>General</c:formatCode>
                <c:ptCount val="49"/>
                <c:pt idx="7">
                  <c:v>6218100</c:v>
                </c:pt>
              </c:numCache>
            </c:numRef>
          </c:yVal>
          <c:smooth val="0"/>
          <c:extLst>
            <c:ext xmlns:c16="http://schemas.microsoft.com/office/drawing/2014/chart" uri="{C3380CC4-5D6E-409C-BE32-E72D297353CC}">
              <c16:uniqueId val="{00000009-0EAE-4C6E-9571-7FFC89E01C23}"/>
            </c:ext>
          </c:extLst>
        </c:ser>
        <c:ser>
          <c:idx val="9"/>
          <c:order val="8"/>
          <c:tx>
            <c:strRef>
              <c:f>UbiPluvio!$K$3</c:f>
              <c:strCache>
                <c:ptCount val="1"/>
                <c:pt idx="0">
                  <c:v>Cuchilla de Navarro</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UbiPluvio!$K$4:$K$52</c:f>
              <c:numCache>
                <c:formatCode>General</c:formatCode>
                <c:ptCount val="49"/>
                <c:pt idx="8">
                  <c:v>6399700</c:v>
                </c:pt>
              </c:numCache>
            </c:numRef>
          </c:yVal>
          <c:smooth val="0"/>
          <c:extLst>
            <c:ext xmlns:c16="http://schemas.microsoft.com/office/drawing/2014/chart" uri="{C3380CC4-5D6E-409C-BE32-E72D297353CC}">
              <c16:uniqueId val="{0000000A-0EAE-4C6E-9571-7FFC89E01C23}"/>
            </c:ext>
          </c:extLst>
        </c:ser>
        <c:ser>
          <c:idx val="10"/>
          <c:order val="9"/>
          <c:tx>
            <c:strRef>
              <c:f>UbiPluvio!$L$3</c:f>
              <c:strCache>
                <c:ptCount val="1"/>
                <c:pt idx="0">
                  <c:v>Cuchilla del Carmen</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UbiPluvio!$L$4:$L$52</c:f>
              <c:numCache>
                <c:formatCode>General</c:formatCode>
                <c:ptCount val="49"/>
                <c:pt idx="9">
                  <c:v>6378800</c:v>
                </c:pt>
              </c:numCache>
            </c:numRef>
          </c:yVal>
          <c:smooth val="0"/>
          <c:extLst>
            <c:ext xmlns:c16="http://schemas.microsoft.com/office/drawing/2014/chart" uri="{C3380CC4-5D6E-409C-BE32-E72D297353CC}">
              <c16:uniqueId val="{0000000B-0EAE-4C6E-9571-7FFC89E01C23}"/>
            </c:ext>
          </c:extLst>
        </c:ser>
        <c:ser>
          <c:idx val="11"/>
          <c:order val="10"/>
          <c:tx>
            <c:strRef>
              <c:f>UbiPluvio!$M$3</c:f>
              <c:strCache>
                <c:ptCount val="1"/>
                <c:pt idx="0">
                  <c:v>Egaña</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UbiPluvio!$M$4:$M$52</c:f>
              <c:numCache>
                <c:formatCode>General</c:formatCode>
                <c:ptCount val="49"/>
                <c:pt idx="10">
                  <c:v>6281400</c:v>
                </c:pt>
              </c:numCache>
            </c:numRef>
          </c:yVal>
          <c:smooth val="0"/>
          <c:extLst>
            <c:ext xmlns:c16="http://schemas.microsoft.com/office/drawing/2014/chart" uri="{C3380CC4-5D6E-409C-BE32-E72D297353CC}">
              <c16:uniqueId val="{0000000C-0EAE-4C6E-9571-7FFC89E01C23}"/>
            </c:ext>
          </c:extLst>
        </c:ser>
        <c:ser>
          <c:idx val="12"/>
          <c:order val="11"/>
          <c:tx>
            <c:strRef>
              <c:f>UbiPluvio!$N$3</c:f>
              <c:strCache>
                <c:ptCount val="1"/>
                <c:pt idx="0">
                  <c:v>El Chuy</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UbiPluvio!$N$4:$N$52</c:f>
              <c:numCache>
                <c:formatCode>General</c:formatCode>
                <c:ptCount val="49"/>
                <c:pt idx="11">
                  <c:v>6269400</c:v>
                </c:pt>
              </c:numCache>
            </c:numRef>
          </c:yVal>
          <c:smooth val="0"/>
          <c:extLst>
            <c:ext xmlns:c16="http://schemas.microsoft.com/office/drawing/2014/chart" uri="{C3380CC4-5D6E-409C-BE32-E72D297353CC}">
              <c16:uniqueId val="{0000000D-0EAE-4C6E-9571-7FFC89E01C23}"/>
            </c:ext>
          </c:extLst>
        </c:ser>
        <c:ser>
          <c:idx val="13"/>
          <c:order val="12"/>
          <c:tx>
            <c:strRef>
              <c:f>UbiPluvio!$O$3</c:f>
              <c:strCache>
                <c:ptCount val="1"/>
                <c:pt idx="0">
                  <c:v>Fraile Muerto</c:v>
                </c:pt>
              </c:strCache>
            </c:strRef>
          </c:tx>
          <c:spPr>
            <a:ln w="28575">
              <a:noFill/>
            </a:ln>
          </c:spPr>
          <c:marker>
            <c:symbol val="circle"/>
            <c:size val="10"/>
            <c:spPr>
              <a:noFill/>
              <a:ln>
                <a:solidFill>
                  <a:srgbClr val="0000FF"/>
                </a:solidFill>
                <a:prstDash val="solid"/>
              </a:ln>
            </c:spPr>
          </c:marker>
          <c:dLbls>
            <c:dLbl>
              <c:idx val="12"/>
              <c:spPr>
                <a:noFill/>
                <a:ln w="25400">
                  <a:noFill/>
                </a:ln>
              </c:spPr>
              <c:txPr>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extLst>
                <c:ext xmlns:c16="http://schemas.microsoft.com/office/drawing/2014/chart" uri="{C3380CC4-5D6E-409C-BE32-E72D297353CC}">
                  <c16:uniqueId val="{0000000E-0EAE-4C6E-9571-7FFC89E01C23}"/>
                </c:ext>
              </c:extLst>
            </c:dLbl>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UbiPluvio!$O$4:$O$52</c:f>
              <c:numCache>
                <c:formatCode>General</c:formatCode>
                <c:ptCount val="49"/>
                <c:pt idx="12">
                  <c:v>6403000</c:v>
                </c:pt>
              </c:numCache>
            </c:numRef>
          </c:yVal>
          <c:smooth val="0"/>
          <c:extLst>
            <c:ext xmlns:c16="http://schemas.microsoft.com/office/drawing/2014/chart" uri="{C3380CC4-5D6E-409C-BE32-E72D297353CC}">
              <c16:uniqueId val="{0000000F-0EAE-4C6E-9571-7FFC89E01C23}"/>
            </c:ext>
          </c:extLst>
        </c:ser>
        <c:ser>
          <c:idx val="14"/>
          <c:order val="13"/>
          <c:tx>
            <c:strRef>
              <c:f>UbiPluvio!$P$3</c:f>
              <c:strCache>
                <c:ptCount val="1"/>
                <c:pt idx="0">
                  <c:v>José Pedro Varela</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UbiPluvio!$P$4:$P$52</c:f>
              <c:numCache>
                <c:formatCode>General</c:formatCode>
                <c:ptCount val="49"/>
                <c:pt idx="13">
                  <c:v>6298000</c:v>
                </c:pt>
              </c:numCache>
            </c:numRef>
          </c:yVal>
          <c:smooth val="0"/>
          <c:extLst>
            <c:ext xmlns:c16="http://schemas.microsoft.com/office/drawing/2014/chart" uri="{C3380CC4-5D6E-409C-BE32-E72D297353CC}">
              <c16:uniqueId val="{00000010-0EAE-4C6E-9571-7FFC89E01C23}"/>
            </c:ext>
          </c:extLst>
        </c:ser>
        <c:ser>
          <c:idx val="15"/>
          <c:order val="14"/>
          <c:tx>
            <c:strRef>
              <c:f>UbiPluvio!$Q$3</c:f>
              <c:strCache>
                <c:ptCount val="1"/>
                <c:pt idx="0">
                  <c:v>Lago de los Patos</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UbiPluvio!$Q$4:$Q$52</c:f>
              <c:numCache>
                <c:formatCode>General</c:formatCode>
                <c:ptCount val="49"/>
                <c:pt idx="14">
                  <c:v>6184300</c:v>
                </c:pt>
              </c:numCache>
            </c:numRef>
          </c:yVal>
          <c:smooth val="0"/>
          <c:extLst>
            <c:ext xmlns:c16="http://schemas.microsoft.com/office/drawing/2014/chart" uri="{C3380CC4-5D6E-409C-BE32-E72D297353CC}">
              <c16:uniqueId val="{00000011-0EAE-4C6E-9571-7FFC89E01C23}"/>
            </c:ext>
          </c:extLst>
        </c:ser>
        <c:ser>
          <c:idx val="16"/>
          <c:order val="15"/>
          <c:tx>
            <c:strRef>
              <c:f>UbiPluvio!$R$3</c:f>
              <c:strCache>
                <c:ptCount val="1"/>
                <c:pt idx="0">
                  <c:v>Melo</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UbiPluvio!$R$4:$R$52</c:f>
              <c:numCache>
                <c:formatCode>General</c:formatCode>
                <c:ptCount val="49"/>
                <c:pt idx="15">
                  <c:v>6418600</c:v>
                </c:pt>
              </c:numCache>
            </c:numRef>
          </c:yVal>
          <c:smooth val="0"/>
          <c:extLst>
            <c:ext xmlns:c16="http://schemas.microsoft.com/office/drawing/2014/chart" uri="{C3380CC4-5D6E-409C-BE32-E72D297353CC}">
              <c16:uniqueId val="{00000012-0EAE-4C6E-9571-7FFC89E01C23}"/>
            </c:ext>
          </c:extLst>
        </c:ser>
        <c:ser>
          <c:idx val="17"/>
          <c:order val="16"/>
          <c:tx>
            <c:strRef>
              <c:f>UbiPluvio!$S$3</c:f>
              <c:strCache>
                <c:ptCount val="1"/>
                <c:pt idx="0">
                  <c:v>Mercedes</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UbiPluvio!$S$4:$S$52</c:f>
              <c:numCache>
                <c:formatCode>General</c:formatCode>
                <c:ptCount val="49"/>
                <c:pt idx="16">
                  <c:v>6319000</c:v>
                </c:pt>
              </c:numCache>
            </c:numRef>
          </c:yVal>
          <c:smooth val="0"/>
          <c:extLst>
            <c:ext xmlns:c16="http://schemas.microsoft.com/office/drawing/2014/chart" uri="{C3380CC4-5D6E-409C-BE32-E72D297353CC}">
              <c16:uniqueId val="{00000013-0EAE-4C6E-9571-7FFC89E01C23}"/>
            </c:ext>
          </c:extLst>
        </c:ser>
        <c:ser>
          <c:idx val="18"/>
          <c:order val="17"/>
          <c:tx>
            <c:strRef>
              <c:f>UbiPluvio!$T$3</c:f>
              <c:strCache>
                <c:ptCount val="1"/>
                <c:pt idx="0">
                  <c:v>Molles (Carlos Reyles)</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UbiPluvio!$T$4:$T$52</c:f>
              <c:numCache>
                <c:formatCode>General</c:formatCode>
                <c:ptCount val="49"/>
                <c:pt idx="17">
                  <c:v>6343000</c:v>
                </c:pt>
              </c:numCache>
            </c:numRef>
          </c:yVal>
          <c:smooth val="0"/>
          <c:extLst>
            <c:ext xmlns:c16="http://schemas.microsoft.com/office/drawing/2014/chart" uri="{C3380CC4-5D6E-409C-BE32-E72D297353CC}">
              <c16:uniqueId val="{00000014-0EAE-4C6E-9571-7FFC89E01C23}"/>
            </c:ext>
          </c:extLst>
        </c:ser>
        <c:ser>
          <c:idx val="19"/>
          <c:order val="18"/>
          <c:tx>
            <c:strRef>
              <c:f>UbiPluvio!$U$3</c:f>
              <c:strCache>
                <c:ptCount val="1"/>
                <c:pt idx="0">
                  <c:v>Moriones</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UbiPluvio!$U$4:$U$52</c:f>
              <c:numCache>
                <c:formatCode>General</c:formatCode>
                <c:ptCount val="49"/>
                <c:pt idx="18">
                  <c:v>6504700</c:v>
                </c:pt>
              </c:numCache>
            </c:numRef>
          </c:yVal>
          <c:smooth val="0"/>
          <c:extLst>
            <c:ext xmlns:c16="http://schemas.microsoft.com/office/drawing/2014/chart" uri="{C3380CC4-5D6E-409C-BE32-E72D297353CC}">
              <c16:uniqueId val="{00000015-0EAE-4C6E-9571-7FFC89E01C23}"/>
            </c:ext>
          </c:extLst>
        </c:ser>
        <c:ser>
          <c:idx val="20"/>
          <c:order val="19"/>
          <c:tx>
            <c:strRef>
              <c:f>UbiPluvio!$V$3</c:f>
              <c:strCache>
                <c:ptCount val="1"/>
                <c:pt idx="0">
                  <c:v>Paysandú</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UbiPluvio!$V$4:$V$52</c:f>
              <c:numCache>
                <c:formatCode>General</c:formatCode>
                <c:ptCount val="49"/>
                <c:pt idx="19">
                  <c:v>6416000</c:v>
                </c:pt>
              </c:numCache>
            </c:numRef>
          </c:yVal>
          <c:smooth val="0"/>
          <c:extLst>
            <c:ext xmlns:c16="http://schemas.microsoft.com/office/drawing/2014/chart" uri="{C3380CC4-5D6E-409C-BE32-E72D297353CC}">
              <c16:uniqueId val="{00000016-0EAE-4C6E-9571-7FFC89E01C23}"/>
            </c:ext>
          </c:extLst>
        </c:ser>
        <c:ser>
          <c:idx val="21"/>
          <c:order val="20"/>
          <c:tx>
            <c:strRef>
              <c:f>UbiPluvio!$W$3</c:f>
              <c:strCache>
                <c:ptCount val="1"/>
                <c:pt idx="0">
                  <c:v>Pintos (San Gregorio)</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UbiPluvio!$W$4:$W$52</c:f>
              <c:numCache>
                <c:formatCode>General</c:formatCode>
                <c:ptCount val="49"/>
                <c:pt idx="20">
                  <c:v>6251000</c:v>
                </c:pt>
              </c:numCache>
            </c:numRef>
          </c:yVal>
          <c:smooth val="0"/>
          <c:extLst>
            <c:ext xmlns:c16="http://schemas.microsoft.com/office/drawing/2014/chart" uri="{C3380CC4-5D6E-409C-BE32-E72D297353CC}">
              <c16:uniqueId val="{00000017-0EAE-4C6E-9571-7FFC89E01C23}"/>
            </c:ext>
          </c:extLst>
        </c:ser>
        <c:ser>
          <c:idx val="22"/>
          <c:order val="21"/>
          <c:tx>
            <c:strRef>
              <c:f>UbiPluvio!$X$3</c:f>
              <c:strCache>
                <c:ptCount val="1"/>
                <c:pt idx="0">
                  <c:v>Prado</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UbiPluvio!$X$4:$X$52</c:f>
              <c:numCache>
                <c:formatCode>General</c:formatCode>
                <c:ptCount val="49"/>
                <c:pt idx="21">
                  <c:v>6143100</c:v>
                </c:pt>
              </c:numCache>
            </c:numRef>
          </c:yVal>
          <c:smooth val="0"/>
          <c:extLst>
            <c:ext xmlns:c16="http://schemas.microsoft.com/office/drawing/2014/chart" uri="{C3380CC4-5D6E-409C-BE32-E72D297353CC}">
              <c16:uniqueId val="{00000018-0EAE-4C6E-9571-7FFC89E01C23}"/>
            </c:ext>
          </c:extLst>
        </c:ser>
        <c:ser>
          <c:idx val="23"/>
          <c:order val="22"/>
          <c:tx>
            <c:strRef>
              <c:f>UbiPluvio!$Y$3</c:f>
              <c:strCache>
                <c:ptCount val="1"/>
                <c:pt idx="0">
                  <c:v>Puntas de Maciel</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UbiPluvio!$Y$4:$Y$52</c:f>
              <c:numCache>
                <c:formatCode>General</c:formatCode>
                <c:ptCount val="49"/>
                <c:pt idx="22">
                  <c:v>6280400</c:v>
                </c:pt>
              </c:numCache>
            </c:numRef>
          </c:yVal>
          <c:smooth val="0"/>
          <c:extLst>
            <c:ext xmlns:c16="http://schemas.microsoft.com/office/drawing/2014/chart" uri="{C3380CC4-5D6E-409C-BE32-E72D297353CC}">
              <c16:uniqueId val="{00000019-0EAE-4C6E-9571-7FFC89E01C23}"/>
            </c:ext>
          </c:extLst>
        </c:ser>
        <c:ser>
          <c:idx val="24"/>
          <c:order val="23"/>
          <c:tx>
            <c:strRef>
              <c:f>UbiPluvio!$Z$3</c:f>
              <c:strCache>
                <c:ptCount val="1"/>
                <c:pt idx="0">
                  <c:v>Quebracho</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UbiPluvio!$Z$4:$Z$52</c:f>
              <c:numCache>
                <c:formatCode>General</c:formatCode>
                <c:ptCount val="49"/>
                <c:pt idx="23">
                  <c:v>6466268.4000000004</c:v>
                </c:pt>
              </c:numCache>
            </c:numRef>
          </c:yVal>
          <c:smooth val="0"/>
          <c:extLst>
            <c:ext xmlns:c16="http://schemas.microsoft.com/office/drawing/2014/chart" uri="{C3380CC4-5D6E-409C-BE32-E72D297353CC}">
              <c16:uniqueId val="{0000001A-0EAE-4C6E-9571-7FFC89E01C23}"/>
            </c:ext>
          </c:extLst>
        </c:ser>
        <c:ser>
          <c:idx val="25"/>
          <c:order val="24"/>
          <c:tx>
            <c:strRef>
              <c:f>UbiPluvio!$AA$3</c:f>
              <c:strCache>
                <c:ptCount val="1"/>
                <c:pt idx="0">
                  <c:v>Queguay Chico</c:v>
                </c:pt>
              </c:strCache>
            </c:strRef>
          </c:tx>
          <c:spPr>
            <a:ln w="12700">
              <a:solidFill>
                <a:srgbClr val="339966"/>
              </a:solidFill>
              <a:prstDash val="solid"/>
            </a:ln>
          </c:spPr>
          <c:marker>
            <c:symbol val="dot"/>
            <c:size val="5"/>
            <c:spPr>
              <a:noFill/>
              <a:ln>
                <a:solidFill>
                  <a:srgbClr val="339966"/>
                </a:solidFill>
                <a:prstDash val="solid"/>
              </a:ln>
            </c:spPr>
          </c:marker>
          <c:dPt>
            <c:idx val="24"/>
            <c:marker>
              <c:symbol val="circle"/>
              <c:size val="10"/>
              <c:spPr>
                <a:noFill/>
                <a:ln>
                  <a:solidFill>
                    <a:srgbClr val="0000FF"/>
                  </a:solidFill>
                  <a:prstDash val="solid"/>
                </a:ln>
              </c:spPr>
            </c:marker>
            <c:bubble3D val="0"/>
            <c:spPr>
              <a:ln w="28575">
                <a:noFill/>
              </a:ln>
            </c:spPr>
            <c:extLst>
              <c:ext xmlns:c16="http://schemas.microsoft.com/office/drawing/2014/chart" uri="{C3380CC4-5D6E-409C-BE32-E72D297353CC}">
                <c16:uniqueId val="{0000001C-0EAE-4C6E-9571-7FFC89E01C23}"/>
              </c:ext>
            </c:extLst>
          </c:dPt>
          <c:dLbls>
            <c:dLbl>
              <c:idx val="24"/>
              <c:spPr>
                <a:noFill/>
                <a:ln w="25400">
                  <a:noFill/>
                </a:ln>
              </c:spPr>
              <c:txPr>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0EAE-4C6E-9571-7FFC89E01C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UbiPluvio!$AA$4:$AA$52</c:f>
              <c:numCache>
                <c:formatCode>General</c:formatCode>
                <c:ptCount val="49"/>
                <c:pt idx="24">
                  <c:v>6450000</c:v>
                </c:pt>
              </c:numCache>
            </c:numRef>
          </c:yVal>
          <c:smooth val="0"/>
          <c:extLst>
            <c:ext xmlns:c16="http://schemas.microsoft.com/office/drawing/2014/chart" uri="{C3380CC4-5D6E-409C-BE32-E72D297353CC}">
              <c16:uniqueId val="{0000001D-0EAE-4C6E-9571-7FFC89E01C23}"/>
            </c:ext>
          </c:extLst>
        </c:ser>
        <c:ser>
          <c:idx val="26"/>
          <c:order val="25"/>
          <c:tx>
            <c:strRef>
              <c:f>UbiPluvio!$AB$3</c:f>
              <c:strCache>
                <c:ptCount val="1"/>
                <c:pt idx="0">
                  <c:v>Rivera</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UbiPluvio!$AB$4:$AB$52</c:f>
              <c:numCache>
                <c:formatCode>General</c:formatCode>
                <c:ptCount val="49"/>
                <c:pt idx="25">
                  <c:v>6582000</c:v>
                </c:pt>
              </c:numCache>
            </c:numRef>
          </c:yVal>
          <c:smooth val="0"/>
          <c:extLst>
            <c:ext xmlns:c16="http://schemas.microsoft.com/office/drawing/2014/chart" uri="{C3380CC4-5D6E-409C-BE32-E72D297353CC}">
              <c16:uniqueId val="{0000001E-0EAE-4C6E-9571-7FFC89E01C23}"/>
            </c:ext>
          </c:extLst>
        </c:ser>
        <c:ser>
          <c:idx val="27"/>
          <c:order val="26"/>
          <c:tx>
            <c:strRef>
              <c:f>UbiPluvio!$AC$3</c:f>
              <c:strCache>
                <c:ptCount val="1"/>
                <c:pt idx="0">
                  <c:v>Rocha</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UbiPluvio!$AC$4:$AC$52</c:f>
              <c:numCache>
                <c:formatCode>General</c:formatCode>
                <c:ptCount val="49"/>
                <c:pt idx="26">
                  <c:v>6182900</c:v>
                </c:pt>
              </c:numCache>
            </c:numRef>
          </c:yVal>
          <c:smooth val="0"/>
          <c:extLst>
            <c:ext xmlns:c16="http://schemas.microsoft.com/office/drawing/2014/chart" uri="{C3380CC4-5D6E-409C-BE32-E72D297353CC}">
              <c16:uniqueId val="{0000001F-0EAE-4C6E-9571-7FFC89E01C23}"/>
            </c:ext>
          </c:extLst>
        </c:ser>
        <c:ser>
          <c:idx val="28"/>
          <c:order val="27"/>
          <c:tx>
            <c:strRef>
              <c:f>UbiPluvio!$AD$3</c:f>
              <c:strCache>
                <c:ptCount val="1"/>
                <c:pt idx="0">
                  <c:v>Salto</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UbiPluvio!$AD$4:$AD$52</c:f>
              <c:numCache>
                <c:formatCode>General</c:formatCode>
                <c:ptCount val="49"/>
                <c:pt idx="27">
                  <c:v>6520800</c:v>
                </c:pt>
              </c:numCache>
            </c:numRef>
          </c:yVal>
          <c:smooth val="0"/>
          <c:extLst>
            <c:ext xmlns:c16="http://schemas.microsoft.com/office/drawing/2014/chart" uri="{C3380CC4-5D6E-409C-BE32-E72D297353CC}">
              <c16:uniqueId val="{00000020-0EAE-4C6E-9571-7FFC89E01C23}"/>
            </c:ext>
          </c:extLst>
        </c:ser>
        <c:ser>
          <c:idx val="29"/>
          <c:order val="28"/>
          <c:tx>
            <c:strRef>
              <c:f>UbiPluvio!$AE$3</c:f>
              <c:strCache>
                <c:ptCount val="1"/>
                <c:pt idx="0">
                  <c:v>Sequeira</c:v>
                </c:pt>
              </c:strCache>
            </c:strRef>
          </c:tx>
          <c:spPr>
            <a:ln w="28575">
              <a:noFill/>
            </a:ln>
          </c:spPr>
          <c:marker>
            <c:symbol val="circle"/>
            <c:size val="10"/>
            <c:spPr>
              <a:noFill/>
              <a:ln>
                <a:solidFill>
                  <a:srgbClr val="0000FF"/>
                </a:solidFill>
                <a:prstDash val="solid"/>
              </a:ln>
            </c:spPr>
          </c:marker>
          <c:dLbls>
            <c:dLbl>
              <c:idx val="28"/>
              <c:spPr>
                <a:noFill/>
                <a:ln w="25400">
                  <a:noFill/>
                </a:ln>
              </c:spPr>
              <c:txPr>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extLst>
                <c:ext xmlns:c16="http://schemas.microsoft.com/office/drawing/2014/chart" uri="{C3380CC4-5D6E-409C-BE32-E72D297353CC}">
                  <c16:uniqueId val="{00000021-0EAE-4C6E-9571-7FFC89E01C23}"/>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UbiPluvio!$AE$4:$AE$52</c:f>
              <c:numCache>
                <c:formatCode>General</c:formatCode>
                <c:ptCount val="49"/>
                <c:pt idx="28">
                  <c:v>6570600</c:v>
                </c:pt>
              </c:numCache>
            </c:numRef>
          </c:yVal>
          <c:smooth val="0"/>
          <c:extLst>
            <c:ext xmlns:c16="http://schemas.microsoft.com/office/drawing/2014/chart" uri="{C3380CC4-5D6E-409C-BE32-E72D297353CC}">
              <c16:uniqueId val="{00000022-0EAE-4C6E-9571-7FFC89E01C23}"/>
            </c:ext>
          </c:extLst>
        </c:ser>
        <c:ser>
          <c:idx val="30"/>
          <c:order val="29"/>
          <c:tx>
            <c:strRef>
              <c:f>UbiPluvio!$AF$3</c:f>
              <c:strCache>
                <c:ptCount val="1"/>
                <c:pt idx="0">
                  <c:v>Tacuarembó</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UbiPluvio!$AF$4:$AF$52</c:f>
              <c:numCache>
                <c:formatCode>General</c:formatCode>
                <c:ptCount val="49"/>
                <c:pt idx="29">
                  <c:v>6493000</c:v>
                </c:pt>
              </c:numCache>
            </c:numRef>
          </c:yVal>
          <c:smooth val="0"/>
          <c:extLst>
            <c:ext xmlns:c16="http://schemas.microsoft.com/office/drawing/2014/chart" uri="{C3380CC4-5D6E-409C-BE32-E72D297353CC}">
              <c16:uniqueId val="{00000023-0EAE-4C6E-9571-7FFC89E01C23}"/>
            </c:ext>
          </c:extLst>
        </c:ser>
        <c:ser>
          <c:idx val="31"/>
          <c:order val="30"/>
          <c:tx>
            <c:strRef>
              <c:f>UbiPluvio!$AG$3</c:f>
              <c:strCache>
                <c:ptCount val="1"/>
                <c:pt idx="0">
                  <c:v>Tomás Gomensoro</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UbiPluvio!$AG$4:$AG$52</c:f>
              <c:numCache>
                <c:formatCode>General</c:formatCode>
                <c:ptCount val="49"/>
                <c:pt idx="30">
                  <c:v>6633000</c:v>
                </c:pt>
              </c:numCache>
            </c:numRef>
          </c:yVal>
          <c:smooth val="0"/>
          <c:extLst>
            <c:ext xmlns:c16="http://schemas.microsoft.com/office/drawing/2014/chart" uri="{C3380CC4-5D6E-409C-BE32-E72D297353CC}">
              <c16:uniqueId val="{00000024-0EAE-4C6E-9571-7FFC89E01C23}"/>
            </c:ext>
          </c:extLst>
        </c:ser>
        <c:ser>
          <c:idx val="32"/>
          <c:order val="31"/>
          <c:tx>
            <c:strRef>
              <c:f>UbiPluvio!$AH$3</c:f>
              <c:strCache>
                <c:ptCount val="1"/>
                <c:pt idx="0">
                  <c:v>Tranqueras</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UbiPluvio!$AH$4:$AH$52</c:f>
              <c:numCache>
                <c:formatCode>General</c:formatCode>
                <c:ptCount val="49"/>
                <c:pt idx="31">
                  <c:v>6550000</c:v>
                </c:pt>
              </c:numCache>
            </c:numRef>
          </c:yVal>
          <c:smooth val="0"/>
          <c:extLst>
            <c:ext xmlns:c16="http://schemas.microsoft.com/office/drawing/2014/chart" uri="{C3380CC4-5D6E-409C-BE32-E72D297353CC}">
              <c16:uniqueId val="{00000025-0EAE-4C6E-9571-7FFC89E01C23}"/>
            </c:ext>
          </c:extLst>
        </c:ser>
        <c:ser>
          <c:idx val="33"/>
          <c:order val="32"/>
          <c:tx>
            <c:strRef>
              <c:f>UbiPluvio!$AI$3</c:f>
              <c:strCache>
                <c:ptCount val="1"/>
                <c:pt idx="0">
                  <c:v>Treinta y Tres</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UbiPluvio!$AI$4:$AI$52</c:f>
              <c:numCache>
                <c:formatCode>General</c:formatCode>
                <c:ptCount val="49"/>
                <c:pt idx="32">
                  <c:v>6323000</c:v>
                </c:pt>
              </c:numCache>
            </c:numRef>
          </c:yVal>
          <c:smooth val="0"/>
          <c:extLst>
            <c:ext xmlns:c16="http://schemas.microsoft.com/office/drawing/2014/chart" uri="{C3380CC4-5D6E-409C-BE32-E72D297353CC}">
              <c16:uniqueId val="{00000026-0EAE-4C6E-9571-7FFC89E01C23}"/>
            </c:ext>
          </c:extLst>
        </c:ser>
        <c:ser>
          <c:idx val="34"/>
          <c:order val="33"/>
          <c:tx>
            <c:strRef>
              <c:f>UbiPluvio!$AJ$3</c:f>
              <c:strCache>
                <c:ptCount val="1"/>
                <c:pt idx="0">
                  <c:v>Valentín (Pueblo Bazzini)</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UbiPluvio!$AJ$4:$AJ$52</c:f>
              <c:numCache>
                <c:formatCode>General</c:formatCode>
                <c:ptCount val="49"/>
                <c:pt idx="33">
                  <c:v>6539600</c:v>
                </c:pt>
              </c:numCache>
            </c:numRef>
          </c:yVal>
          <c:smooth val="0"/>
          <c:extLst>
            <c:ext xmlns:c16="http://schemas.microsoft.com/office/drawing/2014/chart" uri="{C3380CC4-5D6E-409C-BE32-E72D297353CC}">
              <c16:uniqueId val="{00000027-0EAE-4C6E-9571-7FFC89E01C23}"/>
            </c:ext>
          </c:extLst>
        </c:ser>
        <c:ser>
          <c:idx val="35"/>
          <c:order val="34"/>
          <c:tx>
            <c:strRef>
              <c:f>UbiPluvio!$AK$3</c:f>
              <c:strCache>
                <c:ptCount val="1"/>
                <c:pt idx="0">
                  <c:v>Vichadero</c:v>
                </c:pt>
              </c:strCache>
            </c:strRef>
          </c:tx>
          <c:spPr>
            <a:ln w="28575">
              <a:noFill/>
            </a:ln>
          </c:spPr>
          <c:marker>
            <c:symbol val="circle"/>
            <c:size val="10"/>
            <c:spPr>
              <a:noFill/>
              <a:ln>
                <a:solidFill>
                  <a:srgbClr val="0000FF"/>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FF"/>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UbiPluvio!$A$4:$A$52</c:f>
              <c:numCache>
                <c:formatCode>General</c:formatCode>
                <c:ptCount val="49"/>
                <c:pt idx="0">
                  <c:v>595500</c:v>
                </c:pt>
                <c:pt idx="1">
                  <c:v>658200</c:v>
                </c:pt>
                <c:pt idx="2">
                  <c:v>431500</c:v>
                </c:pt>
                <c:pt idx="3">
                  <c:v>511500</c:v>
                </c:pt>
                <c:pt idx="4">
                  <c:v>387500</c:v>
                </c:pt>
                <c:pt idx="5">
                  <c:v>513500</c:v>
                </c:pt>
                <c:pt idx="6">
                  <c:v>562300</c:v>
                </c:pt>
                <c:pt idx="7">
                  <c:v>294100</c:v>
                </c:pt>
                <c:pt idx="8">
                  <c:v>400400</c:v>
                </c:pt>
                <c:pt idx="9">
                  <c:v>571900</c:v>
                </c:pt>
                <c:pt idx="10">
                  <c:v>330200</c:v>
                </c:pt>
                <c:pt idx="11">
                  <c:v>717900</c:v>
                </c:pt>
                <c:pt idx="12">
                  <c:v>620000</c:v>
                </c:pt>
                <c:pt idx="13">
                  <c:v>618000</c:v>
                </c:pt>
                <c:pt idx="14">
                  <c:v>311500</c:v>
                </c:pt>
                <c:pt idx="15">
                  <c:v>651000</c:v>
                </c:pt>
                <c:pt idx="16">
                  <c:v>292000</c:v>
                </c:pt>
                <c:pt idx="17">
                  <c:v>436200</c:v>
                </c:pt>
                <c:pt idx="18">
                  <c:v>577200</c:v>
                </c:pt>
                <c:pt idx="19">
                  <c:v>290500</c:v>
                </c:pt>
                <c:pt idx="20">
                  <c:v>404000</c:v>
                </c:pt>
                <c:pt idx="21">
                  <c:v>463100</c:v>
                </c:pt>
                <c:pt idx="22">
                  <c:v>447700</c:v>
                </c:pt>
                <c:pt idx="23">
                  <c:v>302330.8</c:v>
                </c:pt>
                <c:pt idx="24">
                  <c:v>400000</c:v>
                </c:pt>
                <c:pt idx="25">
                  <c:v>525300</c:v>
                </c:pt>
                <c:pt idx="26">
                  <c:v>636800</c:v>
                </c:pt>
                <c:pt idx="27">
                  <c:v>292700</c:v>
                </c:pt>
                <c:pt idx="28">
                  <c:v>397100</c:v>
                </c:pt>
                <c:pt idx="29">
                  <c:v>483300</c:v>
                </c:pt>
                <c:pt idx="30">
                  <c:v>343000</c:v>
                </c:pt>
                <c:pt idx="31">
                  <c:v>502900</c:v>
                </c:pt>
                <c:pt idx="32">
                  <c:v>632000</c:v>
                </c:pt>
                <c:pt idx="33">
                  <c:v>366400</c:v>
                </c:pt>
                <c:pt idx="34">
                  <c:v>605000</c:v>
                </c:pt>
                <c:pt idx="35">
                  <c:v>431803</c:v>
                </c:pt>
                <c:pt idx="36">
                  <c:v>323000</c:v>
                </c:pt>
                <c:pt idx="37">
                  <c:v>420000</c:v>
                </c:pt>
                <c:pt idx="38">
                  <c:v>288625</c:v>
                </c:pt>
                <c:pt idx="39">
                  <c:v>651186</c:v>
                </c:pt>
                <c:pt idx="40">
                  <c:v>289464</c:v>
                </c:pt>
                <c:pt idx="41">
                  <c:v>431000</c:v>
                </c:pt>
                <c:pt idx="42">
                  <c:v>462795</c:v>
                </c:pt>
                <c:pt idx="43">
                  <c:v>636721</c:v>
                </c:pt>
                <c:pt idx="44">
                  <c:v>292429</c:v>
                </c:pt>
                <c:pt idx="45">
                  <c:v>481844</c:v>
                </c:pt>
                <c:pt idx="46">
                  <c:v>631612</c:v>
                </c:pt>
                <c:pt idx="47">
                  <c:v>396314</c:v>
                </c:pt>
                <c:pt idx="48">
                  <c:v>321856</c:v>
                </c:pt>
              </c:numCache>
            </c:numRef>
          </c:xVal>
          <c:yVal>
            <c:numRef>
              <c:f>UbiPluvio!$AK$4:$AK$52</c:f>
              <c:numCache>
                <c:formatCode>General</c:formatCode>
                <c:ptCount val="49"/>
                <c:pt idx="34">
                  <c:v>6484500</c:v>
                </c:pt>
              </c:numCache>
            </c:numRef>
          </c:yVal>
          <c:smooth val="0"/>
          <c:extLst>
            <c:ext xmlns:c16="http://schemas.microsoft.com/office/drawing/2014/chart" uri="{C3380CC4-5D6E-409C-BE32-E72D297353CC}">
              <c16:uniqueId val="{00000028-0EAE-4C6E-9571-7FFC89E01C23}"/>
            </c:ext>
          </c:extLst>
        </c:ser>
        <c:ser>
          <c:idx val="36"/>
          <c:order val="35"/>
          <c:tx>
            <c:strRef>
              <c:f>'Ingreso Datos'!$G$2:$K$2</c:f>
              <c:strCache>
                <c:ptCount val="1"/>
                <c:pt idx="0">
                  <c:v>Presa del Ejemplo del Manual</c:v>
                </c:pt>
              </c:strCache>
            </c:strRef>
          </c:tx>
          <c:spPr>
            <a:ln w="28575">
              <a:noFill/>
            </a:ln>
          </c:spPr>
          <c:marker>
            <c:symbol val="circle"/>
            <c:size val="12"/>
            <c:spPr>
              <a:solidFill>
                <a:srgbClr val="FF0000"/>
              </a:solidFill>
              <a:ln>
                <a:solidFill>
                  <a:srgbClr val="FF0000"/>
                </a:solidFill>
                <a:prstDash val="solid"/>
              </a:ln>
            </c:spPr>
          </c:marker>
          <c:xVal>
            <c:numRef>
              <c:f>'Ingreso Datos'!$J$5</c:f>
              <c:numCache>
                <c:formatCode>General</c:formatCode>
                <c:ptCount val="1"/>
                <c:pt idx="0">
                  <c:v>453500</c:v>
                </c:pt>
              </c:numCache>
            </c:numRef>
          </c:xVal>
          <c:yVal>
            <c:numRef>
              <c:f>'Ingreso Datos'!$J$6</c:f>
              <c:numCache>
                <c:formatCode>General</c:formatCode>
                <c:ptCount val="1"/>
                <c:pt idx="0">
                  <c:v>6592350</c:v>
                </c:pt>
              </c:numCache>
            </c:numRef>
          </c:yVal>
          <c:smooth val="0"/>
          <c:extLst>
            <c:ext xmlns:c16="http://schemas.microsoft.com/office/drawing/2014/chart" uri="{C3380CC4-5D6E-409C-BE32-E72D297353CC}">
              <c16:uniqueId val="{00000029-0EAE-4C6E-9571-7FFC89E01C23}"/>
            </c:ext>
          </c:extLst>
        </c:ser>
        <c:ser>
          <c:idx val="0"/>
          <c:order val="36"/>
          <c:tx>
            <c:v>Evap</c:v>
          </c:tx>
          <c:dLbls>
            <c:spPr>
              <a:noFill/>
              <a:ln w="25400">
                <a:noFill/>
              </a:ln>
            </c:spPr>
            <c:txPr>
              <a:bodyPr wrap="square" lIns="38100" tIns="19050" rIns="38100" bIns="19050" anchor="ctr">
                <a:spAutoFit/>
              </a:bodyPr>
              <a:lstStyle/>
              <a:p>
                <a:pPr>
                  <a:defRPr sz="1000" b="0" i="0" u="none" strike="noStrike" baseline="0">
                    <a:solidFill>
                      <a:srgbClr val="008000"/>
                    </a:solidFill>
                    <a:latin typeface="Calibri"/>
                    <a:ea typeface="Calibri"/>
                    <a:cs typeface="Calibri"/>
                  </a:defRPr>
                </a:pPr>
                <a:endParaRPr lang="es-UY"/>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'Evap Tanque'!$B$6:$B$19</c:f>
            </c:numRef>
          </c:xVal>
          <c:yVal>
            <c:numRef>
              <c:f>'Evap Tanque'!$C$6:$C$19</c:f>
            </c:numRef>
          </c:yVal>
          <c:smooth val="0"/>
          <c:extLst>
            <c:ext xmlns:c16="http://schemas.microsoft.com/office/drawing/2014/chart" uri="{C3380CC4-5D6E-409C-BE32-E72D297353CC}">
              <c16:uniqueId val="{0000002A-0EAE-4C6E-9571-7FFC89E01C23}"/>
            </c:ext>
          </c:extLst>
        </c:ser>
        <c:ser>
          <c:idx val="37"/>
          <c:order val="37"/>
          <c:tx>
            <c:v>Evap</c:v>
          </c:tx>
          <c:spPr>
            <a:ln w="28575">
              <a:noFill/>
            </a:ln>
          </c:spPr>
          <c:marker>
            <c:symbol val="square"/>
            <c:size val="5"/>
            <c:spPr>
              <a:noFill/>
              <a:ln w="15875">
                <a:solidFill>
                  <a:srgbClr val="339933"/>
                </a:solidFill>
              </a:ln>
            </c:spPr>
          </c:marker>
          <c:dLbls>
            <c:dLbl>
              <c:idx val="4"/>
              <c:layout>
                <c:manualLayout>
                  <c:x val="-7.3606607997529619E-2"/>
                  <c:y val="-1.7853488158338184E-2"/>
                </c:manualLayout>
              </c:layout>
              <c:spPr>
                <a:noFill/>
                <a:ln w="25400">
                  <a:noFill/>
                </a:ln>
              </c:spPr>
              <c:txPr>
                <a:bodyPr/>
                <a:lstStyle/>
                <a:p>
                  <a:pPr>
                    <a:defRPr sz="800">
                      <a:solidFill>
                        <a:schemeClr val="accent3">
                          <a:lumMod val="75000"/>
                        </a:schemeClr>
                      </a:solidFill>
                    </a:defRPr>
                  </a:pPr>
                  <a:endParaRPr lang="es-UY"/>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B-0EAE-4C6E-9571-7FFC89E01C23}"/>
                </c:ext>
              </c:extLst>
            </c:dLbl>
            <c:spPr>
              <a:noFill/>
              <a:ln w="25400">
                <a:noFill/>
              </a:ln>
            </c:spPr>
            <c:txPr>
              <a:bodyPr/>
              <a:lstStyle/>
              <a:p>
                <a:pPr>
                  <a:defRPr sz="800">
                    <a:solidFill>
                      <a:schemeClr val="accent3">
                        <a:lumMod val="75000"/>
                      </a:schemeClr>
                    </a:solidFill>
                  </a:defRPr>
                </a:pPr>
                <a:endParaRPr lang="es-UY"/>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UbiPluvio!$A$39:$A$52</c:f>
              <c:numCache>
                <c:formatCode>General</c:formatCode>
                <c:ptCount val="14"/>
                <c:pt idx="0">
                  <c:v>431803</c:v>
                </c:pt>
                <c:pt idx="1">
                  <c:v>323000</c:v>
                </c:pt>
                <c:pt idx="2">
                  <c:v>420000</c:v>
                </c:pt>
                <c:pt idx="3">
                  <c:v>288625</c:v>
                </c:pt>
                <c:pt idx="4">
                  <c:v>651186</c:v>
                </c:pt>
                <c:pt idx="5">
                  <c:v>289464</c:v>
                </c:pt>
                <c:pt idx="6">
                  <c:v>431000</c:v>
                </c:pt>
                <c:pt idx="7">
                  <c:v>462795</c:v>
                </c:pt>
                <c:pt idx="8">
                  <c:v>636721</c:v>
                </c:pt>
                <c:pt idx="9">
                  <c:v>292429</c:v>
                </c:pt>
                <c:pt idx="10">
                  <c:v>481844</c:v>
                </c:pt>
                <c:pt idx="11">
                  <c:v>631612</c:v>
                </c:pt>
                <c:pt idx="12">
                  <c:v>396314</c:v>
                </c:pt>
                <c:pt idx="13">
                  <c:v>321856</c:v>
                </c:pt>
              </c:numCache>
            </c:numRef>
          </c:xVal>
          <c:yVal>
            <c:numRef>
              <c:f>UbiPluvio!$B$39:$B$52</c:f>
              <c:numCache>
                <c:formatCode>General</c:formatCode>
                <c:ptCount val="14"/>
                <c:pt idx="0">
                  <c:v>6637780</c:v>
                </c:pt>
                <c:pt idx="1">
                  <c:v>6650000</c:v>
                </c:pt>
                <c:pt idx="2">
                  <c:v>6172000</c:v>
                </c:pt>
                <c:pt idx="3">
                  <c:v>6319482</c:v>
                </c:pt>
                <c:pt idx="4">
                  <c:v>6418512</c:v>
                </c:pt>
                <c:pt idx="5">
                  <c:v>6419583</c:v>
                </c:pt>
                <c:pt idx="6">
                  <c:v>6372000</c:v>
                </c:pt>
                <c:pt idx="7">
                  <c:v>6142916</c:v>
                </c:pt>
                <c:pt idx="8">
                  <c:v>6182868</c:v>
                </c:pt>
                <c:pt idx="9">
                  <c:v>6521206</c:v>
                </c:pt>
                <c:pt idx="10">
                  <c:v>6492334</c:v>
                </c:pt>
                <c:pt idx="11">
                  <c:v>6324060</c:v>
                </c:pt>
                <c:pt idx="12">
                  <c:v>6289427</c:v>
                </c:pt>
                <c:pt idx="13">
                  <c:v>6381178</c:v>
                </c:pt>
              </c:numCache>
            </c:numRef>
          </c:yVal>
          <c:smooth val="0"/>
          <c:extLst>
            <c:ext xmlns:c16="http://schemas.microsoft.com/office/drawing/2014/chart" uri="{C3380CC4-5D6E-409C-BE32-E72D297353CC}">
              <c16:uniqueId val="{0000002C-0EAE-4C6E-9571-7FFC89E01C23}"/>
            </c:ext>
          </c:extLst>
        </c:ser>
        <c:dLbls>
          <c:showLegendKey val="0"/>
          <c:showVal val="0"/>
          <c:showCatName val="0"/>
          <c:showSerName val="0"/>
          <c:showPercent val="0"/>
          <c:showBubbleSize val="0"/>
        </c:dLbls>
        <c:axId val="1592401056"/>
        <c:axId val="1"/>
      </c:scatterChart>
      <c:valAx>
        <c:axId val="1592401056"/>
        <c:scaling>
          <c:orientation val="minMax"/>
          <c:max val="750000"/>
          <c:min val="250000"/>
        </c:scaling>
        <c:delete val="0"/>
        <c:axPos val="b"/>
        <c:majorGridlines>
          <c:spPr>
            <a:ln w="3175">
              <a:solidFill>
                <a:srgbClr val="C0C0C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s-UY"/>
                  <a:t>COORDENADA 'X'</a:t>
                </a:r>
              </a:p>
            </c:rich>
          </c:tx>
          <c:layout>
            <c:manualLayout>
              <c:xMode val="edge"/>
              <c:yMode val="edge"/>
              <c:x val="0.42703891180269138"/>
              <c:y val="0.93774401246719163"/>
            </c:manualLayout>
          </c:layout>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UY"/>
          </a:p>
        </c:txPr>
        <c:crossAx val="1"/>
        <c:crosses val="autoZero"/>
        <c:crossBetween val="midCat"/>
        <c:majorUnit val="50000"/>
        <c:dispUnits>
          <c:builtInUnit val="thousands"/>
          <c:dispUnitsLbl>
            <c:spPr>
              <a:noFill/>
              <a:ln w="25400">
                <a:noFill/>
              </a:ln>
            </c:spPr>
            <c:txPr>
              <a:bodyPr rot="0" vert="horz"/>
              <a:lstStyle/>
              <a:p>
                <a:pPr algn="ctr">
                  <a:defRPr sz="1000" b="1" i="0" u="none" strike="noStrike" baseline="0">
                    <a:solidFill>
                      <a:srgbClr val="000000"/>
                    </a:solidFill>
                    <a:latin typeface="Calibri"/>
                    <a:ea typeface="Calibri"/>
                    <a:cs typeface="Calibri"/>
                  </a:defRPr>
                </a:pPr>
                <a:endParaRPr lang="es-UY"/>
              </a:p>
            </c:txPr>
          </c:dispUnitsLbl>
        </c:dispUnits>
      </c:valAx>
      <c:valAx>
        <c:axId val="1"/>
        <c:scaling>
          <c:orientation val="minMax"/>
          <c:max val="6700000"/>
          <c:min val="610000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s-UY"/>
                  <a:t>COORDENADA  'Y'</a:t>
                </a:r>
              </a:p>
            </c:rich>
          </c:tx>
          <c:overlay val="0"/>
          <c:spPr>
            <a:noFill/>
            <a:ln w="25400">
              <a:noFill/>
            </a:ln>
          </c:spPr>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UY"/>
          </a:p>
        </c:txPr>
        <c:crossAx val="1592401056"/>
        <c:crosses val="autoZero"/>
        <c:crossBetween val="midCat"/>
        <c:majorUnit val="50000"/>
        <c:dispUnits>
          <c:builtInUnit val="thousands"/>
          <c:dispUnitsLbl>
            <c:spPr>
              <a:noFill/>
              <a:ln w="25400">
                <a:noFill/>
              </a:ln>
            </c:spPr>
            <c:txPr>
              <a:bodyPr rot="-5400000" vert="horz"/>
              <a:lstStyle/>
              <a:p>
                <a:pPr algn="ctr">
                  <a:defRPr sz="1000" b="1" i="0" u="none" strike="noStrike" baseline="0">
                    <a:solidFill>
                      <a:srgbClr val="000000"/>
                    </a:solidFill>
                    <a:latin typeface="Calibri"/>
                    <a:ea typeface="Calibri"/>
                    <a:cs typeface="Calibri"/>
                  </a:defRPr>
                </a:pPr>
                <a:endParaRPr lang="es-UY"/>
              </a:p>
            </c:txPr>
          </c:dispUnitsLbl>
        </c:dispUnits>
      </c:valAx>
      <c:spPr>
        <a:blipFill>
          <a:blip xmlns:r="http://schemas.openxmlformats.org/officeDocument/2006/relationships" r:embed="rId1"/>
          <a:stretch>
            <a:fillRect/>
          </a:stretch>
        </a:blipFill>
      </c:spPr>
    </c:plotArea>
    <c:legend>
      <c:legendPos val="r"/>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ayout>
        <c:manualLayout>
          <c:xMode val="edge"/>
          <c:yMode val="edge"/>
          <c:x val="0.6701469692305374"/>
          <c:y val="0.15922845273717162"/>
          <c:w val="0.31328852121922957"/>
          <c:h val="0.12427586555096322"/>
        </c:manualLayout>
      </c:layout>
      <c:overlay val="0"/>
      <c:spPr>
        <a:solidFill>
          <a:srgbClr val="FFFFFF"/>
        </a:solidFill>
        <a:ln w="3175">
          <a:solidFill>
            <a:srgbClr val="000000"/>
          </a:solidFill>
          <a:prstDash val="solid"/>
        </a:ln>
      </c:spPr>
      <c:txPr>
        <a:bodyPr/>
        <a:lstStyle/>
        <a:p>
          <a:pPr>
            <a:defRPr sz="1050" b="0" i="0" u="none" strike="noStrike" baseline="0">
              <a:solidFill>
                <a:srgbClr val="000000"/>
              </a:solidFill>
              <a:latin typeface="Calibri"/>
              <a:ea typeface="Calibri"/>
              <a:cs typeface="Calibri"/>
            </a:defRPr>
          </a:pPr>
          <a:endParaRPr lang="es-UY"/>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UY"/>
    </a:p>
  </c:txPr>
  <c:printSettings>
    <c:headerFooter/>
    <c:pageMargins b="0.75" l="0.7" r="0.7" t="0.75" header="0.3" footer="0.3"/>
    <c:pageSetup paperSize="9" orientation="landscape" horizontalDpi="-1"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UY" sz="1000" b="1" i="0" u="none" strike="noStrike" baseline="0">
                <a:solidFill>
                  <a:srgbClr val="000000"/>
                </a:solidFill>
                <a:latin typeface="Calibri"/>
                <a:cs typeface="Calibri"/>
              </a:rPr>
              <a:t>Ubicación de la cuenca en el Mapa 3.1 </a:t>
            </a:r>
          </a:p>
          <a:p>
            <a:pPr>
              <a:defRPr sz="1000" b="0" i="0" u="none" strike="noStrike" baseline="0">
                <a:solidFill>
                  <a:srgbClr val="000000"/>
                </a:solidFill>
                <a:latin typeface="Calibri"/>
                <a:ea typeface="Calibri"/>
                <a:cs typeface="Calibri"/>
              </a:defRPr>
            </a:pPr>
            <a:r>
              <a:rPr lang="es-UY" sz="1000" b="1" i="0" u="none" strike="noStrike" baseline="0">
                <a:solidFill>
                  <a:srgbClr val="000000"/>
                </a:solidFill>
                <a:latin typeface="Calibri"/>
                <a:cs typeface="Calibri"/>
              </a:rPr>
              <a:t>Curvas IDF - Intensidad Duración Frecuencia</a:t>
            </a:r>
          </a:p>
        </c:rich>
      </c:tx>
      <c:layout>
        <c:manualLayout>
          <c:xMode val="edge"/>
          <c:yMode val="edge"/>
          <c:x val="0.47058819920237238"/>
          <c:y val="1.9455414931772271E-2"/>
        </c:manualLayout>
      </c:layout>
      <c:overlay val="1"/>
      <c:spPr>
        <a:solidFill>
          <a:schemeClr val="bg1"/>
        </a:solidFill>
        <a:ln>
          <a:solidFill>
            <a:schemeClr val="tx1"/>
          </a:solidFill>
        </a:ln>
      </c:spPr>
    </c:title>
    <c:autoTitleDeleted val="0"/>
    <c:plotArea>
      <c:layout>
        <c:manualLayout>
          <c:layoutTarget val="inner"/>
          <c:xMode val="edge"/>
          <c:yMode val="edge"/>
          <c:x val="0.14705882352941177"/>
          <c:y val="4.0856069940180741E-2"/>
          <c:w val="0.78991596638655459"/>
          <c:h val="0.81712139880361478"/>
        </c:manualLayout>
      </c:layout>
      <c:scatterChart>
        <c:scatterStyle val="lineMarker"/>
        <c:varyColors val="0"/>
        <c:ser>
          <c:idx val="0"/>
          <c:order val="0"/>
          <c:tx>
            <c:strRef>
              <c:f>'Ingreso Datos'!$G$2:$K$2</c:f>
              <c:strCache>
                <c:ptCount val="5"/>
                <c:pt idx="0">
                  <c:v>Presa del Ejemplo del Manual</c:v>
                </c:pt>
              </c:strCache>
            </c:strRef>
          </c:tx>
          <c:spPr>
            <a:ln w="12700">
              <a:solidFill>
                <a:srgbClr val="000080"/>
              </a:solidFill>
              <a:prstDash val="solid"/>
            </a:ln>
          </c:spPr>
          <c:marker>
            <c:symbol val="circle"/>
            <c:size val="12"/>
            <c:spPr>
              <a:solidFill>
                <a:srgbClr val="FF0000"/>
              </a:solidFill>
              <a:ln>
                <a:solidFill>
                  <a:srgbClr val="FF0000"/>
                </a:solidFill>
                <a:prstDash val="solid"/>
              </a:ln>
            </c:spPr>
          </c:marker>
          <c:dLbls>
            <c:spPr>
              <a:solidFill>
                <a:srgbClr val="FFFFFF"/>
              </a:solidFill>
              <a:ln w="3175">
                <a:solidFill>
                  <a:srgbClr val="800000"/>
                </a:solidFill>
                <a:prstDash val="solid"/>
              </a:ln>
            </c:spPr>
            <c:txPr>
              <a:bodyPr wrap="square" lIns="38100" tIns="19050" rIns="38100" bIns="19050" anchor="ctr">
                <a:spAutoFit/>
              </a:bodyPr>
              <a:lstStyle/>
              <a:p>
                <a:pPr>
                  <a:defRPr sz="1000" b="1" i="0" u="none" strike="noStrike" baseline="0">
                    <a:solidFill>
                      <a:srgbClr val="800000"/>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'Ingreso Datos'!$J$5</c:f>
              <c:numCache>
                <c:formatCode>General</c:formatCode>
                <c:ptCount val="1"/>
                <c:pt idx="0">
                  <c:v>453500</c:v>
                </c:pt>
              </c:numCache>
            </c:numRef>
          </c:xVal>
          <c:yVal>
            <c:numRef>
              <c:f>'Ingreso Datos'!$J$6</c:f>
              <c:numCache>
                <c:formatCode>General</c:formatCode>
                <c:ptCount val="1"/>
                <c:pt idx="0">
                  <c:v>6592350</c:v>
                </c:pt>
              </c:numCache>
            </c:numRef>
          </c:yVal>
          <c:smooth val="0"/>
          <c:extLst>
            <c:ext xmlns:c16="http://schemas.microsoft.com/office/drawing/2014/chart" uri="{C3380CC4-5D6E-409C-BE32-E72D297353CC}">
              <c16:uniqueId val="{00000000-353F-4B9F-B7F2-99AFE74A51FC}"/>
            </c:ext>
          </c:extLst>
        </c:ser>
        <c:dLbls>
          <c:showLegendKey val="0"/>
          <c:showVal val="0"/>
          <c:showCatName val="0"/>
          <c:showSerName val="0"/>
          <c:showPercent val="0"/>
          <c:showBubbleSize val="0"/>
        </c:dLbls>
        <c:axId val="1592394816"/>
        <c:axId val="1"/>
      </c:scatterChart>
      <c:valAx>
        <c:axId val="1592394816"/>
        <c:scaling>
          <c:orientation val="minMax"/>
          <c:max val="750000"/>
          <c:min val="250000"/>
        </c:scaling>
        <c:delete val="0"/>
        <c:axPos val="b"/>
        <c:majorGridlines>
          <c:spPr>
            <a:ln w="3175">
              <a:solidFill>
                <a:srgbClr val="C0C0C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s-UY"/>
                  <a:t>COORDENADA 'X'</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UY"/>
          </a:p>
        </c:txPr>
        <c:crossAx val="1"/>
        <c:crosses val="autoZero"/>
        <c:crossBetween val="midCat"/>
        <c:majorUnit val="50000"/>
        <c:dispUnits>
          <c:builtInUnit val="thousands"/>
          <c:dispUnitsLbl>
            <c:spPr>
              <a:noFill/>
              <a:ln w="25400">
                <a:noFill/>
              </a:ln>
            </c:spPr>
            <c:txPr>
              <a:bodyPr rot="0" vert="horz"/>
              <a:lstStyle/>
              <a:p>
                <a:pPr algn="ctr">
                  <a:defRPr sz="1000" b="1" i="0" u="none" strike="noStrike" baseline="0">
                    <a:solidFill>
                      <a:srgbClr val="000000"/>
                    </a:solidFill>
                    <a:latin typeface="Calibri"/>
                    <a:ea typeface="Calibri"/>
                    <a:cs typeface="Calibri"/>
                  </a:defRPr>
                </a:pPr>
                <a:endParaRPr lang="es-UY"/>
              </a:p>
            </c:txPr>
          </c:dispUnitsLbl>
        </c:dispUnits>
      </c:valAx>
      <c:valAx>
        <c:axId val="1"/>
        <c:scaling>
          <c:orientation val="minMax"/>
          <c:max val="6700000"/>
          <c:min val="610000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s-UY"/>
                  <a:t>COORDENADA  'Y'</a:t>
                </a:r>
              </a:p>
            </c:rich>
          </c:tx>
          <c:overlay val="0"/>
          <c:spPr>
            <a:noFill/>
            <a:ln w="25400">
              <a:noFill/>
            </a:ln>
          </c:spPr>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UY"/>
          </a:p>
        </c:txPr>
        <c:crossAx val="1592394816"/>
        <c:crosses val="autoZero"/>
        <c:crossBetween val="midCat"/>
        <c:majorUnit val="50000"/>
        <c:dispUnits>
          <c:builtInUnit val="thousands"/>
          <c:dispUnitsLbl>
            <c:spPr>
              <a:noFill/>
              <a:ln w="25400">
                <a:noFill/>
              </a:ln>
            </c:spPr>
            <c:txPr>
              <a:bodyPr rot="-5400000" vert="horz"/>
              <a:lstStyle/>
              <a:p>
                <a:pPr algn="ctr">
                  <a:defRPr sz="1000" b="1" i="0" u="none" strike="noStrike" baseline="0">
                    <a:solidFill>
                      <a:srgbClr val="000000"/>
                    </a:solidFill>
                    <a:latin typeface="Calibri"/>
                    <a:ea typeface="Calibri"/>
                    <a:cs typeface="Calibri"/>
                  </a:defRPr>
                </a:pPr>
                <a:endParaRPr lang="es-UY"/>
              </a:p>
            </c:txPr>
          </c:dispUnitsLbl>
        </c:dispUnits>
      </c:valAx>
      <c:spPr>
        <a:blipFill>
          <a:blip xmlns:r="http://schemas.openxmlformats.org/officeDocument/2006/relationships" r:embed="rId1"/>
          <a:stretch>
            <a:fillRect/>
          </a:stretch>
        </a:blipFill>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UY"/>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s-UY"/>
              <a:t>Curvas Cota-Área-Volumen del embalse</a:t>
            </a:r>
          </a:p>
        </c:rich>
      </c:tx>
      <c:layout>
        <c:manualLayout>
          <c:xMode val="edge"/>
          <c:yMode val="edge"/>
          <c:x val="0.27930341949911325"/>
          <c:y val="2.5062421545132947E-2"/>
        </c:manualLayout>
      </c:layout>
      <c:overlay val="0"/>
      <c:spPr>
        <a:noFill/>
        <a:ln w="25400">
          <a:noFill/>
        </a:ln>
      </c:spPr>
    </c:title>
    <c:autoTitleDeleted val="0"/>
    <c:plotArea>
      <c:layout>
        <c:manualLayout>
          <c:layoutTarget val="inner"/>
          <c:xMode val="edge"/>
          <c:yMode val="edge"/>
          <c:x val="0.12213767014169197"/>
          <c:y val="0.18739070315125531"/>
          <c:w val="0.75445456660440957"/>
          <c:h val="0.60770629900453821"/>
        </c:manualLayout>
      </c:layout>
      <c:scatterChart>
        <c:scatterStyle val="lineMarker"/>
        <c:varyColors val="0"/>
        <c:ser>
          <c:idx val="0"/>
          <c:order val="1"/>
          <c:tx>
            <c:strRef>
              <c:f>'Ingreso Datos'!$C$8:$C$9</c:f>
              <c:strCache>
                <c:ptCount val="2"/>
                <c:pt idx="0">
                  <c:v>Área medida (Há)</c:v>
                </c:pt>
              </c:strCache>
            </c:strRef>
          </c:tx>
          <c:spPr>
            <a:ln w="28575">
              <a:noFill/>
            </a:ln>
          </c:spPr>
          <c:marker>
            <c:symbol val="circle"/>
            <c:size val="7"/>
            <c:spPr>
              <a:solidFill>
                <a:srgbClr val="0000FF"/>
              </a:solidFill>
              <a:ln>
                <a:solidFill>
                  <a:srgbClr val="0000FF"/>
                </a:solidFill>
                <a:prstDash val="solid"/>
              </a:ln>
            </c:spPr>
          </c:marker>
          <c:xVal>
            <c:numRef>
              <c:f>'Ingreso Datos'!$C$10:$C$30</c:f>
              <c:numCache>
                <c:formatCode>General</c:formatCode>
                <c:ptCount val="21"/>
                <c:pt idx="0">
                  <c:v>37.700000000000003</c:v>
                </c:pt>
                <c:pt idx="1">
                  <c:v>84.4</c:v>
                </c:pt>
                <c:pt idx="2">
                  <c:v>135.9</c:v>
                </c:pt>
                <c:pt idx="3">
                  <c:v>177</c:v>
                </c:pt>
                <c:pt idx="4">
                  <c:v>224.6</c:v>
                </c:pt>
                <c:pt idx="5">
                  <c:v>300.89999999999998</c:v>
                </c:pt>
              </c:numCache>
            </c:numRef>
          </c:xVal>
          <c:yVal>
            <c:numRef>
              <c:f>'Ingreso Datos'!$B$10:$B$29</c:f>
              <c:numCache>
                <c:formatCode>General</c:formatCode>
                <c:ptCount val="20"/>
                <c:pt idx="0">
                  <c:v>101.2</c:v>
                </c:pt>
                <c:pt idx="1">
                  <c:v>102.2</c:v>
                </c:pt>
                <c:pt idx="2">
                  <c:v>103.2</c:v>
                </c:pt>
                <c:pt idx="3">
                  <c:v>104.2</c:v>
                </c:pt>
                <c:pt idx="4">
                  <c:v>105.2</c:v>
                </c:pt>
                <c:pt idx="5">
                  <c:v>106.2</c:v>
                </c:pt>
              </c:numCache>
            </c:numRef>
          </c:yVal>
          <c:smooth val="0"/>
          <c:extLst>
            <c:ext xmlns:c16="http://schemas.microsoft.com/office/drawing/2014/chart" uri="{C3380CC4-5D6E-409C-BE32-E72D297353CC}">
              <c16:uniqueId val="{00000000-7E70-49AA-8830-9028ADECBF50}"/>
            </c:ext>
          </c:extLst>
        </c:ser>
        <c:ser>
          <c:idx val="1"/>
          <c:order val="2"/>
          <c:tx>
            <c:strRef>
              <c:f>'Geom Emb'!$H$16</c:f>
              <c:strCache>
                <c:ptCount val="1"/>
                <c:pt idx="0">
                  <c:v>Área (Há) = F1(Cota)</c:v>
                </c:pt>
              </c:strCache>
            </c:strRef>
          </c:tx>
          <c:spPr>
            <a:ln w="50800">
              <a:solidFill>
                <a:srgbClr val="0000FF"/>
              </a:solidFill>
            </a:ln>
          </c:spPr>
          <c:marker>
            <c:symbol val="none"/>
          </c:marker>
          <c:xVal>
            <c:numRef>
              <c:f>'Geom Emb'!$H$17:$H$36</c:f>
              <c:numCache>
                <c:formatCode>0.0</c:formatCode>
                <c:ptCount val="20"/>
                <c:pt idx="0">
                  <c:v>41.755781281892666</c:v>
                </c:pt>
                <c:pt idx="1">
                  <c:v>77.320527162992761</c:v>
                </c:pt>
                <c:pt idx="2">
                  <c:v>122.356130295593</c:v>
                </c:pt>
                <c:pt idx="3">
                  <c:v>176.41762040906599</c:v>
                </c:pt>
                <c:pt idx="4">
                  <c:v>239.16691306842282</c:v>
                </c:pt>
                <c:pt idx="5">
                  <c:v>310.33320590390042</c:v>
                </c:pt>
                <c:pt idx="6">
                  <c:v>310.33320590390042</c:v>
                </c:pt>
                <c:pt idx="7">
                  <c:v>310.33320590390042</c:v>
                </c:pt>
                <c:pt idx="8">
                  <c:v>310.33320590390042</c:v>
                </c:pt>
                <c:pt idx="9">
                  <c:v>310.33320590390042</c:v>
                </c:pt>
                <c:pt idx="10">
                  <c:v>310.33320590390042</c:v>
                </c:pt>
                <c:pt idx="11">
                  <c:v>310.33320590390042</c:v>
                </c:pt>
                <c:pt idx="12">
                  <c:v>310.33320590390042</c:v>
                </c:pt>
                <c:pt idx="13">
                  <c:v>310.33320590390042</c:v>
                </c:pt>
                <c:pt idx="14">
                  <c:v>310.33320590390042</c:v>
                </c:pt>
                <c:pt idx="15">
                  <c:v>310.33320590390042</c:v>
                </c:pt>
                <c:pt idx="16">
                  <c:v>310.33320590390042</c:v>
                </c:pt>
                <c:pt idx="17">
                  <c:v>310.33320590390042</c:v>
                </c:pt>
                <c:pt idx="18">
                  <c:v>310.33320590390042</c:v>
                </c:pt>
                <c:pt idx="19">
                  <c:v>310.33320590390042</c:v>
                </c:pt>
              </c:numCache>
            </c:numRef>
          </c:xVal>
          <c:yVal>
            <c:numRef>
              <c:f>'Ingreso Datos'!$B$10:$B$29</c:f>
              <c:numCache>
                <c:formatCode>General</c:formatCode>
                <c:ptCount val="20"/>
                <c:pt idx="0">
                  <c:v>101.2</c:v>
                </c:pt>
                <c:pt idx="1">
                  <c:v>102.2</c:v>
                </c:pt>
                <c:pt idx="2">
                  <c:v>103.2</c:v>
                </c:pt>
                <c:pt idx="3">
                  <c:v>104.2</c:v>
                </c:pt>
                <c:pt idx="4">
                  <c:v>105.2</c:v>
                </c:pt>
                <c:pt idx="5">
                  <c:v>106.2</c:v>
                </c:pt>
              </c:numCache>
            </c:numRef>
          </c:yVal>
          <c:smooth val="1"/>
          <c:extLst>
            <c:ext xmlns:c16="http://schemas.microsoft.com/office/drawing/2014/chart" uri="{C3380CC4-5D6E-409C-BE32-E72D297353CC}">
              <c16:uniqueId val="{00000001-7E70-49AA-8830-9028ADECBF50}"/>
            </c:ext>
          </c:extLst>
        </c:ser>
        <c:ser>
          <c:idx val="3"/>
          <c:order val="3"/>
          <c:tx>
            <c:strRef>
              <c:f>'Geom Emb'!$E$40</c:f>
              <c:strCache>
                <c:ptCount val="1"/>
                <c:pt idx="0">
                  <c:v>Cota  Toma</c:v>
                </c:pt>
              </c:strCache>
            </c:strRef>
          </c:tx>
          <c:spPr>
            <a:ln>
              <a:solidFill>
                <a:schemeClr val="tx1"/>
              </a:solidFill>
              <a:prstDash val="lgDashDot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7E70-49AA-8830-9028ADECBF50}"/>
                </c:ext>
              </c:extLst>
            </c:dLbl>
            <c:spPr>
              <a:noFill/>
              <a:ln w="25400">
                <a:noFill/>
              </a:ln>
            </c:spPr>
            <c:txPr>
              <a:bodyPr wrap="square" lIns="38100" tIns="19050" rIns="38100" bIns="19050" anchor="ctr">
                <a:spAutoFit/>
              </a:bodyPr>
              <a:lstStyle/>
              <a:p>
                <a:pPr>
                  <a:defRPr sz="900" b="1" i="0" u="none" strike="noStrike" baseline="0">
                    <a:solidFill>
                      <a:srgbClr val="000000"/>
                    </a:solidFill>
                    <a:latin typeface="Arial"/>
                    <a:ea typeface="Arial"/>
                    <a:cs typeface="Arial"/>
                  </a:defRPr>
                </a:pPr>
                <a:endParaRPr lang="es-UY"/>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xVal>
            <c:numRef>
              <c:f>'Geom Emb'!$E$41:$E$42</c:f>
              <c:numCache>
                <c:formatCode>0.0</c:formatCode>
                <c:ptCount val="2"/>
                <c:pt idx="0">
                  <c:v>0</c:v>
                </c:pt>
                <c:pt idx="1">
                  <c:v>150.44999999999999</c:v>
                </c:pt>
              </c:numCache>
            </c:numRef>
          </c:xVal>
          <c:yVal>
            <c:numRef>
              <c:f>'Geom Emb'!$D$41:$D$42</c:f>
              <c:numCache>
                <c:formatCode>0.0</c:formatCode>
                <c:ptCount val="2"/>
                <c:pt idx="0">
                  <c:v>100.5</c:v>
                </c:pt>
                <c:pt idx="1">
                  <c:v>100.5</c:v>
                </c:pt>
              </c:numCache>
            </c:numRef>
          </c:yVal>
          <c:smooth val="0"/>
          <c:extLst>
            <c:ext xmlns:c16="http://schemas.microsoft.com/office/drawing/2014/chart" uri="{C3380CC4-5D6E-409C-BE32-E72D297353CC}">
              <c16:uniqueId val="{00000003-7E70-49AA-8830-9028ADECBF50}"/>
            </c:ext>
          </c:extLst>
        </c:ser>
        <c:ser>
          <c:idx val="4"/>
          <c:order val="4"/>
          <c:tx>
            <c:strRef>
              <c:f>'Geom Emb'!$F$40</c:f>
              <c:strCache>
                <c:ptCount val="1"/>
                <c:pt idx="0">
                  <c:v>Cota Vertedero</c:v>
                </c:pt>
              </c:strCache>
            </c:strRef>
          </c:tx>
          <c:spPr>
            <a:ln>
              <a:solidFill>
                <a:schemeClr val="tx1"/>
              </a:solidFill>
              <a:prstDash val="lgDashDotDot"/>
            </a:ln>
          </c:spPr>
          <c:marker>
            <c:symbol val="none"/>
          </c:marker>
          <c:dLbls>
            <c:dLbl>
              <c:idx val="0"/>
              <c:layout>
                <c:manualLayout>
                  <c:x val="-2.1688879078147769E-3"/>
                  <c:y val="-2.9043603060491762E-2"/>
                </c:manualLayout>
              </c:layout>
              <c:spPr>
                <a:noFill/>
                <a:ln w="25400">
                  <a:noFill/>
                </a:ln>
              </c:spPr>
              <c:txPr>
                <a:bodyPr/>
                <a:lstStyle/>
                <a:p>
                  <a:pPr>
                    <a:defRPr sz="900" b="1" i="0" u="none" strike="noStrike" baseline="0">
                      <a:solidFill>
                        <a:srgbClr val="000000"/>
                      </a:solidFill>
                      <a:latin typeface="Arial"/>
                      <a:ea typeface="Arial"/>
                      <a:cs typeface="Arial"/>
                    </a:defRPr>
                  </a:pPr>
                  <a:endParaRPr lang="es-UY"/>
                </a:p>
              </c:tx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7E70-49AA-8830-9028ADECBF50}"/>
                </c:ext>
              </c:extLst>
            </c:dLbl>
            <c:dLbl>
              <c:idx val="1"/>
              <c:delete val="1"/>
              <c:extLst>
                <c:ext xmlns:c15="http://schemas.microsoft.com/office/drawing/2012/chart" uri="{CE6537A1-D6FC-4f65-9D91-7224C49458BB}"/>
                <c:ext xmlns:c16="http://schemas.microsoft.com/office/drawing/2014/chart" uri="{C3380CC4-5D6E-409C-BE32-E72D297353CC}">
                  <c16:uniqueId val="{00000005-7E70-49AA-8830-9028ADECBF50}"/>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es-UY"/>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xVal>
            <c:numRef>
              <c:f>'Geom Emb'!$F$43:$F$44</c:f>
              <c:numCache>
                <c:formatCode>0.0</c:formatCode>
                <c:ptCount val="2"/>
                <c:pt idx="0">
                  <c:v>0</c:v>
                </c:pt>
                <c:pt idx="1">
                  <c:v>300.89999999999998</c:v>
                </c:pt>
              </c:numCache>
            </c:numRef>
          </c:xVal>
          <c:yVal>
            <c:numRef>
              <c:f>'Geom Emb'!$D$43:$D$44</c:f>
              <c:numCache>
                <c:formatCode>0.0</c:formatCode>
                <c:ptCount val="2"/>
                <c:pt idx="0">
                  <c:v>106</c:v>
                </c:pt>
                <c:pt idx="1">
                  <c:v>106</c:v>
                </c:pt>
              </c:numCache>
            </c:numRef>
          </c:yVal>
          <c:smooth val="0"/>
          <c:extLst>
            <c:ext xmlns:c16="http://schemas.microsoft.com/office/drawing/2014/chart" uri="{C3380CC4-5D6E-409C-BE32-E72D297353CC}">
              <c16:uniqueId val="{00000006-7E70-49AA-8830-9028ADECBF50}"/>
            </c:ext>
          </c:extLst>
        </c:ser>
        <c:ser>
          <c:idx val="5"/>
          <c:order val="5"/>
          <c:tx>
            <c:v>Escala izq</c:v>
          </c:tx>
          <c:spPr>
            <a:ln w="28575">
              <a:noFill/>
            </a:ln>
          </c:spPr>
          <c:marker>
            <c:symbol val="none"/>
          </c:marker>
          <c:xVal>
            <c:numRef>
              <c:f>'Geom Emb'!$G$41:$G$46</c:f>
              <c:numCache>
                <c:formatCode>General</c:formatCode>
                <c:ptCount val="6"/>
                <c:pt idx="4" formatCode="0.0">
                  <c:v>0</c:v>
                </c:pt>
                <c:pt idx="5" formatCode="0.0">
                  <c:v>310.33320590390042</c:v>
                </c:pt>
              </c:numCache>
            </c:numRef>
          </c:xVal>
          <c:yVal>
            <c:numRef>
              <c:f>'Geom Emb'!$D$41:$D$46</c:f>
              <c:numCache>
                <c:formatCode>0.0</c:formatCode>
                <c:ptCount val="6"/>
                <c:pt idx="0">
                  <c:v>100.5</c:v>
                </c:pt>
                <c:pt idx="1">
                  <c:v>100.5</c:v>
                </c:pt>
                <c:pt idx="2">
                  <c:v>106</c:v>
                </c:pt>
                <c:pt idx="3">
                  <c:v>106</c:v>
                </c:pt>
                <c:pt idx="4">
                  <c:v>100.5</c:v>
                </c:pt>
                <c:pt idx="5">
                  <c:v>106.2</c:v>
                </c:pt>
              </c:numCache>
            </c:numRef>
          </c:yVal>
          <c:smooth val="0"/>
          <c:extLst>
            <c:ext xmlns:c16="http://schemas.microsoft.com/office/drawing/2014/chart" uri="{C3380CC4-5D6E-409C-BE32-E72D297353CC}">
              <c16:uniqueId val="{00000007-7E70-49AA-8830-9028ADECBF50}"/>
            </c:ext>
          </c:extLst>
        </c:ser>
        <c:dLbls>
          <c:showLegendKey val="0"/>
          <c:showVal val="0"/>
          <c:showCatName val="0"/>
          <c:showSerName val="0"/>
          <c:showPercent val="0"/>
          <c:showBubbleSize val="0"/>
        </c:dLbls>
        <c:axId val="1592404800"/>
        <c:axId val="1"/>
      </c:scatterChart>
      <c:scatterChart>
        <c:scatterStyle val="lineMarker"/>
        <c:varyColors val="0"/>
        <c:ser>
          <c:idx val="2"/>
          <c:order val="0"/>
          <c:tx>
            <c:strRef>
              <c:f>'Geom Emb'!$I$16</c:f>
              <c:strCache>
                <c:ptCount val="1"/>
                <c:pt idx="0">
                  <c:v>Vol (Hm3) = F2(Cota)</c:v>
                </c:pt>
              </c:strCache>
            </c:strRef>
          </c:tx>
          <c:spPr>
            <a:ln w="38100">
              <a:solidFill>
                <a:srgbClr val="FF0000"/>
              </a:solidFill>
              <a:prstDash val="sysDash"/>
            </a:ln>
          </c:spPr>
          <c:marker>
            <c:symbol val="none"/>
          </c:marker>
          <c:xVal>
            <c:numRef>
              <c:f>'Geom Emb'!$I$17:$I$36</c:f>
              <c:numCache>
                <c:formatCode>0.00</c:formatCode>
                <c:ptCount val="20"/>
                <c:pt idx="0">
                  <c:v>0.36671363125898937</c:v>
                </c:pt>
                <c:pt idx="1">
                  <c:v>0.95397669956504061</c:v>
                </c:pt>
                <c:pt idx="2">
                  <c:v>1.9446737084754979</c:v>
                </c:pt>
                <c:pt idx="3">
                  <c:v>3.4311742378086203</c:v>
                </c:pt>
                <c:pt idx="4">
                  <c:v>5.5019781969633845</c:v>
                </c:pt>
                <c:pt idx="5">
                  <c:v>8.242564153164837</c:v>
                </c:pt>
                <c:pt idx="6">
                  <c:v>8.242564153164837</c:v>
                </c:pt>
                <c:pt idx="7">
                  <c:v>8.242564153164837</c:v>
                </c:pt>
                <c:pt idx="8">
                  <c:v>8.242564153164837</c:v>
                </c:pt>
                <c:pt idx="9">
                  <c:v>8.242564153164837</c:v>
                </c:pt>
                <c:pt idx="10">
                  <c:v>8.242564153164837</c:v>
                </c:pt>
                <c:pt idx="11">
                  <c:v>8.242564153164837</c:v>
                </c:pt>
                <c:pt idx="12">
                  <c:v>8.242564153164837</c:v>
                </c:pt>
                <c:pt idx="13">
                  <c:v>8.242564153164837</c:v>
                </c:pt>
                <c:pt idx="14">
                  <c:v>8.242564153164837</c:v>
                </c:pt>
                <c:pt idx="15">
                  <c:v>8.242564153164837</c:v>
                </c:pt>
                <c:pt idx="16">
                  <c:v>8.242564153164837</c:v>
                </c:pt>
                <c:pt idx="17">
                  <c:v>8.242564153164837</c:v>
                </c:pt>
                <c:pt idx="18">
                  <c:v>8.242564153164837</c:v>
                </c:pt>
                <c:pt idx="19">
                  <c:v>8.242564153164837</c:v>
                </c:pt>
              </c:numCache>
            </c:numRef>
          </c:xVal>
          <c:yVal>
            <c:numRef>
              <c:f>'Ingreso Datos'!$B$10:$B$29</c:f>
              <c:numCache>
                <c:formatCode>General</c:formatCode>
                <c:ptCount val="20"/>
                <c:pt idx="0">
                  <c:v>101.2</c:v>
                </c:pt>
                <c:pt idx="1">
                  <c:v>102.2</c:v>
                </c:pt>
                <c:pt idx="2">
                  <c:v>103.2</c:v>
                </c:pt>
                <c:pt idx="3">
                  <c:v>104.2</c:v>
                </c:pt>
                <c:pt idx="4">
                  <c:v>105.2</c:v>
                </c:pt>
                <c:pt idx="5">
                  <c:v>106.2</c:v>
                </c:pt>
              </c:numCache>
            </c:numRef>
          </c:yVal>
          <c:smooth val="1"/>
          <c:extLst>
            <c:ext xmlns:c16="http://schemas.microsoft.com/office/drawing/2014/chart" uri="{C3380CC4-5D6E-409C-BE32-E72D297353CC}">
              <c16:uniqueId val="{00000008-7E70-49AA-8830-9028ADECBF50}"/>
            </c:ext>
          </c:extLst>
        </c:ser>
        <c:ser>
          <c:idx val="6"/>
          <c:order val="6"/>
          <c:tx>
            <c:v>Escala der</c:v>
          </c:tx>
          <c:spPr>
            <a:ln w="28575">
              <a:noFill/>
            </a:ln>
          </c:spPr>
          <c:marker>
            <c:symbol val="none"/>
          </c:marker>
          <c:xVal>
            <c:numRef>
              <c:f>'Geom Emb'!$H$41:$H$46</c:f>
              <c:numCache>
                <c:formatCode>General</c:formatCode>
                <c:ptCount val="6"/>
                <c:pt idx="4">
                  <c:v>0</c:v>
                </c:pt>
                <c:pt idx="5" formatCode="0.00">
                  <c:v>8.242564153164837</c:v>
                </c:pt>
              </c:numCache>
            </c:numRef>
          </c:xVal>
          <c:yVal>
            <c:numRef>
              <c:f>'Geom Emb'!$D$41:$D$46</c:f>
              <c:numCache>
                <c:formatCode>0.0</c:formatCode>
                <c:ptCount val="6"/>
                <c:pt idx="0">
                  <c:v>100.5</c:v>
                </c:pt>
                <c:pt idx="1">
                  <c:v>100.5</c:v>
                </c:pt>
                <c:pt idx="2">
                  <c:v>106</c:v>
                </c:pt>
                <c:pt idx="3">
                  <c:v>106</c:v>
                </c:pt>
                <c:pt idx="4">
                  <c:v>100.5</c:v>
                </c:pt>
                <c:pt idx="5">
                  <c:v>106.2</c:v>
                </c:pt>
              </c:numCache>
            </c:numRef>
          </c:yVal>
          <c:smooth val="0"/>
          <c:extLst>
            <c:ext xmlns:c16="http://schemas.microsoft.com/office/drawing/2014/chart" uri="{C3380CC4-5D6E-409C-BE32-E72D297353CC}">
              <c16:uniqueId val="{00000009-7E70-49AA-8830-9028ADECBF50}"/>
            </c:ext>
          </c:extLst>
        </c:ser>
        <c:dLbls>
          <c:showLegendKey val="0"/>
          <c:showVal val="0"/>
          <c:showCatName val="0"/>
          <c:showSerName val="0"/>
          <c:showPercent val="0"/>
          <c:showBubbleSize val="0"/>
        </c:dLbls>
        <c:axId val="3"/>
        <c:axId val="4"/>
      </c:scatterChart>
      <c:valAx>
        <c:axId val="1592404800"/>
        <c:scaling>
          <c:orientation val="minMax"/>
          <c:min val="0"/>
        </c:scaling>
        <c:delete val="0"/>
        <c:axPos val="b"/>
        <c:majorGridlines>
          <c:spPr>
            <a:ln w="3175">
              <a:solidFill>
                <a:srgbClr val="969696"/>
              </a:solidFill>
              <a:prstDash val="solid"/>
            </a:ln>
          </c:spPr>
        </c:majorGridlines>
        <c:title>
          <c:tx>
            <c:rich>
              <a:bodyPr/>
              <a:lstStyle/>
              <a:p>
                <a:pPr>
                  <a:defRPr sz="1000" b="1" i="0" u="none" strike="noStrike" baseline="0">
                    <a:solidFill>
                      <a:srgbClr val="0000FF"/>
                    </a:solidFill>
                    <a:latin typeface="Arial"/>
                    <a:ea typeface="Arial"/>
                    <a:cs typeface="Arial"/>
                  </a:defRPr>
                </a:pPr>
                <a:r>
                  <a:rPr lang="es-UY"/>
                  <a:t>Área (Hás)</a:t>
                </a:r>
              </a:p>
            </c:rich>
          </c:tx>
          <c:layout>
            <c:manualLayout>
              <c:xMode val="edge"/>
              <c:yMode val="edge"/>
              <c:x val="0.44787538663216608"/>
              <c:y val="0.95767659477347933"/>
            </c:manualLayout>
          </c:layout>
          <c:overlay val="0"/>
          <c:spPr>
            <a:noFill/>
            <a:ln w="25400">
              <a:noFill/>
            </a:ln>
          </c:spPr>
        </c:title>
        <c:numFmt formatCode="General" sourceLinked="1"/>
        <c:majorTickMark val="out"/>
        <c:minorTickMark val="in"/>
        <c:tickLblPos val="nextTo"/>
        <c:spPr>
          <a:ln w="19050">
            <a:solidFill>
              <a:srgbClr val="0000FF"/>
            </a:solidFill>
            <a:prstDash val="solid"/>
          </a:ln>
        </c:spPr>
        <c:txPr>
          <a:bodyPr rot="0" vert="horz"/>
          <a:lstStyle/>
          <a:p>
            <a:pPr>
              <a:defRPr sz="1200" b="1" i="0" u="none" strike="noStrike" baseline="0">
                <a:solidFill>
                  <a:srgbClr val="0000FF"/>
                </a:solidFill>
                <a:latin typeface="Arial"/>
                <a:ea typeface="Arial"/>
                <a:cs typeface="Arial"/>
              </a:defRPr>
            </a:pPr>
            <a:endParaRPr lang="es-UY"/>
          </a:p>
        </c:txPr>
        <c:crossAx val="1"/>
        <c:crosses val="autoZero"/>
        <c:crossBetween val="midCat"/>
      </c:valAx>
      <c:valAx>
        <c:axId val="1"/>
        <c:scaling>
          <c:orientation val="minMax"/>
        </c:scaling>
        <c:delete val="0"/>
        <c:axPos val="l"/>
        <c:majorGridlines>
          <c:spPr>
            <a:ln w="3175">
              <a:solidFill>
                <a:srgbClr val="969696"/>
              </a:solidFill>
              <a:prstDash val="solid"/>
            </a:ln>
          </c:spPr>
        </c:majorGridlines>
        <c:title>
          <c:tx>
            <c:rich>
              <a:bodyPr/>
              <a:lstStyle/>
              <a:p>
                <a:pPr>
                  <a:defRPr sz="1200" b="1" i="0" u="none" strike="noStrike" baseline="0">
                    <a:solidFill>
                      <a:srgbClr val="000000"/>
                    </a:solidFill>
                    <a:latin typeface="Arial"/>
                    <a:ea typeface="Arial"/>
                    <a:cs typeface="Arial"/>
                  </a:defRPr>
                </a:pPr>
                <a:r>
                  <a:rPr lang="es-UY"/>
                  <a:t>Cotas (m)</a:t>
                </a:r>
              </a:p>
            </c:rich>
          </c:tx>
          <c:layout>
            <c:manualLayout>
              <c:xMode val="edge"/>
              <c:yMode val="edge"/>
              <c:x val="8.5013666001216657E-3"/>
              <c:y val="0.41168412644071667"/>
            </c:manualLayout>
          </c:layout>
          <c:overlay val="0"/>
          <c:spPr>
            <a:noFill/>
            <a:ln w="25400">
              <a:noFill/>
            </a:ln>
          </c:spPr>
        </c:title>
        <c:numFmt formatCode="General" sourceLinked="0"/>
        <c:majorTickMark val="out"/>
        <c:minorTickMark val="out"/>
        <c:tickLblPos val="nextTo"/>
        <c:spPr>
          <a:ln w="12700">
            <a:solidFill>
              <a:schemeClr val="tx1"/>
            </a:solidFill>
            <a:prstDash val="solid"/>
          </a:ln>
        </c:spPr>
        <c:txPr>
          <a:bodyPr rot="0" vert="horz"/>
          <a:lstStyle/>
          <a:p>
            <a:pPr>
              <a:defRPr sz="1125" b="0" i="0" u="none" strike="noStrike" baseline="0">
                <a:solidFill>
                  <a:srgbClr val="000000"/>
                </a:solidFill>
                <a:latin typeface="Arial"/>
                <a:ea typeface="Arial"/>
                <a:cs typeface="Arial"/>
              </a:defRPr>
            </a:pPr>
            <a:endParaRPr lang="es-UY"/>
          </a:p>
        </c:txPr>
        <c:crossAx val="1592404800"/>
        <c:crosses val="autoZero"/>
        <c:crossBetween val="midCat"/>
      </c:valAx>
      <c:valAx>
        <c:axId val="3"/>
        <c:scaling>
          <c:orientation val="minMax"/>
          <c:min val="0"/>
        </c:scaling>
        <c:delete val="0"/>
        <c:axPos val="t"/>
        <c:title>
          <c:tx>
            <c:rich>
              <a:bodyPr/>
              <a:lstStyle/>
              <a:p>
                <a:pPr>
                  <a:defRPr sz="1050" b="1" i="0" u="none" strike="noStrike" baseline="0">
                    <a:solidFill>
                      <a:srgbClr val="FF0000"/>
                    </a:solidFill>
                    <a:latin typeface="Arial"/>
                    <a:ea typeface="Arial"/>
                    <a:cs typeface="Arial"/>
                  </a:defRPr>
                </a:pPr>
                <a:r>
                  <a:rPr lang="es-UY"/>
                  <a:t>Volumen (Hm3)</a:t>
                </a:r>
              </a:p>
            </c:rich>
          </c:tx>
          <c:layout>
            <c:manualLayout>
              <c:xMode val="edge"/>
              <c:yMode val="edge"/>
              <c:x val="0.40654391541644891"/>
              <c:y val="8.1337669747803265E-2"/>
            </c:manualLayout>
          </c:layout>
          <c:overlay val="0"/>
          <c:spPr>
            <a:noFill/>
            <a:ln w="25400">
              <a:noFill/>
            </a:ln>
          </c:spPr>
        </c:title>
        <c:numFmt formatCode="General" sourceLinked="0"/>
        <c:majorTickMark val="out"/>
        <c:minorTickMark val="in"/>
        <c:tickLblPos val="nextTo"/>
        <c:spPr>
          <a:ln w="19050">
            <a:solidFill>
              <a:srgbClr val="FF0000"/>
            </a:solidFill>
          </a:ln>
        </c:spPr>
        <c:txPr>
          <a:bodyPr rot="0" vert="horz"/>
          <a:lstStyle/>
          <a:p>
            <a:pPr>
              <a:defRPr sz="1100" b="1" i="0" u="none" strike="noStrike" baseline="0">
                <a:solidFill>
                  <a:srgbClr val="FF0000"/>
                </a:solidFill>
                <a:latin typeface="Arial"/>
                <a:ea typeface="Arial"/>
                <a:cs typeface="Arial"/>
              </a:defRPr>
            </a:pPr>
            <a:endParaRPr lang="es-UY"/>
          </a:p>
        </c:txPr>
        <c:crossAx val="4"/>
        <c:crosses val="max"/>
        <c:crossBetween val="midCat"/>
      </c:valAx>
      <c:valAx>
        <c:axId val="4"/>
        <c:scaling>
          <c:orientation val="minMax"/>
        </c:scaling>
        <c:delete val="0"/>
        <c:axPos val="r"/>
        <c:title>
          <c:tx>
            <c:rich>
              <a:bodyPr/>
              <a:lstStyle/>
              <a:p>
                <a:pPr>
                  <a:defRPr sz="1200" b="1" i="0" u="none" strike="noStrike" baseline="0">
                    <a:solidFill>
                      <a:srgbClr val="000000"/>
                    </a:solidFill>
                    <a:latin typeface="Arial"/>
                    <a:ea typeface="Arial"/>
                    <a:cs typeface="Arial"/>
                  </a:defRPr>
                </a:pPr>
                <a:r>
                  <a:rPr lang="es-UY"/>
                  <a:t>Cotas (m)</a:t>
                </a:r>
              </a:p>
            </c:rich>
          </c:tx>
          <c:layout>
            <c:manualLayout>
              <c:xMode val="edge"/>
              <c:yMode val="edge"/>
              <c:x val="0.94327692716321232"/>
              <c:y val="0.39354718703640301"/>
            </c:manualLayout>
          </c:layout>
          <c:overlay val="0"/>
          <c:spPr>
            <a:noFill/>
            <a:ln w="25400">
              <a:noFill/>
            </a:ln>
          </c:spPr>
        </c:title>
        <c:numFmt formatCode="General" sourceLinked="0"/>
        <c:majorTickMark val="out"/>
        <c:minorTickMark val="out"/>
        <c:tickLblPos val="nextTo"/>
        <c:spPr>
          <a:ln w="12700">
            <a:solidFill>
              <a:srgbClr val="FF0000"/>
            </a:solidFill>
            <a:prstDash val="solid"/>
          </a:ln>
        </c:spPr>
        <c:txPr>
          <a:bodyPr rot="0" vert="horz"/>
          <a:lstStyle/>
          <a:p>
            <a:pPr>
              <a:defRPr sz="1200" b="0" i="0" u="none" strike="noStrike" baseline="0">
                <a:solidFill>
                  <a:srgbClr val="000000"/>
                </a:solidFill>
                <a:latin typeface="Arial"/>
                <a:ea typeface="Arial"/>
                <a:cs typeface="Arial"/>
              </a:defRPr>
            </a:pPr>
            <a:endParaRPr lang="es-UY"/>
          </a:p>
        </c:txPr>
        <c:crossAx val="3"/>
        <c:crosses val="max"/>
        <c:crossBetween val="midCat"/>
      </c:valAx>
      <c:spPr>
        <a:noFill/>
        <a:ln w="12700">
          <a:solidFill>
            <a:srgbClr val="808080"/>
          </a:solidFill>
          <a:prstDash val="solid"/>
        </a:ln>
      </c:spPr>
    </c:plotArea>
    <c:legend>
      <c:legendPos val="r"/>
      <c:legendEntry>
        <c:idx val="2"/>
        <c:delete val="1"/>
      </c:legendEntry>
      <c:legendEntry>
        <c:idx val="3"/>
        <c:delete val="1"/>
      </c:legendEntry>
      <c:legendEntry>
        <c:idx val="4"/>
        <c:delete val="1"/>
      </c:legendEntry>
      <c:legendEntry>
        <c:idx val="6"/>
        <c:delete val="1"/>
      </c:legendEntry>
      <c:layout>
        <c:manualLayout>
          <c:xMode val="edge"/>
          <c:yMode val="edge"/>
          <c:x val="0.11716539798186856"/>
          <c:y val="0.9442363084648131"/>
          <c:w val="0.76405041219162173"/>
          <c:h val="4.5065823813093354E-2"/>
        </c:manualLayout>
      </c:layout>
      <c:overlay val="0"/>
      <c:spPr>
        <a:solidFill>
          <a:srgbClr val="FFFFFF"/>
        </a:solidFill>
        <a:ln w="25400">
          <a:noFill/>
        </a:ln>
      </c:spPr>
      <c:txPr>
        <a:bodyPr/>
        <a:lstStyle/>
        <a:p>
          <a:pPr>
            <a:defRPr sz="690" b="0" i="0" u="none" strike="noStrike" baseline="0">
              <a:solidFill>
                <a:srgbClr val="000000"/>
              </a:solidFill>
              <a:latin typeface="Arial"/>
              <a:ea typeface="Arial"/>
              <a:cs typeface="Arial"/>
            </a:defRPr>
          </a:pPr>
          <a:endParaRPr lang="es-UY"/>
        </a:p>
      </c:txPr>
    </c:legend>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s-UY"/>
    </a:p>
  </c:txPr>
  <c:printSettings>
    <c:headerFooter alignWithMargins="0"/>
    <c:pageMargins b="1" l="0.750000000000001" r="0.750000000000001" t="1" header="0" footer="0"/>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UY"/>
              <a:t>Análisis de Satisfacción de la demanda</a:t>
            </a:r>
          </a:p>
        </c:rich>
      </c:tx>
      <c:layout>
        <c:manualLayout>
          <c:xMode val="edge"/>
          <c:yMode val="edge"/>
          <c:x val="0.27868854947348448"/>
          <c:y val="1.2135986380080867E-2"/>
        </c:manualLayout>
      </c:layout>
      <c:overlay val="0"/>
      <c:spPr>
        <a:noFill/>
        <a:ln w="25400">
          <a:noFill/>
        </a:ln>
      </c:spPr>
    </c:title>
    <c:autoTitleDeleted val="0"/>
    <c:plotArea>
      <c:layout>
        <c:manualLayout>
          <c:layoutTarget val="inner"/>
          <c:xMode val="edge"/>
          <c:yMode val="edge"/>
          <c:x val="0.19444451037750601"/>
          <c:y val="0.21335504885993489"/>
          <c:w val="0.69722245863934296"/>
          <c:h val="0.6351791530944626"/>
        </c:manualLayout>
      </c:layout>
      <c:scatterChart>
        <c:scatterStyle val="smoothMarker"/>
        <c:varyColors val="0"/>
        <c:ser>
          <c:idx val="4"/>
          <c:order val="0"/>
          <c:tx>
            <c:strRef>
              <c:f>'I-Satisfac-Demanda'!$I$2</c:f>
              <c:strCache>
                <c:ptCount val="1"/>
                <c:pt idx="0">
                  <c:v>Presa del Ejemplo del Manual</c:v>
                </c:pt>
              </c:strCache>
            </c:strRef>
          </c:tx>
          <c:spPr>
            <a:ln w="28575">
              <a:noFill/>
            </a:ln>
          </c:spPr>
          <c:marker>
            <c:symbol val="none"/>
          </c:marker>
          <c:yVal>
            <c:numLit>
              <c:formatCode>General</c:formatCode>
              <c:ptCount val="1"/>
              <c:pt idx="0">
                <c:v>100</c:v>
              </c:pt>
            </c:numLit>
          </c:yVal>
          <c:smooth val="1"/>
          <c:extLst>
            <c:ext xmlns:c16="http://schemas.microsoft.com/office/drawing/2014/chart" uri="{C3380CC4-5D6E-409C-BE32-E72D297353CC}">
              <c16:uniqueId val="{00000000-D42A-4269-AF13-5B4738CF8760}"/>
            </c:ext>
          </c:extLst>
        </c:ser>
        <c:ser>
          <c:idx val="5"/>
          <c:order val="1"/>
          <c:tx>
            <c:strRef>
              <c:f>'I-Satisfac-Demanda'!$F$17</c:f>
              <c:strCache>
                <c:ptCount val="1"/>
                <c:pt idx="0">
                  <c:v>Esc. Anual=22,01 Hm3</c:v>
                </c:pt>
              </c:strCache>
            </c:strRef>
          </c:tx>
          <c:spPr>
            <a:ln w="28575">
              <a:noFill/>
            </a:ln>
          </c:spPr>
          <c:marker>
            <c:symbol val="none"/>
          </c:marker>
          <c:yVal>
            <c:numLit>
              <c:formatCode>General</c:formatCode>
              <c:ptCount val="1"/>
              <c:pt idx="0">
                <c:v>100</c:v>
              </c:pt>
            </c:numLit>
          </c:yVal>
          <c:smooth val="1"/>
          <c:extLst>
            <c:ext xmlns:c16="http://schemas.microsoft.com/office/drawing/2014/chart" uri="{C3380CC4-5D6E-409C-BE32-E72D297353CC}">
              <c16:uniqueId val="{00000001-D42A-4269-AF13-5B4738CF8760}"/>
            </c:ext>
          </c:extLst>
        </c:ser>
        <c:ser>
          <c:idx val="3"/>
          <c:order val="2"/>
          <c:tx>
            <c:strRef>
              <c:f>'I-Satisfac-Demanda'!$F$20</c:f>
              <c:strCache>
                <c:ptCount val="1"/>
                <c:pt idx="0">
                  <c:v>Ht= 100,5</c:v>
                </c:pt>
              </c:strCache>
            </c:strRef>
          </c:tx>
          <c:spPr>
            <a:ln w="28575">
              <a:noFill/>
            </a:ln>
          </c:spPr>
          <c:marker>
            <c:symbol val="none"/>
          </c:marker>
          <c:yVal>
            <c:numLit>
              <c:formatCode>General</c:formatCode>
              <c:ptCount val="1"/>
              <c:pt idx="0">
                <c:v>100</c:v>
              </c:pt>
            </c:numLit>
          </c:yVal>
          <c:smooth val="1"/>
          <c:extLst>
            <c:ext xmlns:c16="http://schemas.microsoft.com/office/drawing/2014/chart" uri="{C3380CC4-5D6E-409C-BE32-E72D297353CC}">
              <c16:uniqueId val="{00000002-D42A-4269-AF13-5B4738CF8760}"/>
            </c:ext>
          </c:extLst>
        </c:ser>
        <c:ser>
          <c:idx val="2"/>
          <c:order val="3"/>
          <c:tx>
            <c:strRef>
              <c:f>'I-Satisfac-Demanda'!$G$20</c:f>
              <c:strCache>
                <c:ptCount val="1"/>
                <c:pt idx="0">
                  <c:v>Hv=105 msnm</c:v>
                </c:pt>
              </c:strCache>
            </c:strRef>
          </c:tx>
          <c:spPr>
            <a:ln w="38100">
              <a:solidFill>
                <a:srgbClr val="008000"/>
              </a:solidFill>
              <a:prstDash val="solid"/>
            </a:ln>
          </c:spPr>
          <c:marker>
            <c:symbol val="triangle"/>
            <c:size val="8"/>
            <c:spPr>
              <a:solidFill>
                <a:srgbClr val="008000"/>
              </a:solidFill>
              <a:ln>
                <a:solidFill>
                  <a:srgbClr val="008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3-D42A-4269-AF13-5B4738CF8760}"/>
                </c:ext>
              </c:extLst>
            </c:dLbl>
            <c:dLbl>
              <c:idx val="1"/>
              <c:delete val="1"/>
              <c:extLst>
                <c:ext xmlns:c15="http://schemas.microsoft.com/office/drawing/2012/chart" uri="{CE6537A1-D6FC-4f65-9D91-7224C49458BB}"/>
                <c:ext xmlns:c16="http://schemas.microsoft.com/office/drawing/2014/chart" uri="{C3380CC4-5D6E-409C-BE32-E72D297353CC}">
                  <c16:uniqueId val="{00000004-D42A-4269-AF13-5B4738CF8760}"/>
                </c:ext>
              </c:extLst>
            </c:dLbl>
            <c:dLbl>
              <c:idx val="2"/>
              <c:delete val="1"/>
              <c:extLst>
                <c:ext xmlns:c15="http://schemas.microsoft.com/office/drawing/2012/chart" uri="{CE6537A1-D6FC-4f65-9D91-7224C49458BB}"/>
                <c:ext xmlns:c16="http://schemas.microsoft.com/office/drawing/2014/chart" uri="{C3380CC4-5D6E-409C-BE32-E72D297353CC}">
                  <c16:uniqueId val="{00000005-D42A-4269-AF13-5B4738CF8760}"/>
                </c:ext>
              </c:extLst>
            </c:dLbl>
            <c:dLbl>
              <c:idx val="3"/>
              <c:delete val="1"/>
              <c:extLst>
                <c:ext xmlns:c15="http://schemas.microsoft.com/office/drawing/2012/chart" uri="{CE6537A1-D6FC-4f65-9D91-7224C49458BB}"/>
                <c:ext xmlns:c16="http://schemas.microsoft.com/office/drawing/2014/chart" uri="{C3380CC4-5D6E-409C-BE32-E72D297353CC}">
                  <c16:uniqueId val="{00000006-D42A-4269-AF13-5B4738CF8760}"/>
                </c:ext>
              </c:extLst>
            </c:dLbl>
            <c:spPr>
              <a:solidFill>
                <a:srgbClr val="FFFFFF"/>
              </a:solidFill>
              <a:ln w="25400">
                <a:noFill/>
              </a:ln>
            </c:spPr>
            <c:txPr>
              <a:bodyPr wrap="square" lIns="38100" tIns="19050" rIns="38100" bIns="19050" anchor="ctr">
                <a:spAutoFit/>
              </a:bodyPr>
              <a:lstStyle/>
              <a:p>
                <a:pPr>
                  <a:defRPr sz="1000" b="1" i="0" u="none" strike="noStrike" baseline="0">
                    <a:solidFill>
                      <a:srgbClr val="000000"/>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'I-Satisfac-Demanda'!$F$22:$F$26</c:f>
              <c:numCache>
                <c:formatCode>General</c:formatCode>
                <c:ptCount val="5"/>
                <c:pt idx="0">
                  <c:v>880</c:v>
                </c:pt>
                <c:pt idx="1">
                  <c:v>990</c:v>
                </c:pt>
                <c:pt idx="2">
                  <c:v>1100</c:v>
                </c:pt>
                <c:pt idx="3">
                  <c:v>1210</c:v>
                </c:pt>
                <c:pt idx="4">
                  <c:v>1320</c:v>
                </c:pt>
              </c:numCache>
            </c:numRef>
          </c:xVal>
          <c:yVal>
            <c:numRef>
              <c:f>'I-Satisfac-Demanda'!$G$22:$G$26</c:f>
              <c:numCache>
                <c:formatCode>General</c:formatCode>
                <c:ptCount val="5"/>
                <c:pt idx="0">
                  <c:v>91.88</c:v>
                </c:pt>
                <c:pt idx="1">
                  <c:v>87.21</c:v>
                </c:pt>
                <c:pt idx="2">
                  <c:v>82.57</c:v>
                </c:pt>
                <c:pt idx="3">
                  <c:v>77.89</c:v>
                </c:pt>
                <c:pt idx="4">
                  <c:v>73.680000000000007</c:v>
                </c:pt>
              </c:numCache>
            </c:numRef>
          </c:yVal>
          <c:smooth val="1"/>
          <c:extLst>
            <c:ext xmlns:c16="http://schemas.microsoft.com/office/drawing/2014/chart" uri="{C3380CC4-5D6E-409C-BE32-E72D297353CC}">
              <c16:uniqueId val="{00000007-D42A-4269-AF13-5B4738CF8760}"/>
            </c:ext>
          </c:extLst>
        </c:ser>
        <c:ser>
          <c:idx val="0"/>
          <c:order val="4"/>
          <c:tx>
            <c:strRef>
              <c:f>'I-Satisfac-Demanda'!$H$20</c:f>
              <c:strCache>
                <c:ptCount val="1"/>
                <c:pt idx="0">
                  <c:v>Hv=106 msnm</c:v>
                </c:pt>
              </c:strCache>
            </c:strRef>
          </c:tx>
          <c:spPr>
            <a:ln w="38100">
              <a:solidFill>
                <a:srgbClr val="666699"/>
              </a:solidFill>
              <a:prstDash val="solid"/>
            </a:ln>
          </c:spPr>
          <c:marker>
            <c:symbol val="circle"/>
            <c:size val="7"/>
            <c:spPr>
              <a:solidFill>
                <a:srgbClr val="666699"/>
              </a:solidFill>
              <a:ln>
                <a:solidFill>
                  <a:srgbClr val="666699"/>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8-D42A-4269-AF13-5B4738CF8760}"/>
                </c:ext>
              </c:extLst>
            </c:dLbl>
            <c:dLbl>
              <c:idx val="1"/>
              <c:delete val="1"/>
              <c:extLst>
                <c:ext xmlns:c15="http://schemas.microsoft.com/office/drawing/2012/chart" uri="{CE6537A1-D6FC-4f65-9D91-7224C49458BB}"/>
                <c:ext xmlns:c16="http://schemas.microsoft.com/office/drawing/2014/chart" uri="{C3380CC4-5D6E-409C-BE32-E72D297353CC}">
                  <c16:uniqueId val="{00000009-D42A-4269-AF13-5B4738CF8760}"/>
                </c:ext>
              </c:extLst>
            </c:dLbl>
            <c:dLbl>
              <c:idx val="2"/>
              <c:delete val="1"/>
              <c:extLst>
                <c:ext xmlns:c15="http://schemas.microsoft.com/office/drawing/2012/chart" uri="{CE6537A1-D6FC-4f65-9D91-7224C49458BB}"/>
                <c:ext xmlns:c16="http://schemas.microsoft.com/office/drawing/2014/chart" uri="{C3380CC4-5D6E-409C-BE32-E72D297353CC}">
                  <c16:uniqueId val="{0000000A-D42A-4269-AF13-5B4738CF8760}"/>
                </c:ext>
              </c:extLst>
            </c:dLbl>
            <c:dLbl>
              <c:idx val="3"/>
              <c:delete val="1"/>
              <c:extLst>
                <c:ext xmlns:c15="http://schemas.microsoft.com/office/drawing/2012/chart" uri="{CE6537A1-D6FC-4f65-9D91-7224C49458BB}"/>
                <c:ext xmlns:c16="http://schemas.microsoft.com/office/drawing/2014/chart" uri="{C3380CC4-5D6E-409C-BE32-E72D297353CC}">
                  <c16:uniqueId val="{0000000B-D42A-4269-AF13-5B4738CF8760}"/>
                </c:ext>
              </c:extLst>
            </c:dLbl>
            <c:spPr>
              <a:solidFill>
                <a:srgbClr val="FFFFFF"/>
              </a:solidFill>
              <a:ln w="25400">
                <a:noFill/>
              </a:ln>
            </c:spPr>
            <c:txPr>
              <a:bodyPr wrap="square" lIns="38100" tIns="19050" rIns="38100" bIns="19050" anchor="ctr">
                <a:spAutoFit/>
              </a:bodyPr>
              <a:lstStyle/>
              <a:p>
                <a:pPr>
                  <a:defRPr sz="1000" b="1" i="0" u="none" strike="noStrike" baseline="0">
                    <a:solidFill>
                      <a:srgbClr val="000000"/>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'I-Satisfac-Demanda'!$F$22:$F$26</c:f>
              <c:numCache>
                <c:formatCode>General</c:formatCode>
                <c:ptCount val="5"/>
                <c:pt idx="0">
                  <c:v>880</c:v>
                </c:pt>
                <c:pt idx="1">
                  <c:v>990</c:v>
                </c:pt>
                <c:pt idx="2">
                  <c:v>1100</c:v>
                </c:pt>
                <c:pt idx="3">
                  <c:v>1210</c:v>
                </c:pt>
                <c:pt idx="4">
                  <c:v>1320</c:v>
                </c:pt>
              </c:numCache>
            </c:numRef>
          </c:xVal>
          <c:yVal>
            <c:numRef>
              <c:f>'I-Satisfac-Demanda'!$H$22:$H$26</c:f>
              <c:numCache>
                <c:formatCode>General</c:formatCode>
                <c:ptCount val="5"/>
                <c:pt idx="0">
                  <c:v>98.91</c:v>
                </c:pt>
                <c:pt idx="1">
                  <c:v>96.52</c:v>
                </c:pt>
                <c:pt idx="2">
                  <c:v>93.04</c:v>
                </c:pt>
                <c:pt idx="3">
                  <c:v>88.76</c:v>
                </c:pt>
                <c:pt idx="4">
                  <c:v>84.86</c:v>
                </c:pt>
              </c:numCache>
            </c:numRef>
          </c:yVal>
          <c:smooth val="1"/>
          <c:extLst>
            <c:ext xmlns:c16="http://schemas.microsoft.com/office/drawing/2014/chart" uri="{C3380CC4-5D6E-409C-BE32-E72D297353CC}">
              <c16:uniqueId val="{0000000C-D42A-4269-AF13-5B4738CF8760}"/>
            </c:ext>
          </c:extLst>
        </c:ser>
        <c:ser>
          <c:idx val="1"/>
          <c:order val="5"/>
          <c:tx>
            <c:strRef>
              <c:f>'I-Satisfac-Demanda'!$I$20</c:f>
              <c:strCache>
                <c:ptCount val="1"/>
                <c:pt idx="0">
                  <c:v>Hv=107 msnm</c:v>
                </c:pt>
              </c:strCache>
            </c:strRef>
          </c:tx>
          <c:spPr>
            <a:ln w="38100">
              <a:solidFill>
                <a:srgbClr val="FF0000"/>
              </a:solidFill>
              <a:prstDash val="solid"/>
            </a:ln>
          </c:spPr>
          <c:marker>
            <c:symbol val="diamond"/>
            <c:size val="7"/>
            <c:spPr>
              <a:solidFill>
                <a:srgbClr val="FF0000"/>
              </a:solidFill>
              <a:ln>
                <a:solidFill>
                  <a:srgbClr val="FF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D-D42A-4269-AF13-5B4738CF8760}"/>
                </c:ext>
              </c:extLst>
            </c:dLbl>
            <c:dLbl>
              <c:idx val="1"/>
              <c:delete val="1"/>
              <c:extLst>
                <c:ext xmlns:c15="http://schemas.microsoft.com/office/drawing/2012/chart" uri="{CE6537A1-D6FC-4f65-9D91-7224C49458BB}"/>
                <c:ext xmlns:c16="http://schemas.microsoft.com/office/drawing/2014/chart" uri="{C3380CC4-5D6E-409C-BE32-E72D297353CC}">
                  <c16:uniqueId val="{0000000E-D42A-4269-AF13-5B4738CF8760}"/>
                </c:ext>
              </c:extLst>
            </c:dLbl>
            <c:dLbl>
              <c:idx val="2"/>
              <c:delete val="1"/>
              <c:extLst>
                <c:ext xmlns:c15="http://schemas.microsoft.com/office/drawing/2012/chart" uri="{CE6537A1-D6FC-4f65-9D91-7224C49458BB}"/>
                <c:ext xmlns:c16="http://schemas.microsoft.com/office/drawing/2014/chart" uri="{C3380CC4-5D6E-409C-BE32-E72D297353CC}">
                  <c16:uniqueId val="{0000000F-D42A-4269-AF13-5B4738CF8760}"/>
                </c:ext>
              </c:extLst>
            </c:dLbl>
            <c:dLbl>
              <c:idx val="3"/>
              <c:delete val="1"/>
              <c:extLst>
                <c:ext xmlns:c15="http://schemas.microsoft.com/office/drawing/2012/chart" uri="{CE6537A1-D6FC-4f65-9D91-7224C49458BB}"/>
                <c:ext xmlns:c16="http://schemas.microsoft.com/office/drawing/2014/chart" uri="{C3380CC4-5D6E-409C-BE32-E72D297353CC}">
                  <c16:uniqueId val="{00000010-D42A-4269-AF13-5B4738CF8760}"/>
                </c:ext>
              </c:extLst>
            </c:dLbl>
            <c:dLbl>
              <c:idx val="4"/>
              <c:spPr>
                <a:solidFill>
                  <a:srgbClr val="FFFFFF"/>
                </a:solidFill>
                <a:ln w="25400">
                  <a:noFill/>
                </a:ln>
              </c:spPr>
              <c:txPr>
                <a:bodyPr/>
                <a:lstStyle/>
                <a:p>
                  <a:pPr>
                    <a:defRPr sz="1000" b="1" i="0" u="none" strike="noStrike" baseline="0">
                      <a:solidFill>
                        <a:srgbClr val="000000"/>
                      </a:solidFill>
                      <a:latin typeface="Calibri"/>
                      <a:ea typeface="Calibri"/>
                      <a:cs typeface="Calibri"/>
                    </a:defRPr>
                  </a:pPr>
                  <a:endParaRPr lang="es-UY"/>
                </a:p>
              </c:txPr>
              <c:showLegendKey val="0"/>
              <c:showVal val="0"/>
              <c:showCatName val="0"/>
              <c:showSerName val="1"/>
              <c:showPercent val="0"/>
              <c:showBubbleSize val="0"/>
              <c:extLst>
                <c:ext xmlns:c16="http://schemas.microsoft.com/office/drawing/2014/chart" uri="{C3380CC4-5D6E-409C-BE32-E72D297353CC}">
                  <c16:uniqueId val="{00000011-D42A-4269-AF13-5B4738CF8760}"/>
                </c:ext>
              </c:extLst>
            </c:dLbl>
            <c:spPr>
              <a:solidFill>
                <a:srgbClr val="FFFFFF"/>
              </a:solidFill>
              <a:ln w="25400">
                <a:noFill/>
              </a:ln>
            </c:spPr>
            <c:txPr>
              <a:bodyPr wrap="square" lIns="38100" tIns="19050" rIns="38100" bIns="19050" anchor="ctr">
                <a:spAutoFit/>
              </a:bodyPr>
              <a:lstStyle/>
              <a:p>
                <a:pPr>
                  <a:defRPr sz="1000" b="1" i="0" u="none" strike="noStrike" baseline="0">
                    <a:solidFill>
                      <a:srgbClr val="000000"/>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'I-Satisfac-Demanda'!$F$22:$F$26</c:f>
              <c:numCache>
                <c:formatCode>General</c:formatCode>
                <c:ptCount val="5"/>
                <c:pt idx="0">
                  <c:v>880</c:v>
                </c:pt>
                <c:pt idx="1">
                  <c:v>990</c:v>
                </c:pt>
                <c:pt idx="2">
                  <c:v>1100</c:v>
                </c:pt>
                <c:pt idx="3">
                  <c:v>1210</c:v>
                </c:pt>
                <c:pt idx="4">
                  <c:v>1320</c:v>
                </c:pt>
              </c:numCache>
            </c:numRef>
          </c:xVal>
          <c:yVal>
            <c:numRef>
              <c:f>'I-Satisfac-Demanda'!$I$22:$I$26</c:f>
              <c:numCache>
                <c:formatCode>General</c:formatCode>
                <c:ptCount val="5"/>
                <c:pt idx="0">
                  <c:v>100</c:v>
                </c:pt>
                <c:pt idx="1">
                  <c:v>99.54</c:v>
                </c:pt>
                <c:pt idx="2">
                  <c:v>98.24</c:v>
                </c:pt>
                <c:pt idx="3">
                  <c:v>95.93</c:v>
                </c:pt>
                <c:pt idx="4">
                  <c:v>92.73</c:v>
                </c:pt>
              </c:numCache>
            </c:numRef>
          </c:yVal>
          <c:smooth val="1"/>
          <c:extLst>
            <c:ext xmlns:c16="http://schemas.microsoft.com/office/drawing/2014/chart" uri="{C3380CC4-5D6E-409C-BE32-E72D297353CC}">
              <c16:uniqueId val="{00000012-D42A-4269-AF13-5B4738CF8760}"/>
            </c:ext>
          </c:extLst>
        </c:ser>
        <c:dLbls>
          <c:showLegendKey val="0"/>
          <c:showVal val="0"/>
          <c:showCatName val="0"/>
          <c:showSerName val="0"/>
          <c:showPercent val="0"/>
          <c:showBubbleSize val="0"/>
        </c:dLbls>
        <c:axId val="1592396480"/>
        <c:axId val="1"/>
      </c:scatterChart>
      <c:valAx>
        <c:axId val="1592396480"/>
        <c:scaling>
          <c:orientation val="minMax"/>
        </c:scaling>
        <c:delete val="0"/>
        <c:axPos val="b"/>
        <c:majorGridlines>
          <c:spPr>
            <a:ln w="3175">
              <a:solidFill>
                <a:srgbClr val="000000"/>
              </a:solidFill>
              <a:prstDash val="solid"/>
            </a:ln>
          </c:spPr>
        </c:majorGridlines>
        <c:minorGridlines>
          <c:spPr>
            <a:ln>
              <a:solidFill>
                <a:srgbClr val="4BACC6">
                  <a:lumMod val="20000"/>
                  <a:lumOff val="80000"/>
                </a:srgbClr>
              </a:solidFill>
            </a:ln>
          </c:spPr>
        </c:minorGridlines>
        <c:title>
          <c:tx>
            <c:rich>
              <a:bodyPr/>
              <a:lstStyle/>
              <a:p>
                <a:pPr>
                  <a:defRPr sz="1400" b="0" i="0" u="none" strike="noStrike" baseline="0">
                    <a:solidFill>
                      <a:srgbClr val="000000"/>
                    </a:solidFill>
                    <a:latin typeface="Calibri"/>
                    <a:ea typeface="Calibri"/>
                    <a:cs typeface="Calibri"/>
                  </a:defRPr>
                </a:pPr>
                <a:r>
                  <a:rPr lang="es-UY"/>
                  <a:t>Área bajo riego  (Há)</a:t>
                </a:r>
              </a:p>
            </c:rich>
          </c:tx>
          <c:layout>
            <c:manualLayout>
              <c:xMode val="edge"/>
              <c:yMode val="edge"/>
              <c:x val="0.41803320368086516"/>
              <c:y val="0.90534113641200253"/>
            </c:manualLayout>
          </c:layout>
          <c:overlay val="0"/>
          <c:spPr>
            <a:noFill/>
            <a:ln w="25400">
              <a:noFill/>
            </a:ln>
          </c:spPr>
        </c:title>
        <c:numFmt formatCode="General" sourceLinked="1"/>
        <c:majorTickMark val="out"/>
        <c:minorTickMark val="in"/>
        <c:tickLblPos val="nextTo"/>
        <c:txPr>
          <a:bodyPr rot="0" vert="horz"/>
          <a:lstStyle/>
          <a:p>
            <a:pPr>
              <a:defRPr sz="1400" b="0" i="0" u="none" strike="noStrike" baseline="0">
                <a:solidFill>
                  <a:srgbClr val="000000"/>
                </a:solidFill>
                <a:latin typeface="Calibri"/>
                <a:ea typeface="Calibri"/>
                <a:cs typeface="Calibri"/>
              </a:defRPr>
            </a:pPr>
            <a:endParaRPr lang="es-UY"/>
          </a:p>
        </c:txPr>
        <c:crossAx val="1"/>
        <c:crosses val="autoZero"/>
        <c:crossBetween val="midCat"/>
      </c:valAx>
      <c:valAx>
        <c:axId val="1"/>
        <c:scaling>
          <c:orientation val="minMax"/>
          <c:max val="100"/>
        </c:scaling>
        <c:delete val="0"/>
        <c:axPos val="l"/>
        <c:majorGridlines>
          <c:spPr>
            <a:ln w="3175">
              <a:solidFill>
                <a:srgbClr val="008080"/>
              </a:solidFill>
              <a:prstDash val="solid"/>
            </a:ln>
          </c:spPr>
        </c:majorGridlines>
        <c:minorGridlines>
          <c:spPr>
            <a:ln w="3175">
              <a:solidFill>
                <a:srgbClr val="CCFFFF"/>
              </a:solidFill>
              <a:prstDash val="solid"/>
            </a:ln>
          </c:spPr>
        </c:minorGridlines>
        <c:title>
          <c:tx>
            <c:rich>
              <a:bodyPr/>
              <a:lstStyle/>
              <a:p>
                <a:pPr>
                  <a:defRPr sz="1100" b="0" i="0" u="none" strike="noStrike" baseline="0">
                    <a:solidFill>
                      <a:srgbClr val="000000"/>
                    </a:solidFill>
                    <a:latin typeface="Calibri"/>
                    <a:ea typeface="Calibri"/>
                    <a:cs typeface="Calibri"/>
                  </a:defRPr>
                </a:pPr>
                <a:r>
                  <a:rPr lang="es-UY"/>
                  <a:t>ISD (%) = Suma agua entregada / Suma agua demandada</a:t>
                </a:r>
              </a:p>
            </c:rich>
          </c:tx>
          <c:overlay val="0"/>
          <c:spPr>
            <a:noFill/>
            <a:ln w="25400">
              <a:noFill/>
            </a:ln>
          </c:spPr>
        </c:title>
        <c:numFmt formatCode="General" sourceLinked="1"/>
        <c:majorTickMark val="out"/>
        <c:minorTickMark val="cross"/>
        <c:tickLblPos val="nextTo"/>
        <c:txPr>
          <a:bodyPr rot="0" vert="horz"/>
          <a:lstStyle/>
          <a:p>
            <a:pPr>
              <a:defRPr sz="1400" b="0" i="0" u="none" strike="noStrike" baseline="0">
                <a:solidFill>
                  <a:srgbClr val="000000"/>
                </a:solidFill>
                <a:latin typeface="Calibri"/>
                <a:ea typeface="Calibri"/>
                <a:cs typeface="Calibri"/>
              </a:defRPr>
            </a:pPr>
            <a:endParaRPr lang="es-UY"/>
          </a:p>
        </c:txPr>
        <c:crossAx val="1592396480"/>
        <c:crosses val="autoZero"/>
        <c:crossBetween val="midCat"/>
      </c:valAx>
      <c:spPr>
        <a:solidFill>
          <a:srgbClr val="FFFFFF"/>
        </a:solidFill>
        <a:ln w="3175">
          <a:solidFill>
            <a:srgbClr val="000000"/>
          </a:solidFill>
          <a:prstDash val="solid"/>
        </a:ln>
      </c:spPr>
    </c:plotArea>
    <c:legend>
      <c:legendPos val="r"/>
      <c:legendEntry>
        <c:idx val="3"/>
        <c:delete val="1"/>
      </c:legendEntry>
      <c:legendEntry>
        <c:idx val="4"/>
        <c:delete val="1"/>
      </c:legendEntry>
      <c:legendEntry>
        <c:idx val="5"/>
        <c:delete val="1"/>
      </c:legendEntry>
      <c:layout>
        <c:manualLayout>
          <c:xMode val="edge"/>
          <c:yMode val="edge"/>
          <c:x val="0.12635773027194655"/>
          <c:y val="9.8622451897175986E-2"/>
          <c:w val="0.77258726509133024"/>
          <c:h val="5.5228573062418553E-2"/>
        </c:manualLayout>
      </c:layout>
      <c:overlay val="0"/>
      <c:spPr>
        <a:solidFill>
          <a:srgbClr val="FFFFFF"/>
        </a:solidFill>
        <a:ln w="25400">
          <a:noFill/>
        </a:ln>
      </c:spPr>
      <c:txPr>
        <a:bodyPr/>
        <a:lstStyle/>
        <a:p>
          <a:pPr>
            <a:defRPr sz="845" b="1" i="0" u="none" strike="noStrike" baseline="0">
              <a:solidFill>
                <a:srgbClr val="000000"/>
              </a:solidFill>
              <a:latin typeface="Calibri"/>
              <a:ea typeface="Calibri"/>
              <a:cs typeface="Calibri"/>
            </a:defRPr>
          </a:pPr>
          <a:endParaRPr lang="es-UY"/>
        </a:p>
      </c:txPr>
    </c:legend>
    <c:plotVisOnly val="1"/>
    <c:dispBlanksAs val="gap"/>
    <c:showDLblsOverMax val="0"/>
  </c:chart>
  <c:spPr>
    <a:solidFill>
      <a:srgbClr val="FFFFFF"/>
    </a:solidFill>
    <a:ln w="3175">
      <a:solidFill>
        <a:srgbClr val="000000"/>
      </a:solidFill>
      <a:prstDash val="solid"/>
    </a:ln>
  </c:spPr>
  <c:txPr>
    <a:bodyPr/>
    <a:lstStyle/>
    <a:p>
      <a:pPr>
        <a:defRPr sz="1400" b="0" i="0" u="none" strike="noStrike" baseline="0">
          <a:solidFill>
            <a:srgbClr val="000000"/>
          </a:solidFill>
          <a:latin typeface="Calibri"/>
          <a:ea typeface="Calibri"/>
          <a:cs typeface="Calibri"/>
        </a:defRPr>
      </a:pPr>
      <a:endParaRPr lang="es-UY"/>
    </a:p>
  </c:txPr>
  <c:printSettings>
    <c:headerFooter/>
    <c:pageMargins b="0.75000000000000011" l="0.70000000000000007" r="0.70000000000000007" t="0.75000000000000011" header="0.30000000000000004" footer="0.30000000000000004"/>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s-UY"/>
              <a:t>Curvas Cota-Área-Volumen del embalse</a:t>
            </a:r>
          </a:p>
        </c:rich>
      </c:tx>
      <c:layout>
        <c:manualLayout>
          <c:xMode val="edge"/>
          <c:yMode val="edge"/>
          <c:x val="0.22534083239595049"/>
          <c:y val="2.5062486455248136E-2"/>
        </c:manualLayout>
      </c:layout>
      <c:overlay val="0"/>
      <c:spPr>
        <a:noFill/>
        <a:ln w="25400">
          <a:noFill/>
        </a:ln>
      </c:spPr>
    </c:title>
    <c:autoTitleDeleted val="0"/>
    <c:plotArea>
      <c:layout/>
      <c:scatterChart>
        <c:scatterStyle val="lineMarker"/>
        <c:varyColors val="0"/>
        <c:ser>
          <c:idx val="0"/>
          <c:order val="1"/>
          <c:tx>
            <c:strRef>
              <c:f>'Ingreso Datos'!$C$8:$C$9</c:f>
              <c:strCache>
                <c:ptCount val="2"/>
                <c:pt idx="0">
                  <c:v>Área medida (Há)</c:v>
                </c:pt>
              </c:strCache>
            </c:strRef>
          </c:tx>
          <c:spPr>
            <a:ln w="28575">
              <a:noFill/>
            </a:ln>
          </c:spPr>
          <c:marker>
            <c:symbol val="circle"/>
            <c:size val="7"/>
            <c:spPr>
              <a:solidFill>
                <a:srgbClr val="0000FF"/>
              </a:solidFill>
              <a:ln>
                <a:solidFill>
                  <a:srgbClr val="0000FF"/>
                </a:solidFill>
                <a:prstDash val="solid"/>
              </a:ln>
            </c:spPr>
          </c:marker>
          <c:xVal>
            <c:numRef>
              <c:f>'Ingreso Datos'!$C$10:$C$30</c:f>
              <c:numCache>
                <c:formatCode>General</c:formatCode>
                <c:ptCount val="21"/>
                <c:pt idx="0">
                  <c:v>37.700000000000003</c:v>
                </c:pt>
                <c:pt idx="1">
                  <c:v>84.4</c:v>
                </c:pt>
                <c:pt idx="2">
                  <c:v>135.9</c:v>
                </c:pt>
                <c:pt idx="3">
                  <c:v>177</c:v>
                </c:pt>
                <c:pt idx="4">
                  <c:v>224.6</c:v>
                </c:pt>
                <c:pt idx="5">
                  <c:v>300.89999999999998</c:v>
                </c:pt>
              </c:numCache>
            </c:numRef>
          </c:xVal>
          <c:yVal>
            <c:numRef>
              <c:f>'Ingreso Datos'!$B$10:$B$29</c:f>
              <c:numCache>
                <c:formatCode>General</c:formatCode>
                <c:ptCount val="20"/>
                <c:pt idx="0">
                  <c:v>101.2</c:v>
                </c:pt>
                <c:pt idx="1">
                  <c:v>102.2</c:v>
                </c:pt>
                <c:pt idx="2">
                  <c:v>103.2</c:v>
                </c:pt>
                <c:pt idx="3">
                  <c:v>104.2</c:v>
                </c:pt>
                <c:pt idx="4">
                  <c:v>105.2</c:v>
                </c:pt>
                <c:pt idx="5">
                  <c:v>106.2</c:v>
                </c:pt>
              </c:numCache>
            </c:numRef>
          </c:yVal>
          <c:smooth val="0"/>
          <c:extLst>
            <c:ext xmlns:c16="http://schemas.microsoft.com/office/drawing/2014/chart" uri="{C3380CC4-5D6E-409C-BE32-E72D297353CC}">
              <c16:uniqueId val="{00000000-2952-4057-873D-06D1CA51F581}"/>
            </c:ext>
          </c:extLst>
        </c:ser>
        <c:ser>
          <c:idx val="1"/>
          <c:order val="2"/>
          <c:tx>
            <c:strRef>
              <c:f>'Geom Emb'!$H$16</c:f>
              <c:strCache>
                <c:ptCount val="1"/>
                <c:pt idx="0">
                  <c:v>Área (Há) = F1(Cota)</c:v>
                </c:pt>
              </c:strCache>
            </c:strRef>
          </c:tx>
          <c:spPr>
            <a:ln w="50800">
              <a:solidFill>
                <a:srgbClr val="0000FF"/>
              </a:solidFill>
            </a:ln>
          </c:spPr>
          <c:marker>
            <c:symbol val="none"/>
          </c:marker>
          <c:xVal>
            <c:numRef>
              <c:f>'Geom Emb'!$H$17:$H$36</c:f>
              <c:numCache>
                <c:formatCode>0.0</c:formatCode>
                <c:ptCount val="20"/>
                <c:pt idx="0">
                  <c:v>41.755781281892666</c:v>
                </c:pt>
                <c:pt idx="1">
                  <c:v>77.320527162992761</c:v>
                </c:pt>
                <c:pt idx="2">
                  <c:v>122.356130295593</c:v>
                </c:pt>
                <c:pt idx="3">
                  <c:v>176.41762040906599</c:v>
                </c:pt>
                <c:pt idx="4">
                  <c:v>239.16691306842282</c:v>
                </c:pt>
                <c:pt idx="5">
                  <c:v>310.33320590390042</c:v>
                </c:pt>
                <c:pt idx="6">
                  <c:v>310.33320590390042</c:v>
                </c:pt>
                <c:pt idx="7">
                  <c:v>310.33320590390042</c:v>
                </c:pt>
                <c:pt idx="8">
                  <c:v>310.33320590390042</c:v>
                </c:pt>
                <c:pt idx="9">
                  <c:v>310.33320590390042</c:v>
                </c:pt>
                <c:pt idx="10">
                  <c:v>310.33320590390042</c:v>
                </c:pt>
                <c:pt idx="11">
                  <c:v>310.33320590390042</c:v>
                </c:pt>
                <c:pt idx="12">
                  <c:v>310.33320590390042</c:v>
                </c:pt>
                <c:pt idx="13">
                  <c:v>310.33320590390042</c:v>
                </c:pt>
                <c:pt idx="14">
                  <c:v>310.33320590390042</c:v>
                </c:pt>
                <c:pt idx="15">
                  <c:v>310.33320590390042</c:v>
                </c:pt>
                <c:pt idx="16">
                  <c:v>310.33320590390042</c:v>
                </c:pt>
                <c:pt idx="17">
                  <c:v>310.33320590390042</c:v>
                </c:pt>
                <c:pt idx="18">
                  <c:v>310.33320590390042</c:v>
                </c:pt>
                <c:pt idx="19">
                  <c:v>310.33320590390042</c:v>
                </c:pt>
              </c:numCache>
            </c:numRef>
          </c:xVal>
          <c:yVal>
            <c:numRef>
              <c:f>'Ingreso Datos'!$B$10:$B$29</c:f>
              <c:numCache>
                <c:formatCode>General</c:formatCode>
                <c:ptCount val="20"/>
                <c:pt idx="0">
                  <c:v>101.2</c:v>
                </c:pt>
                <c:pt idx="1">
                  <c:v>102.2</c:v>
                </c:pt>
                <c:pt idx="2">
                  <c:v>103.2</c:v>
                </c:pt>
                <c:pt idx="3">
                  <c:v>104.2</c:v>
                </c:pt>
                <c:pt idx="4">
                  <c:v>105.2</c:v>
                </c:pt>
                <c:pt idx="5">
                  <c:v>106.2</c:v>
                </c:pt>
              </c:numCache>
            </c:numRef>
          </c:yVal>
          <c:smooth val="0"/>
          <c:extLst>
            <c:ext xmlns:c16="http://schemas.microsoft.com/office/drawing/2014/chart" uri="{C3380CC4-5D6E-409C-BE32-E72D297353CC}">
              <c16:uniqueId val="{00000001-2952-4057-873D-06D1CA51F581}"/>
            </c:ext>
          </c:extLst>
        </c:ser>
        <c:ser>
          <c:idx val="3"/>
          <c:order val="3"/>
          <c:tx>
            <c:strRef>
              <c:f>'Geom Emb'!$E$40</c:f>
              <c:strCache>
                <c:ptCount val="1"/>
                <c:pt idx="0">
                  <c:v>Cota  Toma</c:v>
                </c:pt>
              </c:strCache>
            </c:strRef>
          </c:tx>
          <c:spPr>
            <a:ln>
              <a:solidFill>
                <a:schemeClr val="tx1"/>
              </a:solidFill>
              <a:prstDash val="lgDashDot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2952-4057-873D-06D1CA51F581}"/>
                </c:ext>
              </c:extLst>
            </c:dLbl>
            <c:spPr>
              <a:noFill/>
              <a:ln w="25400">
                <a:noFill/>
              </a:ln>
            </c:spPr>
            <c:txPr>
              <a:bodyPr wrap="square" lIns="38100" tIns="19050" rIns="38100" bIns="19050" anchor="ctr">
                <a:spAutoFit/>
              </a:bodyPr>
              <a:lstStyle/>
              <a:p>
                <a:pPr>
                  <a:defRPr sz="900" b="1" i="0" u="none" strike="noStrike" baseline="0">
                    <a:solidFill>
                      <a:srgbClr val="000000"/>
                    </a:solidFill>
                    <a:latin typeface="Arial"/>
                    <a:ea typeface="Arial"/>
                    <a:cs typeface="Arial"/>
                  </a:defRPr>
                </a:pPr>
                <a:endParaRPr lang="es-UY"/>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xVal>
            <c:numRef>
              <c:f>'Geom Emb'!$E$41:$E$42</c:f>
              <c:numCache>
                <c:formatCode>0.0</c:formatCode>
                <c:ptCount val="2"/>
                <c:pt idx="0">
                  <c:v>0</c:v>
                </c:pt>
                <c:pt idx="1">
                  <c:v>150.44999999999999</c:v>
                </c:pt>
              </c:numCache>
            </c:numRef>
          </c:xVal>
          <c:yVal>
            <c:numRef>
              <c:f>'Geom Emb'!$D$41:$D$42</c:f>
              <c:numCache>
                <c:formatCode>0.0</c:formatCode>
                <c:ptCount val="2"/>
                <c:pt idx="0">
                  <c:v>100.5</c:v>
                </c:pt>
                <c:pt idx="1">
                  <c:v>100.5</c:v>
                </c:pt>
              </c:numCache>
            </c:numRef>
          </c:yVal>
          <c:smooth val="0"/>
          <c:extLst>
            <c:ext xmlns:c16="http://schemas.microsoft.com/office/drawing/2014/chart" uri="{C3380CC4-5D6E-409C-BE32-E72D297353CC}">
              <c16:uniqueId val="{00000003-2952-4057-873D-06D1CA51F581}"/>
            </c:ext>
          </c:extLst>
        </c:ser>
        <c:ser>
          <c:idx val="4"/>
          <c:order val="4"/>
          <c:tx>
            <c:strRef>
              <c:f>'Geom Emb'!$F$40</c:f>
              <c:strCache>
                <c:ptCount val="1"/>
                <c:pt idx="0">
                  <c:v>Cota Vertedero</c:v>
                </c:pt>
              </c:strCache>
            </c:strRef>
          </c:tx>
          <c:spPr>
            <a:ln>
              <a:solidFill>
                <a:schemeClr val="tx1"/>
              </a:solidFill>
              <a:prstDash val="lgDashDotDot"/>
            </a:ln>
          </c:spPr>
          <c:marker>
            <c:symbol val="none"/>
          </c:marker>
          <c:dLbls>
            <c:dLbl>
              <c:idx val="0"/>
              <c:spPr>
                <a:noFill/>
                <a:ln w="25400">
                  <a:noFill/>
                </a:ln>
              </c:spPr>
              <c:txPr>
                <a:bodyPr/>
                <a:lstStyle/>
                <a:p>
                  <a:pPr>
                    <a:defRPr sz="900" b="1" i="0" u="none" strike="noStrike" baseline="0">
                      <a:solidFill>
                        <a:srgbClr val="000000"/>
                      </a:solidFill>
                      <a:latin typeface="Arial"/>
                      <a:ea typeface="Arial"/>
                      <a:cs typeface="Arial"/>
                    </a:defRPr>
                  </a:pPr>
                  <a:endParaRPr lang="es-UY"/>
                </a:p>
              </c:txPr>
              <c:dLblPos val="r"/>
              <c:showLegendKey val="0"/>
              <c:showVal val="1"/>
              <c:showCatName val="0"/>
              <c:showSerName val="1"/>
              <c:showPercent val="0"/>
              <c:showBubbleSize val="0"/>
              <c:extLst>
                <c:ext xmlns:c16="http://schemas.microsoft.com/office/drawing/2014/chart" uri="{C3380CC4-5D6E-409C-BE32-E72D297353CC}">
                  <c16:uniqueId val="{00000004-2952-4057-873D-06D1CA51F581}"/>
                </c:ext>
              </c:extLst>
            </c:dLbl>
            <c:dLbl>
              <c:idx val="1"/>
              <c:delete val="1"/>
              <c:extLst>
                <c:ext xmlns:c15="http://schemas.microsoft.com/office/drawing/2012/chart" uri="{CE6537A1-D6FC-4f65-9D91-7224C49458BB}"/>
                <c:ext xmlns:c16="http://schemas.microsoft.com/office/drawing/2014/chart" uri="{C3380CC4-5D6E-409C-BE32-E72D297353CC}">
                  <c16:uniqueId val="{00000005-2952-4057-873D-06D1CA51F581}"/>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es-UY"/>
              </a:p>
            </c:txPr>
            <c:dLblPos val="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xVal>
            <c:numRef>
              <c:f>'Geom Emb'!$F$43:$F$44</c:f>
              <c:numCache>
                <c:formatCode>0.0</c:formatCode>
                <c:ptCount val="2"/>
                <c:pt idx="0">
                  <c:v>0</c:v>
                </c:pt>
                <c:pt idx="1">
                  <c:v>300.89999999999998</c:v>
                </c:pt>
              </c:numCache>
            </c:numRef>
          </c:xVal>
          <c:yVal>
            <c:numRef>
              <c:f>'Geom Emb'!$D$43:$D$44</c:f>
              <c:numCache>
                <c:formatCode>0.0</c:formatCode>
                <c:ptCount val="2"/>
                <c:pt idx="0">
                  <c:v>106</c:v>
                </c:pt>
                <c:pt idx="1">
                  <c:v>106</c:v>
                </c:pt>
              </c:numCache>
            </c:numRef>
          </c:yVal>
          <c:smooth val="0"/>
          <c:extLst>
            <c:ext xmlns:c16="http://schemas.microsoft.com/office/drawing/2014/chart" uri="{C3380CC4-5D6E-409C-BE32-E72D297353CC}">
              <c16:uniqueId val="{00000006-2952-4057-873D-06D1CA51F581}"/>
            </c:ext>
          </c:extLst>
        </c:ser>
        <c:dLbls>
          <c:showLegendKey val="0"/>
          <c:showVal val="0"/>
          <c:showCatName val="0"/>
          <c:showSerName val="0"/>
          <c:showPercent val="0"/>
          <c:showBubbleSize val="0"/>
        </c:dLbls>
        <c:axId val="1592409792"/>
        <c:axId val="1"/>
      </c:scatterChart>
      <c:scatterChart>
        <c:scatterStyle val="lineMarker"/>
        <c:varyColors val="0"/>
        <c:ser>
          <c:idx val="2"/>
          <c:order val="0"/>
          <c:tx>
            <c:strRef>
              <c:f>'Geom Emb'!$I$16</c:f>
              <c:strCache>
                <c:ptCount val="1"/>
                <c:pt idx="0">
                  <c:v>Vol (Hm3) = F2(Cota)</c:v>
                </c:pt>
              </c:strCache>
            </c:strRef>
          </c:tx>
          <c:spPr>
            <a:ln w="38100">
              <a:solidFill>
                <a:srgbClr val="FF0000"/>
              </a:solidFill>
              <a:prstDash val="sysDash"/>
            </a:ln>
          </c:spPr>
          <c:marker>
            <c:symbol val="none"/>
          </c:marker>
          <c:xVal>
            <c:numRef>
              <c:f>'Geom Emb'!$I$17:$I$36</c:f>
              <c:numCache>
                <c:formatCode>0.00</c:formatCode>
                <c:ptCount val="20"/>
                <c:pt idx="0">
                  <c:v>0.36671363125898937</c:v>
                </c:pt>
                <c:pt idx="1">
                  <c:v>0.95397669956504061</c:v>
                </c:pt>
                <c:pt idx="2">
                  <c:v>1.9446737084754979</c:v>
                </c:pt>
                <c:pt idx="3">
                  <c:v>3.4311742378086203</c:v>
                </c:pt>
                <c:pt idx="4">
                  <c:v>5.5019781969633845</c:v>
                </c:pt>
                <c:pt idx="5">
                  <c:v>8.242564153164837</c:v>
                </c:pt>
                <c:pt idx="6">
                  <c:v>8.242564153164837</c:v>
                </c:pt>
                <c:pt idx="7">
                  <c:v>8.242564153164837</c:v>
                </c:pt>
                <c:pt idx="8">
                  <c:v>8.242564153164837</c:v>
                </c:pt>
                <c:pt idx="9">
                  <c:v>8.242564153164837</c:v>
                </c:pt>
                <c:pt idx="10">
                  <c:v>8.242564153164837</c:v>
                </c:pt>
                <c:pt idx="11">
                  <c:v>8.242564153164837</c:v>
                </c:pt>
                <c:pt idx="12">
                  <c:v>8.242564153164837</c:v>
                </c:pt>
                <c:pt idx="13">
                  <c:v>8.242564153164837</c:v>
                </c:pt>
                <c:pt idx="14">
                  <c:v>8.242564153164837</c:v>
                </c:pt>
                <c:pt idx="15">
                  <c:v>8.242564153164837</c:v>
                </c:pt>
                <c:pt idx="16">
                  <c:v>8.242564153164837</c:v>
                </c:pt>
                <c:pt idx="17">
                  <c:v>8.242564153164837</c:v>
                </c:pt>
                <c:pt idx="18">
                  <c:v>8.242564153164837</c:v>
                </c:pt>
                <c:pt idx="19">
                  <c:v>8.242564153164837</c:v>
                </c:pt>
              </c:numCache>
            </c:numRef>
          </c:xVal>
          <c:yVal>
            <c:numRef>
              <c:f>'Ingreso Datos'!$B$10:$B$29</c:f>
              <c:numCache>
                <c:formatCode>General</c:formatCode>
                <c:ptCount val="20"/>
                <c:pt idx="0">
                  <c:v>101.2</c:v>
                </c:pt>
                <c:pt idx="1">
                  <c:v>102.2</c:v>
                </c:pt>
                <c:pt idx="2">
                  <c:v>103.2</c:v>
                </c:pt>
                <c:pt idx="3">
                  <c:v>104.2</c:v>
                </c:pt>
                <c:pt idx="4">
                  <c:v>105.2</c:v>
                </c:pt>
                <c:pt idx="5">
                  <c:v>106.2</c:v>
                </c:pt>
              </c:numCache>
            </c:numRef>
          </c:yVal>
          <c:smooth val="0"/>
          <c:extLst>
            <c:ext xmlns:c16="http://schemas.microsoft.com/office/drawing/2014/chart" uri="{C3380CC4-5D6E-409C-BE32-E72D297353CC}">
              <c16:uniqueId val="{00000007-2952-4057-873D-06D1CA51F581}"/>
            </c:ext>
          </c:extLst>
        </c:ser>
        <c:dLbls>
          <c:showLegendKey val="0"/>
          <c:showVal val="0"/>
          <c:showCatName val="0"/>
          <c:showSerName val="0"/>
          <c:showPercent val="0"/>
          <c:showBubbleSize val="0"/>
        </c:dLbls>
        <c:axId val="3"/>
        <c:axId val="4"/>
      </c:scatterChart>
      <c:valAx>
        <c:axId val="1592409792"/>
        <c:scaling>
          <c:orientation val="minMax"/>
        </c:scaling>
        <c:delete val="0"/>
        <c:axPos val="b"/>
        <c:majorGridlines>
          <c:spPr>
            <a:ln w="3175">
              <a:solidFill>
                <a:srgbClr val="969696"/>
              </a:solidFill>
              <a:prstDash val="solid"/>
            </a:ln>
          </c:spPr>
        </c:majorGridlines>
        <c:title>
          <c:tx>
            <c:rich>
              <a:bodyPr/>
              <a:lstStyle/>
              <a:p>
                <a:pPr>
                  <a:defRPr sz="1000" b="1" i="0" u="none" strike="noStrike" baseline="0">
                    <a:solidFill>
                      <a:srgbClr val="0000FF"/>
                    </a:solidFill>
                    <a:latin typeface="Arial"/>
                    <a:ea typeface="Arial"/>
                    <a:cs typeface="Arial"/>
                  </a:defRPr>
                </a:pPr>
                <a:r>
                  <a:rPr lang="es-UY"/>
                  <a:t>Área (Hás)</a:t>
                </a:r>
              </a:p>
            </c:rich>
          </c:tx>
          <c:layout>
            <c:manualLayout>
              <c:xMode val="edge"/>
              <c:yMode val="edge"/>
              <c:x val="0.42678585176852896"/>
              <c:y val="0.93216378915938269"/>
            </c:manualLayout>
          </c:layout>
          <c:overlay val="0"/>
          <c:spPr>
            <a:noFill/>
            <a:ln w="25400">
              <a:noFill/>
            </a:ln>
          </c:spPr>
        </c:title>
        <c:numFmt formatCode="General" sourceLinked="1"/>
        <c:majorTickMark val="out"/>
        <c:minorTickMark val="in"/>
        <c:tickLblPos val="nextTo"/>
        <c:spPr>
          <a:ln w="19050">
            <a:solidFill>
              <a:srgbClr val="0000FF"/>
            </a:solidFill>
            <a:prstDash val="solid"/>
          </a:ln>
        </c:spPr>
        <c:txPr>
          <a:bodyPr rot="0" vert="horz"/>
          <a:lstStyle/>
          <a:p>
            <a:pPr>
              <a:defRPr sz="1200" b="1" i="0" u="none" strike="noStrike" baseline="0">
                <a:solidFill>
                  <a:srgbClr val="0000FF"/>
                </a:solidFill>
                <a:latin typeface="Arial"/>
                <a:ea typeface="Arial"/>
                <a:cs typeface="Arial"/>
              </a:defRPr>
            </a:pPr>
            <a:endParaRPr lang="es-UY"/>
          </a:p>
        </c:txPr>
        <c:crossAx val="1"/>
        <c:crosses val="autoZero"/>
        <c:crossBetween val="midCat"/>
      </c:valAx>
      <c:valAx>
        <c:axId val="1"/>
        <c:scaling>
          <c:orientation val="minMax"/>
          <c:min val="35"/>
        </c:scaling>
        <c:delete val="0"/>
        <c:axPos val="l"/>
        <c:majorGridlines>
          <c:spPr>
            <a:ln w="3175">
              <a:solidFill>
                <a:srgbClr val="969696"/>
              </a:solidFill>
              <a:prstDash val="solid"/>
            </a:ln>
          </c:spPr>
        </c:majorGridlines>
        <c:title>
          <c:tx>
            <c:rich>
              <a:bodyPr/>
              <a:lstStyle/>
              <a:p>
                <a:pPr>
                  <a:defRPr sz="1200" b="1" i="0" u="none" strike="noStrike" baseline="0">
                    <a:solidFill>
                      <a:srgbClr val="000000"/>
                    </a:solidFill>
                    <a:latin typeface="Arial"/>
                    <a:ea typeface="Arial"/>
                    <a:cs typeface="Arial"/>
                  </a:defRPr>
                </a:pPr>
                <a:r>
                  <a:rPr lang="es-UY"/>
                  <a:t>Cotas (m)</a:t>
                </a:r>
              </a:p>
            </c:rich>
          </c:tx>
          <c:layout>
            <c:manualLayout>
              <c:xMode val="edge"/>
              <c:yMode val="edge"/>
              <c:x val="6.364604424446944E-3"/>
              <c:y val="0.3831332321991861"/>
            </c:manualLayout>
          </c:layout>
          <c:overlay val="0"/>
          <c:spPr>
            <a:noFill/>
            <a:ln w="25400">
              <a:noFill/>
            </a:ln>
          </c:spPr>
        </c:title>
        <c:numFmt formatCode="General" sourceLinked="0"/>
        <c:majorTickMark val="out"/>
        <c:minorTickMark val="out"/>
        <c:tickLblPos val="nextTo"/>
        <c:spPr>
          <a:ln w="12700">
            <a:solidFill>
              <a:schemeClr val="tx1"/>
            </a:solidFill>
            <a:prstDash val="solid"/>
          </a:ln>
        </c:spPr>
        <c:txPr>
          <a:bodyPr rot="0" vert="horz"/>
          <a:lstStyle/>
          <a:p>
            <a:pPr>
              <a:defRPr sz="1125" b="0" i="0" u="none" strike="noStrike" baseline="0">
                <a:solidFill>
                  <a:srgbClr val="000000"/>
                </a:solidFill>
                <a:latin typeface="Arial"/>
                <a:ea typeface="Arial"/>
                <a:cs typeface="Arial"/>
              </a:defRPr>
            </a:pPr>
            <a:endParaRPr lang="es-UY"/>
          </a:p>
        </c:txPr>
        <c:crossAx val="1592409792"/>
        <c:crosses val="autoZero"/>
        <c:crossBetween val="midCat"/>
      </c:valAx>
      <c:valAx>
        <c:axId val="3"/>
        <c:scaling>
          <c:orientation val="minMax"/>
        </c:scaling>
        <c:delete val="0"/>
        <c:axPos val="t"/>
        <c:title>
          <c:tx>
            <c:rich>
              <a:bodyPr/>
              <a:lstStyle/>
              <a:p>
                <a:pPr>
                  <a:defRPr sz="1050" b="1" i="0" u="none" strike="noStrike" baseline="0">
                    <a:solidFill>
                      <a:srgbClr val="FF0000"/>
                    </a:solidFill>
                    <a:latin typeface="Arial"/>
                    <a:ea typeface="Arial"/>
                    <a:cs typeface="Arial"/>
                  </a:defRPr>
                </a:pPr>
                <a:r>
                  <a:rPr lang="es-UY"/>
                  <a:t>Volumen (Hm3)</a:t>
                </a:r>
              </a:p>
            </c:rich>
          </c:tx>
          <c:layout>
            <c:manualLayout>
              <c:xMode val="edge"/>
              <c:yMode val="edge"/>
              <c:x val="0.40654418197725289"/>
              <c:y val="0.12130920561535312"/>
            </c:manualLayout>
          </c:layout>
          <c:overlay val="0"/>
          <c:spPr>
            <a:noFill/>
            <a:ln w="25400">
              <a:noFill/>
            </a:ln>
          </c:spPr>
        </c:title>
        <c:numFmt formatCode="General" sourceLinked="0"/>
        <c:majorTickMark val="out"/>
        <c:minorTickMark val="in"/>
        <c:tickLblPos val="nextTo"/>
        <c:spPr>
          <a:ln w="19050">
            <a:solidFill>
              <a:srgbClr val="FF0000"/>
            </a:solidFill>
          </a:ln>
        </c:spPr>
        <c:txPr>
          <a:bodyPr rot="0" vert="horz"/>
          <a:lstStyle/>
          <a:p>
            <a:pPr>
              <a:defRPr sz="1100" b="1" i="0" u="none" strike="noStrike" baseline="0">
                <a:solidFill>
                  <a:srgbClr val="FF0000"/>
                </a:solidFill>
                <a:latin typeface="Arial"/>
                <a:ea typeface="Arial"/>
                <a:cs typeface="Arial"/>
              </a:defRPr>
            </a:pPr>
            <a:endParaRPr lang="es-UY"/>
          </a:p>
        </c:txPr>
        <c:crossAx val="4"/>
        <c:crosses val="max"/>
        <c:crossBetween val="midCat"/>
      </c:valAx>
      <c:valAx>
        <c:axId val="4"/>
        <c:scaling>
          <c:orientation val="minMax"/>
          <c:min val="35"/>
        </c:scaling>
        <c:delete val="0"/>
        <c:axPos val="r"/>
        <c:numFmt formatCode="General" sourceLinked="0"/>
        <c:majorTickMark val="out"/>
        <c:minorTickMark val="out"/>
        <c:tickLblPos val="nextTo"/>
        <c:spPr>
          <a:ln w="12700">
            <a:solidFill>
              <a:srgbClr val="FF0000"/>
            </a:solidFill>
            <a:prstDash val="solid"/>
          </a:ln>
        </c:spPr>
        <c:txPr>
          <a:bodyPr rot="0" vert="horz"/>
          <a:lstStyle/>
          <a:p>
            <a:pPr>
              <a:defRPr sz="1200" b="0" i="0" u="none" strike="noStrike" baseline="0">
                <a:solidFill>
                  <a:srgbClr val="000000"/>
                </a:solidFill>
                <a:latin typeface="Arial"/>
                <a:ea typeface="Arial"/>
                <a:cs typeface="Arial"/>
              </a:defRPr>
            </a:pPr>
            <a:endParaRPr lang="es-UY"/>
          </a:p>
        </c:txPr>
        <c:crossAx val="3"/>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s-UY"/>
    </a:p>
  </c:txPr>
  <c:printSettings>
    <c:headerFooter alignWithMargins="0"/>
    <c:pageMargins b="1" l="0.75000000000000056" r="0.75000000000000056"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UY"/>
              <a:t>Análisis de Satisfacción de la demanda</a:t>
            </a:r>
          </a:p>
        </c:rich>
      </c:tx>
      <c:layout>
        <c:manualLayout>
          <c:xMode val="edge"/>
          <c:yMode val="edge"/>
          <c:x val="0.24958985348350443"/>
          <c:y val="9.8040504021788665E-3"/>
        </c:manualLayout>
      </c:layout>
      <c:overlay val="0"/>
      <c:spPr>
        <a:noFill/>
        <a:ln w="25400">
          <a:noFill/>
        </a:ln>
      </c:spPr>
    </c:title>
    <c:autoTitleDeleted val="0"/>
    <c:plotArea>
      <c:layout>
        <c:manualLayout>
          <c:layoutTarget val="inner"/>
          <c:xMode val="edge"/>
          <c:yMode val="edge"/>
          <c:x val="0.15482240697672439"/>
          <c:y val="0.19611044349364462"/>
          <c:w val="0.7360409512008208"/>
          <c:h val="0.64505749182207084"/>
        </c:manualLayout>
      </c:layout>
      <c:scatterChart>
        <c:scatterStyle val="smoothMarker"/>
        <c:varyColors val="0"/>
        <c:ser>
          <c:idx val="4"/>
          <c:order val="0"/>
          <c:tx>
            <c:strRef>
              <c:f>'I-Satisfac-Demanda'!$I$2</c:f>
              <c:strCache>
                <c:ptCount val="1"/>
                <c:pt idx="0">
                  <c:v>Presa del Ejemplo del Manual</c:v>
                </c:pt>
              </c:strCache>
            </c:strRef>
          </c:tx>
          <c:spPr>
            <a:ln w="28575">
              <a:noFill/>
            </a:ln>
          </c:spPr>
          <c:marker>
            <c:symbol val="none"/>
          </c:marker>
          <c:xVal>
            <c:numRef>
              <c:f>'I-Satisfac-Demanda'!$F$31:$F$35</c:f>
              <c:numCache>
                <c:formatCode>0.000</c:formatCode>
                <c:ptCount val="5"/>
                <c:pt idx="0">
                  <c:v>0.8</c:v>
                </c:pt>
                <c:pt idx="1">
                  <c:v>0.9</c:v>
                </c:pt>
                <c:pt idx="2">
                  <c:v>1</c:v>
                </c:pt>
                <c:pt idx="3">
                  <c:v>1.1000000000000001</c:v>
                </c:pt>
                <c:pt idx="4">
                  <c:v>1.2</c:v>
                </c:pt>
              </c:numCache>
            </c:numRef>
          </c:xVal>
          <c:yVal>
            <c:numLit>
              <c:formatCode>General</c:formatCode>
              <c:ptCount val="1"/>
              <c:pt idx="0">
                <c:v>99</c:v>
              </c:pt>
            </c:numLit>
          </c:yVal>
          <c:smooth val="1"/>
          <c:extLst>
            <c:ext xmlns:c16="http://schemas.microsoft.com/office/drawing/2014/chart" uri="{C3380CC4-5D6E-409C-BE32-E72D297353CC}">
              <c16:uniqueId val="{00000000-A5BD-43CF-B563-5FF6A81C0A48}"/>
            </c:ext>
          </c:extLst>
        </c:ser>
        <c:ser>
          <c:idx val="5"/>
          <c:order val="1"/>
          <c:tx>
            <c:strRef>
              <c:f>'I-Satisfac-Demanda'!$F$17</c:f>
              <c:strCache>
                <c:ptCount val="1"/>
                <c:pt idx="0">
                  <c:v>Esc. Anual=22,01 Hm3</c:v>
                </c:pt>
              </c:strCache>
            </c:strRef>
          </c:tx>
          <c:spPr>
            <a:ln w="28575">
              <a:noFill/>
            </a:ln>
          </c:spPr>
          <c:marker>
            <c:symbol val="none"/>
          </c:marker>
          <c:xVal>
            <c:numRef>
              <c:f>'I-Satisfac-Demanda'!$F$31:$F$35</c:f>
              <c:numCache>
                <c:formatCode>0.000</c:formatCode>
                <c:ptCount val="5"/>
                <c:pt idx="0">
                  <c:v>0.8</c:v>
                </c:pt>
                <c:pt idx="1">
                  <c:v>0.9</c:v>
                </c:pt>
                <c:pt idx="2">
                  <c:v>1</c:v>
                </c:pt>
                <c:pt idx="3">
                  <c:v>1.1000000000000001</c:v>
                </c:pt>
                <c:pt idx="4">
                  <c:v>1.2</c:v>
                </c:pt>
              </c:numCache>
            </c:numRef>
          </c:xVal>
          <c:yVal>
            <c:numLit>
              <c:formatCode>General</c:formatCode>
              <c:ptCount val="1"/>
              <c:pt idx="0">
                <c:v>99</c:v>
              </c:pt>
            </c:numLit>
          </c:yVal>
          <c:smooth val="1"/>
          <c:extLst>
            <c:ext xmlns:c16="http://schemas.microsoft.com/office/drawing/2014/chart" uri="{C3380CC4-5D6E-409C-BE32-E72D297353CC}">
              <c16:uniqueId val="{00000001-A5BD-43CF-B563-5FF6A81C0A48}"/>
            </c:ext>
          </c:extLst>
        </c:ser>
        <c:ser>
          <c:idx val="3"/>
          <c:order val="2"/>
          <c:tx>
            <c:strRef>
              <c:f>'I-Satisfac-Demanda'!$F$20</c:f>
              <c:strCache>
                <c:ptCount val="1"/>
                <c:pt idx="0">
                  <c:v>Ht= 100,5</c:v>
                </c:pt>
              </c:strCache>
            </c:strRef>
          </c:tx>
          <c:spPr>
            <a:ln w="28575">
              <a:noFill/>
            </a:ln>
          </c:spPr>
          <c:marker>
            <c:symbol val="none"/>
          </c:marker>
          <c:xVal>
            <c:numRef>
              <c:f>'I-Satisfac-Demanda'!$F$31:$F$35</c:f>
              <c:numCache>
                <c:formatCode>0.000</c:formatCode>
                <c:ptCount val="5"/>
                <c:pt idx="0">
                  <c:v>0.8</c:v>
                </c:pt>
                <c:pt idx="1">
                  <c:v>0.9</c:v>
                </c:pt>
                <c:pt idx="2">
                  <c:v>1</c:v>
                </c:pt>
                <c:pt idx="3">
                  <c:v>1.1000000000000001</c:v>
                </c:pt>
                <c:pt idx="4">
                  <c:v>1.2</c:v>
                </c:pt>
              </c:numCache>
            </c:numRef>
          </c:xVal>
          <c:yVal>
            <c:numLit>
              <c:formatCode>General</c:formatCode>
              <c:ptCount val="1"/>
              <c:pt idx="0">
                <c:v>99</c:v>
              </c:pt>
            </c:numLit>
          </c:yVal>
          <c:smooth val="1"/>
          <c:extLst>
            <c:ext xmlns:c16="http://schemas.microsoft.com/office/drawing/2014/chart" uri="{C3380CC4-5D6E-409C-BE32-E72D297353CC}">
              <c16:uniqueId val="{00000002-A5BD-43CF-B563-5FF6A81C0A48}"/>
            </c:ext>
          </c:extLst>
        </c:ser>
        <c:ser>
          <c:idx val="2"/>
          <c:order val="3"/>
          <c:tx>
            <c:strRef>
              <c:f>'I-Satisfac-Demanda'!$G$20</c:f>
              <c:strCache>
                <c:ptCount val="1"/>
                <c:pt idx="0">
                  <c:v>Hv=105 msnm</c:v>
                </c:pt>
              </c:strCache>
            </c:strRef>
          </c:tx>
          <c:spPr>
            <a:ln w="38100">
              <a:solidFill>
                <a:srgbClr val="008000"/>
              </a:solidFill>
              <a:prstDash val="solid"/>
            </a:ln>
          </c:spPr>
          <c:marker>
            <c:symbol val="triangle"/>
            <c:size val="7"/>
            <c:spPr>
              <a:solidFill>
                <a:srgbClr val="008000"/>
              </a:solidFill>
              <a:ln>
                <a:solidFill>
                  <a:srgbClr val="008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3-A5BD-43CF-B563-5FF6A81C0A48}"/>
                </c:ext>
              </c:extLst>
            </c:dLbl>
            <c:dLbl>
              <c:idx val="1"/>
              <c:delete val="1"/>
              <c:extLst>
                <c:ext xmlns:c15="http://schemas.microsoft.com/office/drawing/2012/chart" uri="{CE6537A1-D6FC-4f65-9D91-7224C49458BB}"/>
                <c:ext xmlns:c16="http://schemas.microsoft.com/office/drawing/2014/chart" uri="{C3380CC4-5D6E-409C-BE32-E72D297353CC}">
                  <c16:uniqueId val="{00000004-A5BD-43CF-B563-5FF6A81C0A48}"/>
                </c:ext>
              </c:extLst>
            </c:dLbl>
            <c:dLbl>
              <c:idx val="2"/>
              <c:delete val="1"/>
              <c:extLst>
                <c:ext xmlns:c15="http://schemas.microsoft.com/office/drawing/2012/chart" uri="{CE6537A1-D6FC-4f65-9D91-7224C49458BB}"/>
                <c:ext xmlns:c16="http://schemas.microsoft.com/office/drawing/2014/chart" uri="{C3380CC4-5D6E-409C-BE32-E72D297353CC}">
                  <c16:uniqueId val="{00000005-A5BD-43CF-B563-5FF6A81C0A48}"/>
                </c:ext>
              </c:extLst>
            </c:dLbl>
            <c:dLbl>
              <c:idx val="3"/>
              <c:delete val="1"/>
              <c:extLst>
                <c:ext xmlns:c15="http://schemas.microsoft.com/office/drawing/2012/chart" uri="{CE6537A1-D6FC-4f65-9D91-7224C49458BB}"/>
                <c:ext xmlns:c16="http://schemas.microsoft.com/office/drawing/2014/chart" uri="{C3380CC4-5D6E-409C-BE32-E72D297353CC}">
                  <c16:uniqueId val="{00000006-A5BD-43CF-B563-5FF6A81C0A48}"/>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'I-Satisfac-Demanda'!$F$31:$F$35</c:f>
              <c:numCache>
                <c:formatCode>0.000</c:formatCode>
                <c:ptCount val="5"/>
                <c:pt idx="0">
                  <c:v>0.8</c:v>
                </c:pt>
                <c:pt idx="1">
                  <c:v>0.9</c:v>
                </c:pt>
                <c:pt idx="2">
                  <c:v>1</c:v>
                </c:pt>
                <c:pt idx="3">
                  <c:v>1.1000000000000001</c:v>
                </c:pt>
                <c:pt idx="4">
                  <c:v>1.2</c:v>
                </c:pt>
              </c:numCache>
            </c:numRef>
          </c:xVal>
          <c:yVal>
            <c:numRef>
              <c:f>'I-Satisfac-Demanda'!$G$31:$G$35</c:f>
              <c:numCache>
                <c:formatCode>General</c:formatCode>
                <c:ptCount val="5"/>
                <c:pt idx="0">
                  <c:v>91.88</c:v>
                </c:pt>
                <c:pt idx="1">
                  <c:v>87.21</c:v>
                </c:pt>
                <c:pt idx="2">
                  <c:v>82.57</c:v>
                </c:pt>
                <c:pt idx="3">
                  <c:v>77.89</c:v>
                </c:pt>
                <c:pt idx="4">
                  <c:v>73.680000000000007</c:v>
                </c:pt>
              </c:numCache>
            </c:numRef>
          </c:yVal>
          <c:smooth val="0"/>
          <c:extLst>
            <c:ext xmlns:c16="http://schemas.microsoft.com/office/drawing/2014/chart" uri="{C3380CC4-5D6E-409C-BE32-E72D297353CC}">
              <c16:uniqueId val="{00000007-A5BD-43CF-B563-5FF6A81C0A48}"/>
            </c:ext>
          </c:extLst>
        </c:ser>
        <c:ser>
          <c:idx val="0"/>
          <c:order val="4"/>
          <c:tx>
            <c:strRef>
              <c:f>'I-Satisfac-Demanda'!$H$20</c:f>
              <c:strCache>
                <c:ptCount val="1"/>
                <c:pt idx="0">
                  <c:v>Hv=106 msnm</c:v>
                </c:pt>
              </c:strCache>
            </c:strRef>
          </c:tx>
          <c:spPr>
            <a:ln w="38100">
              <a:solidFill>
                <a:srgbClr val="666699"/>
              </a:solidFill>
              <a:prstDash val="solid"/>
            </a:ln>
          </c:spPr>
          <c:marker>
            <c:symbol val="circle"/>
            <c:size val="7"/>
            <c:spPr>
              <a:solidFill>
                <a:srgbClr val="666699"/>
              </a:solidFill>
              <a:ln>
                <a:solidFill>
                  <a:srgbClr val="666699"/>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8-A5BD-43CF-B563-5FF6A81C0A48}"/>
                </c:ext>
              </c:extLst>
            </c:dLbl>
            <c:dLbl>
              <c:idx val="1"/>
              <c:delete val="1"/>
              <c:extLst>
                <c:ext xmlns:c15="http://schemas.microsoft.com/office/drawing/2012/chart" uri="{CE6537A1-D6FC-4f65-9D91-7224C49458BB}"/>
                <c:ext xmlns:c16="http://schemas.microsoft.com/office/drawing/2014/chart" uri="{C3380CC4-5D6E-409C-BE32-E72D297353CC}">
                  <c16:uniqueId val="{00000009-A5BD-43CF-B563-5FF6A81C0A48}"/>
                </c:ext>
              </c:extLst>
            </c:dLbl>
            <c:dLbl>
              <c:idx val="2"/>
              <c:delete val="1"/>
              <c:extLst>
                <c:ext xmlns:c15="http://schemas.microsoft.com/office/drawing/2012/chart" uri="{CE6537A1-D6FC-4f65-9D91-7224C49458BB}"/>
                <c:ext xmlns:c16="http://schemas.microsoft.com/office/drawing/2014/chart" uri="{C3380CC4-5D6E-409C-BE32-E72D297353CC}">
                  <c16:uniqueId val="{0000000A-A5BD-43CF-B563-5FF6A81C0A48}"/>
                </c:ext>
              </c:extLst>
            </c:dLbl>
            <c:dLbl>
              <c:idx val="3"/>
              <c:delete val="1"/>
              <c:extLst>
                <c:ext xmlns:c15="http://schemas.microsoft.com/office/drawing/2012/chart" uri="{CE6537A1-D6FC-4f65-9D91-7224C49458BB}"/>
                <c:ext xmlns:c16="http://schemas.microsoft.com/office/drawing/2014/chart" uri="{C3380CC4-5D6E-409C-BE32-E72D297353CC}">
                  <c16:uniqueId val="{0000000B-A5BD-43CF-B563-5FF6A81C0A48}"/>
                </c:ext>
              </c:extLst>
            </c:dLbl>
            <c:dLbl>
              <c:idx val="5"/>
              <c:delete val="1"/>
              <c:extLst>
                <c:ext xmlns:c15="http://schemas.microsoft.com/office/drawing/2012/chart" uri="{CE6537A1-D6FC-4f65-9D91-7224C49458BB}"/>
                <c:ext xmlns:c16="http://schemas.microsoft.com/office/drawing/2014/chart" uri="{C3380CC4-5D6E-409C-BE32-E72D297353CC}">
                  <c16:uniqueId val="{0000000C-A5BD-43CF-B563-5FF6A81C0A48}"/>
                </c:ext>
              </c:extLst>
            </c:dLbl>
            <c:dLbl>
              <c:idx val="6"/>
              <c:delete val="1"/>
              <c:extLst>
                <c:ext xmlns:c15="http://schemas.microsoft.com/office/drawing/2012/chart" uri="{CE6537A1-D6FC-4f65-9D91-7224C49458BB}"/>
                <c:ext xmlns:c16="http://schemas.microsoft.com/office/drawing/2014/chart" uri="{C3380CC4-5D6E-409C-BE32-E72D297353CC}">
                  <c16:uniqueId val="{0000000D-A5BD-43CF-B563-5FF6A81C0A48}"/>
                </c:ext>
              </c:extLst>
            </c:dLbl>
            <c:dLbl>
              <c:idx val="7"/>
              <c:delete val="1"/>
              <c:extLst>
                <c:ext xmlns:c15="http://schemas.microsoft.com/office/drawing/2012/chart" uri="{CE6537A1-D6FC-4f65-9D91-7224C49458BB}"/>
                <c:ext xmlns:c16="http://schemas.microsoft.com/office/drawing/2014/chart" uri="{C3380CC4-5D6E-409C-BE32-E72D297353CC}">
                  <c16:uniqueId val="{0000000E-A5BD-43CF-B563-5FF6A81C0A48}"/>
                </c:ext>
              </c:extLst>
            </c:dLbl>
            <c:dLbl>
              <c:idx val="8"/>
              <c:delete val="1"/>
              <c:extLst>
                <c:ext xmlns:c15="http://schemas.microsoft.com/office/drawing/2012/chart" uri="{CE6537A1-D6FC-4f65-9D91-7224C49458BB}"/>
                <c:ext xmlns:c16="http://schemas.microsoft.com/office/drawing/2014/chart" uri="{C3380CC4-5D6E-409C-BE32-E72D297353CC}">
                  <c16:uniqueId val="{0000000F-A5BD-43CF-B563-5FF6A81C0A48}"/>
                </c:ext>
              </c:extLst>
            </c:dLbl>
            <c:spPr>
              <a:solidFill>
                <a:srgbClr val="FFFFFF"/>
              </a:solidFill>
              <a:ln w="25400">
                <a:noFill/>
              </a:ln>
            </c:spPr>
            <c:txPr>
              <a:bodyPr wrap="square" lIns="38100" tIns="19050" rIns="38100" bIns="19050" anchor="ctr">
                <a:spAutoFit/>
              </a:bodyPr>
              <a:lstStyle/>
              <a:p>
                <a:pPr>
                  <a:defRPr sz="1000" b="1" i="0" u="none" strike="noStrike" baseline="0">
                    <a:solidFill>
                      <a:srgbClr val="000000"/>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'I-Satisfac-Demanda'!$F$31:$F$35</c:f>
              <c:numCache>
                <c:formatCode>0.000</c:formatCode>
                <c:ptCount val="5"/>
                <c:pt idx="0">
                  <c:v>0.8</c:v>
                </c:pt>
                <c:pt idx="1">
                  <c:v>0.9</c:v>
                </c:pt>
                <c:pt idx="2">
                  <c:v>1</c:v>
                </c:pt>
                <c:pt idx="3">
                  <c:v>1.1000000000000001</c:v>
                </c:pt>
                <c:pt idx="4">
                  <c:v>1.2</c:v>
                </c:pt>
              </c:numCache>
            </c:numRef>
          </c:xVal>
          <c:yVal>
            <c:numRef>
              <c:f>'I-Satisfac-Demanda'!$H$31:$H$35</c:f>
              <c:numCache>
                <c:formatCode>General</c:formatCode>
                <c:ptCount val="5"/>
                <c:pt idx="0">
                  <c:v>98.91</c:v>
                </c:pt>
                <c:pt idx="1">
                  <c:v>96.52</c:v>
                </c:pt>
                <c:pt idx="2">
                  <c:v>93.04</c:v>
                </c:pt>
                <c:pt idx="3">
                  <c:v>88.76</c:v>
                </c:pt>
                <c:pt idx="4">
                  <c:v>84.86</c:v>
                </c:pt>
              </c:numCache>
            </c:numRef>
          </c:yVal>
          <c:smooth val="1"/>
          <c:extLst>
            <c:ext xmlns:c16="http://schemas.microsoft.com/office/drawing/2014/chart" uri="{C3380CC4-5D6E-409C-BE32-E72D297353CC}">
              <c16:uniqueId val="{00000010-A5BD-43CF-B563-5FF6A81C0A48}"/>
            </c:ext>
          </c:extLst>
        </c:ser>
        <c:ser>
          <c:idx val="1"/>
          <c:order val="5"/>
          <c:tx>
            <c:strRef>
              <c:f>'I-Satisfac-Demanda'!$I$20</c:f>
              <c:strCache>
                <c:ptCount val="1"/>
                <c:pt idx="0">
                  <c:v>Hv=107 msnm</c:v>
                </c:pt>
              </c:strCache>
            </c:strRef>
          </c:tx>
          <c:spPr>
            <a:ln w="38100">
              <a:solidFill>
                <a:srgbClr val="FF0000"/>
              </a:solidFill>
              <a:prstDash val="solid"/>
            </a:ln>
          </c:spPr>
          <c:marker>
            <c:symbol val="diamond"/>
            <c:size val="7"/>
            <c:spPr>
              <a:solidFill>
                <a:srgbClr val="FF0000"/>
              </a:solidFill>
              <a:ln>
                <a:solidFill>
                  <a:srgbClr val="FF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11-A5BD-43CF-B563-5FF6A81C0A48}"/>
                </c:ext>
              </c:extLst>
            </c:dLbl>
            <c:dLbl>
              <c:idx val="1"/>
              <c:delete val="1"/>
              <c:extLst>
                <c:ext xmlns:c15="http://schemas.microsoft.com/office/drawing/2012/chart" uri="{CE6537A1-D6FC-4f65-9D91-7224C49458BB}"/>
                <c:ext xmlns:c16="http://schemas.microsoft.com/office/drawing/2014/chart" uri="{C3380CC4-5D6E-409C-BE32-E72D297353CC}">
                  <c16:uniqueId val="{00000012-A5BD-43CF-B563-5FF6A81C0A48}"/>
                </c:ext>
              </c:extLst>
            </c:dLbl>
            <c:dLbl>
              <c:idx val="2"/>
              <c:delete val="1"/>
              <c:extLst>
                <c:ext xmlns:c15="http://schemas.microsoft.com/office/drawing/2012/chart" uri="{CE6537A1-D6FC-4f65-9D91-7224C49458BB}"/>
                <c:ext xmlns:c16="http://schemas.microsoft.com/office/drawing/2014/chart" uri="{C3380CC4-5D6E-409C-BE32-E72D297353CC}">
                  <c16:uniqueId val="{00000013-A5BD-43CF-B563-5FF6A81C0A48}"/>
                </c:ext>
              </c:extLst>
            </c:dLbl>
            <c:dLbl>
              <c:idx val="3"/>
              <c:delete val="1"/>
              <c:extLst>
                <c:ext xmlns:c15="http://schemas.microsoft.com/office/drawing/2012/chart" uri="{CE6537A1-D6FC-4f65-9D91-7224C49458BB}"/>
                <c:ext xmlns:c16="http://schemas.microsoft.com/office/drawing/2014/chart" uri="{C3380CC4-5D6E-409C-BE32-E72D297353CC}">
                  <c16:uniqueId val="{00000014-A5BD-43CF-B563-5FF6A81C0A48}"/>
                </c:ext>
              </c:extLst>
            </c:dLbl>
            <c:dLbl>
              <c:idx val="4"/>
              <c:spPr>
                <a:solidFill>
                  <a:srgbClr val="FFFFFF"/>
                </a:solidFill>
                <a:ln w="25400">
                  <a:noFill/>
                </a:ln>
              </c:spPr>
              <c:txPr>
                <a:bodyPr/>
                <a:lstStyle/>
                <a:p>
                  <a:pPr>
                    <a:defRPr sz="1000" b="1" i="0" u="none" strike="noStrike" baseline="0">
                      <a:solidFill>
                        <a:srgbClr val="000000"/>
                      </a:solidFill>
                      <a:latin typeface="Calibri"/>
                      <a:ea typeface="Calibri"/>
                      <a:cs typeface="Calibri"/>
                    </a:defRPr>
                  </a:pPr>
                  <a:endParaRPr lang="es-UY"/>
                </a:p>
              </c:txPr>
              <c:showLegendKey val="0"/>
              <c:showVal val="0"/>
              <c:showCatName val="0"/>
              <c:showSerName val="1"/>
              <c:showPercent val="0"/>
              <c:showBubbleSize val="0"/>
              <c:extLst>
                <c:ext xmlns:c16="http://schemas.microsoft.com/office/drawing/2014/chart" uri="{C3380CC4-5D6E-409C-BE32-E72D297353CC}">
                  <c16:uniqueId val="{00000015-A5BD-43CF-B563-5FF6A81C0A48}"/>
                </c:ext>
              </c:extLst>
            </c:dLbl>
            <c:dLbl>
              <c:idx val="10"/>
              <c:delete val="1"/>
              <c:extLst>
                <c:ext xmlns:c15="http://schemas.microsoft.com/office/drawing/2012/chart" uri="{CE6537A1-D6FC-4f65-9D91-7224C49458BB}"/>
                <c:ext xmlns:c16="http://schemas.microsoft.com/office/drawing/2014/chart" uri="{C3380CC4-5D6E-409C-BE32-E72D297353CC}">
                  <c16:uniqueId val="{00000016-A5BD-43CF-B563-5FF6A81C0A48}"/>
                </c:ext>
              </c:extLst>
            </c:dLbl>
            <c:dLbl>
              <c:idx val="11"/>
              <c:delete val="1"/>
              <c:extLst>
                <c:ext xmlns:c15="http://schemas.microsoft.com/office/drawing/2012/chart" uri="{CE6537A1-D6FC-4f65-9D91-7224C49458BB}"/>
                <c:ext xmlns:c16="http://schemas.microsoft.com/office/drawing/2014/chart" uri="{C3380CC4-5D6E-409C-BE32-E72D297353CC}">
                  <c16:uniqueId val="{00000017-A5BD-43CF-B563-5FF6A81C0A48}"/>
                </c:ext>
              </c:extLst>
            </c:dLbl>
            <c:dLbl>
              <c:idx val="12"/>
              <c:delete val="1"/>
              <c:extLst>
                <c:ext xmlns:c15="http://schemas.microsoft.com/office/drawing/2012/chart" uri="{CE6537A1-D6FC-4f65-9D91-7224C49458BB}"/>
                <c:ext xmlns:c16="http://schemas.microsoft.com/office/drawing/2014/chart" uri="{C3380CC4-5D6E-409C-BE32-E72D297353CC}">
                  <c16:uniqueId val="{00000018-A5BD-43CF-B563-5FF6A81C0A48}"/>
                </c:ext>
              </c:extLst>
            </c:dLbl>
            <c:dLbl>
              <c:idx val="13"/>
              <c:delete val="1"/>
              <c:extLst>
                <c:ext xmlns:c15="http://schemas.microsoft.com/office/drawing/2012/chart" uri="{CE6537A1-D6FC-4f65-9D91-7224C49458BB}"/>
                <c:ext xmlns:c16="http://schemas.microsoft.com/office/drawing/2014/chart" uri="{C3380CC4-5D6E-409C-BE32-E72D297353CC}">
                  <c16:uniqueId val="{00000019-A5BD-43CF-B563-5FF6A81C0A48}"/>
                </c:ext>
              </c:extLst>
            </c:dLbl>
            <c:spPr>
              <a:solidFill>
                <a:srgbClr val="FFFFFF"/>
              </a:solidFill>
              <a:ln w="25400">
                <a:noFill/>
              </a:ln>
            </c:spPr>
            <c:txPr>
              <a:bodyPr wrap="square" lIns="38100" tIns="19050" rIns="38100" bIns="19050" anchor="ctr">
                <a:spAutoFit/>
              </a:bodyPr>
              <a:lstStyle/>
              <a:p>
                <a:pPr>
                  <a:defRPr sz="1000" b="1" i="0" u="none" strike="noStrike" baseline="0">
                    <a:solidFill>
                      <a:srgbClr val="000000"/>
                    </a:solidFill>
                    <a:latin typeface="Calibri"/>
                    <a:ea typeface="Calibri"/>
                    <a:cs typeface="Calibri"/>
                  </a:defRPr>
                </a:pPr>
                <a:endParaRPr lang="es-UY"/>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'I-Satisfac-Demanda'!$F$31:$F$35</c:f>
              <c:numCache>
                <c:formatCode>0.000</c:formatCode>
                <c:ptCount val="5"/>
                <c:pt idx="0">
                  <c:v>0.8</c:v>
                </c:pt>
                <c:pt idx="1">
                  <c:v>0.9</c:v>
                </c:pt>
                <c:pt idx="2">
                  <c:v>1</c:v>
                </c:pt>
                <c:pt idx="3">
                  <c:v>1.1000000000000001</c:v>
                </c:pt>
                <c:pt idx="4">
                  <c:v>1.2</c:v>
                </c:pt>
              </c:numCache>
            </c:numRef>
          </c:xVal>
          <c:yVal>
            <c:numRef>
              <c:f>'I-Satisfac-Demanda'!$I$31:$I$35</c:f>
              <c:numCache>
                <c:formatCode>General</c:formatCode>
                <c:ptCount val="5"/>
                <c:pt idx="0">
                  <c:v>100</c:v>
                </c:pt>
                <c:pt idx="1">
                  <c:v>99.54</c:v>
                </c:pt>
                <c:pt idx="2">
                  <c:v>98.24</c:v>
                </c:pt>
                <c:pt idx="3">
                  <c:v>95.93</c:v>
                </c:pt>
                <c:pt idx="4">
                  <c:v>92.73</c:v>
                </c:pt>
              </c:numCache>
            </c:numRef>
          </c:yVal>
          <c:smooth val="1"/>
          <c:extLst>
            <c:ext xmlns:c16="http://schemas.microsoft.com/office/drawing/2014/chart" uri="{C3380CC4-5D6E-409C-BE32-E72D297353CC}">
              <c16:uniqueId val="{0000001A-A5BD-43CF-B563-5FF6A81C0A48}"/>
            </c:ext>
          </c:extLst>
        </c:ser>
        <c:ser>
          <c:idx val="7"/>
          <c:order val="6"/>
          <c:tx>
            <c:strRef>
              <c:f>'I-Satisfac-Demanda'!$I$18</c:f>
              <c:strCache>
                <c:ptCount val="1"/>
                <c:pt idx="0">
                  <c:v>Ar media = 1100 Hás</c:v>
                </c:pt>
              </c:strCache>
            </c:strRef>
          </c:tx>
          <c:spPr>
            <a:ln w="28575">
              <a:noFill/>
            </a:ln>
          </c:spPr>
          <c:marker>
            <c:symbol val="none"/>
          </c:marker>
          <c:xVal>
            <c:numRef>
              <c:f>'I-Satisfac-Demanda'!$F$31:$F$35</c:f>
              <c:numCache>
                <c:formatCode>0.000</c:formatCode>
                <c:ptCount val="5"/>
                <c:pt idx="0">
                  <c:v>0.8</c:v>
                </c:pt>
                <c:pt idx="1">
                  <c:v>0.9</c:v>
                </c:pt>
                <c:pt idx="2">
                  <c:v>1</c:v>
                </c:pt>
                <c:pt idx="3">
                  <c:v>1.1000000000000001</c:v>
                </c:pt>
                <c:pt idx="4">
                  <c:v>1.2</c:v>
                </c:pt>
              </c:numCache>
            </c:numRef>
          </c:xVal>
          <c:yVal>
            <c:numLit>
              <c:formatCode>General</c:formatCode>
              <c:ptCount val="1"/>
              <c:pt idx="0">
                <c:v>99</c:v>
              </c:pt>
            </c:numLit>
          </c:yVal>
          <c:smooth val="1"/>
          <c:extLst>
            <c:ext xmlns:c16="http://schemas.microsoft.com/office/drawing/2014/chart" uri="{C3380CC4-5D6E-409C-BE32-E72D297353CC}">
              <c16:uniqueId val="{0000001B-A5BD-43CF-B563-5FF6A81C0A48}"/>
            </c:ext>
          </c:extLst>
        </c:ser>
        <c:dLbls>
          <c:showLegendKey val="0"/>
          <c:showVal val="0"/>
          <c:showCatName val="0"/>
          <c:showSerName val="0"/>
          <c:showPercent val="0"/>
          <c:showBubbleSize val="0"/>
        </c:dLbls>
        <c:axId val="1592402304"/>
        <c:axId val="1"/>
      </c:scatterChart>
      <c:valAx>
        <c:axId val="1592402304"/>
        <c:scaling>
          <c:orientation val="minMax"/>
          <c:max val="1.3"/>
          <c:min val="0.7"/>
        </c:scaling>
        <c:delete val="0"/>
        <c:axPos val="b"/>
        <c:majorGridlines>
          <c:spPr>
            <a:ln w="3175">
              <a:solidFill>
                <a:srgbClr val="000000"/>
              </a:solidFill>
              <a:prstDash val="solid"/>
            </a:ln>
          </c:spPr>
        </c:majorGridlines>
        <c:minorGridlines>
          <c:spPr>
            <a:ln>
              <a:solidFill>
                <a:srgbClr val="4BACC6">
                  <a:lumMod val="20000"/>
                  <a:lumOff val="80000"/>
                </a:srgbClr>
              </a:solidFill>
            </a:ln>
          </c:spPr>
        </c:minorGridlines>
        <c:title>
          <c:tx>
            <c:rich>
              <a:bodyPr/>
              <a:lstStyle/>
              <a:p>
                <a:pPr>
                  <a:defRPr sz="1400" b="0" i="0" u="none" strike="noStrike" baseline="0">
                    <a:solidFill>
                      <a:srgbClr val="000000"/>
                    </a:solidFill>
                    <a:latin typeface="Calibri"/>
                    <a:ea typeface="Calibri"/>
                    <a:cs typeface="Calibri"/>
                  </a:defRPr>
                </a:pPr>
                <a:r>
                  <a:rPr lang="es-UY"/>
                  <a:t>Área regada / Área media</a:t>
                </a:r>
              </a:p>
            </c:rich>
          </c:tx>
          <c:layout>
            <c:manualLayout>
              <c:xMode val="edge"/>
              <c:yMode val="edge"/>
              <c:x val="0.28407272666866012"/>
              <c:y val="0.9284405633683408"/>
            </c:manualLayout>
          </c:layout>
          <c:overlay val="0"/>
          <c:spPr>
            <a:noFill/>
            <a:ln w="25400">
              <a:noFill/>
            </a:ln>
          </c:spPr>
        </c:title>
        <c:numFmt formatCode="0%" sourceLinked="0"/>
        <c:majorTickMark val="out"/>
        <c:minorTickMark val="in"/>
        <c:tickLblPos val="nextTo"/>
        <c:txPr>
          <a:bodyPr rot="0" vert="horz"/>
          <a:lstStyle/>
          <a:p>
            <a:pPr>
              <a:defRPr sz="1400" b="0" i="0" u="none" strike="noStrike" baseline="0">
                <a:solidFill>
                  <a:srgbClr val="000000"/>
                </a:solidFill>
                <a:latin typeface="Calibri"/>
                <a:ea typeface="Calibri"/>
                <a:cs typeface="Calibri"/>
              </a:defRPr>
            </a:pPr>
            <a:endParaRPr lang="es-UY"/>
          </a:p>
        </c:txPr>
        <c:crossAx val="1"/>
        <c:crosses val="autoZero"/>
        <c:crossBetween val="midCat"/>
        <c:majorUnit val="0.1"/>
      </c:valAx>
      <c:valAx>
        <c:axId val="1"/>
        <c:scaling>
          <c:orientation val="minMax"/>
          <c:max val="100"/>
        </c:scaling>
        <c:delete val="0"/>
        <c:axPos val="l"/>
        <c:majorGridlines>
          <c:spPr>
            <a:ln w="3175">
              <a:solidFill>
                <a:srgbClr val="008080"/>
              </a:solidFill>
              <a:prstDash val="solid"/>
            </a:ln>
          </c:spPr>
        </c:majorGridlines>
        <c:minorGridlines>
          <c:spPr>
            <a:ln w="3175">
              <a:solidFill>
                <a:srgbClr val="CCFFFF"/>
              </a:solidFill>
              <a:prstDash val="solid"/>
            </a:ln>
          </c:spPr>
        </c:minorGridlines>
        <c:title>
          <c:tx>
            <c:rich>
              <a:bodyPr/>
              <a:lstStyle/>
              <a:p>
                <a:pPr>
                  <a:defRPr sz="1100" b="0" i="0" u="none" strike="noStrike" baseline="0">
                    <a:solidFill>
                      <a:srgbClr val="000000"/>
                    </a:solidFill>
                    <a:latin typeface="Calibri"/>
                    <a:ea typeface="Calibri"/>
                    <a:cs typeface="Calibri"/>
                  </a:defRPr>
                </a:pPr>
                <a:r>
                  <a:rPr lang="es-UY"/>
                  <a:t>ISD (%) = Suma agua entregada / Suma agua demandada</a:t>
                </a:r>
              </a:p>
            </c:rich>
          </c:tx>
          <c:overlay val="0"/>
          <c:spPr>
            <a:noFill/>
            <a:ln w="25400">
              <a:noFill/>
            </a:ln>
          </c:spPr>
        </c:title>
        <c:numFmt formatCode="General" sourceLinked="1"/>
        <c:majorTickMark val="out"/>
        <c:minorTickMark val="cross"/>
        <c:tickLblPos val="nextTo"/>
        <c:txPr>
          <a:bodyPr rot="0" vert="horz"/>
          <a:lstStyle/>
          <a:p>
            <a:pPr>
              <a:defRPr sz="1400" b="0" i="0" u="none" strike="noStrike" baseline="0">
                <a:solidFill>
                  <a:srgbClr val="000000"/>
                </a:solidFill>
                <a:latin typeface="Calibri"/>
                <a:ea typeface="Calibri"/>
                <a:cs typeface="Calibri"/>
              </a:defRPr>
            </a:pPr>
            <a:endParaRPr lang="es-UY"/>
          </a:p>
        </c:txPr>
        <c:crossAx val="1592402304"/>
        <c:crosses val="autoZero"/>
        <c:crossBetween val="midCat"/>
      </c:valAx>
      <c:spPr>
        <a:solidFill>
          <a:srgbClr val="FFFFFF"/>
        </a:solidFill>
        <a:ln w="3175">
          <a:solidFill>
            <a:srgbClr val="000000"/>
          </a:solidFill>
          <a:prstDash val="solid"/>
        </a:ln>
      </c:spPr>
    </c:plotArea>
    <c:legend>
      <c:legendPos val="r"/>
      <c:legendEntry>
        <c:idx val="3"/>
        <c:delete val="1"/>
      </c:legendEntry>
      <c:legendEntry>
        <c:idx val="4"/>
        <c:delete val="1"/>
      </c:legendEntry>
      <c:legendEntry>
        <c:idx val="5"/>
        <c:delete val="1"/>
      </c:legendEntry>
      <c:layout>
        <c:manualLayout>
          <c:xMode val="edge"/>
          <c:yMode val="edge"/>
          <c:x val="6.8967678416497313E-2"/>
          <c:y val="5.6864541714419209E-2"/>
          <c:w val="0.91300069522791683"/>
          <c:h val="8.82380819706505E-2"/>
        </c:manualLayout>
      </c:layout>
      <c:overlay val="0"/>
      <c:spPr>
        <a:solidFill>
          <a:srgbClr val="FFFFFF"/>
        </a:solidFill>
        <a:ln w="25400">
          <a:noFill/>
        </a:ln>
      </c:spPr>
      <c:txPr>
        <a:bodyPr/>
        <a:lstStyle/>
        <a:p>
          <a:pPr>
            <a:defRPr sz="780" b="1" i="0" u="none" strike="noStrike" baseline="0">
              <a:solidFill>
                <a:srgbClr val="000000"/>
              </a:solidFill>
              <a:latin typeface="Calibri"/>
              <a:ea typeface="Calibri"/>
              <a:cs typeface="Calibri"/>
            </a:defRPr>
          </a:pPr>
          <a:endParaRPr lang="es-UY"/>
        </a:p>
      </c:txPr>
    </c:legend>
    <c:plotVisOnly val="1"/>
    <c:dispBlanksAs val="gap"/>
    <c:showDLblsOverMax val="0"/>
  </c:chart>
  <c:spPr>
    <a:solidFill>
      <a:srgbClr val="FFFFFF"/>
    </a:solidFill>
    <a:ln w="3175">
      <a:solidFill>
        <a:srgbClr val="000000"/>
      </a:solidFill>
      <a:prstDash val="solid"/>
    </a:ln>
  </c:spPr>
  <c:txPr>
    <a:bodyPr/>
    <a:lstStyle/>
    <a:p>
      <a:pPr>
        <a:defRPr sz="1400" b="0" i="0" u="none" strike="noStrike" baseline="0">
          <a:solidFill>
            <a:srgbClr val="000000"/>
          </a:solidFill>
          <a:latin typeface="Calibri"/>
          <a:ea typeface="Calibri"/>
          <a:cs typeface="Calibri"/>
        </a:defRPr>
      </a:pPr>
      <a:endParaRPr lang="es-UY"/>
    </a:p>
  </c:txPr>
  <c:printSettings>
    <c:headerFooter/>
    <c:pageMargins b="1" l="0.75" r="0.7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UY"/>
              <a:t>Características del flujo en el vertedero-canal con las dimensiones seleccionadas</a:t>
            </a:r>
          </a:p>
        </c:rich>
      </c:tx>
      <c:layout>
        <c:manualLayout>
          <c:xMode val="edge"/>
          <c:yMode val="edge"/>
          <c:x val="0.13224651009043675"/>
          <c:y val="3.2183991706918991E-2"/>
        </c:manualLayout>
      </c:layout>
      <c:overlay val="0"/>
      <c:spPr>
        <a:noFill/>
        <a:ln w="25400">
          <a:noFill/>
        </a:ln>
      </c:spPr>
    </c:title>
    <c:autoTitleDeleted val="0"/>
    <c:plotArea>
      <c:layout>
        <c:manualLayout>
          <c:layoutTarget val="inner"/>
          <c:xMode val="edge"/>
          <c:yMode val="edge"/>
          <c:x val="0.16052649627452231"/>
          <c:y val="0.15593259053708589"/>
          <c:w val="0.79605352660726225"/>
          <c:h val="0.67966270440621135"/>
        </c:manualLayout>
      </c:layout>
      <c:scatterChart>
        <c:scatterStyle val="smoothMarker"/>
        <c:varyColors val="0"/>
        <c:ser>
          <c:idx val="0"/>
          <c:order val="0"/>
          <c:tx>
            <c:strRef>
              <c:f>'Datos Gr q E sn2'!$C$3</c:f>
              <c:strCache>
                <c:ptCount val="1"/>
                <c:pt idx="0">
                  <c:v>0,1</c:v>
                </c:pt>
              </c:strCache>
            </c:strRef>
          </c:tx>
          <c:spPr>
            <a:ln w="38100">
              <a:solidFill>
                <a:srgbClr val="0000FF"/>
              </a:solidFill>
              <a:prstDash val="solid"/>
            </a:ln>
          </c:spPr>
          <c:marker>
            <c:symbol val="none"/>
          </c:marker>
          <c:xVal>
            <c:numRef>
              <c:f>'Datos Gr q E sn2'!$B$4:$B$21</c:f>
              <c:numCache>
                <c:formatCode>General</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xVal>
          <c:yVal>
            <c:numRef>
              <c:f>'Datos Gr q E sn2'!$C$4:$C$21</c:f>
              <c:numCache>
                <c:formatCode>0.00</c:formatCode>
                <c:ptCount val="18"/>
                <c:pt idx="0">
                  <c:v>2.0822207775198418E-2</c:v>
                </c:pt>
                <c:pt idx="1">
                  <c:v>2.8479478835218668E-2</c:v>
                </c:pt>
                <c:pt idx="2">
                  <c:v>3.3756163798227976E-2</c:v>
                </c:pt>
                <c:pt idx="3">
                  <c:v>3.7746095507459373E-2</c:v>
                </c:pt>
                <c:pt idx="4">
                  <c:v>4.0892194219693027E-2</c:v>
                </c:pt>
                <c:pt idx="5">
                  <c:v>4.343085844354521E-2</c:v>
                </c:pt>
                <c:pt idx="6">
                  <c:v>4.5507599761309268E-2</c:v>
                </c:pt>
                <c:pt idx="7">
                  <c:v>4.7220220536004109E-2</c:v>
                </c:pt>
                <c:pt idx="8">
                  <c:v>4.8638488370917235E-2</c:v>
                </c:pt>
                <c:pt idx="9">
                  <c:v>4.9814346002400478E-2</c:v>
                </c:pt>
                <c:pt idx="10">
                  <c:v>5.0787723849031748E-2</c:v>
                </c:pt>
                <c:pt idx="11">
                  <c:v>5.1590087791722819E-2</c:v>
                </c:pt>
                <c:pt idx="12">
                  <c:v>5.2246725546231831E-2</c:v>
                </c:pt>
                <c:pt idx="13">
                  <c:v>5.2778285740849515E-2</c:v>
                </c:pt>
                <c:pt idx="14">
                  <c:v>5.3201851575065205E-2</c:v>
                </c:pt>
                <c:pt idx="15">
                  <c:v>5.3531712372763891E-2</c:v>
                </c:pt>
                <c:pt idx="16">
                  <c:v>5.3779932097689123E-2</c:v>
                </c:pt>
                <c:pt idx="17">
                  <c:v>5.3956777307939748E-2</c:v>
                </c:pt>
              </c:numCache>
            </c:numRef>
          </c:yVal>
          <c:smooth val="1"/>
          <c:extLst>
            <c:ext xmlns:c16="http://schemas.microsoft.com/office/drawing/2014/chart" uri="{C3380CC4-5D6E-409C-BE32-E72D297353CC}">
              <c16:uniqueId val="{00000000-D928-408E-9AAE-706C630D716F}"/>
            </c:ext>
          </c:extLst>
        </c:ser>
        <c:ser>
          <c:idx val="1"/>
          <c:order val="1"/>
          <c:tx>
            <c:strRef>
              <c:f>'Datos Gr q E sn2'!$D$3</c:f>
              <c:strCache>
                <c:ptCount val="1"/>
                <c:pt idx="0">
                  <c:v>0,2</c:v>
                </c:pt>
              </c:strCache>
            </c:strRef>
          </c:tx>
          <c:spPr>
            <a:ln w="38100">
              <a:solidFill>
                <a:srgbClr val="0000FF"/>
              </a:solidFill>
              <a:prstDash val="solid"/>
            </a:ln>
          </c:spPr>
          <c:marker>
            <c:symbol val="none"/>
          </c:marker>
          <c:xVal>
            <c:numRef>
              <c:f>'Datos Gr q E sn2'!$B$4:$B$21</c:f>
              <c:numCache>
                <c:formatCode>General</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xVal>
          <c:yVal>
            <c:numRef>
              <c:f>'Datos Gr q E sn2'!$D$4:$D$21</c:f>
              <c:numCache>
                <c:formatCode>0.00</c:formatCode>
                <c:ptCount val="18"/>
                <c:pt idx="0">
                  <c:v>6.5530575867263088E-2</c:v>
                </c:pt>
                <c:pt idx="1">
                  <c:v>8.8883118316132687E-2</c:v>
                </c:pt>
                <c:pt idx="2">
                  <c:v>0.10451261593684892</c:v>
                </c:pt>
                <c:pt idx="3">
                  <c:v>0.11597495901302059</c:v>
                </c:pt>
                <c:pt idx="4">
                  <c:v>0.12472342282134918</c:v>
                </c:pt>
                <c:pt idx="5">
                  <c:v>0.1315381506663949</c:v>
                </c:pt>
                <c:pt idx="6">
                  <c:v>0.13690061439102644</c:v>
                </c:pt>
                <c:pt idx="7">
                  <c:v>0.14113438160773681</c:v>
                </c:pt>
                <c:pt idx="8">
                  <c:v>0.14446969211123431</c:v>
                </c:pt>
                <c:pt idx="9">
                  <c:v>0.14707718976249698</c:v>
                </c:pt>
                <c:pt idx="10">
                  <c:v>0.14908724478335941</c:v>
                </c:pt>
                <c:pt idx="11">
                  <c:v>0.1506018130936248</c:v>
                </c:pt>
                <c:pt idx="12">
                  <c:v>0.15170211581709281</c:v>
                </c:pt>
                <c:pt idx="13">
                  <c:v>0.15245382909300034</c:v>
                </c:pt>
                <c:pt idx="14">
                  <c:v>0.15291071530739256</c:v>
                </c:pt>
                <c:pt idx="15">
                  <c:v>0.15311723782973968</c:v>
                </c:pt>
                <c:pt idx="16">
                  <c:v>0.15311048967159771</c:v>
                </c:pt>
                <c:pt idx="17">
                  <c:v>0.15292164542183609</c:v>
                </c:pt>
              </c:numCache>
            </c:numRef>
          </c:yVal>
          <c:smooth val="1"/>
          <c:extLst>
            <c:ext xmlns:c16="http://schemas.microsoft.com/office/drawing/2014/chart" uri="{C3380CC4-5D6E-409C-BE32-E72D297353CC}">
              <c16:uniqueId val="{00000001-D928-408E-9AAE-706C630D716F}"/>
            </c:ext>
          </c:extLst>
        </c:ser>
        <c:ser>
          <c:idx val="2"/>
          <c:order val="2"/>
          <c:tx>
            <c:strRef>
              <c:f>'Datos Gr q E sn2'!$E$3</c:f>
              <c:strCache>
                <c:ptCount val="1"/>
                <c:pt idx="0">
                  <c:v>0,3</c:v>
                </c:pt>
              </c:strCache>
            </c:strRef>
          </c:tx>
          <c:spPr>
            <a:ln w="38100">
              <a:solidFill>
                <a:srgbClr val="0000FF"/>
              </a:solidFill>
              <a:prstDash val="solid"/>
            </a:ln>
          </c:spPr>
          <c:marker>
            <c:symbol val="none"/>
          </c:marker>
          <c:xVal>
            <c:numRef>
              <c:f>'Datos Gr q E sn2'!$B$4:$B$21</c:f>
              <c:numCache>
                <c:formatCode>General</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xVal>
          <c:yVal>
            <c:numRef>
              <c:f>'Datos Gr q E sn2'!$E$4:$E$21</c:f>
              <c:numCache>
                <c:formatCode>0.00</c:formatCode>
                <c:ptCount val="18"/>
                <c:pt idx="0">
                  <c:v>0.1280194752570461</c:v>
                </c:pt>
                <c:pt idx="1">
                  <c:v>0.17263875340184731</c:v>
                </c:pt>
                <c:pt idx="2">
                  <c:v>0.20188504192704781</c:v>
                </c:pt>
                <c:pt idx="3">
                  <c:v>0.22286186840507122</c:v>
                </c:pt>
                <c:pt idx="4">
                  <c:v>0.23848802074453843</c:v>
                </c:pt>
                <c:pt idx="5">
                  <c:v>0.25033422017017015</c:v>
                </c:pt>
                <c:pt idx="6">
                  <c:v>0.25936988036854491</c:v>
                </c:pt>
                <c:pt idx="7">
                  <c:v>0.26624519729651652</c:v>
                </c:pt>
                <c:pt idx="8">
                  <c:v>0.27142116181593828</c:v>
                </c:pt>
                <c:pt idx="9">
                  <c:v>0.27523776293358743</c:v>
                </c:pt>
                <c:pt idx="10">
                  <c:v>0.27795320028369325</c:v>
                </c:pt>
                <c:pt idx="11">
                  <c:v>0.27976802306311338</c:v>
                </c:pt>
                <c:pt idx="12">
                  <c:v>0.280840795331738</c:v>
                </c:pt>
                <c:pt idx="13">
                  <c:v>0.28129869697441778</c:v>
                </c:pt>
                <c:pt idx="14">
                  <c:v>0.28124494494922381</c:v>
                </c:pt>
                <c:pt idx="15">
                  <c:v>0.28076413565063457</c:v>
                </c:pt>
              </c:numCache>
            </c:numRef>
          </c:yVal>
          <c:smooth val="1"/>
          <c:extLst>
            <c:ext xmlns:c16="http://schemas.microsoft.com/office/drawing/2014/chart" uri="{C3380CC4-5D6E-409C-BE32-E72D297353CC}">
              <c16:uniqueId val="{00000002-D928-408E-9AAE-706C630D716F}"/>
            </c:ext>
          </c:extLst>
        </c:ser>
        <c:ser>
          <c:idx val="3"/>
          <c:order val="3"/>
          <c:tx>
            <c:strRef>
              <c:f>'Datos Gr q E sn2'!$F$3</c:f>
              <c:strCache>
                <c:ptCount val="1"/>
                <c:pt idx="0">
                  <c:v>0,4</c:v>
                </c:pt>
              </c:strCache>
            </c:strRef>
          </c:tx>
          <c:spPr>
            <a:ln w="38100">
              <a:solidFill>
                <a:srgbClr val="0000FF"/>
              </a:solidFill>
              <a:prstDash val="solid"/>
            </a:ln>
          </c:spPr>
          <c:marker>
            <c:symbol val="none"/>
          </c:marker>
          <c:xVal>
            <c:numRef>
              <c:f>'Datos Gr q E sn2'!$B$4:$B$21</c:f>
              <c:numCache>
                <c:formatCode>General</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xVal>
          <c:yVal>
            <c:numRef>
              <c:f>'Datos Gr q E sn2'!$F$4:$F$21</c:f>
              <c:numCache>
                <c:formatCode>0.00</c:formatCode>
                <c:ptCount val="18"/>
                <c:pt idx="0">
                  <c:v>0.20577938049848049</c:v>
                </c:pt>
                <c:pt idx="1">
                  <c:v>0.27623756648888559</c:v>
                </c:pt>
                <c:pt idx="2">
                  <c:v>0.32164782538280062</c:v>
                </c:pt>
                <c:pt idx="3">
                  <c:v>0.35362926466615935</c:v>
                </c:pt>
                <c:pt idx="4">
                  <c:v>0.37697316454833923</c:v>
                </c:pt>
                <c:pt idx="5">
                  <c:v>0.39426066655778641</c:v>
                </c:pt>
                <c:pt idx="6">
                  <c:v>0.40708330498397222</c:v>
                </c:pt>
                <c:pt idx="7">
                  <c:v>0.41650585328267514</c:v>
                </c:pt>
                <c:pt idx="8">
                  <c:v>0.42328040625871466</c:v>
                </c:pt>
                <c:pt idx="9">
                  <c:v>0.42795902996159213</c:v>
                </c:pt>
                <c:pt idx="10">
                  <c:v>0.43095868579129692</c:v>
                </c:pt>
                <c:pt idx="11">
                  <c:v>0.43260126596368753</c:v>
                </c:pt>
                <c:pt idx="12">
                  <c:v>0.43313960027503107</c:v>
                </c:pt>
                <c:pt idx="13">
                  <c:v>0.4327750593507701</c:v>
                </c:pt>
                <c:pt idx="14">
                  <c:v>0.43166987203516616</c:v>
                </c:pt>
              </c:numCache>
            </c:numRef>
          </c:yVal>
          <c:smooth val="1"/>
          <c:extLst>
            <c:ext xmlns:c16="http://schemas.microsoft.com/office/drawing/2014/chart" uri="{C3380CC4-5D6E-409C-BE32-E72D297353CC}">
              <c16:uniqueId val="{00000003-D928-408E-9AAE-706C630D716F}"/>
            </c:ext>
          </c:extLst>
        </c:ser>
        <c:ser>
          <c:idx val="4"/>
          <c:order val="4"/>
          <c:tx>
            <c:strRef>
              <c:f>'Datos Gr q E sn2'!$G$3</c:f>
              <c:strCache>
                <c:ptCount val="1"/>
                <c:pt idx="0">
                  <c:v>0,5</c:v>
                </c:pt>
              </c:strCache>
            </c:strRef>
          </c:tx>
          <c:spPr>
            <a:ln w="38100">
              <a:solidFill>
                <a:srgbClr val="0000FF"/>
              </a:solidFill>
              <a:prstDash val="solid"/>
            </a:ln>
          </c:spPr>
          <c:marker>
            <c:symbol val="none"/>
          </c:marker>
          <c:xVal>
            <c:numRef>
              <c:f>'Datos Gr q E sn2'!$B$4:$B$21</c:f>
              <c:numCache>
                <c:formatCode>General</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xVal>
          <c:yVal>
            <c:numRef>
              <c:f>'Datos Gr q E sn2'!$G$4:$G$21</c:f>
              <c:numCache>
                <c:formatCode>0.00</c:formatCode>
                <c:ptCount val="18"/>
                <c:pt idx="0">
                  <c:v>0.29726608128057852</c:v>
                </c:pt>
                <c:pt idx="1">
                  <c:v>0.39752658490434289</c:v>
                </c:pt>
                <c:pt idx="2">
                  <c:v>0.46121839546539745</c:v>
                </c:pt>
                <c:pt idx="3">
                  <c:v>0.50537081051723887</c:v>
                </c:pt>
                <c:pt idx="4">
                  <c:v>0.53702385798249108</c:v>
                </c:pt>
                <c:pt idx="5">
                  <c:v>0.55997131975714554</c:v>
                </c:pt>
                <c:pt idx="6">
                  <c:v>0.57654919738320898</c:v>
                </c:pt>
                <c:pt idx="7">
                  <c:v>0.58831612051159365</c:v>
                </c:pt>
                <c:pt idx="8">
                  <c:v>0.59636895509140087</c:v>
                </c:pt>
                <c:pt idx="9">
                  <c:v>0.6015092591445752</c:v>
                </c:pt>
                <c:pt idx="10">
                  <c:v>0.6043393765226337</c:v>
                </c:pt>
                <c:pt idx="11">
                  <c:v>0.60532175080782935</c:v>
                </c:pt>
                <c:pt idx="12">
                  <c:v>0.60481746623808319</c:v>
                </c:pt>
                <c:pt idx="13">
                  <c:v>0.60311232537552373</c:v>
                </c:pt>
              </c:numCache>
            </c:numRef>
          </c:yVal>
          <c:smooth val="1"/>
          <c:extLst>
            <c:ext xmlns:c16="http://schemas.microsoft.com/office/drawing/2014/chart" uri="{C3380CC4-5D6E-409C-BE32-E72D297353CC}">
              <c16:uniqueId val="{00000004-D928-408E-9AAE-706C630D716F}"/>
            </c:ext>
          </c:extLst>
        </c:ser>
        <c:ser>
          <c:idx val="5"/>
          <c:order val="5"/>
          <c:tx>
            <c:strRef>
              <c:f>'Datos Gr q E sn2'!$H$3</c:f>
              <c:strCache>
                <c:ptCount val="1"/>
                <c:pt idx="0">
                  <c:v>0,6</c:v>
                </c:pt>
              </c:strCache>
            </c:strRef>
          </c:tx>
          <c:spPr>
            <a:ln w="38100">
              <a:solidFill>
                <a:srgbClr val="0000FF"/>
              </a:solidFill>
              <a:prstDash val="solid"/>
            </a:ln>
          </c:spPr>
          <c:marker>
            <c:symbol val="none"/>
          </c:marker>
          <c:xVal>
            <c:numRef>
              <c:f>'Datos Gr q E sn2'!$B$4:$B$21</c:f>
              <c:numCache>
                <c:formatCode>General</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xVal>
          <c:yVal>
            <c:numRef>
              <c:f>'Datos Gr q E sn2'!$H$4:$H$21</c:f>
              <c:numCache>
                <c:formatCode>0.00</c:formatCode>
                <c:ptCount val="18"/>
                <c:pt idx="0">
                  <c:v>0.40139104758958472</c:v>
                </c:pt>
                <c:pt idx="1">
                  <c:v>0.53499182307153892</c:v>
                </c:pt>
                <c:pt idx="2">
                  <c:v>0.61878664810259154</c:v>
                </c:pt>
                <c:pt idx="3">
                  <c:v>0.67605725873001909</c:v>
                </c:pt>
                <c:pt idx="4">
                  <c:v>0.71644632640728467</c:v>
                </c:pt>
                <c:pt idx="5">
                  <c:v>0.74514944741009714</c:v>
                </c:pt>
                <c:pt idx="6">
                  <c:v>0.76536058255385275</c:v>
                </c:pt>
                <c:pt idx="7">
                  <c:v>0.77920498032364238</c:v>
                </c:pt>
                <c:pt idx="8">
                  <c:v>0.7881729258221265</c:v>
                </c:pt>
                <c:pt idx="9">
                  <c:v>0.79334891168074906</c:v>
                </c:pt>
                <c:pt idx="10">
                  <c:v>0.79554408779557217</c:v>
                </c:pt>
                <c:pt idx="11">
                  <c:v>0.7953780560172764</c:v>
                </c:pt>
                <c:pt idx="12">
                  <c:v>0.79333201127735142</c:v>
                </c:pt>
              </c:numCache>
            </c:numRef>
          </c:yVal>
          <c:smooth val="1"/>
          <c:extLst>
            <c:ext xmlns:c16="http://schemas.microsoft.com/office/drawing/2014/chart" uri="{C3380CC4-5D6E-409C-BE32-E72D297353CC}">
              <c16:uniqueId val="{00000005-D928-408E-9AAE-706C630D716F}"/>
            </c:ext>
          </c:extLst>
        </c:ser>
        <c:ser>
          <c:idx val="6"/>
          <c:order val="6"/>
          <c:tx>
            <c:strRef>
              <c:f>'Datos Gr q E sn2'!$I$3</c:f>
              <c:strCache>
                <c:ptCount val="1"/>
                <c:pt idx="0">
                  <c:v>0,7</c:v>
                </c:pt>
              </c:strCache>
            </c:strRef>
          </c:tx>
          <c:spPr>
            <a:ln w="38100">
              <a:solidFill>
                <a:srgbClr val="0000FF"/>
              </a:solidFill>
              <a:prstDash val="solid"/>
            </a:ln>
          </c:spPr>
          <c:marker>
            <c:symbol val="none"/>
          </c:marker>
          <c:xVal>
            <c:numRef>
              <c:f>'Datos Gr q E sn2'!$B$4:$B$21</c:f>
              <c:numCache>
                <c:formatCode>General</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xVal>
          <c:yVal>
            <c:numRef>
              <c:f>'Datos Gr q E sn2'!$I$4:$I$21</c:f>
              <c:numCache>
                <c:formatCode>0.00</c:formatCode>
                <c:ptCount val="18"/>
                <c:pt idx="0">
                  <c:v>0.51732756805003899</c:v>
                </c:pt>
                <c:pt idx="1">
                  <c:v>0.68748592358006722</c:v>
                </c:pt>
                <c:pt idx="2">
                  <c:v>0.79298478686885343</c:v>
                </c:pt>
                <c:pt idx="3">
                  <c:v>0.86416031075881139</c:v>
                </c:pt>
                <c:pt idx="4">
                  <c:v>0.91359422626780451</c:v>
                </c:pt>
                <c:pt idx="5">
                  <c:v>0.94806278513613595</c:v>
                </c:pt>
                <c:pt idx="6">
                  <c:v>0.97172433792673885</c:v>
                </c:pt>
                <c:pt idx="7">
                  <c:v>0.98733831147444384</c:v>
                </c:pt>
                <c:pt idx="8">
                  <c:v>0.99683306166248786</c:v>
                </c:pt>
                <c:pt idx="9">
                  <c:v>1.0016063135231179</c:v>
                </c:pt>
                <c:pt idx="10">
                  <c:v>1.0026989346265478</c:v>
                </c:pt>
                <c:pt idx="11">
                  <c:v>1.0009022661162199</c:v>
                </c:pt>
              </c:numCache>
            </c:numRef>
          </c:yVal>
          <c:smooth val="1"/>
          <c:extLst>
            <c:ext xmlns:c16="http://schemas.microsoft.com/office/drawing/2014/chart" uri="{C3380CC4-5D6E-409C-BE32-E72D297353CC}">
              <c16:uniqueId val="{00000006-D928-408E-9AAE-706C630D716F}"/>
            </c:ext>
          </c:extLst>
        </c:ser>
        <c:ser>
          <c:idx val="7"/>
          <c:order val="7"/>
          <c:tx>
            <c:strRef>
              <c:f>'Datos Gr q E sn2'!$J$3</c:f>
              <c:strCache>
                <c:ptCount val="1"/>
                <c:pt idx="0">
                  <c:v>0,8</c:v>
                </c:pt>
              </c:strCache>
            </c:strRef>
          </c:tx>
          <c:spPr>
            <a:ln w="38100">
              <a:solidFill>
                <a:srgbClr val="0000FF"/>
              </a:solidFill>
              <a:prstDash val="solid"/>
            </a:ln>
          </c:spPr>
          <c:marker>
            <c:symbol val="none"/>
          </c:marker>
          <c:xVal>
            <c:numRef>
              <c:f>'Datos Gr q E sn2'!$B$4:$B$21</c:f>
              <c:numCache>
                <c:formatCode>General</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xVal>
          <c:yVal>
            <c:numRef>
              <c:f>'Datos Gr q E sn2'!$J$4:$J$21</c:f>
              <c:numCache>
                <c:formatCode>0.00</c:formatCode>
                <c:ptCount val="18"/>
                <c:pt idx="0">
                  <c:v>0.64441704348933992</c:v>
                </c:pt>
                <c:pt idx="1">
                  <c:v>0.85409664309246702</c:v>
                </c:pt>
                <c:pt idx="2">
                  <c:v>0.98272814458188273</c:v>
                </c:pt>
                <c:pt idx="3">
                  <c:v>1.0684716208042486</c:v>
                </c:pt>
                <c:pt idx="4">
                  <c:v>1.1271699794774515</c:v>
                </c:pt>
                <c:pt idx="5">
                  <c:v>1.1673504294251684</c:v>
                </c:pt>
                <c:pt idx="6">
                  <c:v>1.1942362798961905</c:v>
                </c:pt>
                <c:pt idx="7">
                  <c:v>1.2112843784738929</c:v>
                </c:pt>
                <c:pt idx="8">
                  <c:v>1.220902500013332</c:v>
                </c:pt>
                <c:pt idx="9">
                  <c:v>1.2248293156071208</c:v>
                </c:pt>
                <c:pt idx="10">
                  <c:v>1.2243542732256314</c:v>
                </c:pt>
                <c:pt idx="11">
                  <c:v>1.220453395644443</c:v>
                </c:pt>
              </c:numCache>
            </c:numRef>
          </c:yVal>
          <c:smooth val="1"/>
          <c:extLst>
            <c:ext xmlns:c16="http://schemas.microsoft.com/office/drawing/2014/chart" uri="{C3380CC4-5D6E-409C-BE32-E72D297353CC}">
              <c16:uniqueId val="{00000007-D928-408E-9AAE-706C630D716F}"/>
            </c:ext>
          </c:extLst>
        </c:ser>
        <c:ser>
          <c:idx val="8"/>
          <c:order val="8"/>
          <c:tx>
            <c:v>v=1</c:v>
          </c:tx>
          <c:spPr>
            <a:ln w="38100">
              <a:solidFill>
                <a:srgbClr val="FF0000"/>
              </a:solidFill>
              <a:prstDash val="dash"/>
            </a:ln>
          </c:spPr>
          <c:marker>
            <c:symbol val="none"/>
          </c:marker>
          <c:xVal>
            <c:numRef>
              <c:f>'Datos Gr q E sn2'!$B$4:$B$21</c:f>
              <c:numCache>
                <c:formatCode>General</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xVal>
          <c:yVal>
            <c:numRef>
              <c:f>'Datos Gr q E sn2'!$M$4:$M$21</c:f>
              <c:numCache>
                <c:formatCode>General</c:formatCode>
                <c:ptCount val="18"/>
                <c:pt idx="0">
                  <c:v>1</c:v>
                </c:pt>
                <c:pt idx="1">
                  <c:v>0.59460000000000002</c:v>
                </c:pt>
                <c:pt idx="2">
                  <c:v>0.43869000000000002</c:v>
                </c:pt>
                <c:pt idx="3">
                  <c:v>0.35354999999999998</c:v>
                </c:pt>
                <c:pt idx="4">
                  <c:v>0.29907</c:v>
                </c:pt>
                <c:pt idx="5">
                  <c:v>0.26085000000000003</c:v>
                </c:pt>
                <c:pt idx="6">
                  <c:v>0.23236999999999999</c:v>
                </c:pt>
                <c:pt idx="7">
                  <c:v>0.21021999999999999</c:v>
                </c:pt>
                <c:pt idx="8">
                  <c:v>0.19245000000000001</c:v>
                </c:pt>
                <c:pt idx="9">
                  <c:v>0.17782999999999999</c:v>
                </c:pt>
                <c:pt idx="10">
                  <c:v>0.16714000000000001</c:v>
                </c:pt>
                <c:pt idx="11">
                  <c:v>0.15509999999999999</c:v>
                </c:pt>
                <c:pt idx="12">
                  <c:v>0.14606</c:v>
                </c:pt>
                <c:pt idx="13">
                  <c:v>0.13816999999999999</c:v>
                </c:pt>
                <c:pt idx="14">
                  <c:v>0.13120000000000001</c:v>
                </c:pt>
                <c:pt idx="15">
                  <c:v>0.125</c:v>
                </c:pt>
                <c:pt idx="16">
                  <c:v>0.11942999999999999</c:v>
                </c:pt>
                <c:pt idx="17">
                  <c:v>0.11443</c:v>
                </c:pt>
              </c:numCache>
            </c:numRef>
          </c:yVal>
          <c:smooth val="1"/>
          <c:extLst>
            <c:ext xmlns:c16="http://schemas.microsoft.com/office/drawing/2014/chart" uri="{C3380CC4-5D6E-409C-BE32-E72D297353CC}">
              <c16:uniqueId val="{00000008-D928-408E-9AAE-706C630D716F}"/>
            </c:ext>
          </c:extLst>
        </c:ser>
        <c:ser>
          <c:idx val="9"/>
          <c:order val="9"/>
          <c:tx>
            <c:v>v=1,2</c:v>
          </c:tx>
          <c:spPr>
            <a:ln w="38100">
              <a:solidFill>
                <a:srgbClr val="FF0000"/>
              </a:solidFill>
              <a:prstDash val="dash"/>
            </a:ln>
          </c:spPr>
          <c:marker>
            <c:symbol val="none"/>
          </c:marker>
          <c:xVal>
            <c:numRef>
              <c:f>'Datos Gr q E sn2'!$B$4:$B$21</c:f>
              <c:numCache>
                <c:formatCode>General</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xVal>
          <c:yVal>
            <c:numRef>
              <c:f>'Datos Gr q E sn2'!$N$4:$N$21</c:f>
              <c:numCache>
                <c:formatCode>General</c:formatCode>
                <c:ptCount val="18"/>
                <c:pt idx="0">
                  <c:v>1.57744</c:v>
                </c:pt>
                <c:pt idx="1">
                  <c:v>0.93794999999999995</c:v>
                </c:pt>
                <c:pt idx="2">
                  <c:v>0.69201000000000001</c:v>
                </c:pt>
                <c:pt idx="3">
                  <c:v>0.55771000000000004</c:v>
                </c:pt>
                <c:pt idx="4">
                  <c:v>0.47176000000000001</c:v>
                </c:pt>
                <c:pt idx="5">
                  <c:v>0.41147</c:v>
                </c:pt>
                <c:pt idx="6">
                  <c:v>0.36654999999999999</c:v>
                </c:pt>
                <c:pt idx="7">
                  <c:v>0.33162000000000003</c:v>
                </c:pt>
                <c:pt idx="8">
                  <c:v>0.30358000000000002</c:v>
                </c:pt>
                <c:pt idx="9">
                  <c:v>0.28050999999999998</c:v>
                </c:pt>
                <c:pt idx="10">
                  <c:v>0.26116</c:v>
                </c:pt>
                <c:pt idx="11">
                  <c:v>0.24465999999999999</c:v>
                </c:pt>
                <c:pt idx="12">
                  <c:v>0.23041</c:v>
                </c:pt>
                <c:pt idx="13">
                  <c:v>0.21795</c:v>
                </c:pt>
                <c:pt idx="14">
                  <c:v>0.20696000000000001</c:v>
                </c:pt>
                <c:pt idx="15">
                  <c:v>0.19717999999999999</c:v>
                </c:pt>
                <c:pt idx="16">
                  <c:v>0.18842</c:v>
                </c:pt>
                <c:pt idx="17">
                  <c:v>0.18051</c:v>
                </c:pt>
              </c:numCache>
            </c:numRef>
          </c:yVal>
          <c:smooth val="1"/>
          <c:extLst>
            <c:ext xmlns:c16="http://schemas.microsoft.com/office/drawing/2014/chart" uri="{C3380CC4-5D6E-409C-BE32-E72D297353CC}">
              <c16:uniqueId val="{00000009-D928-408E-9AAE-706C630D716F}"/>
            </c:ext>
          </c:extLst>
        </c:ser>
        <c:ser>
          <c:idx val="10"/>
          <c:order val="10"/>
          <c:tx>
            <c:v>v=1,4</c:v>
          </c:tx>
          <c:spPr>
            <a:ln w="38100">
              <a:solidFill>
                <a:srgbClr val="FF0000"/>
              </a:solidFill>
              <a:prstDash val="dash"/>
            </a:ln>
          </c:spPr>
          <c:marker>
            <c:symbol val="none"/>
          </c:marker>
          <c:xVal>
            <c:numRef>
              <c:f>'Datos Gr q E sn2'!$B$4:$B$21</c:f>
              <c:numCache>
                <c:formatCode>General</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xVal>
          <c:yVal>
            <c:numRef>
              <c:f>'Datos Gr q E sn2'!$O$4:$O$21</c:f>
              <c:numCache>
                <c:formatCode>General</c:formatCode>
                <c:ptCount val="18"/>
                <c:pt idx="0">
                  <c:v>2.3191000000000002</c:v>
                </c:pt>
                <c:pt idx="1">
                  <c:v>1.3789499999999999</c:v>
                </c:pt>
                <c:pt idx="2">
                  <c:v>1.0173700000000001</c:v>
                </c:pt>
                <c:pt idx="3">
                  <c:v>0.81993000000000005</c:v>
                </c:pt>
                <c:pt idx="4">
                  <c:v>0.69357000000000002</c:v>
                </c:pt>
                <c:pt idx="5">
                  <c:v>0.60492999999999997</c:v>
                </c:pt>
                <c:pt idx="6">
                  <c:v>0.53888999999999998</c:v>
                </c:pt>
                <c:pt idx="7">
                  <c:v>0.48753000000000002</c:v>
                </c:pt>
                <c:pt idx="8">
                  <c:v>0.44630999999999998</c:v>
                </c:pt>
                <c:pt idx="9">
                  <c:v>0.41239999999999999</c:v>
                </c:pt>
                <c:pt idx="10">
                  <c:v>0.38395000000000001</c:v>
                </c:pt>
                <c:pt idx="11">
                  <c:v>0.35969000000000001</c:v>
                </c:pt>
                <c:pt idx="12">
                  <c:v>0.33873999999999999</c:v>
                </c:pt>
                <c:pt idx="13">
                  <c:v>0.32041999999999998</c:v>
                </c:pt>
                <c:pt idx="14">
                  <c:v>0.30425999999999997</c:v>
                </c:pt>
                <c:pt idx="15">
                  <c:v>0.28988999999999998</c:v>
                </c:pt>
              </c:numCache>
            </c:numRef>
          </c:yVal>
          <c:smooth val="1"/>
          <c:extLst>
            <c:ext xmlns:c16="http://schemas.microsoft.com/office/drawing/2014/chart" uri="{C3380CC4-5D6E-409C-BE32-E72D297353CC}">
              <c16:uniqueId val="{0000000A-D928-408E-9AAE-706C630D716F}"/>
            </c:ext>
          </c:extLst>
        </c:ser>
        <c:ser>
          <c:idx val="11"/>
          <c:order val="11"/>
          <c:tx>
            <c:v>v=1,6</c:v>
          </c:tx>
          <c:spPr>
            <a:ln w="38100">
              <a:solidFill>
                <a:srgbClr val="FF0000"/>
              </a:solidFill>
              <a:prstDash val="dash"/>
            </a:ln>
          </c:spPr>
          <c:marker>
            <c:symbol val="none"/>
          </c:marker>
          <c:xVal>
            <c:numRef>
              <c:f>'Datos Gr q E sn2'!$B$4:$B$21</c:f>
              <c:numCache>
                <c:formatCode>General</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xVal>
          <c:yVal>
            <c:numRef>
              <c:f>'Datos Gr q E sn2'!$P$4:$P$21</c:f>
              <c:numCache>
                <c:formatCode>General</c:formatCode>
                <c:ptCount val="18"/>
                <c:pt idx="0">
                  <c:v>3.2381700000000002</c:v>
                </c:pt>
                <c:pt idx="1">
                  <c:v>1.92543</c:v>
                </c:pt>
                <c:pt idx="2">
                  <c:v>1.42056</c:v>
                </c:pt>
                <c:pt idx="3">
                  <c:v>1.1448700000000001</c:v>
                </c:pt>
                <c:pt idx="4">
                  <c:v>0.96843999999999997</c:v>
                </c:pt>
                <c:pt idx="5">
                  <c:v>0.84467000000000003</c:v>
                </c:pt>
                <c:pt idx="6">
                  <c:v>0.75244999999999995</c:v>
                </c:pt>
                <c:pt idx="7">
                  <c:v>0.68074000000000001</c:v>
                </c:pt>
                <c:pt idx="8">
                  <c:v>0.62319000000000002</c:v>
                </c:pt>
                <c:pt idx="9">
                  <c:v>0.57584000000000002</c:v>
                </c:pt>
                <c:pt idx="10">
                  <c:v>0.53610999999999998</c:v>
                </c:pt>
                <c:pt idx="11">
                  <c:v>0.50224000000000002</c:v>
                </c:pt>
                <c:pt idx="12">
                  <c:v>0.47298000000000001</c:v>
                </c:pt>
                <c:pt idx="13">
                  <c:v>0.44740999999999997</c:v>
                </c:pt>
                <c:pt idx="14">
                  <c:v>0.42485000000000001</c:v>
                </c:pt>
              </c:numCache>
            </c:numRef>
          </c:yVal>
          <c:smooth val="1"/>
          <c:extLst>
            <c:ext xmlns:c16="http://schemas.microsoft.com/office/drawing/2014/chart" uri="{C3380CC4-5D6E-409C-BE32-E72D297353CC}">
              <c16:uniqueId val="{0000000B-D928-408E-9AAE-706C630D716F}"/>
            </c:ext>
          </c:extLst>
        </c:ser>
        <c:ser>
          <c:idx val="12"/>
          <c:order val="12"/>
          <c:tx>
            <c:v>v=1,8</c:v>
          </c:tx>
          <c:spPr>
            <a:ln w="38100">
              <a:solidFill>
                <a:srgbClr val="FF0000"/>
              </a:solidFill>
              <a:prstDash val="dash"/>
            </a:ln>
          </c:spPr>
          <c:marker>
            <c:symbol val="none"/>
          </c:marker>
          <c:xVal>
            <c:numRef>
              <c:f>'Datos Gr q E sn2'!$B$4:$B$21</c:f>
              <c:numCache>
                <c:formatCode>General</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xVal>
          <c:yVal>
            <c:numRef>
              <c:f>'Datos Gr q E sn2'!$Q$4:$Q$21</c:f>
              <c:numCache>
                <c:formatCode>General</c:formatCode>
                <c:ptCount val="18"/>
                <c:pt idx="0">
                  <c:v>4.3469199999999999</c:v>
                </c:pt>
                <c:pt idx="1">
                  <c:v>2.5846900000000002</c:v>
                </c:pt>
                <c:pt idx="2">
                  <c:v>1.9069499999999999</c:v>
                </c:pt>
                <c:pt idx="3">
                  <c:v>1.53687</c:v>
                </c:pt>
                <c:pt idx="4">
                  <c:v>1.30003</c:v>
                </c:pt>
                <c:pt idx="5">
                  <c:v>1.13388</c:v>
                </c:pt>
                <c:pt idx="6">
                  <c:v>1.0100800000000001</c:v>
                </c:pt>
                <c:pt idx="7">
                  <c:v>0.91383000000000003</c:v>
                </c:pt>
                <c:pt idx="8">
                  <c:v>0.83655999999999997</c:v>
                </c:pt>
                <c:pt idx="9">
                  <c:v>0.77300000000000002</c:v>
                </c:pt>
                <c:pt idx="10">
                  <c:v>0.71960000000000002</c:v>
                </c:pt>
                <c:pt idx="11">
                  <c:v>0.67420999999999998</c:v>
                </c:pt>
                <c:pt idx="12">
                  <c:v>0.63492999999999999</c:v>
                </c:pt>
                <c:pt idx="13">
                  <c:v>0.60060000000000002</c:v>
                </c:pt>
              </c:numCache>
            </c:numRef>
          </c:yVal>
          <c:smooth val="1"/>
          <c:extLst>
            <c:ext xmlns:c16="http://schemas.microsoft.com/office/drawing/2014/chart" uri="{C3380CC4-5D6E-409C-BE32-E72D297353CC}">
              <c16:uniqueId val="{0000000C-D928-408E-9AAE-706C630D716F}"/>
            </c:ext>
          </c:extLst>
        </c:ser>
        <c:ser>
          <c:idx val="13"/>
          <c:order val="13"/>
          <c:tx>
            <c:strRef>
              <c:f>'Datos Gr q E sn2'!$R$3</c:f>
              <c:strCache>
                <c:ptCount val="1"/>
                <c:pt idx="0">
                  <c:v>Límite</c:v>
                </c:pt>
              </c:strCache>
            </c:strRef>
          </c:tx>
          <c:spPr>
            <a:ln w="38100">
              <a:solidFill>
                <a:srgbClr val="0000FF"/>
              </a:solidFill>
              <a:prstDash val="sysDot"/>
            </a:ln>
          </c:spPr>
          <c:marker>
            <c:symbol val="none"/>
          </c:marker>
          <c:xVal>
            <c:numRef>
              <c:f>'Datos Gr q E sn2'!$B$4:$B$21</c:f>
              <c:numCache>
                <c:formatCode>General</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xVal>
          <c:yVal>
            <c:numRef>
              <c:f>'Datos Gr q E sn2'!$R$4:$R$21</c:f>
              <c:numCache>
                <c:formatCode>General</c:formatCode>
                <c:ptCount val="18"/>
                <c:pt idx="0">
                  <c:v>90854.205912890146</c:v>
                </c:pt>
                <c:pt idx="1">
                  <c:v>4015.2265687702243</c:v>
                </c:pt>
                <c:pt idx="2">
                  <c:v>647.58889186193596</c:v>
                </c:pt>
                <c:pt idx="3">
                  <c:v>177.44962092361345</c:v>
                </c:pt>
                <c:pt idx="4">
                  <c:v>65.009977748155421</c:v>
                </c:pt>
                <c:pt idx="5">
                  <c:v>28.619656053541028</c:v>
                </c:pt>
                <c:pt idx="6">
                  <c:v>14.302233260531994</c:v>
                </c:pt>
                <c:pt idx="7">
                  <c:v>7.8422393921293372</c:v>
                </c:pt>
                <c:pt idx="8">
                  <c:v>4.6158718647000008</c:v>
                </c:pt>
                <c:pt idx="9">
                  <c:v>2.8730622569067039</c:v>
                </c:pt>
                <c:pt idx="10">
                  <c:v>1.8710179485923433</c:v>
                </c:pt>
                <c:pt idx="11">
                  <c:v>1.264822054417843</c:v>
                </c:pt>
                <c:pt idx="12">
                  <c:v>0.88226682972878245</c:v>
                </c:pt>
                <c:pt idx="13">
                  <c:v>0.63207538278962228</c:v>
                </c:pt>
                <c:pt idx="14">
                  <c:v>0.46337689077665573</c:v>
                </c:pt>
                <c:pt idx="15">
                  <c:v>0.34658129086643258</c:v>
                </c:pt>
                <c:pt idx="16">
                  <c:v>0.26383043328339584</c:v>
                </c:pt>
                <c:pt idx="17">
                  <c:v>0.20399464353859773</c:v>
                </c:pt>
              </c:numCache>
            </c:numRef>
          </c:yVal>
          <c:smooth val="1"/>
          <c:extLst>
            <c:ext xmlns:c16="http://schemas.microsoft.com/office/drawing/2014/chart" uri="{C3380CC4-5D6E-409C-BE32-E72D297353CC}">
              <c16:uniqueId val="{0000000D-D928-408E-9AAE-706C630D716F}"/>
            </c:ext>
          </c:extLst>
        </c:ser>
        <c:ser>
          <c:idx val="14"/>
          <c:order val="14"/>
          <c:tx>
            <c:v>ADOPTADO</c:v>
          </c:tx>
          <c:spPr>
            <a:ln w="28575">
              <a:noFill/>
            </a:ln>
          </c:spPr>
          <c:marker>
            <c:symbol val="circle"/>
            <c:size val="15"/>
            <c:spPr>
              <a:noFill/>
              <a:ln w="50800">
                <a:solidFill>
                  <a:prstClr val="black"/>
                </a:solidFill>
              </a:ln>
            </c:spPr>
          </c:marker>
          <c:xVal>
            <c:numRef>
              <c:f>'Diseño Aliv-Canal'!$D$59</c:f>
              <c:numCache>
                <c:formatCode>0.00</c:formatCode>
                <c:ptCount val="1"/>
                <c:pt idx="0">
                  <c:v>8.1632653061224474</c:v>
                </c:pt>
              </c:numCache>
            </c:numRef>
          </c:xVal>
          <c:yVal>
            <c:numRef>
              <c:f>'Diseño Aliv-Canal'!$D$61</c:f>
              <c:numCache>
                <c:formatCode>0.00</c:formatCode>
                <c:ptCount val="1"/>
                <c:pt idx="0">
                  <c:v>0.50130411386328078</c:v>
                </c:pt>
              </c:numCache>
            </c:numRef>
          </c:yVal>
          <c:smooth val="1"/>
          <c:extLst>
            <c:ext xmlns:c16="http://schemas.microsoft.com/office/drawing/2014/chart" uri="{C3380CC4-5D6E-409C-BE32-E72D297353CC}">
              <c16:uniqueId val="{0000000E-D928-408E-9AAE-706C630D716F}"/>
            </c:ext>
          </c:extLst>
        </c:ser>
        <c:dLbls>
          <c:showLegendKey val="0"/>
          <c:showVal val="0"/>
          <c:showCatName val="0"/>
          <c:showSerName val="0"/>
          <c:showPercent val="0"/>
          <c:showBubbleSize val="0"/>
        </c:dLbls>
        <c:axId val="1485793632"/>
        <c:axId val="1"/>
      </c:scatterChart>
      <c:valAx>
        <c:axId val="1485793632"/>
        <c:scaling>
          <c:orientation val="minMax"/>
          <c:max val="18"/>
          <c:min val="1"/>
        </c:scaling>
        <c:delete val="0"/>
        <c:axPos val="b"/>
        <c:majorGridlines>
          <c:spPr>
            <a:ln>
              <a:solidFill>
                <a:schemeClr val="tx1">
                  <a:lumMod val="50000"/>
                  <a:lumOff val="50000"/>
                </a:schemeClr>
              </a:solidFill>
            </a:ln>
          </c:spPr>
        </c:majorGridlines>
        <c:title>
          <c:tx>
            <c:rich>
              <a:bodyPr/>
              <a:lstStyle/>
              <a:p>
                <a:pPr>
                  <a:defRPr sz="1200" b="1" i="0" u="none" strike="noStrike" baseline="0">
                    <a:solidFill>
                      <a:srgbClr val="000000"/>
                    </a:solidFill>
                    <a:latin typeface="Arial"/>
                    <a:ea typeface="Arial"/>
                    <a:cs typeface="Arial"/>
                  </a:defRPr>
                </a:pPr>
                <a:r>
                  <a:rPr lang="es-UY"/>
                  <a:t>Parámetro del Canal: S/n2</a:t>
                </a:r>
              </a:p>
            </c:rich>
          </c:tx>
          <c:layout>
            <c:manualLayout>
              <c:xMode val="edge"/>
              <c:yMode val="edge"/>
              <c:x val="0.33142893467702972"/>
              <c:y val="0.907822845673702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es-UY"/>
          </a:p>
        </c:txPr>
        <c:crossAx val="1"/>
        <c:crosses val="autoZero"/>
        <c:crossBetween val="midCat"/>
        <c:majorUnit val="1"/>
      </c:valAx>
      <c:valAx>
        <c:axId val="1"/>
        <c:scaling>
          <c:orientation val="minMax"/>
          <c:max val="1.2"/>
          <c:min val="0"/>
        </c:scaling>
        <c:delete val="0"/>
        <c:axPos val="l"/>
        <c:majorGridlines>
          <c:spPr>
            <a:ln w="3175">
              <a:solidFill>
                <a:schemeClr val="tx1">
                  <a:lumMod val="50000"/>
                  <a:lumOff val="50000"/>
                </a:schemeClr>
              </a:solidFill>
              <a:prstDash val="solid"/>
            </a:ln>
          </c:spPr>
        </c:majorGridlines>
        <c:title>
          <c:tx>
            <c:rich>
              <a:bodyPr/>
              <a:lstStyle/>
              <a:p>
                <a:pPr>
                  <a:defRPr sz="1200" b="1" i="0" u="none" strike="noStrike" baseline="0">
                    <a:solidFill>
                      <a:srgbClr val="000000"/>
                    </a:solidFill>
                    <a:latin typeface="Arial"/>
                    <a:ea typeface="Arial"/>
                    <a:cs typeface="Arial"/>
                  </a:defRPr>
                </a:pPr>
                <a:r>
                  <a:rPr lang="es-UY"/>
                  <a:t>Caudal Específ. de Vertido: q (m3/s/m)</a:t>
                </a:r>
              </a:p>
            </c:rich>
          </c:tx>
          <c:layout>
            <c:manualLayout>
              <c:xMode val="edge"/>
              <c:yMode val="edge"/>
              <c:x val="1.5657849012145817E-2"/>
              <c:y val="7.7578464456648802E-2"/>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es-UY"/>
          </a:p>
        </c:txPr>
        <c:crossAx val="1485793632"/>
        <c:crosses val="autoZero"/>
        <c:crossBetween val="midCat"/>
        <c:majorUnit val="0.1"/>
      </c:valAx>
      <c:spPr>
        <a:noFill/>
        <a:ln w="12700">
          <a:solidFill>
            <a:srgbClr val="808080"/>
          </a:solidFill>
          <a:prstDash val="solid"/>
        </a:ln>
      </c:spPr>
    </c:plotArea>
    <c:legend>
      <c:legendPos val="r"/>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ayout>
        <c:manualLayout>
          <c:xMode val="edge"/>
          <c:yMode val="edge"/>
          <c:x val="0.7381985335093556"/>
          <c:y val="0.91872874400907845"/>
          <c:w val="0.19426277197614619"/>
          <c:h val="5.8944985788193086E-2"/>
        </c:manualLayout>
      </c:layout>
      <c:overlay val="0"/>
      <c:spPr>
        <a:solidFill>
          <a:srgbClr val="FFFFFF"/>
        </a:solidFill>
        <a:ln w="25400">
          <a:noFill/>
        </a:ln>
      </c:spPr>
      <c:txPr>
        <a:bodyPr/>
        <a:lstStyle/>
        <a:p>
          <a:pPr>
            <a:defRPr sz="925" b="1" i="0" u="none" strike="noStrike" baseline="0">
              <a:solidFill>
                <a:srgbClr val="000000"/>
              </a:solidFill>
              <a:latin typeface="Arial"/>
              <a:ea typeface="Arial"/>
              <a:cs typeface="Arial"/>
            </a:defRPr>
          </a:pPr>
          <a:endParaRPr lang="es-UY"/>
        </a:p>
      </c:txPr>
    </c:legend>
    <c:plotVisOnly val="1"/>
    <c:dispBlanksAs val="gap"/>
    <c:showDLblsOverMax val="0"/>
  </c:chart>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s-UY"/>
    </a:p>
  </c:txPr>
  <c:printSettings>
    <c:headerFooter/>
    <c:pageMargins b="0.75000000000000011" l="0.70000000000000007" r="0.70000000000000007" t="0.75000000000000011" header="0.30000000000000004" footer="0.30000000000000004"/>
    <c:pageSetup paperSize="9" orientation="landscape"/>
  </c:printSettings>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chartsheets/sheet1.xml><?xml version="1.0" encoding="utf-8"?>
<chartsheet xmlns="http://schemas.openxmlformats.org/spreadsheetml/2006/main" xmlns:r="http://schemas.openxmlformats.org/officeDocument/2006/relationships">
  <sheetPr codeName="Gráfico19">
    <tabColor indexed="42"/>
  </sheetPr>
  <sheetViews>
    <sheetView zoomScale="81" workbookViewId="0"/>
  </sheetViews>
  <sheetProtection content="1" objects="1"/>
  <pageMargins left="0.47" right="0.49" top="0.27" bottom="0.17" header="0.26" footer="0.23"/>
  <pageSetup paperSize="9" orientation="landscape" r:id="rId1"/>
  <headerFooter alignWithMargins="0"/>
  <drawing r:id="rId2"/>
</chartsheet>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www.mvotma.gub.uy/biblioteca/documentos-de-agua/item/10003003" TargetMode="Externa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chart" Target="../charts/chart13.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104775</xdr:colOff>
      <xdr:row>38</xdr:row>
      <xdr:rowOff>66675</xdr:rowOff>
    </xdr:to>
    <xdr:pic>
      <xdr:nvPicPr>
        <xdr:cNvPr id="1849424" name="Picture 1">
          <a:extLst>
            <a:ext uri="{FF2B5EF4-FFF2-40B4-BE49-F238E27FC236}">
              <a16:creationId xmlns:a16="http://schemas.microsoft.com/office/drawing/2014/main" id="{D891162D-FE9E-4E59-B1B4-296C2991F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438775" cy="730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10</xdr:row>
      <xdr:rowOff>161925</xdr:rowOff>
    </xdr:from>
    <xdr:to>
      <xdr:col>12</xdr:col>
      <xdr:colOff>257175</xdr:colOff>
      <xdr:row>45</xdr:row>
      <xdr:rowOff>47625</xdr:rowOff>
    </xdr:to>
    <xdr:graphicFrame macro="">
      <xdr:nvGraphicFramePr>
        <xdr:cNvPr id="4534" name="Chart 12">
          <a:extLst>
            <a:ext uri="{FF2B5EF4-FFF2-40B4-BE49-F238E27FC236}">
              <a16:creationId xmlns:a16="http://schemas.microsoft.com/office/drawing/2014/main" id="{67D0146C-D061-42A8-AEC9-D87ABBA799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57150</xdr:colOff>
      <xdr:row>12</xdr:row>
      <xdr:rowOff>76200</xdr:rowOff>
    </xdr:from>
    <xdr:to>
      <xdr:col>20</xdr:col>
      <xdr:colOff>695325</xdr:colOff>
      <xdr:row>34</xdr:row>
      <xdr:rowOff>152400</xdr:rowOff>
    </xdr:to>
    <xdr:graphicFrame macro="">
      <xdr:nvGraphicFramePr>
        <xdr:cNvPr id="4535" name="Chart 62">
          <a:extLst>
            <a:ext uri="{FF2B5EF4-FFF2-40B4-BE49-F238E27FC236}">
              <a16:creationId xmlns:a16="http://schemas.microsoft.com/office/drawing/2014/main" id="{3E287749-4808-45A5-8737-B83C57F6A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0.44119</cdr:x>
      <cdr:y>0.22209</cdr:y>
    </cdr:from>
    <cdr:to>
      <cdr:x>0.72145</cdr:x>
      <cdr:y>0.25437</cdr:y>
    </cdr:to>
    <cdr:sp macro="" textlink="">
      <cdr:nvSpPr>
        <cdr:cNvPr id="962561" name="Text Box 1"/>
        <cdr:cNvSpPr txBox="1">
          <a:spLocks xmlns:a="http://schemas.openxmlformats.org/drawingml/2006/main" noChangeArrowheads="1"/>
        </cdr:cNvSpPr>
      </cdr:nvSpPr>
      <cdr:spPr bwMode="auto">
        <a:xfrm xmlns:a="http://schemas.openxmlformats.org/drawingml/2006/main">
          <a:off x="2671663" y="1505982"/>
          <a:ext cx="1693664" cy="210193"/>
        </a:xfrm>
        <a:prstGeom xmlns:a="http://schemas.openxmlformats.org/drawingml/2006/main" prst="rect">
          <a:avLst/>
        </a:prstGeom>
        <a:noFill xmlns:a="http://schemas.openxmlformats.org/drawingml/2006/main"/>
        <a:ln xmlns:a="http://schemas.openxmlformats.org/drawingml/2006/main" w="9525" algn="ctr">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es-MX" sz="1000" b="0" i="0" u="none" strike="noStrike" baseline="0">
              <a:solidFill>
                <a:srgbClr val="000000"/>
              </a:solidFill>
              <a:latin typeface="Arial"/>
              <a:cs typeface="Arial"/>
            </a:rPr>
            <a:t> Precipitación (lluvia)</a:t>
          </a:r>
        </a:p>
      </cdr:txBody>
    </cdr:sp>
  </cdr:relSizeAnchor>
  <cdr:relSizeAnchor xmlns:cdr="http://schemas.openxmlformats.org/drawingml/2006/chartDrawing">
    <cdr:from>
      <cdr:x>0.45128</cdr:x>
      <cdr:y>0.63722</cdr:y>
    </cdr:from>
    <cdr:to>
      <cdr:x>0.72145</cdr:x>
      <cdr:y>0.66507</cdr:y>
    </cdr:to>
    <cdr:sp macro="" textlink="">
      <cdr:nvSpPr>
        <cdr:cNvPr id="962562" name="Text Box 2"/>
        <cdr:cNvSpPr txBox="1">
          <a:spLocks xmlns:a="http://schemas.openxmlformats.org/drawingml/2006/main" noChangeArrowheads="1"/>
        </cdr:cNvSpPr>
      </cdr:nvSpPr>
      <cdr:spPr bwMode="auto">
        <a:xfrm xmlns:a="http://schemas.openxmlformats.org/drawingml/2006/main">
          <a:off x="2737148" y="4201302"/>
          <a:ext cx="1628179" cy="1810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es-MX" sz="1000" b="0" i="0" u="none" strike="noStrike" baseline="0">
              <a:solidFill>
                <a:srgbClr val="000000"/>
              </a:solidFill>
              <a:latin typeface="Arial"/>
              <a:cs typeface="Arial"/>
            </a:rPr>
            <a:t>Escurrimiento (caudal)</a:t>
          </a:r>
        </a:p>
      </cdr:txBody>
    </cdr:sp>
  </cdr:relSizeAnchor>
  <cdr:relSizeAnchor xmlns:cdr="http://schemas.openxmlformats.org/drawingml/2006/chartDrawing">
    <cdr:from>
      <cdr:x>0.92324</cdr:x>
      <cdr:y>0.13775</cdr:y>
    </cdr:from>
    <cdr:to>
      <cdr:x>0.99615</cdr:x>
      <cdr:y>0.53445</cdr:y>
    </cdr:to>
    <cdr:sp macro="" textlink="">
      <cdr:nvSpPr>
        <cdr:cNvPr id="243716" name="Rectangle 4"/>
        <cdr:cNvSpPr>
          <a:spLocks xmlns:a="http://schemas.openxmlformats.org/drawingml/2006/main" noChangeArrowheads="1"/>
        </cdr:cNvSpPr>
      </cdr:nvSpPr>
      <cdr:spPr bwMode="auto">
        <a:xfrm xmlns:a="http://schemas.openxmlformats.org/drawingml/2006/main">
          <a:off x="5573804" y="973740"/>
          <a:ext cx="443252" cy="255286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UY"/>
        </a:p>
      </cdr:txBody>
    </cdr:sp>
  </cdr:relSizeAnchor>
  <cdr:relSizeAnchor xmlns:cdr="http://schemas.openxmlformats.org/drawingml/2006/chartDrawing">
    <cdr:from>
      <cdr:x>0.04439</cdr:x>
      <cdr:y>0.53381</cdr:y>
    </cdr:from>
    <cdr:to>
      <cdr:x>0.12668</cdr:x>
      <cdr:y>0.90416</cdr:y>
    </cdr:to>
    <cdr:sp macro="" textlink="">
      <cdr:nvSpPr>
        <cdr:cNvPr id="243717" name="Rectangle 5"/>
        <cdr:cNvSpPr>
          <a:spLocks xmlns:a="http://schemas.openxmlformats.org/drawingml/2006/main" noChangeArrowheads="1"/>
        </cdr:cNvSpPr>
      </cdr:nvSpPr>
      <cdr:spPr bwMode="auto">
        <a:xfrm xmlns:a="http://schemas.openxmlformats.org/drawingml/2006/main">
          <a:off x="429181" y="3066060"/>
          <a:ext cx="649353" cy="22394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UY"/>
        </a:p>
      </cdr:txBody>
    </cdr:sp>
  </cdr:relSizeAnchor>
</c:userShapes>
</file>

<file path=xl/drawings/drawing12.xml><?xml version="1.0" encoding="utf-8"?>
<xdr:wsDr xmlns:xdr="http://schemas.openxmlformats.org/drawingml/2006/spreadsheetDrawing" xmlns:a="http://schemas.openxmlformats.org/drawingml/2006/main">
  <xdr:absoluteAnchor>
    <xdr:pos x="0" y="142875"/>
    <xdr:ext cx="9496425" cy="6772275"/>
    <xdr:graphicFrame macro="">
      <xdr:nvGraphicFramePr>
        <xdr:cNvPr id="2" name="Gráfico 1">
          <a:extLst>
            <a:ext uri="{FF2B5EF4-FFF2-40B4-BE49-F238E27FC236}">
              <a16:creationId xmlns:a16="http://schemas.microsoft.com/office/drawing/2014/main" id="{2663E70C-E799-4346-97E9-C4FE6F7319F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10</xdr:col>
      <xdr:colOff>28575</xdr:colOff>
      <xdr:row>0</xdr:row>
      <xdr:rowOff>9525</xdr:rowOff>
    </xdr:from>
    <xdr:to>
      <xdr:col>11</xdr:col>
      <xdr:colOff>276225</xdr:colOff>
      <xdr:row>2</xdr:row>
      <xdr:rowOff>190500</xdr:rowOff>
    </xdr:to>
    <xdr:pic>
      <xdr:nvPicPr>
        <xdr:cNvPr id="1366" name="Picture 1" descr="DINAGUA">
          <a:extLst>
            <a:ext uri="{FF2B5EF4-FFF2-40B4-BE49-F238E27FC236}">
              <a16:creationId xmlns:a16="http://schemas.microsoft.com/office/drawing/2014/main" id="{557CEDD8-B410-4A4F-9B51-314A3E8A63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9525"/>
          <a:ext cx="10096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76200</xdr:colOff>
      <xdr:row>0</xdr:row>
      <xdr:rowOff>28575</xdr:rowOff>
    </xdr:from>
    <xdr:to>
      <xdr:col>4</xdr:col>
      <xdr:colOff>495300</xdr:colOff>
      <xdr:row>4</xdr:row>
      <xdr:rowOff>219075</xdr:rowOff>
    </xdr:to>
    <xdr:pic>
      <xdr:nvPicPr>
        <xdr:cNvPr id="197799" name="Picture 5">
          <a:hlinkClick xmlns:r="http://schemas.openxmlformats.org/officeDocument/2006/relationships" r:id="rId1"/>
          <a:extLst>
            <a:ext uri="{FF2B5EF4-FFF2-40B4-BE49-F238E27FC236}">
              <a16:creationId xmlns:a16="http://schemas.microsoft.com/office/drawing/2014/main" id="{AAF10512-B2B1-4B72-9531-D9900FD32FB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48325" y="28575"/>
          <a:ext cx="8286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3</xdr:row>
      <xdr:rowOff>9525</xdr:rowOff>
    </xdr:from>
    <xdr:to>
      <xdr:col>11</xdr:col>
      <xdr:colOff>0</xdr:colOff>
      <xdr:row>19</xdr:row>
      <xdr:rowOff>0</xdr:rowOff>
    </xdr:to>
    <xdr:graphicFrame macro="">
      <xdr:nvGraphicFramePr>
        <xdr:cNvPr id="2850" name="Chart 38">
          <a:extLst>
            <a:ext uri="{FF2B5EF4-FFF2-40B4-BE49-F238E27FC236}">
              <a16:creationId xmlns:a16="http://schemas.microsoft.com/office/drawing/2014/main" id="{12A7C55E-5772-41B7-980E-A3E999DCC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48</xdr:row>
      <xdr:rowOff>114300</xdr:rowOff>
    </xdr:from>
    <xdr:to>
      <xdr:col>10</xdr:col>
      <xdr:colOff>714375</xdr:colOff>
      <xdr:row>72</xdr:row>
      <xdr:rowOff>76200</xdr:rowOff>
    </xdr:to>
    <xdr:graphicFrame macro="">
      <xdr:nvGraphicFramePr>
        <xdr:cNvPr id="2851" name="Chart 38">
          <a:extLst>
            <a:ext uri="{FF2B5EF4-FFF2-40B4-BE49-F238E27FC236}">
              <a16:creationId xmlns:a16="http://schemas.microsoft.com/office/drawing/2014/main" id="{9A576260-7126-41A9-A6F3-1910F41FD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161925</xdr:colOff>
      <xdr:row>0</xdr:row>
      <xdr:rowOff>0</xdr:rowOff>
    </xdr:from>
    <xdr:to>
      <xdr:col>18</xdr:col>
      <xdr:colOff>123825</xdr:colOff>
      <xdr:row>23</xdr:row>
      <xdr:rowOff>180975</xdr:rowOff>
    </xdr:to>
    <xdr:graphicFrame macro="">
      <xdr:nvGraphicFramePr>
        <xdr:cNvPr id="2852" name="3 Gráfico">
          <a:extLst>
            <a:ext uri="{FF2B5EF4-FFF2-40B4-BE49-F238E27FC236}">
              <a16:creationId xmlns:a16="http://schemas.microsoft.com/office/drawing/2014/main" id="{E6F231FA-C264-4DDF-9DDC-F76D10898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142875</xdr:colOff>
      <xdr:row>23</xdr:row>
      <xdr:rowOff>47625</xdr:rowOff>
    </xdr:from>
    <xdr:to>
      <xdr:col>18</xdr:col>
      <xdr:colOff>190500</xdr:colOff>
      <xdr:row>47</xdr:row>
      <xdr:rowOff>161925</xdr:rowOff>
    </xdr:to>
    <xdr:graphicFrame macro="">
      <xdr:nvGraphicFramePr>
        <xdr:cNvPr id="2853" name="4 Gráfico">
          <a:extLst>
            <a:ext uri="{FF2B5EF4-FFF2-40B4-BE49-F238E27FC236}">
              <a16:creationId xmlns:a16="http://schemas.microsoft.com/office/drawing/2014/main" id="{9FD3729B-C64C-456F-AC97-7B78C8A5B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1</xdr:row>
          <xdr:rowOff>0</xdr:rowOff>
        </xdr:from>
        <xdr:to>
          <xdr:col>3</xdr:col>
          <xdr:colOff>0</xdr:colOff>
          <xdr:row>2</xdr:row>
          <xdr:rowOff>161925</xdr:rowOff>
        </xdr:to>
        <xdr:sp macro="" textlink="">
          <xdr:nvSpPr>
            <xdr:cNvPr id="2084" name="Button 36" hidden="1">
              <a:extLst>
                <a:ext uri="{63B3BB69-23CF-44E3-9099-C40C66FF867C}">
                  <a14:compatExt spid="_x0000_s2084"/>
                </a:ext>
                <a:ext uri="{FF2B5EF4-FFF2-40B4-BE49-F238E27FC236}">
                  <a16:creationId xmlns:a16="http://schemas.microsoft.com/office/drawing/2014/main" id="{445DEDDD-18B6-48AA-A0B2-9F2BA60ACD11}"/>
                </a:ext>
              </a:extLst>
            </xdr:cNvPr>
            <xdr:cNvSpPr/>
          </xdr:nvSpPr>
          <xdr:spPr bwMode="auto">
            <a:xfrm>
              <a:off x="0" y="0"/>
              <a:ext cx="0" cy="0"/>
            </a:xfrm>
            <a:prstGeom prst="rect">
              <a:avLst/>
            </a:prstGeom>
            <a:noFill/>
            <a:ln w="9525">
              <a:miter lim="800000"/>
              <a:headEnd/>
              <a:tailEnd/>
            </a:ln>
          </xdr:spPr>
          <xdr:txBody>
            <a:bodyPr vertOverflow="clip" wrap="square" lIns="0" tIns="0" rIns="0" bIns="0" anchor="ctr" upright="1"/>
            <a:lstStyle/>
            <a:p>
              <a:pPr algn="ctr" rtl="0">
                <a:defRPr sz="1000"/>
              </a:pPr>
              <a:r>
                <a:rPr lang="es-UY" sz="1400" b="1" i="0" u="none" strike="noStrike" baseline="0">
                  <a:solidFill>
                    <a:srgbClr val="800000"/>
                  </a:solidFill>
                  <a:latin typeface="Calibri"/>
                  <a:cs typeface="Calibri"/>
                </a:rPr>
                <a:t>BORRAR TODOS LOS DATOS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4</xdr:col>
      <xdr:colOff>47625</xdr:colOff>
      <xdr:row>3</xdr:row>
      <xdr:rowOff>190500</xdr:rowOff>
    </xdr:from>
    <xdr:to>
      <xdr:col>10</xdr:col>
      <xdr:colOff>1247775</xdr:colOff>
      <xdr:row>24</xdr:row>
      <xdr:rowOff>142875</xdr:rowOff>
    </xdr:to>
    <xdr:graphicFrame macro="">
      <xdr:nvGraphicFramePr>
        <xdr:cNvPr id="539851" name="1 Gráfico">
          <a:extLst>
            <a:ext uri="{FF2B5EF4-FFF2-40B4-BE49-F238E27FC236}">
              <a16:creationId xmlns:a16="http://schemas.microsoft.com/office/drawing/2014/main" id="{0845A8F3-B130-4F81-90F0-B4676C0953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xdr:colOff>
      <xdr:row>15</xdr:row>
      <xdr:rowOff>38100</xdr:rowOff>
    </xdr:from>
    <xdr:to>
      <xdr:col>15</xdr:col>
      <xdr:colOff>733425</xdr:colOff>
      <xdr:row>39</xdr:row>
      <xdr:rowOff>180975</xdr:rowOff>
    </xdr:to>
    <xdr:graphicFrame macro="">
      <xdr:nvGraphicFramePr>
        <xdr:cNvPr id="6888" name="Chart 59">
          <a:extLst>
            <a:ext uri="{FF2B5EF4-FFF2-40B4-BE49-F238E27FC236}">
              <a16:creationId xmlns:a16="http://schemas.microsoft.com/office/drawing/2014/main" id="{91F0B370-2122-4336-85FE-808FB4C391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11</xdr:row>
      <xdr:rowOff>0</xdr:rowOff>
    </xdr:from>
    <xdr:to>
      <xdr:col>9</xdr:col>
      <xdr:colOff>0</xdr:colOff>
      <xdr:row>33</xdr:row>
      <xdr:rowOff>38100</xdr:rowOff>
    </xdr:to>
    <xdr:graphicFrame macro="">
      <xdr:nvGraphicFramePr>
        <xdr:cNvPr id="6889" name="Chart 38">
          <a:extLst>
            <a:ext uri="{FF2B5EF4-FFF2-40B4-BE49-F238E27FC236}">
              <a16:creationId xmlns:a16="http://schemas.microsoft.com/office/drawing/2014/main" id="{B9B7C8E5-B35F-49D3-8544-FC1E25710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15</xdr:row>
      <xdr:rowOff>28575</xdr:rowOff>
    </xdr:from>
    <xdr:to>
      <xdr:col>8</xdr:col>
      <xdr:colOff>647700</xdr:colOff>
      <xdr:row>40</xdr:row>
      <xdr:rowOff>9525</xdr:rowOff>
    </xdr:to>
    <xdr:graphicFrame macro="">
      <xdr:nvGraphicFramePr>
        <xdr:cNvPr id="6890" name="Chart 118">
          <a:extLst>
            <a:ext uri="{FF2B5EF4-FFF2-40B4-BE49-F238E27FC236}">
              <a16:creationId xmlns:a16="http://schemas.microsoft.com/office/drawing/2014/main" id="{58BC3455-284F-4B8B-A62D-9BE71BE10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4</xdr:col>
          <xdr:colOff>161925</xdr:colOff>
          <xdr:row>13</xdr:row>
          <xdr:rowOff>9525</xdr:rowOff>
        </xdr:from>
        <xdr:to>
          <xdr:col>8</xdr:col>
          <xdr:colOff>381000</xdr:colOff>
          <xdr:row>14</xdr:row>
          <xdr:rowOff>161925</xdr:rowOff>
        </xdr:to>
        <xdr:sp macro="" textlink="">
          <xdr:nvSpPr>
            <xdr:cNvPr id="6167" name="Button 23" hidden="1">
              <a:extLst>
                <a:ext uri="{63B3BB69-23CF-44E3-9099-C40C66FF867C}">
                  <a14:compatExt spid="_x0000_s6167"/>
                </a:ext>
                <a:ext uri="{FF2B5EF4-FFF2-40B4-BE49-F238E27FC236}">
                  <a16:creationId xmlns:a16="http://schemas.microsoft.com/office/drawing/2014/main" id="{5974EF6D-85DA-40E6-96B2-9B5BA197D2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Y" sz="1600" b="1" i="0" u="none" strike="noStrike" baseline="0">
                  <a:solidFill>
                    <a:srgbClr val="800000"/>
                  </a:solidFill>
                  <a:latin typeface="Calibri"/>
                  <a:cs typeface="Calibri"/>
                </a:rPr>
                <a:t>ACTUALIZA BALANCE HÍDRICO</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9</xdr:col>
      <xdr:colOff>640080</xdr:colOff>
      <xdr:row>54</xdr:row>
      <xdr:rowOff>2117</xdr:rowOff>
    </xdr:from>
    <xdr:ext cx="35651" cy="147476"/>
    <xdr:sp macro="" textlink="">
      <xdr:nvSpPr>
        <xdr:cNvPr id="257079" name="Rectangle 55">
          <a:extLst>
            <a:ext uri="{FF2B5EF4-FFF2-40B4-BE49-F238E27FC236}">
              <a16:creationId xmlns:a16="http://schemas.microsoft.com/office/drawing/2014/main" id="{215971F3-2EC0-413E-958F-A3C44FC096E1}"/>
            </a:ext>
          </a:extLst>
        </xdr:cNvPr>
        <xdr:cNvSpPr>
          <a:spLocks noChangeArrowheads="1"/>
        </xdr:cNvSpPr>
      </xdr:nvSpPr>
      <xdr:spPr bwMode="auto">
        <a:xfrm>
          <a:off x="6481432" y="11111377"/>
          <a:ext cx="35651" cy="147476"/>
        </a:xfrm>
        <a:prstGeom prst="rect">
          <a:avLst/>
        </a:prstGeom>
        <a:noFill/>
        <a:ln w="9525">
          <a:noFill/>
          <a:miter lim="800000"/>
          <a:headEnd/>
          <a:tailEnd/>
        </a:ln>
      </xdr:spPr>
      <xdr:txBody>
        <a:bodyPr wrap="none" lIns="0" tIns="0" rIns="0" bIns="0" anchor="t" upright="1">
          <a:spAutoFit/>
        </a:bodyPr>
        <a:lstStyle/>
        <a:p>
          <a:pPr algn="l" rtl="0">
            <a:defRPr sz="1000"/>
          </a:pPr>
          <a:r>
            <a:rPr lang="es-MX" sz="1000" b="0" i="0" u="none" strike="noStrike" baseline="0">
              <a:solidFill>
                <a:srgbClr val="000000"/>
              </a:solidFill>
              <a:latin typeface="Arial"/>
              <a:cs typeface="Arial"/>
            </a:rPr>
            <a:t> </a:t>
          </a:r>
        </a:p>
      </xdr:txBody>
    </xdr:sp>
    <xdr:clientData/>
  </xdr:oneCellAnchor>
  <xdr:oneCellAnchor>
    <xdr:from>
      <xdr:col>9</xdr:col>
      <xdr:colOff>445135</xdr:colOff>
      <xdr:row>52</xdr:row>
      <xdr:rowOff>104775</xdr:rowOff>
    </xdr:from>
    <xdr:ext cx="28534" cy="117917"/>
    <xdr:sp macro="" textlink="">
      <xdr:nvSpPr>
        <xdr:cNvPr id="257082" name="Rectangle 58">
          <a:extLst>
            <a:ext uri="{FF2B5EF4-FFF2-40B4-BE49-F238E27FC236}">
              <a16:creationId xmlns:a16="http://schemas.microsoft.com/office/drawing/2014/main" id="{857E8788-E18F-4620-9F99-5673F5B06CBF}"/>
            </a:ext>
          </a:extLst>
        </xdr:cNvPr>
        <xdr:cNvSpPr>
          <a:spLocks noChangeArrowheads="1"/>
        </xdr:cNvSpPr>
      </xdr:nvSpPr>
      <xdr:spPr bwMode="auto">
        <a:xfrm>
          <a:off x="6286487" y="10766943"/>
          <a:ext cx="28534" cy="117917"/>
        </a:xfrm>
        <a:prstGeom prst="rect">
          <a:avLst/>
        </a:prstGeom>
        <a:noFill/>
        <a:ln w="9525">
          <a:noFill/>
          <a:miter lim="800000"/>
          <a:headEnd/>
          <a:tailEnd/>
        </a:ln>
      </xdr:spPr>
      <xdr:txBody>
        <a:bodyPr wrap="none" lIns="0" tIns="0" rIns="0" bIns="0" anchor="t" upright="1">
          <a:spAutoFit/>
        </a:bodyPr>
        <a:lstStyle/>
        <a:p>
          <a:pPr algn="l" rtl="0">
            <a:defRPr sz="1000"/>
          </a:pPr>
          <a:r>
            <a:rPr lang="es-MX" sz="800" b="0" i="0" u="none" strike="noStrike" baseline="0">
              <a:solidFill>
                <a:srgbClr val="000000"/>
              </a:solidFill>
              <a:latin typeface="Arial"/>
              <a:cs typeface="Arial"/>
            </a:rPr>
            <a:t> </a:t>
          </a:r>
        </a:p>
      </xdr:txBody>
    </xdr:sp>
    <xdr:clientData/>
  </xdr:oneCellAnchor>
  <xdr:twoCellAnchor editAs="oneCell">
    <xdr:from>
      <xdr:col>12</xdr:col>
      <xdr:colOff>28575</xdr:colOff>
      <xdr:row>57</xdr:row>
      <xdr:rowOff>47625</xdr:rowOff>
    </xdr:from>
    <xdr:to>
      <xdr:col>12</xdr:col>
      <xdr:colOff>28575</xdr:colOff>
      <xdr:row>58</xdr:row>
      <xdr:rowOff>28575</xdr:rowOff>
    </xdr:to>
    <xdr:sp macro="" textlink="">
      <xdr:nvSpPr>
        <xdr:cNvPr id="2310772" name="Rectangle 76">
          <a:extLst>
            <a:ext uri="{FF2B5EF4-FFF2-40B4-BE49-F238E27FC236}">
              <a16:creationId xmlns:a16="http://schemas.microsoft.com/office/drawing/2014/main" id="{6A797039-1A35-4945-9C49-2289533D5B72}"/>
            </a:ext>
          </a:extLst>
        </xdr:cNvPr>
        <xdr:cNvSpPr>
          <a:spLocks noChangeArrowheads="1"/>
        </xdr:cNvSpPr>
      </xdr:nvSpPr>
      <xdr:spPr bwMode="auto">
        <a:xfrm>
          <a:off x="9182100" y="115252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0</xdr:colOff>
      <xdr:row>26</xdr:row>
      <xdr:rowOff>0</xdr:rowOff>
    </xdr:from>
    <xdr:ext cx="35651" cy="147476"/>
    <xdr:sp macro="" textlink="">
      <xdr:nvSpPr>
        <xdr:cNvPr id="257109" name="Rectangle 85">
          <a:extLst>
            <a:ext uri="{FF2B5EF4-FFF2-40B4-BE49-F238E27FC236}">
              <a16:creationId xmlns:a16="http://schemas.microsoft.com/office/drawing/2014/main" id="{2269E445-76E9-486D-AD1C-0F423DF0FB1C}"/>
            </a:ext>
          </a:extLst>
        </xdr:cNvPr>
        <xdr:cNvSpPr>
          <a:spLocks noChangeArrowheads="1"/>
        </xdr:cNvSpPr>
      </xdr:nvSpPr>
      <xdr:spPr bwMode="auto">
        <a:xfrm>
          <a:off x="1399592" y="5442857"/>
          <a:ext cx="35651" cy="147476"/>
        </a:xfrm>
        <a:prstGeom prst="rect">
          <a:avLst/>
        </a:prstGeom>
        <a:noFill/>
        <a:ln w="9525">
          <a:noFill/>
          <a:miter lim="800000"/>
          <a:headEnd/>
          <a:tailEnd/>
        </a:ln>
      </xdr:spPr>
      <xdr:txBody>
        <a:bodyPr wrap="none" lIns="0" tIns="0" rIns="0" bIns="0" anchor="t" upright="1">
          <a:spAutoFit/>
        </a:bodyPr>
        <a:lstStyle/>
        <a:p>
          <a:pPr algn="l" rtl="0">
            <a:defRPr sz="1000"/>
          </a:pPr>
          <a:r>
            <a:rPr lang="es-MX" sz="1000" b="0" i="0" u="none" strike="noStrike" baseline="0">
              <a:solidFill>
                <a:srgbClr val="000000"/>
              </a:solidFill>
              <a:latin typeface="Arial"/>
              <a:cs typeface="Arial"/>
            </a:rPr>
            <a:t> </a:t>
          </a:r>
        </a:p>
      </xdr:txBody>
    </xdr:sp>
    <xdr:clientData/>
  </xdr:oneCellAnchor>
  <xdr:oneCellAnchor>
    <xdr:from>
      <xdr:col>2</xdr:col>
      <xdr:colOff>0</xdr:colOff>
      <xdr:row>26</xdr:row>
      <xdr:rowOff>0</xdr:rowOff>
    </xdr:from>
    <xdr:ext cx="35651" cy="147476"/>
    <xdr:sp macro="" textlink="">
      <xdr:nvSpPr>
        <xdr:cNvPr id="257110" name="Rectangle 86">
          <a:extLst>
            <a:ext uri="{FF2B5EF4-FFF2-40B4-BE49-F238E27FC236}">
              <a16:creationId xmlns:a16="http://schemas.microsoft.com/office/drawing/2014/main" id="{4127EFC5-62C4-45B6-8873-234612CB49A9}"/>
            </a:ext>
          </a:extLst>
        </xdr:cNvPr>
        <xdr:cNvSpPr>
          <a:spLocks noChangeArrowheads="1"/>
        </xdr:cNvSpPr>
      </xdr:nvSpPr>
      <xdr:spPr bwMode="auto">
        <a:xfrm>
          <a:off x="1399592" y="5442857"/>
          <a:ext cx="35651" cy="147476"/>
        </a:xfrm>
        <a:prstGeom prst="rect">
          <a:avLst/>
        </a:prstGeom>
        <a:noFill/>
        <a:ln w="9525">
          <a:noFill/>
          <a:miter lim="800000"/>
          <a:headEnd/>
          <a:tailEnd/>
        </a:ln>
      </xdr:spPr>
      <xdr:txBody>
        <a:bodyPr wrap="none" lIns="0" tIns="0" rIns="0" bIns="0" anchor="t" upright="1">
          <a:spAutoFit/>
        </a:bodyPr>
        <a:lstStyle/>
        <a:p>
          <a:pPr algn="l" rtl="0">
            <a:defRPr sz="1000"/>
          </a:pPr>
          <a:r>
            <a:rPr lang="es-MX" sz="1000" b="0" i="0" u="none" strike="noStrike" baseline="0">
              <a:solidFill>
                <a:srgbClr val="000000"/>
              </a:solidFill>
              <a:latin typeface="Arial"/>
              <a:cs typeface="Arial"/>
            </a:rPr>
            <a:t> </a:t>
          </a:r>
        </a:p>
      </xdr:txBody>
    </xdr:sp>
    <xdr:clientData/>
  </xdr:oneCellAnchor>
  <xdr:oneCellAnchor>
    <xdr:from>
      <xdr:col>1</xdr:col>
      <xdr:colOff>431800</xdr:colOff>
      <xdr:row>26</xdr:row>
      <xdr:rowOff>0</xdr:rowOff>
    </xdr:from>
    <xdr:ext cx="28534" cy="117917"/>
    <xdr:sp macro="" textlink="">
      <xdr:nvSpPr>
        <xdr:cNvPr id="257111" name="Rectangle 87">
          <a:extLst>
            <a:ext uri="{FF2B5EF4-FFF2-40B4-BE49-F238E27FC236}">
              <a16:creationId xmlns:a16="http://schemas.microsoft.com/office/drawing/2014/main" id="{5EBC7BF6-D119-4DF2-941D-9F0DC9F30723}"/>
            </a:ext>
          </a:extLst>
        </xdr:cNvPr>
        <xdr:cNvSpPr>
          <a:spLocks noChangeArrowheads="1"/>
        </xdr:cNvSpPr>
      </xdr:nvSpPr>
      <xdr:spPr bwMode="auto">
        <a:xfrm>
          <a:off x="1219070" y="5442857"/>
          <a:ext cx="28534" cy="117917"/>
        </a:xfrm>
        <a:prstGeom prst="rect">
          <a:avLst/>
        </a:prstGeom>
        <a:noFill/>
        <a:ln w="9525">
          <a:noFill/>
          <a:miter lim="800000"/>
          <a:headEnd/>
          <a:tailEnd/>
        </a:ln>
      </xdr:spPr>
      <xdr:txBody>
        <a:bodyPr wrap="none" lIns="0" tIns="0" rIns="0" bIns="0" anchor="t" upright="1">
          <a:spAutoFit/>
        </a:bodyPr>
        <a:lstStyle/>
        <a:p>
          <a:pPr algn="l" rtl="0">
            <a:defRPr sz="1000"/>
          </a:pPr>
          <a:r>
            <a:rPr lang="es-MX" sz="800" b="0" i="0" u="none" strike="noStrike" baseline="0">
              <a:solidFill>
                <a:srgbClr val="000000"/>
              </a:solidFill>
              <a:latin typeface="Arial"/>
              <a:cs typeface="Arial"/>
            </a:rPr>
            <a:t> </a:t>
          </a:r>
        </a:p>
      </xdr:txBody>
    </xdr:sp>
    <xdr:clientData/>
  </xdr:oneCellAnchor>
  <xdr:twoCellAnchor editAs="oneCell">
    <xdr:from>
      <xdr:col>3</xdr:col>
      <xdr:colOff>0</xdr:colOff>
      <xdr:row>65</xdr:row>
      <xdr:rowOff>0</xdr:rowOff>
    </xdr:from>
    <xdr:to>
      <xdr:col>3</xdr:col>
      <xdr:colOff>0</xdr:colOff>
      <xdr:row>65</xdr:row>
      <xdr:rowOff>161925</xdr:rowOff>
    </xdr:to>
    <xdr:sp macro="" textlink="">
      <xdr:nvSpPr>
        <xdr:cNvPr id="2310776" name="Rectangle 88">
          <a:extLst>
            <a:ext uri="{FF2B5EF4-FFF2-40B4-BE49-F238E27FC236}">
              <a16:creationId xmlns:a16="http://schemas.microsoft.com/office/drawing/2014/main" id="{1E60FC0E-BD2A-4CAE-B7DD-6A325D817F46}"/>
            </a:ext>
          </a:extLst>
        </xdr:cNvPr>
        <xdr:cNvSpPr>
          <a:spLocks noChangeArrowheads="1"/>
        </xdr:cNvSpPr>
      </xdr:nvSpPr>
      <xdr:spPr bwMode="auto">
        <a:xfrm>
          <a:off x="2009775" y="1313497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47</xdr:row>
      <xdr:rowOff>152400</xdr:rowOff>
    </xdr:from>
    <xdr:to>
      <xdr:col>8</xdr:col>
      <xdr:colOff>333375</xdr:colOff>
      <xdr:row>71</xdr:row>
      <xdr:rowOff>66675</xdr:rowOff>
    </xdr:to>
    <xdr:graphicFrame macro="">
      <xdr:nvGraphicFramePr>
        <xdr:cNvPr id="2310777" name="Chart 91">
          <a:extLst>
            <a:ext uri="{FF2B5EF4-FFF2-40B4-BE49-F238E27FC236}">
              <a16:creationId xmlns:a16="http://schemas.microsoft.com/office/drawing/2014/main" id="{53ED30CF-BE01-41A3-B15C-4731CF79B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38100</xdr:colOff>
      <xdr:row>19</xdr:row>
      <xdr:rowOff>142875</xdr:rowOff>
    </xdr:from>
    <xdr:to>
      <xdr:col>15</xdr:col>
      <xdr:colOff>438150</xdr:colOff>
      <xdr:row>36</xdr:row>
      <xdr:rowOff>0</xdr:rowOff>
    </xdr:to>
    <xdr:graphicFrame macro="">
      <xdr:nvGraphicFramePr>
        <xdr:cNvPr id="2310778" name="Chart 411">
          <a:extLst>
            <a:ext uri="{FF2B5EF4-FFF2-40B4-BE49-F238E27FC236}">
              <a16:creationId xmlns:a16="http://schemas.microsoft.com/office/drawing/2014/main" id="{7C038955-A3F6-48BD-8AEF-66365CAAF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21</xdr:row>
      <xdr:rowOff>152400</xdr:rowOff>
    </xdr:from>
    <xdr:to>
      <xdr:col>8</xdr:col>
      <xdr:colOff>342900</xdr:colOff>
      <xdr:row>44</xdr:row>
      <xdr:rowOff>190500</xdr:rowOff>
    </xdr:to>
    <xdr:graphicFrame macro="">
      <xdr:nvGraphicFramePr>
        <xdr:cNvPr id="2310779" name="Chart 594">
          <a:extLst>
            <a:ext uri="{FF2B5EF4-FFF2-40B4-BE49-F238E27FC236}">
              <a16:creationId xmlns:a16="http://schemas.microsoft.com/office/drawing/2014/main" id="{C609B6B3-977B-4A51-9ADA-A207D3C2A1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28575</xdr:colOff>
      <xdr:row>8</xdr:row>
      <xdr:rowOff>47625</xdr:rowOff>
    </xdr:from>
    <xdr:to>
      <xdr:col>15</xdr:col>
      <xdr:colOff>428625</xdr:colOff>
      <xdr:row>18</xdr:row>
      <xdr:rowOff>161925</xdr:rowOff>
    </xdr:to>
    <xdr:graphicFrame macro="">
      <xdr:nvGraphicFramePr>
        <xdr:cNvPr id="2310780" name="12 Gráfico">
          <a:extLst>
            <a:ext uri="{FF2B5EF4-FFF2-40B4-BE49-F238E27FC236}">
              <a16:creationId xmlns:a16="http://schemas.microsoft.com/office/drawing/2014/main" id="{ACA252F1-4A6F-4EA8-9B89-401A424C51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xdr:row>
      <xdr:rowOff>47625</xdr:rowOff>
    </xdr:from>
    <xdr:to>
      <xdr:col>8</xdr:col>
      <xdr:colOff>361950</xdr:colOff>
      <xdr:row>21</xdr:row>
      <xdr:rowOff>85725</xdr:rowOff>
    </xdr:to>
    <xdr:graphicFrame macro="">
      <xdr:nvGraphicFramePr>
        <xdr:cNvPr id="2310781" name="Chart 964">
          <a:extLst>
            <a:ext uri="{FF2B5EF4-FFF2-40B4-BE49-F238E27FC236}">
              <a16:creationId xmlns:a16="http://schemas.microsoft.com/office/drawing/2014/main" id="{28343642-237D-4FEA-9BA3-358E3683A8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0.16003</cdr:x>
      <cdr:y>0.16185</cdr:y>
    </cdr:from>
    <cdr:to>
      <cdr:x>0.96751</cdr:x>
      <cdr:y>0.84956</cdr:y>
    </cdr:to>
    <cdr:grpSp>
      <cdr:nvGrpSpPr>
        <cdr:cNvPr id="23" name="Group 19">
          <a:extLst xmlns:a="http://schemas.openxmlformats.org/drawingml/2006/main">
            <a:ext uri="{FF2B5EF4-FFF2-40B4-BE49-F238E27FC236}">
              <a16:creationId xmlns:a16="http://schemas.microsoft.com/office/drawing/2014/main" id="{BE3EB520-97E0-4C9E-A994-597FC9DF4B80}"/>
            </a:ext>
          </a:extLst>
        </cdr:cNvPr>
        <cdr:cNvGrpSpPr>
          <a:grpSpLocks xmlns:a="http://schemas.openxmlformats.org/drawingml/2006/main"/>
        </cdr:cNvGrpSpPr>
      </cdr:nvGrpSpPr>
      <cdr:grpSpPr bwMode="auto">
        <a:xfrm xmlns:a="http://schemas.openxmlformats.org/drawingml/2006/main">
          <a:off x="904168" y="772666"/>
          <a:ext cx="4562155" cy="3283085"/>
          <a:chOff x="640641" y="1104900"/>
          <a:chExt cx="4922011" cy="2705666"/>
        </a:xfrm>
      </cdr:grpSpPr>
      <cdr:sp macro="" textlink="">
        <cdr:nvSpPr>
          <cdr:cNvPr id="74753" name="2 CuadroTexto"/>
          <cdr:cNvSpPr txBox="1">
            <a:spLocks xmlns:a="http://schemas.openxmlformats.org/drawingml/2006/main" noChangeArrowheads="1"/>
          </cdr:cNvSpPr>
        </cdr:nvSpPr>
        <cdr:spPr bwMode="auto">
          <a:xfrm xmlns:a="http://schemas.openxmlformats.org/drawingml/2006/main">
            <a:off x="640641" y="1649543"/>
            <a:ext cx="476013" cy="20640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es-MX" sz="1600" b="1" i="0" u="none" strike="noStrike" baseline="0">
                <a:solidFill>
                  <a:srgbClr val="0000FF"/>
                </a:solidFill>
                <a:latin typeface="Calibri"/>
                <a:cs typeface="Calibri"/>
              </a:rPr>
              <a:t>E (m)</a:t>
            </a:r>
          </a:p>
        </cdr:txBody>
      </cdr:sp>
      <cdr:sp macro="" textlink="">
        <cdr:nvSpPr>
          <cdr:cNvPr id="74754" name="3 CuadroTexto"/>
          <cdr:cNvSpPr txBox="1">
            <a:spLocks xmlns:a="http://schemas.openxmlformats.org/drawingml/2006/main" noChangeArrowheads="1"/>
          </cdr:cNvSpPr>
        </cdr:nvSpPr>
        <cdr:spPr bwMode="auto">
          <a:xfrm xmlns:a="http://schemas.openxmlformats.org/drawingml/2006/main">
            <a:off x="2131995" y="1249423"/>
            <a:ext cx="230847" cy="14589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none" lIns="0" tIns="0" rIns="0" bIns="0" anchor="ctr" upright="1">
            <a:spAutoFit/>
          </a:bodyPr>
          <a:lstStyle xmlns:a="http://schemas.openxmlformats.org/drawingml/2006/main"/>
          <a:p xmlns:a="http://schemas.openxmlformats.org/drawingml/2006/main">
            <a:pPr algn="ctr" rtl="0">
              <a:defRPr sz="1000"/>
            </a:pPr>
            <a:r>
              <a:rPr lang="es-MX" sz="1200" b="1" i="0" u="none" strike="noStrike" baseline="0">
                <a:solidFill>
                  <a:srgbClr val="FF0000"/>
                </a:solidFill>
                <a:latin typeface="Arial"/>
                <a:cs typeface="Arial"/>
              </a:rPr>
              <a:t>1.8</a:t>
            </a:r>
          </a:p>
        </cdr:txBody>
      </cdr:sp>
      <cdr:sp macro="" textlink="">
        <cdr:nvSpPr>
          <cdr:cNvPr id="959492" name="4 CuadroTexto"/>
          <cdr:cNvSpPr txBox="1">
            <a:spLocks xmlns:a="http://schemas.openxmlformats.org/drawingml/2006/main" noChangeArrowheads="1"/>
          </cdr:cNvSpPr>
        </cdr:nvSpPr>
        <cdr:spPr bwMode="auto">
          <a:xfrm xmlns:a="http://schemas.openxmlformats.org/drawingml/2006/main">
            <a:off x="4029118" y="1104900"/>
            <a:ext cx="1533534" cy="409918"/>
          </a:xfrm>
          <a:prstGeom xmlns:a="http://schemas.openxmlformats.org/drawingml/2006/main" prst="rect">
            <a:avLst/>
          </a:prstGeom>
          <a:solidFill xmlns:a="http://schemas.openxmlformats.org/drawingml/2006/main">
            <a:srgbClr val="CCFFCC"/>
          </a:solidFill>
          <a:ln xmlns:a="http://schemas.openxmlformats.org/drawingml/2006/main" w="12700">
            <a:solidFill>
              <a:srgbClr val="000000"/>
            </a:solid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es-MX" sz="900" b="1" i="0" u="none" strike="noStrike" baseline="0">
                <a:solidFill>
                  <a:srgbClr val="000000"/>
                </a:solidFill>
                <a:latin typeface="Arial"/>
                <a:cs typeface="Arial"/>
              </a:rPr>
              <a:t>REGIÓN NO VÁLIDA </a:t>
            </a:r>
          </a:p>
          <a:p xmlns:a="http://schemas.openxmlformats.org/drawingml/2006/main">
            <a:pPr algn="ctr" rtl="0">
              <a:defRPr sz="1000"/>
            </a:pPr>
            <a:r>
              <a:rPr lang="es-MX" sz="800" b="1" i="0" u="none" strike="noStrike" baseline="0">
                <a:solidFill>
                  <a:srgbClr val="000000"/>
                </a:solidFill>
                <a:latin typeface="Arial"/>
                <a:cs typeface="Arial"/>
              </a:rPr>
              <a:t>(Régimen super crítico)</a:t>
            </a:r>
          </a:p>
        </cdr:txBody>
      </cdr:sp>
      <cdr:sp macro="" textlink="">
        <cdr:nvSpPr>
          <cdr:cNvPr id="74756" name="10 CuadroTexto"/>
          <cdr:cNvSpPr txBox="1">
            <a:spLocks xmlns:a="http://schemas.openxmlformats.org/drawingml/2006/main" noChangeArrowheads="1"/>
          </cdr:cNvSpPr>
        </cdr:nvSpPr>
        <cdr:spPr bwMode="auto">
          <a:xfrm xmlns:a="http://schemas.openxmlformats.org/drawingml/2006/main">
            <a:off x="2549627" y="3676873"/>
            <a:ext cx="211616" cy="1336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es-MX" sz="1100" b="1" i="0" u="none" strike="noStrike" baseline="0">
                <a:solidFill>
                  <a:srgbClr val="0000FF"/>
                </a:solidFill>
                <a:latin typeface="Arial"/>
                <a:cs typeface="Arial"/>
              </a:rPr>
              <a:t>0.1</a:t>
            </a:r>
          </a:p>
        </cdr:txBody>
      </cdr:sp>
      <cdr:sp macro="" textlink="">
        <cdr:nvSpPr>
          <cdr:cNvPr id="74757" name="11 CuadroTexto"/>
          <cdr:cNvSpPr txBox="1">
            <a:spLocks xmlns:a="http://schemas.openxmlformats.org/drawingml/2006/main" noChangeArrowheads="1"/>
          </cdr:cNvSpPr>
        </cdr:nvSpPr>
        <cdr:spPr bwMode="auto">
          <a:xfrm xmlns:a="http://schemas.openxmlformats.org/drawingml/2006/main">
            <a:off x="1905234" y="3336279"/>
            <a:ext cx="211616" cy="1336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es-MX" sz="1100" b="1" i="0" u="none" strike="noStrike" baseline="0">
                <a:solidFill>
                  <a:srgbClr val="0000FF"/>
                </a:solidFill>
                <a:latin typeface="Arial"/>
                <a:cs typeface="Arial"/>
              </a:rPr>
              <a:t>0.2</a:t>
            </a:r>
          </a:p>
        </cdr:txBody>
      </cdr:sp>
      <cdr:sp macro="" textlink="">
        <cdr:nvSpPr>
          <cdr:cNvPr id="74758" name="12 CuadroTexto"/>
          <cdr:cNvSpPr txBox="1">
            <a:spLocks xmlns:a="http://schemas.openxmlformats.org/drawingml/2006/main" noChangeArrowheads="1"/>
          </cdr:cNvSpPr>
        </cdr:nvSpPr>
        <cdr:spPr bwMode="auto">
          <a:xfrm xmlns:a="http://schemas.openxmlformats.org/drawingml/2006/main">
            <a:off x="1226739" y="3147705"/>
            <a:ext cx="211616" cy="1336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es-MX" sz="1100" b="1" i="0" u="none" strike="noStrike" baseline="0">
                <a:solidFill>
                  <a:srgbClr val="0000FF"/>
                </a:solidFill>
                <a:latin typeface="Arial"/>
                <a:cs typeface="Arial"/>
              </a:rPr>
              <a:t>0.3</a:t>
            </a:r>
          </a:p>
        </cdr:txBody>
      </cdr:sp>
      <cdr:sp macro="" textlink="">
        <cdr:nvSpPr>
          <cdr:cNvPr id="74759" name="13 CuadroTexto"/>
          <cdr:cNvSpPr txBox="1">
            <a:spLocks xmlns:a="http://schemas.openxmlformats.org/drawingml/2006/main" noChangeArrowheads="1"/>
          </cdr:cNvSpPr>
        </cdr:nvSpPr>
        <cdr:spPr bwMode="auto">
          <a:xfrm xmlns:a="http://schemas.openxmlformats.org/drawingml/2006/main">
            <a:off x="959453" y="2917226"/>
            <a:ext cx="211616" cy="1336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es-MX" sz="1100" b="1" i="0" u="none" strike="noStrike" baseline="0">
                <a:solidFill>
                  <a:srgbClr val="0000FF"/>
                </a:solidFill>
                <a:latin typeface="Arial"/>
                <a:cs typeface="Arial"/>
              </a:rPr>
              <a:t>0.4</a:t>
            </a:r>
          </a:p>
        </cdr:txBody>
      </cdr:sp>
      <cdr:sp macro="" textlink="">
        <cdr:nvSpPr>
          <cdr:cNvPr id="74760" name="14 CuadroTexto"/>
          <cdr:cNvSpPr txBox="1">
            <a:spLocks xmlns:a="http://schemas.openxmlformats.org/drawingml/2006/main" noChangeArrowheads="1"/>
          </cdr:cNvSpPr>
        </cdr:nvSpPr>
        <cdr:spPr bwMode="auto">
          <a:xfrm xmlns:a="http://schemas.openxmlformats.org/drawingml/2006/main">
            <a:off x="856651" y="2723414"/>
            <a:ext cx="211616" cy="1336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es-MX" sz="1100" b="1" i="0" u="none" strike="noStrike" baseline="0">
                <a:solidFill>
                  <a:srgbClr val="0000FF"/>
                </a:solidFill>
                <a:latin typeface="Arial"/>
                <a:cs typeface="Arial"/>
              </a:rPr>
              <a:t>0.5</a:t>
            </a:r>
          </a:p>
        </cdr:txBody>
      </cdr:sp>
      <cdr:sp macro="" textlink="">
        <cdr:nvSpPr>
          <cdr:cNvPr id="74761" name="15 CuadroTexto"/>
          <cdr:cNvSpPr txBox="1">
            <a:spLocks xmlns:a="http://schemas.openxmlformats.org/drawingml/2006/main" noChangeArrowheads="1"/>
          </cdr:cNvSpPr>
        </cdr:nvSpPr>
        <cdr:spPr bwMode="auto">
          <a:xfrm xmlns:a="http://schemas.openxmlformats.org/drawingml/2006/main">
            <a:off x="705873" y="2529602"/>
            <a:ext cx="211616" cy="1336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es-MX" sz="1100" b="1" i="0" u="none" strike="noStrike" baseline="0">
                <a:solidFill>
                  <a:srgbClr val="0000FF"/>
                </a:solidFill>
                <a:latin typeface="Arial"/>
                <a:cs typeface="Arial"/>
              </a:rPr>
              <a:t>0.6</a:t>
            </a:r>
          </a:p>
        </cdr:txBody>
      </cdr:sp>
      <cdr:sp macro="" textlink="">
        <cdr:nvSpPr>
          <cdr:cNvPr id="74762" name="16 CuadroTexto"/>
          <cdr:cNvSpPr txBox="1">
            <a:spLocks xmlns:a="http://schemas.openxmlformats.org/drawingml/2006/main" noChangeArrowheads="1"/>
          </cdr:cNvSpPr>
        </cdr:nvSpPr>
        <cdr:spPr bwMode="auto">
          <a:xfrm xmlns:a="http://schemas.openxmlformats.org/drawingml/2006/main">
            <a:off x="671605" y="2267694"/>
            <a:ext cx="211616" cy="1336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es-MX" sz="1100" b="1" i="0" u="none" strike="noStrike" baseline="0">
                <a:solidFill>
                  <a:srgbClr val="0000FF"/>
                </a:solidFill>
                <a:latin typeface="Arial"/>
                <a:cs typeface="Arial"/>
              </a:rPr>
              <a:t>0.7</a:t>
            </a:r>
          </a:p>
        </cdr:txBody>
      </cdr:sp>
      <cdr:sp macro="" textlink="">
        <cdr:nvSpPr>
          <cdr:cNvPr id="74763" name="17 CuadroTexto"/>
          <cdr:cNvSpPr txBox="1">
            <a:spLocks xmlns:a="http://schemas.openxmlformats.org/drawingml/2006/main" noChangeArrowheads="1"/>
          </cdr:cNvSpPr>
        </cdr:nvSpPr>
        <cdr:spPr bwMode="auto">
          <a:xfrm xmlns:a="http://schemas.openxmlformats.org/drawingml/2006/main">
            <a:off x="664753" y="1984833"/>
            <a:ext cx="211616" cy="1336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es-MX" sz="1100" b="1" i="0" u="none" strike="noStrike" baseline="0">
                <a:solidFill>
                  <a:srgbClr val="0000FF"/>
                </a:solidFill>
                <a:latin typeface="Arial"/>
                <a:cs typeface="Arial"/>
              </a:rPr>
              <a:t>0.8</a:t>
            </a:r>
          </a:p>
        </cdr:txBody>
      </cdr:sp>
      <cdr:sp macro="" textlink="">
        <cdr:nvSpPr>
          <cdr:cNvPr id="74764" name="18 CuadroTexto"/>
          <cdr:cNvSpPr txBox="1">
            <a:spLocks xmlns:a="http://schemas.openxmlformats.org/drawingml/2006/main" noChangeArrowheads="1"/>
          </cdr:cNvSpPr>
        </cdr:nvSpPr>
        <cdr:spPr bwMode="auto">
          <a:xfrm xmlns:a="http://schemas.openxmlformats.org/drawingml/2006/main">
            <a:off x="1933313" y="1851644"/>
            <a:ext cx="230847" cy="14589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none" lIns="0" tIns="0" rIns="0" bIns="0" anchor="ctr" upright="1">
            <a:spAutoFit/>
          </a:bodyPr>
          <a:lstStyle xmlns:a="http://schemas.openxmlformats.org/drawingml/2006/main"/>
          <a:p xmlns:a="http://schemas.openxmlformats.org/drawingml/2006/main">
            <a:pPr algn="ctr" rtl="0">
              <a:defRPr sz="1000"/>
            </a:pPr>
            <a:r>
              <a:rPr lang="es-MX" sz="1200" b="1" i="0" u="none" strike="noStrike" baseline="0">
                <a:solidFill>
                  <a:srgbClr val="FF0000"/>
                </a:solidFill>
                <a:latin typeface="Arial"/>
                <a:cs typeface="Arial"/>
              </a:rPr>
              <a:t>1.6</a:t>
            </a:r>
          </a:p>
        </cdr:txBody>
      </cdr:sp>
      <cdr:sp macro="" textlink="">
        <cdr:nvSpPr>
          <cdr:cNvPr id="74765" name="19 CuadroTexto"/>
          <cdr:cNvSpPr txBox="1">
            <a:spLocks xmlns:a="http://schemas.openxmlformats.org/drawingml/2006/main" noChangeArrowheads="1"/>
          </cdr:cNvSpPr>
        </cdr:nvSpPr>
        <cdr:spPr bwMode="auto">
          <a:xfrm xmlns:a="http://schemas.openxmlformats.org/drawingml/2006/main">
            <a:off x="1899046" y="2401651"/>
            <a:ext cx="230847" cy="14589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none" lIns="0" tIns="0" rIns="0" bIns="0" anchor="ctr" upright="1">
            <a:spAutoFit/>
          </a:bodyPr>
          <a:lstStyle xmlns:a="http://schemas.openxmlformats.org/drawingml/2006/main"/>
          <a:p xmlns:a="http://schemas.openxmlformats.org/drawingml/2006/main">
            <a:pPr algn="ctr" rtl="0">
              <a:defRPr sz="1000"/>
            </a:pPr>
            <a:r>
              <a:rPr lang="es-MX" sz="1200" b="1" i="0" u="none" strike="noStrike" baseline="0">
                <a:solidFill>
                  <a:srgbClr val="FF0000"/>
                </a:solidFill>
                <a:latin typeface="Arial"/>
                <a:cs typeface="Arial"/>
              </a:rPr>
              <a:t>1.4</a:t>
            </a:r>
          </a:p>
        </cdr:txBody>
      </cdr:sp>
      <cdr:sp macro="" textlink="">
        <cdr:nvSpPr>
          <cdr:cNvPr id="74766" name="20 CuadroTexto"/>
          <cdr:cNvSpPr txBox="1">
            <a:spLocks xmlns:a="http://schemas.openxmlformats.org/drawingml/2006/main" noChangeArrowheads="1"/>
          </cdr:cNvSpPr>
        </cdr:nvSpPr>
        <cdr:spPr bwMode="auto">
          <a:xfrm xmlns:a="http://schemas.openxmlformats.org/drawingml/2006/main">
            <a:off x="1775683" y="2799751"/>
            <a:ext cx="230847" cy="14589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none" lIns="0" tIns="0" rIns="0" bIns="0" anchor="ctr" upright="1">
            <a:spAutoFit/>
          </a:bodyPr>
          <a:lstStyle xmlns:a="http://schemas.openxmlformats.org/drawingml/2006/main"/>
          <a:p xmlns:a="http://schemas.openxmlformats.org/drawingml/2006/main">
            <a:pPr algn="ctr" rtl="0">
              <a:defRPr sz="1000"/>
            </a:pPr>
            <a:r>
              <a:rPr lang="es-MX" sz="1200" b="1" i="0" u="none" strike="noStrike" baseline="0">
                <a:solidFill>
                  <a:srgbClr val="FF0000"/>
                </a:solidFill>
                <a:latin typeface="Arial"/>
                <a:cs typeface="Arial"/>
              </a:rPr>
              <a:t>1.2</a:t>
            </a:r>
          </a:p>
        </cdr:txBody>
      </cdr:sp>
      <cdr:sp macro="" textlink="">
        <cdr:nvSpPr>
          <cdr:cNvPr id="74767" name="21 CuadroTexto"/>
          <cdr:cNvSpPr txBox="1">
            <a:spLocks xmlns:a="http://schemas.openxmlformats.org/drawingml/2006/main" noChangeArrowheads="1"/>
          </cdr:cNvSpPr>
        </cdr:nvSpPr>
        <cdr:spPr bwMode="auto">
          <a:xfrm xmlns:a="http://schemas.openxmlformats.org/drawingml/2006/main">
            <a:off x="1707821" y="2975470"/>
            <a:ext cx="137846" cy="17788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r>
              <a:rPr lang="es-MX" sz="1200" b="1" i="0" u="none" strike="noStrike" baseline="0">
                <a:solidFill>
                  <a:srgbClr val="FF0000"/>
                </a:solidFill>
                <a:latin typeface="Arial"/>
                <a:cs typeface="Arial"/>
              </a:rPr>
              <a:t>1</a:t>
            </a:r>
          </a:p>
        </cdr:txBody>
      </cdr:sp>
      <cdr:sp macro="" textlink="">
        <cdr:nvSpPr>
          <cdr:cNvPr id="74768" name="22 CuadroTexto"/>
          <cdr:cNvSpPr txBox="1">
            <a:spLocks xmlns:a="http://schemas.openxmlformats.org/drawingml/2006/main" noChangeArrowheads="1"/>
          </cdr:cNvSpPr>
        </cdr:nvSpPr>
        <cdr:spPr bwMode="auto">
          <a:xfrm xmlns:a="http://schemas.openxmlformats.org/drawingml/2006/main">
            <a:off x="2388646" y="1049870"/>
            <a:ext cx="1553214" cy="18512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square" lIns="0" tIns="0" rIns="0" bIns="0" anchor="ctr" upright="1">
            <a:noAutofit/>
          </a:bodyPr>
          <a:lstStyle xmlns:a="http://schemas.openxmlformats.org/drawingml/2006/main"/>
          <a:p xmlns:a="http://schemas.openxmlformats.org/drawingml/2006/main">
            <a:pPr algn="ctr" rtl="0">
              <a:defRPr sz="1000"/>
            </a:pPr>
            <a:r>
              <a:rPr lang="es-MX" sz="1400" b="1" i="0" u="none" strike="noStrike" baseline="0">
                <a:solidFill>
                  <a:srgbClr val="FF0000"/>
                </a:solidFill>
                <a:latin typeface="Arial"/>
                <a:cs typeface="Arial"/>
              </a:rPr>
              <a:t>Velocidad (m/s)</a:t>
            </a:r>
          </a:p>
        </cdr:txBody>
      </cdr:sp>
    </cdr:grpSp>
  </cdr:relSizeAnchor>
</c:userShapes>
</file>

<file path=xl/drawings/drawing9.xml><?xml version="1.0" encoding="utf-8"?>
<c:userShapes xmlns:c="http://schemas.openxmlformats.org/drawingml/2006/chart">
  <cdr:relSizeAnchor xmlns:cdr="http://schemas.openxmlformats.org/drawingml/2006/chartDrawing">
    <cdr:from>
      <cdr:x>0.25926</cdr:x>
      <cdr:y>0.67353</cdr:y>
    </cdr:from>
    <cdr:to>
      <cdr:x>0.59596</cdr:x>
      <cdr:y>0.97048</cdr:y>
    </cdr:to>
    <cdr:sp macro="" textlink="">
      <cdr:nvSpPr>
        <cdr:cNvPr id="2" name="1 Forma libre"/>
        <cdr:cNvSpPr/>
      </cdr:nvSpPr>
      <cdr:spPr>
        <a:xfrm xmlns:a="http://schemas.openxmlformats.org/drawingml/2006/main">
          <a:off x="1466850" y="1914523"/>
          <a:ext cx="1905000" cy="841495"/>
        </a:xfrm>
        <a:custGeom xmlns:a="http://schemas.openxmlformats.org/drawingml/2006/main">
          <a:avLst/>
          <a:gdLst>
            <a:gd name="connsiteX0" fmla="*/ 0 w 1762125"/>
            <a:gd name="connsiteY0" fmla="*/ 0 h 923925"/>
            <a:gd name="connsiteX1" fmla="*/ 1257300 w 1762125"/>
            <a:gd name="connsiteY1" fmla="*/ 914400 h 923925"/>
            <a:gd name="connsiteX2" fmla="*/ 1514475 w 1762125"/>
            <a:gd name="connsiteY2" fmla="*/ 923925 h 923925"/>
            <a:gd name="connsiteX3" fmla="*/ 1762125 w 1762125"/>
            <a:gd name="connsiteY3" fmla="*/ 19050 h 923925"/>
            <a:gd name="connsiteX4" fmla="*/ 0 w 1762125"/>
            <a:gd name="connsiteY4" fmla="*/ 0 h 923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62125" h="923925">
              <a:moveTo>
                <a:pt x="0" y="0"/>
              </a:moveTo>
              <a:lnTo>
                <a:pt x="1257300" y="914400"/>
              </a:lnTo>
              <a:lnTo>
                <a:pt x="1514475" y="923925"/>
              </a:lnTo>
              <a:lnTo>
                <a:pt x="1762125" y="19050"/>
              </a:lnTo>
              <a:lnTo>
                <a:pt x="0" y="0"/>
              </a:lnTo>
              <a:close/>
            </a:path>
          </a:pathLst>
        </a:cu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UY"/>
        </a:p>
      </cdr:txBody>
    </cdr:sp>
  </cdr:relSizeAnchor>
  <cdr:relSizeAnchor xmlns:cdr="http://schemas.openxmlformats.org/drawingml/2006/chartDrawing">
    <cdr:from>
      <cdr:x>0.162</cdr:x>
      <cdr:y>0.69925</cdr:y>
    </cdr:from>
    <cdr:to>
      <cdr:x>0.162</cdr:x>
      <cdr:y>0.70334</cdr:y>
    </cdr:to>
    <cdr:sp macro="" textlink="">
      <cdr:nvSpPr>
        <cdr:cNvPr id="3" name="2 Rectángulo"/>
        <cdr:cNvSpPr/>
      </cdr:nvSpPr>
      <cdr:spPr>
        <a:xfrm xmlns:a="http://schemas.openxmlformats.org/drawingml/2006/main">
          <a:off x="949807" y="2005368"/>
          <a:ext cx="565843" cy="890232"/>
        </a:xfrm>
        <a:prstGeom xmlns:a="http://schemas.openxmlformats.org/drawingml/2006/main" prst="rect">
          <a:avLst/>
        </a:prstGeom>
        <a:solidFill xmlns:a="http://schemas.openxmlformats.org/drawingml/2006/main">
          <a:schemeClr val="bg1">
            <a:lumMod val="9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UY"/>
        </a:p>
      </cdr:txBody>
    </cdr:sp>
  </cdr:relSizeAnchor>
  <cdr:relSizeAnchor xmlns:cdr="http://schemas.openxmlformats.org/drawingml/2006/chartDrawing">
    <cdr:from>
      <cdr:x>0</cdr:x>
      <cdr:y>0.62614</cdr:y>
    </cdr:from>
    <cdr:to>
      <cdr:x>0.21134</cdr:x>
      <cdr:y>0.69782</cdr:y>
    </cdr:to>
    <cdr:sp macro="" textlink="">
      <cdr:nvSpPr>
        <cdr:cNvPr id="4" name="3 CuadroTexto"/>
        <cdr:cNvSpPr txBox="1"/>
      </cdr:nvSpPr>
      <cdr:spPr>
        <a:xfrm xmlns:a="http://schemas.openxmlformats.org/drawingml/2006/main">
          <a:off x="0" y="1847850"/>
          <a:ext cx="112395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MX" sz="800"/>
            <a:t>Cota de vertedero Hv</a:t>
          </a:r>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40:E41"/>
  <sheetViews>
    <sheetView zoomScale="60" zoomScaleNormal="60" workbookViewId="0">
      <selection activeCell="H1" sqref="H1"/>
    </sheetView>
  </sheetViews>
  <sheetFormatPr baseColWidth="10" defaultRowHeight="15" x14ac:dyDescent="0.25"/>
  <sheetData>
    <row r="40" spans="1:5" ht="26.25" x14ac:dyDescent="0.4">
      <c r="A40" s="600" t="s">
        <v>46</v>
      </c>
      <c r="B40" s="601"/>
      <c r="C40" s="601"/>
      <c r="D40" s="601"/>
      <c r="E40" s="601"/>
    </row>
    <row r="41" spans="1:5" ht="26.25" x14ac:dyDescent="0.4">
      <c r="A41" s="600" t="s">
        <v>47</v>
      </c>
      <c r="B41" s="601"/>
      <c r="C41" s="601"/>
      <c r="D41" s="601"/>
      <c r="E41" s="601"/>
    </row>
  </sheetData>
  <sheetProtection sheet="1" selectLockedCells="1" selectUnlockedCells="1"/>
  <phoneticPr fontId="1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indexed="43"/>
  </sheetPr>
  <dimension ref="A1:M31"/>
  <sheetViews>
    <sheetView zoomScaleNormal="100" workbookViewId="0">
      <selection sqref="A1:M1"/>
    </sheetView>
  </sheetViews>
  <sheetFormatPr baseColWidth="10" defaultRowHeight="15" x14ac:dyDescent="0.25"/>
  <cols>
    <col min="1" max="1" width="11.140625" style="28" customWidth="1"/>
    <col min="2" max="2" width="6.140625" style="28" customWidth="1"/>
    <col min="3" max="10" width="6.85546875" style="28" customWidth="1"/>
    <col min="11" max="11" width="9" style="28" customWidth="1"/>
    <col min="12" max="13" width="6.85546875" style="28" customWidth="1"/>
    <col min="14" max="16384" width="11.42578125" style="28"/>
  </cols>
  <sheetData>
    <row r="1" spans="1:13" ht="18.75" x14ac:dyDescent="0.25">
      <c r="A1" s="870" t="s">
        <v>557</v>
      </c>
      <c r="B1" s="870"/>
      <c r="C1" s="870"/>
      <c r="D1" s="870"/>
      <c r="E1" s="870"/>
      <c r="F1" s="870"/>
      <c r="G1" s="870"/>
      <c r="H1" s="870"/>
      <c r="I1" s="870"/>
      <c r="J1" s="870"/>
      <c r="K1" s="870"/>
      <c r="L1" s="870"/>
      <c r="M1" s="870"/>
    </row>
    <row r="2" spans="1:13" x14ac:dyDescent="0.25">
      <c r="A2" s="58" t="s">
        <v>492</v>
      </c>
      <c r="G2" s="28" t="s">
        <v>534</v>
      </c>
    </row>
    <row r="3" spans="1:13" ht="18.75" x14ac:dyDescent="0.25">
      <c r="A3" s="489" t="str">
        <f>+Pasos!A3</f>
        <v>Planilla complementaria al Manual de diseño y construcción de pequeñas presas, Versión 1.04, del 01/04/2013</v>
      </c>
      <c r="I3" s="62"/>
      <c r="J3" s="62"/>
      <c r="K3" s="62"/>
      <c r="L3" s="62"/>
      <c r="M3" s="180" t="str">
        <f>+'Ingreso Datos'!G2</f>
        <v>Presa del Ejemplo del Manual</v>
      </c>
    </row>
    <row r="5" spans="1:13" x14ac:dyDescent="0.25">
      <c r="A5" s="871" t="s">
        <v>871</v>
      </c>
      <c r="B5" s="871"/>
      <c r="C5" s="871"/>
      <c r="D5" s="871"/>
      <c r="E5" s="871"/>
      <c r="F5" s="871"/>
      <c r="G5" s="871"/>
      <c r="H5" s="871"/>
      <c r="I5" s="871"/>
      <c r="J5" s="871"/>
      <c r="K5" s="871"/>
      <c r="L5" s="871"/>
      <c r="M5" s="871"/>
    </row>
    <row r="6" spans="1:13" x14ac:dyDescent="0.25">
      <c r="A6" s="871"/>
      <c r="B6" s="871"/>
      <c r="C6" s="871"/>
      <c r="D6" s="871"/>
      <c r="E6" s="871"/>
      <c r="F6" s="871"/>
      <c r="G6" s="871"/>
      <c r="H6" s="871"/>
      <c r="I6" s="871"/>
      <c r="J6" s="871"/>
      <c r="K6" s="871"/>
      <c r="L6" s="871"/>
      <c r="M6" s="871"/>
    </row>
    <row r="7" spans="1:13" x14ac:dyDescent="0.25">
      <c r="A7" s="871"/>
      <c r="B7" s="871"/>
      <c r="C7" s="871"/>
      <c r="D7" s="871"/>
      <c r="E7" s="871"/>
      <c r="F7" s="871"/>
      <c r="G7" s="871"/>
      <c r="H7" s="871"/>
      <c r="I7" s="871"/>
      <c r="J7" s="871"/>
      <c r="K7" s="871"/>
      <c r="L7" s="871"/>
      <c r="M7" s="871"/>
    </row>
    <row r="9" spans="1:13" ht="18.75" x14ac:dyDescent="0.3">
      <c r="J9" s="179" t="s">
        <v>161</v>
      </c>
      <c r="K9" s="230">
        <f>12*AVERAGE('Esc 2'!O18:O437)</f>
        <v>22.012479271960899</v>
      </c>
      <c r="L9" s="223" t="s">
        <v>204</v>
      </c>
    </row>
    <row r="11" spans="1:13" x14ac:dyDescent="0.25">
      <c r="J11" s="29"/>
      <c r="L11" s="101"/>
      <c r="M11" s="101"/>
    </row>
    <row r="27" spans="6:7" x14ac:dyDescent="0.25">
      <c r="F27" s="29"/>
    </row>
    <row r="28" spans="6:7" x14ac:dyDescent="0.25">
      <c r="F28" s="29"/>
    </row>
    <row r="29" spans="6:7" x14ac:dyDescent="0.25">
      <c r="F29" s="29"/>
    </row>
    <row r="30" spans="6:7" x14ac:dyDescent="0.25">
      <c r="F30" s="29"/>
      <c r="G30" s="469"/>
    </row>
    <row r="31" spans="6:7" x14ac:dyDescent="0.25">
      <c r="G31" s="468"/>
    </row>
  </sheetData>
  <sheetProtection sheet="1"/>
  <mergeCells count="2">
    <mergeCell ref="A1:M1"/>
    <mergeCell ref="A5:M7"/>
  </mergeCells>
  <phoneticPr fontId="15" type="noConversion"/>
  <pageMargins left="0.47244094488188981" right="0.15748031496062992" top="0.74803149606299213" bottom="0.74803149606299213" header="0.31496062992125984" footer="0.31496062992125984"/>
  <pageSetup paperSize="9" pageOrder="overThenDown"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indexed="43"/>
  </sheetPr>
  <dimension ref="A1:AE437"/>
  <sheetViews>
    <sheetView zoomScaleNormal="100" workbookViewId="0">
      <pane ySplit="16" topLeftCell="A17" activePane="bottomLeft" state="frozen"/>
      <selection activeCell="R51" sqref="R51"/>
      <selection pane="bottomLeft" activeCell="P6" sqref="P6"/>
    </sheetView>
  </sheetViews>
  <sheetFormatPr baseColWidth="10" defaultRowHeight="15" x14ac:dyDescent="0.25"/>
  <cols>
    <col min="1" max="1" width="6.140625" style="28" customWidth="1"/>
    <col min="2" max="2" width="4.85546875" style="28" customWidth="1"/>
    <col min="3" max="3" width="6" style="28" bestFit="1" customWidth="1"/>
    <col min="4" max="4" width="6.85546875" style="28" bestFit="1" customWidth="1"/>
    <col min="5" max="5" width="7.140625" style="28" bestFit="1" customWidth="1"/>
    <col min="6" max="6" width="5.85546875" style="28" bestFit="1" customWidth="1"/>
    <col min="7" max="7" width="7.140625" style="28" bestFit="1" customWidth="1"/>
    <col min="8" max="8" width="5.85546875" style="28" bestFit="1" customWidth="1"/>
    <col min="9" max="10" width="7" style="28" customWidth="1"/>
    <col min="11" max="11" width="7.140625" style="28" bestFit="1" customWidth="1"/>
    <col min="12" max="12" width="6.140625" style="28" bestFit="1" customWidth="1"/>
    <col min="13" max="14" width="7.140625" style="28" bestFit="1" customWidth="1"/>
    <col min="15" max="15" width="7.5703125" style="28" customWidth="1"/>
    <col min="16" max="16" width="4.42578125" style="28" customWidth="1"/>
    <col min="17" max="28" width="6.140625" style="28" customWidth="1"/>
    <col min="29" max="29" width="7.140625" style="28" bestFit="1" customWidth="1"/>
    <col min="30" max="31" width="6.140625" style="28" customWidth="1"/>
    <col min="32" max="16384" width="11.42578125" style="28"/>
  </cols>
  <sheetData>
    <row r="1" spans="1:31" ht="18.75" x14ac:dyDescent="0.25">
      <c r="A1" s="870" t="s">
        <v>633</v>
      </c>
      <c r="B1" s="870"/>
      <c r="C1" s="870"/>
      <c r="D1" s="870"/>
      <c r="E1" s="870"/>
      <c r="F1" s="870"/>
      <c r="G1" s="870"/>
      <c r="H1" s="870"/>
      <c r="I1" s="870"/>
      <c r="J1" s="870"/>
      <c r="K1" s="870"/>
      <c r="L1" s="870"/>
      <c r="M1" s="870"/>
      <c r="N1" s="870"/>
      <c r="O1" s="870"/>
      <c r="Q1" s="769" t="s">
        <v>868</v>
      </c>
      <c r="R1" s="769"/>
      <c r="S1" s="769"/>
      <c r="T1" s="769"/>
      <c r="U1" s="769"/>
      <c r="V1" s="769"/>
      <c r="W1" s="769"/>
      <c r="X1" s="769"/>
      <c r="Y1" s="769"/>
      <c r="Z1" s="769"/>
      <c r="AA1" s="769"/>
      <c r="AB1" s="769"/>
      <c r="AC1" s="769"/>
      <c r="AD1" s="769"/>
      <c r="AE1" s="769"/>
    </row>
    <row r="2" spans="1:31" ht="15.75" x14ac:dyDescent="0.25">
      <c r="A2" s="118" t="s">
        <v>494</v>
      </c>
      <c r="D2" s="201" t="s">
        <v>493</v>
      </c>
    </row>
    <row r="3" spans="1:31" ht="21" x14ac:dyDescent="0.25">
      <c r="A3" s="489" t="str">
        <f>+Pasos!A3</f>
        <v>Planilla complementaria al Manual de diseño y construcción de pequeñas presas, Versión 1.04, del 01/04/2013</v>
      </c>
      <c r="E3" s="118"/>
      <c r="O3" s="387" t="str">
        <f>+'Ingreso Datos'!G2</f>
        <v>Presa del Ejemplo del Manual</v>
      </c>
      <c r="Q3" s="118"/>
      <c r="R3" s="222" t="s">
        <v>158</v>
      </c>
      <c r="AE3" s="29"/>
    </row>
    <row r="4" spans="1:31" x14ac:dyDescent="0.25">
      <c r="A4" s="118"/>
      <c r="O4" s="29"/>
      <c r="Q4" s="877" t="s">
        <v>162</v>
      </c>
      <c r="R4" s="878"/>
      <c r="S4" s="879"/>
      <c r="T4" s="125" t="s">
        <v>164</v>
      </c>
      <c r="U4" s="125" t="s">
        <v>165</v>
      </c>
      <c r="V4" s="125" t="s">
        <v>166</v>
      </c>
      <c r="W4" s="125" t="s">
        <v>167</v>
      </c>
      <c r="X4" s="125" t="s">
        <v>168</v>
      </c>
      <c r="Y4" s="125" t="s">
        <v>169</v>
      </c>
      <c r="Z4" s="125" t="s">
        <v>170</v>
      </c>
      <c r="AA4" s="125" t="s">
        <v>171</v>
      </c>
      <c r="AB4" s="125" t="s">
        <v>172</v>
      </c>
      <c r="AC4" s="125" t="s">
        <v>173</v>
      </c>
      <c r="AD4" s="125" t="s">
        <v>174</v>
      </c>
      <c r="AE4" s="125" t="s">
        <v>175</v>
      </c>
    </row>
    <row r="5" spans="1:31" ht="18.75" x14ac:dyDescent="0.25">
      <c r="A5" s="221" t="s">
        <v>106</v>
      </c>
      <c r="Q5" s="877" t="s">
        <v>591</v>
      </c>
      <c r="R5" s="878"/>
      <c r="S5" s="880"/>
      <c r="T5" s="126">
        <v>1.88</v>
      </c>
      <c r="U5" s="126">
        <v>1.45</v>
      </c>
      <c r="V5" s="126">
        <v>1.19</v>
      </c>
      <c r="W5" s="126">
        <v>0.73</v>
      </c>
      <c r="X5" s="126">
        <v>0.44</v>
      </c>
      <c r="Y5" s="126">
        <v>0.28999999999999998</v>
      </c>
      <c r="Z5" s="126">
        <v>0.35</v>
      </c>
      <c r="AA5" s="126">
        <v>0.55000000000000004</v>
      </c>
      <c r="AB5" s="126">
        <v>0.78</v>
      </c>
      <c r="AC5" s="126">
        <v>1.1200000000000001</v>
      </c>
      <c r="AD5" s="126">
        <v>1.47</v>
      </c>
      <c r="AE5" s="126">
        <v>1.78</v>
      </c>
    </row>
    <row r="6" spans="1:31" ht="15" customHeight="1" x14ac:dyDescent="0.25">
      <c r="C6" s="881" t="str">
        <f>+'Ingreso Datos'!E14</f>
        <v>Unidad Cartográfica seg/ Carta de Recon. Suelos del Uruguay</v>
      </c>
      <c r="D6" s="881"/>
      <c r="E6" s="881"/>
      <c r="F6" s="881"/>
      <c r="G6" s="881"/>
      <c r="H6" s="881"/>
      <c r="I6" s="881"/>
      <c r="J6" s="881"/>
      <c r="K6" s="881"/>
      <c r="L6" s="305" t="s">
        <v>443</v>
      </c>
      <c r="M6" s="882" t="s">
        <v>444</v>
      </c>
      <c r="N6" s="883"/>
      <c r="Q6" s="118"/>
      <c r="U6" s="118"/>
      <c r="AE6" s="29"/>
    </row>
    <row r="7" spans="1:31" ht="15.75" x14ac:dyDescent="0.25">
      <c r="C7" s="876" t="str">
        <f>+'Ingreso Datos'!E16</f>
        <v>Cuchilla de Haedo – Paso de Los Toros</v>
      </c>
      <c r="D7" s="876"/>
      <c r="E7" s="876"/>
      <c r="F7" s="876"/>
      <c r="G7" s="876"/>
      <c r="H7" s="876"/>
      <c r="I7" s="876"/>
      <c r="J7" s="876"/>
      <c r="K7" s="876"/>
      <c r="L7" s="306">
        <f>+'Ingreso Datos'!H16</f>
        <v>2559</v>
      </c>
      <c r="M7" s="306">
        <f>+'Ingreso Datos'!I16</f>
        <v>21.5</v>
      </c>
      <c r="N7" s="45" t="s">
        <v>203</v>
      </c>
      <c r="Q7" s="118"/>
      <c r="R7" s="222" t="s">
        <v>869</v>
      </c>
      <c r="AA7" s="27"/>
      <c r="AB7" s="25"/>
      <c r="AC7" s="26"/>
      <c r="AE7" s="29"/>
    </row>
    <row r="8" spans="1:31" ht="18" x14ac:dyDescent="0.25">
      <c r="C8" s="876" t="str">
        <f>+'Ingreso Datos'!E17</f>
        <v>Masoller</v>
      </c>
      <c r="D8" s="876"/>
      <c r="E8" s="876"/>
      <c r="F8" s="876"/>
      <c r="G8" s="876"/>
      <c r="H8" s="876"/>
      <c r="I8" s="876"/>
      <c r="J8" s="876"/>
      <c r="K8" s="876"/>
      <c r="L8" s="306">
        <f>+'Ingreso Datos'!H17</f>
        <v>71</v>
      </c>
      <c r="M8" s="306">
        <f>+'Ingreso Datos'!I17</f>
        <v>52.1</v>
      </c>
      <c r="N8" s="45" t="s">
        <v>203</v>
      </c>
      <c r="Q8" s="118"/>
      <c r="AA8" s="29" t="s">
        <v>160</v>
      </c>
      <c r="AB8" s="162" t="s">
        <v>159</v>
      </c>
      <c r="AC8" s="124">
        <f>0.9161</f>
        <v>0.91610000000000003</v>
      </c>
      <c r="AD8" s="30" t="s">
        <v>203</v>
      </c>
      <c r="AE8" s="29"/>
    </row>
    <row r="9" spans="1:31" x14ac:dyDescent="0.25">
      <c r="C9" s="876">
        <f>+'Ingreso Datos'!E18</f>
        <v>0</v>
      </c>
      <c r="D9" s="876"/>
      <c r="E9" s="876"/>
      <c r="F9" s="876"/>
      <c r="G9" s="876"/>
      <c r="H9" s="876"/>
      <c r="I9" s="876"/>
      <c r="J9" s="876"/>
      <c r="K9" s="876"/>
      <c r="L9" s="306">
        <f>+'Ingreso Datos'!H18</f>
        <v>0</v>
      </c>
      <c r="M9" s="306">
        <f>+'Ingreso Datos'!I18</f>
        <v>0</v>
      </c>
      <c r="N9" s="45" t="s">
        <v>203</v>
      </c>
      <c r="Q9" s="118"/>
      <c r="AA9" s="29" t="s">
        <v>368</v>
      </c>
      <c r="AB9" s="164" t="s">
        <v>188</v>
      </c>
      <c r="AC9" s="31">
        <v>0.3</v>
      </c>
      <c r="AD9" s="30"/>
      <c r="AE9" s="29"/>
    </row>
    <row r="10" spans="1:31" x14ac:dyDescent="0.25">
      <c r="C10" s="876">
        <f>+'Ingreso Datos'!E19</f>
        <v>0</v>
      </c>
      <c r="D10" s="876"/>
      <c r="E10" s="876"/>
      <c r="F10" s="876"/>
      <c r="G10" s="876"/>
      <c r="H10" s="876"/>
      <c r="I10" s="876"/>
      <c r="J10" s="876"/>
      <c r="K10" s="876"/>
      <c r="L10" s="306">
        <f>+'Ingreso Datos'!H19</f>
        <v>0</v>
      </c>
      <c r="M10" s="306">
        <f>+'Ingreso Datos'!I19</f>
        <v>0</v>
      </c>
      <c r="N10" s="45" t="s">
        <v>203</v>
      </c>
      <c r="Q10" s="118"/>
      <c r="AA10" s="29" t="s">
        <v>369</v>
      </c>
      <c r="AB10" s="164" t="s">
        <v>189</v>
      </c>
      <c r="AC10" s="31">
        <v>386</v>
      </c>
      <c r="AD10" s="30" t="s">
        <v>203</v>
      </c>
      <c r="AE10" s="29"/>
    </row>
    <row r="11" spans="1:31" x14ac:dyDescent="0.25">
      <c r="C11" s="876" t="s">
        <v>973</v>
      </c>
      <c r="D11" s="876"/>
      <c r="E11" s="876"/>
      <c r="F11" s="876"/>
      <c r="G11" s="876"/>
      <c r="H11" s="876"/>
      <c r="I11" s="876"/>
      <c r="J11" s="876"/>
      <c r="K11" s="876"/>
      <c r="L11" s="30">
        <f>SUM(L7:L10)</f>
        <v>2630</v>
      </c>
      <c r="M11" s="386">
        <f>+'Ingreso Datos'!I20</f>
        <v>22.326083650190114</v>
      </c>
      <c r="N11" s="45" t="s">
        <v>203</v>
      </c>
      <c r="Q11" s="118"/>
      <c r="AA11" s="29" t="s">
        <v>370</v>
      </c>
      <c r="AB11" s="163" t="s">
        <v>190</v>
      </c>
      <c r="AC11" s="31">
        <v>2.3250000000000002</v>
      </c>
      <c r="AD11" s="30" t="s">
        <v>366</v>
      </c>
      <c r="AE11" s="29"/>
    </row>
    <row r="12" spans="1:31" x14ac:dyDescent="0.25">
      <c r="D12" s="100" t="s">
        <v>445</v>
      </c>
      <c r="L12" s="25"/>
      <c r="M12" s="26"/>
    </row>
    <row r="13" spans="1:31" x14ac:dyDescent="0.25">
      <c r="A13" s="119"/>
      <c r="B13" s="119"/>
      <c r="C13" s="119"/>
      <c r="D13" s="119"/>
      <c r="E13" s="119"/>
      <c r="F13" s="119"/>
      <c r="G13" s="119"/>
      <c r="H13" s="119"/>
      <c r="I13" s="119"/>
      <c r="J13" s="119"/>
      <c r="K13" s="119"/>
      <c r="L13" s="119"/>
      <c r="M13" s="119"/>
      <c r="N13" s="310"/>
      <c r="O13" s="119"/>
    </row>
    <row r="14" spans="1:31" ht="15.75" thickBot="1" x14ac:dyDescent="0.3">
      <c r="A14" s="874" t="s">
        <v>367</v>
      </c>
      <c r="B14" s="875"/>
      <c r="C14" s="120" t="s">
        <v>191</v>
      </c>
      <c r="D14" s="120" t="s">
        <v>192</v>
      </c>
      <c r="E14" s="120" t="s">
        <v>193</v>
      </c>
      <c r="F14" s="120" t="s">
        <v>194</v>
      </c>
      <c r="G14" s="120" t="s">
        <v>184</v>
      </c>
      <c r="H14" s="120" t="s">
        <v>195</v>
      </c>
      <c r="I14" s="120" t="s">
        <v>196</v>
      </c>
      <c r="J14" s="120" t="s">
        <v>197</v>
      </c>
      <c r="K14" s="120" t="s">
        <v>198</v>
      </c>
      <c r="L14" s="120" t="s">
        <v>199</v>
      </c>
      <c r="M14" s="120" t="s">
        <v>200</v>
      </c>
      <c r="N14" s="120" t="s">
        <v>201</v>
      </c>
      <c r="O14" s="120" t="s">
        <v>202</v>
      </c>
    </row>
    <row r="15" spans="1:31" ht="15.75" thickBot="1" x14ac:dyDescent="0.3">
      <c r="A15" s="872" t="s">
        <v>186</v>
      </c>
      <c r="B15" s="873"/>
      <c r="C15" s="121" t="s">
        <v>163</v>
      </c>
      <c r="D15" s="121" t="s">
        <v>177</v>
      </c>
      <c r="E15" s="121" t="s">
        <v>178</v>
      </c>
      <c r="F15" s="121" t="s">
        <v>179</v>
      </c>
      <c r="G15" s="121" t="s">
        <v>180</v>
      </c>
      <c r="H15" s="121" t="s">
        <v>181</v>
      </c>
      <c r="I15" s="121" t="s">
        <v>182</v>
      </c>
      <c r="J15" s="121" t="s">
        <v>183</v>
      </c>
      <c r="K15" s="121" t="s">
        <v>304</v>
      </c>
      <c r="L15" s="121" t="s">
        <v>184</v>
      </c>
      <c r="M15" s="121" t="s">
        <v>303</v>
      </c>
      <c r="N15" s="121" t="s">
        <v>185</v>
      </c>
      <c r="O15" s="121" t="s">
        <v>302</v>
      </c>
      <c r="Q15" s="166"/>
      <c r="R15" s="166"/>
      <c r="AA15" s="166"/>
      <c r="AB15" s="166"/>
      <c r="AC15" s="166"/>
      <c r="AD15" s="166"/>
      <c r="AE15" s="166"/>
    </row>
    <row r="16" spans="1:31" ht="15.75" thickBot="1" x14ac:dyDescent="0.3">
      <c r="A16" s="121" t="s">
        <v>176</v>
      </c>
      <c r="B16" s="121" t="s">
        <v>187</v>
      </c>
      <c r="C16" s="121" t="s">
        <v>203</v>
      </c>
      <c r="D16" s="121" t="s">
        <v>203</v>
      </c>
      <c r="E16" s="121" t="s">
        <v>203</v>
      </c>
      <c r="F16" s="121" t="s">
        <v>203</v>
      </c>
      <c r="G16" s="121" t="s">
        <v>203</v>
      </c>
      <c r="H16" s="121" t="s">
        <v>203</v>
      </c>
      <c r="I16" s="121" t="s">
        <v>203</v>
      </c>
      <c r="J16" s="121" t="s">
        <v>203</v>
      </c>
      <c r="K16" s="121" t="s">
        <v>203</v>
      </c>
      <c r="L16" s="121" t="s">
        <v>203</v>
      </c>
      <c r="M16" s="121" t="s">
        <v>203</v>
      </c>
      <c r="N16" s="121" t="s">
        <v>203</v>
      </c>
      <c r="O16" s="121" t="s">
        <v>204</v>
      </c>
    </row>
    <row r="17" spans="1:31" s="166" customFormat="1" x14ac:dyDescent="0.25">
      <c r="A17" s="165"/>
      <c r="B17" s="165"/>
      <c r="C17" s="165"/>
      <c r="D17" s="165"/>
      <c r="E17" s="165"/>
      <c r="F17" s="165"/>
      <c r="G17" s="165"/>
      <c r="H17" s="165">
        <v>0</v>
      </c>
      <c r="I17" s="165"/>
      <c r="J17" s="165"/>
      <c r="K17" s="165"/>
      <c r="L17" s="165">
        <v>0</v>
      </c>
      <c r="M17" s="165"/>
      <c r="N17" s="165"/>
      <c r="O17" s="165"/>
      <c r="Q17" s="28"/>
      <c r="R17" s="28"/>
      <c r="AA17" s="28"/>
      <c r="AB17" s="28"/>
      <c r="AC17" s="28"/>
      <c r="AD17" s="28"/>
      <c r="AE17" s="28"/>
    </row>
    <row r="18" spans="1:31" x14ac:dyDescent="0.25">
      <c r="A18" s="32">
        <v>1981</v>
      </c>
      <c r="B18" s="32">
        <v>1</v>
      </c>
      <c r="C18" s="117">
        <f>+ETPm*T5</f>
        <v>190.06799999999998</v>
      </c>
      <c r="D18" s="117">
        <f>+HLOOKUP('Ingreso Datos'!$I$7,'Precip 1981-2012'!$D$5:$AL$397,10,FALSE)</f>
        <v>137.4</v>
      </c>
      <c r="E18" s="122">
        <f t="shared" ref="E18:E81" si="0">+CAD*AD-H17+C18</f>
        <v>210.52092523193915</v>
      </c>
      <c r="F18" s="122">
        <f t="shared" ref="F18:F81" si="1">+CP.o*(CAD*AD-H17)</f>
        <v>6.1358775695817496</v>
      </c>
      <c r="G18" s="122">
        <f t="shared" ref="G18:G81" si="2">+IF(D18&lt;F18,0,(D18-F18)^2/(D18+E18-2*F18))</f>
        <v>51.334164874190741</v>
      </c>
      <c r="H18" s="122">
        <f t="shared" ref="H18:H81" si="3">+MAX(0,H17+D18-G18-C18)</f>
        <v>0</v>
      </c>
      <c r="I18" s="122">
        <f t="shared" ref="I18:I81" si="4">+MIN(H17+D18-G18,C18)</f>
        <v>86.065835125809258</v>
      </c>
      <c r="J18" s="122">
        <f t="shared" ref="J18:J81" si="5">+Imax*G18/(G18+Imax)</f>
        <v>45.308574616249949</v>
      </c>
      <c r="K18" s="122">
        <f t="shared" ref="K18:K81" si="6">+G18-J18</f>
        <v>6.0255902579407916</v>
      </c>
      <c r="L18" s="122">
        <f t="shared" ref="L18:L81" si="7">+L17*EXP(-α)+J18*EXP(-α/2)</f>
        <v>14.168147336960629</v>
      </c>
      <c r="M18" s="123">
        <f t="shared" ref="M18:M81" si="8">+L17-L18+J18</f>
        <v>31.14042727928932</v>
      </c>
      <c r="N18" s="123">
        <f t="shared" ref="N18:N81" si="9">+M18+K18</f>
        <v>37.166017537230111</v>
      </c>
      <c r="O18" s="123">
        <f t="shared" ref="O18:O81" si="10">+N18*Ac/100000</f>
        <v>0.97746626122915181</v>
      </c>
    </row>
    <row r="19" spans="1:31" x14ac:dyDescent="0.25">
      <c r="A19" s="32">
        <v>1981</v>
      </c>
      <c r="B19" s="32">
        <v>2</v>
      </c>
      <c r="C19" s="117">
        <f>+ETPm*U5</f>
        <v>146.595</v>
      </c>
      <c r="D19" s="117">
        <f>+HLOOKUP('Ingreso Datos'!$I$7,'Precip 1981-2012'!$D$5:$AL$397,11,FALSE)</f>
        <v>186.1</v>
      </c>
      <c r="E19" s="122">
        <f t="shared" si="0"/>
        <v>167.04792523193916</v>
      </c>
      <c r="F19" s="122">
        <f t="shared" si="1"/>
        <v>6.1358775695817496</v>
      </c>
      <c r="G19" s="123">
        <f t="shared" si="2"/>
        <v>95.011292086906025</v>
      </c>
      <c r="H19" s="123">
        <f t="shared" si="3"/>
        <v>0</v>
      </c>
      <c r="I19" s="123">
        <f t="shared" si="4"/>
        <v>91.08870791309397</v>
      </c>
      <c r="J19" s="123">
        <f t="shared" si="5"/>
        <v>76.24427814663369</v>
      </c>
      <c r="K19" s="123">
        <f t="shared" si="6"/>
        <v>18.767013940272335</v>
      </c>
      <c r="L19" s="123">
        <f t="shared" si="7"/>
        <v>25.227258623917383</v>
      </c>
      <c r="M19" s="123">
        <f t="shared" si="8"/>
        <v>65.18516685967694</v>
      </c>
      <c r="N19" s="123">
        <f t="shared" si="9"/>
        <v>83.952180799949275</v>
      </c>
      <c r="O19" s="123">
        <f t="shared" si="10"/>
        <v>2.2079423550386661</v>
      </c>
    </row>
    <row r="20" spans="1:31" x14ac:dyDescent="0.25">
      <c r="A20" s="32">
        <v>1981</v>
      </c>
      <c r="B20" s="32">
        <v>3</v>
      </c>
      <c r="C20" s="117">
        <f>+ETPm*V5</f>
        <v>120.30899999999998</v>
      </c>
      <c r="D20" s="117">
        <f>+HLOOKUP('Ingreso Datos'!$I$7,'Precip 1981-2012'!$D$5:$AL$397,12,FALSE)</f>
        <v>66</v>
      </c>
      <c r="E20" s="122">
        <f t="shared" si="0"/>
        <v>140.76192523193916</v>
      </c>
      <c r="F20" s="122">
        <f t="shared" si="1"/>
        <v>6.1358775695817496</v>
      </c>
      <c r="G20" s="123">
        <f t="shared" si="2"/>
        <v>18.426191681844916</v>
      </c>
      <c r="H20" s="123">
        <f t="shared" si="3"/>
        <v>0</v>
      </c>
      <c r="I20" s="123">
        <f t="shared" si="4"/>
        <v>47.573808318155088</v>
      </c>
      <c r="J20" s="123">
        <f t="shared" si="5"/>
        <v>17.586670041359305</v>
      </c>
      <c r="K20" s="123">
        <f t="shared" si="6"/>
        <v>0.83952164048561073</v>
      </c>
      <c r="L20" s="123">
        <f t="shared" si="7"/>
        <v>7.9662205271978159</v>
      </c>
      <c r="M20" s="123">
        <f t="shared" si="8"/>
        <v>34.847708138078872</v>
      </c>
      <c r="N20" s="123">
        <f t="shared" si="9"/>
        <v>35.687229778564486</v>
      </c>
      <c r="O20" s="123">
        <f t="shared" si="10"/>
        <v>0.93857414317624599</v>
      </c>
    </row>
    <row r="21" spans="1:31" x14ac:dyDescent="0.25">
      <c r="A21" s="32">
        <v>1981</v>
      </c>
      <c r="B21" s="32">
        <v>4</v>
      </c>
      <c r="C21" s="117">
        <f>+ETPm*W5</f>
        <v>73.802999999999997</v>
      </c>
      <c r="D21" s="117">
        <f>+HLOOKUP('Ingreso Datos'!$I$7,'Precip 1981-2012'!$D$5:$AL$397,13,FALSE)</f>
        <v>48</v>
      </c>
      <c r="E21" s="122">
        <f t="shared" si="0"/>
        <v>94.255925231939159</v>
      </c>
      <c r="F21" s="122">
        <f t="shared" si="1"/>
        <v>6.1358775695817496</v>
      </c>
      <c r="G21" s="123">
        <f t="shared" si="2"/>
        <v>13.48321680723225</v>
      </c>
      <c r="H21" s="123">
        <f t="shared" si="3"/>
        <v>0</v>
      </c>
      <c r="I21" s="123">
        <f t="shared" si="4"/>
        <v>34.516783192767747</v>
      </c>
      <c r="J21" s="123">
        <f t="shared" si="5"/>
        <v>13.028136023303961</v>
      </c>
      <c r="K21" s="123">
        <f t="shared" si="6"/>
        <v>0.45508078392828821</v>
      </c>
      <c r="L21" s="123">
        <f t="shared" si="7"/>
        <v>4.8529074859819579</v>
      </c>
      <c r="M21" s="123">
        <f t="shared" si="8"/>
        <v>16.141449064519819</v>
      </c>
      <c r="N21" s="123">
        <f t="shared" si="9"/>
        <v>16.596529848448107</v>
      </c>
      <c r="O21" s="123">
        <f t="shared" si="10"/>
        <v>0.43648873501418523</v>
      </c>
    </row>
    <row r="22" spans="1:31" x14ac:dyDescent="0.25">
      <c r="A22" s="32">
        <v>1981</v>
      </c>
      <c r="B22" s="32">
        <v>5</v>
      </c>
      <c r="C22" s="117">
        <f>+ETPm*X5</f>
        <v>44.483999999999995</v>
      </c>
      <c r="D22" s="117">
        <f>+HLOOKUP('Ingreso Datos'!$I$7,'Precip 1981-2012'!$D$5:$AL$397,14,FALSE)</f>
        <v>256.39999999999998</v>
      </c>
      <c r="E22" s="122">
        <f t="shared" si="0"/>
        <v>64.936925231939156</v>
      </c>
      <c r="F22" s="122">
        <f t="shared" si="1"/>
        <v>6.1358775695817496</v>
      </c>
      <c r="G22" s="123">
        <f t="shared" si="2"/>
        <v>202.6502402618398</v>
      </c>
      <c r="H22" s="123">
        <f t="shared" si="3"/>
        <v>9.2657597381601846</v>
      </c>
      <c r="I22" s="123">
        <f t="shared" si="4"/>
        <v>44.483999999999995</v>
      </c>
      <c r="J22" s="123">
        <f t="shared" si="5"/>
        <v>132.88534921225121</v>
      </c>
      <c r="K22" s="123">
        <f t="shared" si="6"/>
        <v>69.764891049588584</v>
      </c>
      <c r="L22" s="123">
        <f t="shared" si="7"/>
        <v>42.028240397853402</v>
      </c>
      <c r="M22" s="123">
        <f t="shared" si="8"/>
        <v>95.710016300379777</v>
      </c>
      <c r="N22" s="123">
        <f t="shared" si="9"/>
        <v>165.47490734996836</v>
      </c>
      <c r="O22" s="123">
        <f t="shared" si="10"/>
        <v>4.3519900633041679</v>
      </c>
    </row>
    <row r="23" spans="1:31" x14ac:dyDescent="0.25">
      <c r="A23" s="32">
        <v>1981</v>
      </c>
      <c r="B23" s="32">
        <v>6</v>
      </c>
      <c r="C23" s="117">
        <f>+ETPm*Y5</f>
        <v>29.318999999999996</v>
      </c>
      <c r="D23" s="117">
        <f>+HLOOKUP('Ingreso Datos'!$I$7,'Precip 1981-2012'!$D$5:$AL$397,15,FALSE)</f>
        <v>96.8</v>
      </c>
      <c r="E23" s="122">
        <f t="shared" si="0"/>
        <v>40.50616549377898</v>
      </c>
      <c r="F23" s="122">
        <f t="shared" si="1"/>
        <v>3.3561496481336941</v>
      </c>
      <c r="G23" s="123">
        <f t="shared" si="2"/>
        <v>66.861893462714292</v>
      </c>
      <c r="H23" s="123">
        <f t="shared" si="3"/>
        <v>9.8848662754458942</v>
      </c>
      <c r="I23" s="123">
        <f t="shared" si="4"/>
        <v>29.318999999999996</v>
      </c>
      <c r="J23" s="123">
        <f t="shared" si="5"/>
        <v>56.990202198879949</v>
      </c>
      <c r="K23" s="123">
        <f t="shared" si="6"/>
        <v>9.871691263834343</v>
      </c>
      <c r="L23" s="123">
        <f t="shared" si="7"/>
        <v>21.930698610118448</v>
      </c>
      <c r="M23" s="123">
        <f t="shared" si="8"/>
        <v>77.087743986614896</v>
      </c>
      <c r="N23" s="123">
        <f t="shared" si="9"/>
        <v>86.959435250449246</v>
      </c>
      <c r="O23" s="123">
        <f t="shared" si="10"/>
        <v>2.2870331470868153</v>
      </c>
    </row>
    <row r="24" spans="1:31" x14ac:dyDescent="0.25">
      <c r="A24" s="32">
        <v>1981</v>
      </c>
      <c r="B24" s="32">
        <v>7</v>
      </c>
      <c r="C24" s="117">
        <f>+ETPm*Z5</f>
        <v>35.384999999999998</v>
      </c>
      <c r="D24" s="117">
        <f>+HLOOKUP('Ingreso Datos'!$I$7,'Precip 1981-2012'!$D$5:$AL$397,16,FALSE)</f>
        <v>66.099999999999994</v>
      </c>
      <c r="E24" s="122">
        <f t="shared" si="0"/>
        <v>45.953058956493265</v>
      </c>
      <c r="F24" s="122">
        <f t="shared" si="1"/>
        <v>3.1704176869479812</v>
      </c>
      <c r="G24" s="123">
        <f t="shared" si="2"/>
        <v>37.461441977908777</v>
      </c>
      <c r="H24" s="123">
        <f t="shared" si="3"/>
        <v>3.1384242975371066</v>
      </c>
      <c r="I24" s="123">
        <f t="shared" si="4"/>
        <v>35.384999999999998</v>
      </c>
      <c r="J24" s="123">
        <f t="shared" si="5"/>
        <v>34.147422102782969</v>
      </c>
      <c r="K24" s="123">
        <f t="shared" si="6"/>
        <v>3.3140198751258083</v>
      </c>
      <c r="L24" s="123">
        <f t="shared" si="7"/>
        <v>12.82247574465068</v>
      </c>
      <c r="M24" s="123">
        <f t="shared" si="8"/>
        <v>43.255644968250735</v>
      </c>
      <c r="N24" s="123">
        <f t="shared" si="9"/>
        <v>46.569664843376543</v>
      </c>
      <c r="O24" s="123">
        <f t="shared" si="10"/>
        <v>1.2247821853808032</v>
      </c>
    </row>
    <row r="25" spans="1:31" x14ac:dyDescent="0.25">
      <c r="A25" s="32">
        <v>1981</v>
      </c>
      <c r="B25" s="32">
        <v>8</v>
      </c>
      <c r="C25" s="117">
        <f>+ETPm*AA5</f>
        <v>55.605000000000004</v>
      </c>
      <c r="D25" s="117">
        <f>+HLOOKUP('Ingreso Datos'!$I$7,'Precip 1981-2012'!$D$5:$AL$397,17,FALSE)</f>
        <v>48.3</v>
      </c>
      <c r="E25" s="122">
        <f t="shared" si="0"/>
        <v>72.919500934402066</v>
      </c>
      <c r="F25" s="122">
        <f t="shared" si="1"/>
        <v>5.1943502803206174</v>
      </c>
      <c r="G25" s="123">
        <f t="shared" si="2"/>
        <v>16.765168450372386</v>
      </c>
      <c r="H25" s="123">
        <f t="shared" si="3"/>
        <v>0</v>
      </c>
      <c r="I25" s="123">
        <f t="shared" si="4"/>
        <v>34.673255847164718</v>
      </c>
      <c r="J25" s="123">
        <f t="shared" si="5"/>
        <v>16.067315470059384</v>
      </c>
      <c r="K25" s="123">
        <f t="shared" si="6"/>
        <v>0.69785298031300158</v>
      </c>
      <c r="L25" s="123">
        <f t="shared" si="7"/>
        <v>6.2781307270579756</v>
      </c>
      <c r="M25" s="123">
        <f t="shared" si="8"/>
        <v>22.611660487652088</v>
      </c>
      <c r="N25" s="123">
        <f t="shared" si="9"/>
        <v>23.30951346796509</v>
      </c>
      <c r="O25" s="123">
        <f t="shared" si="10"/>
        <v>0.61304020420748184</v>
      </c>
    </row>
    <row r="26" spans="1:31" x14ac:dyDescent="0.25">
      <c r="A26" s="32">
        <v>1981</v>
      </c>
      <c r="B26" s="32">
        <v>9</v>
      </c>
      <c r="C26" s="117">
        <f>+ETPm*AB5</f>
        <v>78.858000000000004</v>
      </c>
      <c r="D26" s="117">
        <f>+HLOOKUP('Ingreso Datos'!$I$7,'Precip 1981-2012'!$D$5:$AL$397,18,FALSE)</f>
        <v>95.2</v>
      </c>
      <c r="E26" s="122">
        <f t="shared" si="0"/>
        <v>99.310925231939166</v>
      </c>
      <c r="F26" s="122">
        <f t="shared" si="1"/>
        <v>6.1358775695817496</v>
      </c>
      <c r="G26" s="123">
        <f t="shared" si="2"/>
        <v>43.527513323629812</v>
      </c>
      <c r="H26" s="123">
        <f t="shared" si="3"/>
        <v>0</v>
      </c>
      <c r="I26" s="123">
        <f t="shared" si="4"/>
        <v>51.672486676370191</v>
      </c>
      <c r="J26" s="123">
        <f t="shared" si="5"/>
        <v>39.116516688098244</v>
      </c>
      <c r="K26" s="123">
        <f t="shared" si="6"/>
        <v>4.4109966355315677</v>
      </c>
      <c r="L26" s="123">
        <f t="shared" si="7"/>
        <v>12.845766740473586</v>
      </c>
      <c r="M26" s="123">
        <f t="shared" si="8"/>
        <v>32.548880674682636</v>
      </c>
      <c r="N26" s="123">
        <f t="shared" si="9"/>
        <v>36.959877310214203</v>
      </c>
      <c r="O26" s="123">
        <f t="shared" si="10"/>
        <v>0.97204477325863348</v>
      </c>
    </row>
    <row r="27" spans="1:31" x14ac:dyDescent="0.25">
      <c r="A27" s="32">
        <v>1981</v>
      </c>
      <c r="B27" s="32">
        <v>10</v>
      </c>
      <c r="C27" s="117">
        <f>+ETPm*AC5</f>
        <v>113.232</v>
      </c>
      <c r="D27" s="117">
        <f>+HLOOKUP('Ingreso Datos'!$I$7,'Precip 1981-2012'!$D$5:$AL$397,19,FALSE)</f>
        <v>55.5</v>
      </c>
      <c r="E27" s="122">
        <f t="shared" si="0"/>
        <v>133.68492523193916</v>
      </c>
      <c r="F27" s="122">
        <f t="shared" si="1"/>
        <v>6.1358775695817496</v>
      </c>
      <c r="G27" s="123">
        <f t="shared" si="2"/>
        <v>13.77408240464756</v>
      </c>
      <c r="H27" s="123">
        <f t="shared" si="3"/>
        <v>0</v>
      </c>
      <c r="I27" s="123">
        <f t="shared" si="4"/>
        <v>41.725917595352442</v>
      </c>
      <c r="J27" s="123">
        <f t="shared" si="5"/>
        <v>13.299500998697427</v>
      </c>
      <c r="K27" s="123">
        <f t="shared" si="6"/>
        <v>0.47458140595013276</v>
      </c>
      <c r="L27" s="123">
        <f t="shared" si="7"/>
        <v>5.4149030825805422</v>
      </c>
      <c r="M27" s="123">
        <f t="shared" si="8"/>
        <v>20.730364656590471</v>
      </c>
      <c r="N27" s="123">
        <f t="shared" si="9"/>
        <v>21.204946062540603</v>
      </c>
      <c r="O27" s="123">
        <f t="shared" si="10"/>
        <v>0.5576900814448178</v>
      </c>
    </row>
    <row r="28" spans="1:31" x14ac:dyDescent="0.25">
      <c r="A28" s="32">
        <v>1981</v>
      </c>
      <c r="B28" s="32">
        <v>11</v>
      </c>
      <c r="C28" s="117">
        <f>+ETPm*AD5</f>
        <v>148.61699999999999</v>
      </c>
      <c r="D28" s="117">
        <f>+HLOOKUP('Ingreso Datos'!$I$7,'Precip 1981-2012'!$D$5:$AL$397,20,FALSE)</f>
        <v>121.3</v>
      </c>
      <c r="E28" s="122">
        <f t="shared" si="0"/>
        <v>169.06992523193915</v>
      </c>
      <c r="F28" s="122">
        <f t="shared" si="1"/>
        <v>6.1358775695817496</v>
      </c>
      <c r="G28" s="123">
        <f t="shared" si="2"/>
        <v>47.690982974622955</v>
      </c>
      <c r="H28" s="123">
        <f t="shared" si="3"/>
        <v>0</v>
      </c>
      <c r="I28" s="123">
        <f t="shared" si="4"/>
        <v>73.609017025377042</v>
      </c>
      <c r="J28" s="123">
        <f t="shared" si="5"/>
        <v>42.446627093654911</v>
      </c>
      <c r="K28" s="123">
        <f t="shared" si="6"/>
        <v>5.2443558809680439</v>
      </c>
      <c r="L28" s="123">
        <f t="shared" si="7"/>
        <v>13.802694361976066</v>
      </c>
      <c r="M28" s="123">
        <f t="shared" si="8"/>
        <v>34.058835814259389</v>
      </c>
      <c r="N28" s="123">
        <f t="shared" si="9"/>
        <v>39.303191695227433</v>
      </c>
      <c r="O28" s="123">
        <f t="shared" si="10"/>
        <v>1.0336739415844816</v>
      </c>
    </row>
    <row r="29" spans="1:31" x14ac:dyDescent="0.25">
      <c r="A29" s="32">
        <v>1981</v>
      </c>
      <c r="B29" s="32">
        <v>12</v>
      </c>
      <c r="C29" s="117">
        <f>+ETPm*AE5</f>
        <v>179.958</v>
      </c>
      <c r="D29" s="117">
        <f>+HLOOKUP('Ingreso Datos'!$I$7,'Precip 1981-2012'!$D$5:$AL$397,21,FALSE)</f>
        <v>135.4</v>
      </c>
      <c r="E29" s="122">
        <f t="shared" si="0"/>
        <v>200.41092523193916</v>
      </c>
      <c r="F29" s="122">
        <f t="shared" si="1"/>
        <v>6.1358775695817496</v>
      </c>
      <c r="G29" s="123">
        <f t="shared" si="2"/>
        <v>51.645101713386829</v>
      </c>
      <c r="H29" s="123">
        <f t="shared" si="3"/>
        <v>0</v>
      </c>
      <c r="I29" s="123">
        <f t="shared" si="4"/>
        <v>83.754898286613184</v>
      </c>
      <c r="J29" s="123">
        <f t="shared" si="5"/>
        <v>45.550628084997335</v>
      </c>
      <c r="K29" s="123">
        <f t="shared" si="6"/>
        <v>6.094473628389494</v>
      </c>
      <c r="L29" s="123">
        <f t="shared" si="7"/>
        <v>15.593513282234913</v>
      </c>
      <c r="M29" s="123">
        <f t="shared" si="8"/>
        <v>43.759809164738485</v>
      </c>
      <c r="N29" s="123">
        <f t="shared" si="9"/>
        <v>49.854282793127979</v>
      </c>
      <c r="O29" s="123">
        <f t="shared" si="10"/>
        <v>1.3111676374592658</v>
      </c>
    </row>
    <row r="30" spans="1:31" x14ac:dyDescent="0.25">
      <c r="A30" s="32">
        <v>1982</v>
      </c>
      <c r="B30" s="32">
        <v>1</v>
      </c>
      <c r="C30" s="117">
        <f t="shared" ref="C30:C93" si="11">+C18</f>
        <v>190.06799999999998</v>
      </c>
      <c r="D30" s="117">
        <f>+HLOOKUP('Ingreso Datos'!$I$7,'Precip 1981-2012'!$D$5:$AL$397,22,FALSE)</f>
        <v>70.400000000000006</v>
      </c>
      <c r="E30" s="122">
        <f t="shared" si="0"/>
        <v>210.52092523193915</v>
      </c>
      <c r="F30" s="122">
        <f t="shared" si="1"/>
        <v>6.1358775695817496</v>
      </c>
      <c r="G30" s="123">
        <f t="shared" si="2"/>
        <v>15.372753358313258</v>
      </c>
      <c r="H30" s="123">
        <f t="shared" si="3"/>
        <v>0</v>
      </c>
      <c r="I30" s="123">
        <f t="shared" si="4"/>
        <v>55.027246641686745</v>
      </c>
      <c r="J30" s="123">
        <f t="shared" si="5"/>
        <v>14.783970129162267</v>
      </c>
      <c r="K30" s="123">
        <f t="shared" si="6"/>
        <v>0.58878322915099091</v>
      </c>
      <c r="L30" s="123">
        <f t="shared" si="7"/>
        <v>6.1477858128064522</v>
      </c>
      <c r="M30" s="123">
        <f t="shared" si="8"/>
        <v>24.229697598590725</v>
      </c>
      <c r="N30" s="123">
        <f t="shared" si="9"/>
        <v>24.818480827741716</v>
      </c>
      <c r="O30" s="123">
        <f t="shared" si="10"/>
        <v>0.65272604576960713</v>
      </c>
    </row>
    <row r="31" spans="1:31" x14ac:dyDescent="0.25">
      <c r="A31" s="32">
        <v>1982</v>
      </c>
      <c r="B31" s="32">
        <v>2</v>
      </c>
      <c r="C31" s="117">
        <f t="shared" si="11"/>
        <v>146.595</v>
      </c>
      <c r="D31" s="117">
        <f>+HLOOKUP('Ingreso Datos'!$I$7,'Precip 1981-2012'!$D$5:$AL$397,23,FALSE)</f>
        <v>360.8</v>
      </c>
      <c r="E31" s="122">
        <f t="shared" si="0"/>
        <v>167.04792523193916</v>
      </c>
      <c r="F31" s="122">
        <f t="shared" si="1"/>
        <v>6.1358775695817496</v>
      </c>
      <c r="G31" s="123">
        <f t="shared" si="2"/>
        <v>243.97295110963714</v>
      </c>
      <c r="H31" s="123">
        <f t="shared" si="3"/>
        <v>0</v>
      </c>
      <c r="I31" s="123">
        <f t="shared" si="4"/>
        <v>116.82704889036287</v>
      </c>
      <c r="J31" s="123">
        <f t="shared" si="5"/>
        <v>149.4882581267056</v>
      </c>
      <c r="K31" s="123">
        <f t="shared" si="6"/>
        <v>94.484692982931534</v>
      </c>
      <c r="L31" s="123">
        <f t="shared" si="7"/>
        <v>47.346644862543663</v>
      </c>
      <c r="M31" s="123">
        <f t="shared" si="8"/>
        <v>108.28939907696839</v>
      </c>
      <c r="N31" s="123">
        <f t="shared" si="9"/>
        <v>202.77409205989994</v>
      </c>
      <c r="O31" s="123">
        <f t="shared" si="10"/>
        <v>5.3329586211753686</v>
      </c>
    </row>
    <row r="32" spans="1:31" x14ac:dyDescent="0.25">
      <c r="A32" s="32">
        <v>1982</v>
      </c>
      <c r="B32" s="32">
        <v>3</v>
      </c>
      <c r="C32" s="117">
        <f t="shared" si="11"/>
        <v>120.30899999999998</v>
      </c>
      <c r="D32" s="117">
        <f>+HLOOKUP('Ingreso Datos'!$I$7,'Precip 1981-2012'!$D$5:$AL$397,24,FALSE)</f>
        <v>29.1</v>
      </c>
      <c r="E32" s="122">
        <f t="shared" si="0"/>
        <v>140.76192523193916</v>
      </c>
      <c r="F32" s="122">
        <f t="shared" si="1"/>
        <v>6.1358775695817496</v>
      </c>
      <c r="G32" s="123">
        <f t="shared" si="2"/>
        <v>3.3463439927044902</v>
      </c>
      <c r="H32" s="123">
        <f t="shared" si="3"/>
        <v>0</v>
      </c>
      <c r="I32" s="123">
        <f t="shared" si="4"/>
        <v>25.753656007295511</v>
      </c>
      <c r="J32" s="123">
        <f t="shared" si="5"/>
        <v>3.3175829209998615</v>
      </c>
      <c r="K32" s="123">
        <f t="shared" si="6"/>
        <v>2.8761071704628716E-2</v>
      </c>
      <c r="L32" s="123">
        <f t="shared" si="7"/>
        <v>5.6671376049466833</v>
      </c>
      <c r="M32" s="123">
        <f t="shared" si="8"/>
        <v>44.997090178596842</v>
      </c>
      <c r="N32" s="123">
        <f t="shared" si="9"/>
        <v>45.025851250301471</v>
      </c>
      <c r="O32" s="123">
        <f t="shared" si="10"/>
        <v>1.1841798878829288</v>
      </c>
    </row>
    <row r="33" spans="1:15" x14ac:dyDescent="0.25">
      <c r="A33" s="32">
        <v>1982</v>
      </c>
      <c r="B33" s="32">
        <v>4</v>
      </c>
      <c r="C33" s="117">
        <f t="shared" si="11"/>
        <v>73.802999999999997</v>
      </c>
      <c r="D33" s="117">
        <f>+HLOOKUP('Ingreso Datos'!$I$7,'Precip 1981-2012'!$D$5:$AL$397,25,FALSE)</f>
        <v>21.4</v>
      </c>
      <c r="E33" s="122">
        <f t="shared" si="0"/>
        <v>94.255925231939159</v>
      </c>
      <c r="F33" s="122">
        <f t="shared" si="1"/>
        <v>6.1358775695817496</v>
      </c>
      <c r="G33" s="123">
        <f t="shared" si="2"/>
        <v>2.2536664303801262</v>
      </c>
      <c r="H33" s="123">
        <f t="shared" si="3"/>
        <v>0</v>
      </c>
      <c r="I33" s="123">
        <f t="shared" si="4"/>
        <v>19.146333569619873</v>
      </c>
      <c r="J33" s="123">
        <f t="shared" si="5"/>
        <v>2.2405847448261458</v>
      </c>
      <c r="K33" s="123">
        <f t="shared" si="6"/>
        <v>1.3081685553980371E-2</v>
      </c>
      <c r="L33" s="123">
        <f t="shared" si="7"/>
        <v>1.2547907997855865</v>
      </c>
      <c r="M33" s="123">
        <f t="shared" si="8"/>
        <v>6.6529315499872421</v>
      </c>
      <c r="N33" s="123">
        <f t="shared" si="9"/>
        <v>6.6660132355412225</v>
      </c>
      <c r="O33" s="123">
        <f t="shared" si="10"/>
        <v>0.17531614809473417</v>
      </c>
    </row>
    <row r="34" spans="1:15" x14ac:dyDescent="0.25">
      <c r="A34" s="32">
        <v>1982</v>
      </c>
      <c r="B34" s="32">
        <v>5</v>
      </c>
      <c r="C34" s="117">
        <f t="shared" si="11"/>
        <v>44.483999999999995</v>
      </c>
      <c r="D34" s="117">
        <f>+HLOOKUP('Ingreso Datos'!$I$7,'Precip 1981-2012'!$D$5:$AL$397,26,FALSE)</f>
        <v>178.5</v>
      </c>
      <c r="E34" s="122">
        <f t="shared" si="0"/>
        <v>64.936925231939156</v>
      </c>
      <c r="F34" s="122">
        <f t="shared" si="1"/>
        <v>6.1358775695817496</v>
      </c>
      <c r="G34" s="123">
        <f t="shared" si="2"/>
        <v>128.52018619104544</v>
      </c>
      <c r="H34" s="123">
        <f t="shared" si="3"/>
        <v>5.4958138089545656</v>
      </c>
      <c r="I34" s="123">
        <f t="shared" si="4"/>
        <v>44.483999999999995</v>
      </c>
      <c r="J34" s="123">
        <f t="shared" si="5"/>
        <v>96.417581275078291</v>
      </c>
      <c r="K34" s="123">
        <f t="shared" si="6"/>
        <v>32.102604915967149</v>
      </c>
      <c r="L34" s="123">
        <f t="shared" si="7"/>
        <v>30.272807517791925</v>
      </c>
      <c r="M34" s="123">
        <f t="shared" si="8"/>
        <v>67.399564557071955</v>
      </c>
      <c r="N34" s="123">
        <f t="shared" si="9"/>
        <v>99.502169473039103</v>
      </c>
      <c r="O34" s="123">
        <f t="shared" si="10"/>
        <v>2.6169070571409283</v>
      </c>
    </row>
    <row r="35" spans="1:15" x14ac:dyDescent="0.25">
      <c r="A35" s="32">
        <v>1982</v>
      </c>
      <c r="B35" s="32">
        <v>6</v>
      </c>
      <c r="C35" s="117">
        <f t="shared" si="11"/>
        <v>29.318999999999996</v>
      </c>
      <c r="D35" s="117">
        <f>+HLOOKUP('Ingreso Datos'!$I$7,'Precip 1981-2012'!$D$5:$AL$397,27,FALSE)</f>
        <v>127.1</v>
      </c>
      <c r="E35" s="122">
        <f t="shared" si="0"/>
        <v>44.276111422984599</v>
      </c>
      <c r="F35" s="122">
        <f t="shared" si="1"/>
        <v>4.4871334268953795</v>
      </c>
      <c r="G35" s="123">
        <f t="shared" si="2"/>
        <v>92.572317076537402</v>
      </c>
      <c r="H35" s="123">
        <f t="shared" si="3"/>
        <v>10.704496732417176</v>
      </c>
      <c r="I35" s="123">
        <f t="shared" si="4"/>
        <v>29.318999999999996</v>
      </c>
      <c r="J35" s="123">
        <f t="shared" si="5"/>
        <v>74.66565264331561</v>
      </c>
      <c r="K35" s="123">
        <f t="shared" si="6"/>
        <v>17.906664433221792</v>
      </c>
      <c r="L35" s="123">
        <f t="shared" si="7"/>
        <v>26.308386129593273</v>
      </c>
      <c r="M35" s="123">
        <f t="shared" si="8"/>
        <v>78.630074031514255</v>
      </c>
      <c r="N35" s="123">
        <f t="shared" si="9"/>
        <v>96.536738464736047</v>
      </c>
      <c r="O35" s="123">
        <f t="shared" si="10"/>
        <v>2.538916221622558</v>
      </c>
    </row>
    <row r="36" spans="1:15" x14ac:dyDescent="0.25">
      <c r="A36" s="32">
        <v>1982</v>
      </c>
      <c r="B36" s="32">
        <v>7</v>
      </c>
      <c r="C36" s="117">
        <f t="shared" si="11"/>
        <v>35.384999999999998</v>
      </c>
      <c r="D36" s="117">
        <f>+HLOOKUP('Ingreso Datos'!$I$7,'Precip 1981-2012'!$D$5:$AL$397,28,FALSE)</f>
        <v>71.3</v>
      </c>
      <c r="E36" s="122">
        <f t="shared" si="0"/>
        <v>45.133428499521983</v>
      </c>
      <c r="F36" s="122">
        <f t="shared" si="1"/>
        <v>2.9245285498565967</v>
      </c>
      <c r="G36" s="123">
        <f t="shared" si="2"/>
        <v>42.27726790729362</v>
      </c>
      <c r="H36" s="123">
        <f t="shared" si="3"/>
        <v>4.3422288251235628</v>
      </c>
      <c r="I36" s="123">
        <f t="shared" si="4"/>
        <v>35.384999999999998</v>
      </c>
      <c r="J36" s="123">
        <f t="shared" si="5"/>
        <v>38.103879507674009</v>
      </c>
      <c r="K36" s="123">
        <f t="shared" si="6"/>
        <v>4.1733883996196113</v>
      </c>
      <c r="L36" s="123">
        <f t="shared" si="7"/>
        <v>14.487738964858416</v>
      </c>
      <c r="M36" s="123">
        <f t="shared" si="8"/>
        <v>49.924526672408867</v>
      </c>
      <c r="N36" s="123">
        <f t="shared" si="9"/>
        <v>54.097915072028478</v>
      </c>
      <c r="O36" s="123">
        <f t="shared" si="10"/>
        <v>1.4227751663943491</v>
      </c>
    </row>
    <row r="37" spans="1:15" x14ac:dyDescent="0.25">
      <c r="A37" s="32">
        <v>1982</v>
      </c>
      <c r="B37" s="32">
        <v>8</v>
      </c>
      <c r="C37" s="117">
        <f t="shared" si="11"/>
        <v>55.605000000000004</v>
      </c>
      <c r="D37" s="117">
        <f>+HLOOKUP('Ingreso Datos'!$I$7,'Precip 1981-2012'!$D$5:$AL$397,29,FALSE)</f>
        <v>167</v>
      </c>
      <c r="E37" s="122">
        <f t="shared" si="0"/>
        <v>71.71569640681561</v>
      </c>
      <c r="F37" s="122">
        <f t="shared" si="1"/>
        <v>4.8332089220446806</v>
      </c>
      <c r="G37" s="123">
        <f t="shared" si="2"/>
        <v>114.81401859696037</v>
      </c>
      <c r="H37" s="123">
        <f t="shared" si="3"/>
        <v>0.92321022816318532</v>
      </c>
      <c r="I37" s="123">
        <f t="shared" si="4"/>
        <v>55.605000000000004</v>
      </c>
      <c r="J37" s="123">
        <f t="shared" si="5"/>
        <v>88.492353513955109</v>
      </c>
      <c r="K37" s="123">
        <f t="shared" si="6"/>
        <v>26.321665083005257</v>
      </c>
      <c r="L37" s="123">
        <f t="shared" si="7"/>
        <v>29.088524746886634</v>
      </c>
      <c r="M37" s="123">
        <f t="shared" si="8"/>
        <v>73.891567731926898</v>
      </c>
      <c r="N37" s="123">
        <f t="shared" si="9"/>
        <v>100.21323281493216</v>
      </c>
      <c r="O37" s="123">
        <f t="shared" si="10"/>
        <v>2.6356080230327152</v>
      </c>
    </row>
    <row r="38" spans="1:15" x14ac:dyDescent="0.25">
      <c r="A38" s="32">
        <v>1982</v>
      </c>
      <c r="B38" s="32">
        <v>9</v>
      </c>
      <c r="C38" s="117">
        <f t="shared" si="11"/>
        <v>78.858000000000004</v>
      </c>
      <c r="D38" s="117">
        <f>+HLOOKUP('Ingreso Datos'!$I$7,'Precip 1981-2012'!$D$5:$AL$397,30,FALSE)</f>
        <v>219.2</v>
      </c>
      <c r="E38" s="122">
        <f t="shared" si="0"/>
        <v>98.38771500377598</v>
      </c>
      <c r="F38" s="122">
        <f t="shared" si="1"/>
        <v>5.8589145011327934</v>
      </c>
      <c r="G38" s="123">
        <f t="shared" si="2"/>
        <v>148.80320307704372</v>
      </c>
      <c r="H38" s="123">
        <f t="shared" si="3"/>
        <v>0</v>
      </c>
      <c r="I38" s="123">
        <f t="shared" si="4"/>
        <v>71.320007151119455</v>
      </c>
      <c r="J38" s="123">
        <f t="shared" si="5"/>
        <v>107.40032231905754</v>
      </c>
      <c r="K38" s="123">
        <f t="shared" si="6"/>
        <v>41.402880757986182</v>
      </c>
      <c r="L38" s="123">
        <f t="shared" si="7"/>
        <v>36.428826835803832</v>
      </c>
      <c r="M38" s="123">
        <f t="shared" si="8"/>
        <v>100.06002023014034</v>
      </c>
      <c r="N38" s="123">
        <f t="shared" si="9"/>
        <v>141.46290098812653</v>
      </c>
      <c r="O38" s="123">
        <f t="shared" si="10"/>
        <v>3.7204742959877279</v>
      </c>
    </row>
    <row r="39" spans="1:15" x14ac:dyDescent="0.25">
      <c r="A39" s="32">
        <v>1982</v>
      </c>
      <c r="B39" s="32">
        <v>10</v>
      </c>
      <c r="C39" s="117">
        <f t="shared" si="11"/>
        <v>113.232</v>
      </c>
      <c r="D39" s="117">
        <f>+HLOOKUP('Ingreso Datos'!$I$7,'Precip 1981-2012'!$D$5:$AL$397,31,FALSE)</f>
        <v>117.3</v>
      </c>
      <c r="E39" s="122">
        <f t="shared" si="0"/>
        <v>133.68492523193916</v>
      </c>
      <c r="F39" s="122">
        <f t="shared" si="1"/>
        <v>6.1358775695817496</v>
      </c>
      <c r="G39" s="123">
        <f t="shared" si="2"/>
        <v>51.766989273873328</v>
      </c>
      <c r="H39" s="123">
        <f t="shared" si="3"/>
        <v>0</v>
      </c>
      <c r="I39" s="123">
        <f t="shared" si="4"/>
        <v>65.533010726126662</v>
      </c>
      <c r="J39" s="123">
        <f t="shared" si="5"/>
        <v>45.645419479571679</v>
      </c>
      <c r="K39" s="123">
        <f t="shared" si="6"/>
        <v>6.1215697943016494</v>
      </c>
      <c r="L39" s="123">
        <f t="shared" si="7"/>
        <v>17.835616036657381</v>
      </c>
      <c r="M39" s="123">
        <f t="shared" si="8"/>
        <v>64.238630278718134</v>
      </c>
      <c r="N39" s="123">
        <f t="shared" si="9"/>
        <v>70.360200073019783</v>
      </c>
      <c r="O39" s="123">
        <f t="shared" si="10"/>
        <v>1.8504732619204203</v>
      </c>
    </row>
    <row r="40" spans="1:15" x14ac:dyDescent="0.25">
      <c r="A40" s="32">
        <v>1982</v>
      </c>
      <c r="B40" s="32">
        <v>11</v>
      </c>
      <c r="C40" s="117">
        <f t="shared" si="11"/>
        <v>148.61699999999999</v>
      </c>
      <c r="D40" s="117">
        <f>+HLOOKUP('Ingreso Datos'!$I$7,'Precip 1981-2012'!$D$5:$AL$397,32,FALSE)</f>
        <v>315.2</v>
      </c>
      <c r="E40" s="122">
        <f t="shared" si="0"/>
        <v>169.06992523193915</v>
      </c>
      <c r="F40" s="122">
        <f t="shared" si="1"/>
        <v>6.1358775695817496</v>
      </c>
      <c r="G40" s="123">
        <f t="shared" si="2"/>
        <v>202.3750044516255</v>
      </c>
      <c r="H40" s="123">
        <f t="shared" si="3"/>
        <v>0</v>
      </c>
      <c r="I40" s="123">
        <f t="shared" si="4"/>
        <v>112.82499554837449</v>
      </c>
      <c r="J40" s="123">
        <f t="shared" si="5"/>
        <v>132.76694476702568</v>
      </c>
      <c r="K40" s="123">
        <f t="shared" si="6"/>
        <v>69.608059684599823</v>
      </c>
      <c r="L40" s="123">
        <f t="shared" si="7"/>
        <v>43.260708875215769</v>
      </c>
      <c r="M40" s="123">
        <f t="shared" si="8"/>
        <v>107.34185192846729</v>
      </c>
      <c r="N40" s="123">
        <f t="shared" si="9"/>
        <v>176.94991161306712</v>
      </c>
      <c r="O40" s="123">
        <f t="shared" si="10"/>
        <v>4.6537826754236651</v>
      </c>
    </row>
    <row r="41" spans="1:15" x14ac:dyDescent="0.25">
      <c r="A41" s="32">
        <v>1982</v>
      </c>
      <c r="B41" s="32">
        <v>12</v>
      </c>
      <c r="C41" s="117">
        <f t="shared" si="11"/>
        <v>179.958</v>
      </c>
      <c r="D41" s="117">
        <f>+HLOOKUP('Ingreso Datos'!$I$7,'Precip 1981-2012'!$D$5:$AL$397,33,FALSE)</f>
        <v>34.700000000000003</v>
      </c>
      <c r="E41" s="122">
        <f t="shared" si="0"/>
        <v>200.41092523193916</v>
      </c>
      <c r="F41" s="122">
        <f t="shared" si="1"/>
        <v>6.1358775695817496</v>
      </c>
      <c r="G41" s="123">
        <f t="shared" si="2"/>
        <v>3.6614258161176592</v>
      </c>
      <c r="H41" s="123">
        <f t="shared" si="3"/>
        <v>0</v>
      </c>
      <c r="I41" s="123">
        <f t="shared" si="4"/>
        <v>31.038574183882343</v>
      </c>
      <c r="J41" s="123">
        <f t="shared" si="5"/>
        <v>3.6270214893900263</v>
      </c>
      <c r="K41" s="123">
        <f t="shared" si="6"/>
        <v>3.4404326727632828E-2</v>
      </c>
      <c r="L41" s="123">
        <f t="shared" si="7"/>
        <v>5.3643632180545415</v>
      </c>
      <c r="M41" s="123">
        <f t="shared" si="8"/>
        <v>41.523367146551251</v>
      </c>
      <c r="N41" s="123">
        <f t="shared" si="9"/>
        <v>41.557771473278883</v>
      </c>
      <c r="O41" s="123">
        <f t="shared" si="10"/>
        <v>1.0929693897472346</v>
      </c>
    </row>
    <row r="42" spans="1:15" x14ac:dyDescent="0.25">
      <c r="A42" s="32">
        <v>1983</v>
      </c>
      <c r="B42" s="32">
        <v>1</v>
      </c>
      <c r="C42" s="117">
        <f t="shared" si="11"/>
        <v>190.06799999999998</v>
      </c>
      <c r="D42" s="117">
        <f>+HLOOKUP('Ingreso Datos'!$I$7,'Precip 1981-2012'!$D$5:$AL$397,34,FALSE)</f>
        <v>162.1</v>
      </c>
      <c r="E42" s="122">
        <f t="shared" si="0"/>
        <v>210.52092523193915</v>
      </c>
      <c r="F42" s="122">
        <f t="shared" si="1"/>
        <v>6.1358775695817496</v>
      </c>
      <c r="G42" s="123">
        <f t="shared" si="2"/>
        <v>67.503436955960851</v>
      </c>
      <c r="H42" s="123">
        <f t="shared" si="3"/>
        <v>0</v>
      </c>
      <c r="I42" s="123">
        <f t="shared" si="4"/>
        <v>94.596563044039144</v>
      </c>
      <c r="J42" s="123">
        <f t="shared" si="5"/>
        <v>57.455632177559849</v>
      </c>
      <c r="K42" s="123">
        <f t="shared" si="6"/>
        <v>10.047804778401002</v>
      </c>
      <c r="L42" s="123">
        <f t="shared" si="7"/>
        <v>18.491119984596544</v>
      </c>
      <c r="M42" s="123">
        <f t="shared" si="8"/>
        <v>44.328875411017847</v>
      </c>
      <c r="N42" s="123">
        <f t="shared" si="9"/>
        <v>54.376680189418849</v>
      </c>
      <c r="O42" s="123">
        <f t="shared" si="10"/>
        <v>1.4301066889817158</v>
      </c>
    </row>
    <row r="43" spans="1:15" x14ac:dyDescent="0.25">
      <c r="A43" s="32">
        <v>1983</v>
      </c>
      <c r="B43" s="32">
        <v>2</v>
      </c>
      <c r="C43" s="117">
        <f t="shared" si="11"/>
        <v>146.595</v>
      </c>
      <c r="D43" s="117">
        <f>+HLOOKUP('Ingreso Datos'!$I$7,'Precip 1981-2012'!$D$5:$AL$397,35,FALSE)</f>
        <v>427.6</v>
      </c>
      <c r="E43" s="122">
        <f t="shared" si="0"/>
        <v>167.04792523193916</v>
      </c>
      <c r="F43" s="122">
        <f t="shared" si="1"/>
        <v>6.1358775695817496</v>
      </c>
      <c r="G43" s="123">
        <f t="shared" si="2"/>
        <v>305.01249126959448</v>
      </c>
      <c r="H43" s="123">
        <f t="shared" si="3"/>
        <v>0</v>
      </c>
      <c r="I43" s="123">
        <f t="shared" si="4"/>
        <v>122.58750873040555</v>
      </c>
      <c r="J43" s="123">
        <f t="shared" si="5"/>
        <v>170.38016406005883</v>
      </c>
      <c r="K43" s="123">
        <f t="shared" si="6"/>
        <v>134.63232720953565</v>
      </c>
      <c r="L43" s="123">
        <f t="shared" si="7"/>
        <v>55.086589531429553</v>
      </c>
      <c r="M43" s="123">
        <f t="shared" si="8"/>
        <v>133.78469451322582</v>
      </c>
      <c r="N43" s="123">
        <f t="shared" si="9"/>
        <v>268.41702172276143</v>
      </c>
      <c r="O43" s="123">
        <f t="shared" si="10"/>
        <v>7.0593676713086255</v>
      </c>
    </row>
    <row r="44" spans="1:15" x14ac:dyDescent="0.25">
      <c r="A44" s="32">
        <v>1983</v>
      </c>
      <c r="B44" s="32">
        <v>3</v>
      </c>
      <c r="C44" s="117">
        <f t="shared" si="11"/>
        <v>120.30899999999998</v>
      </c>
      <c r="D44" s="117">
        <f>+HLOOKUP('Ingreso Datos'!$I$7,'Precip 1981-2012'!$D$5:$AL$397,36,FALSE)</f>
        <v>91.9</v>
      </c>
      <c r="E44" s="122">
        <f t="shared" si="0"/>
        <v>140.76192523193916</v>
      </c>
      <c r="F44" s="122">
        <f t="shared" si="1"/>
        <v>6.1358775695817496</v>
      </c>
      <c r="G44" s="123">
        <f t="shared" si="2"/>
        <v>33.374831069658867</v>
      </c>
      <c r="H44" s="123">
        <f t="shared" si="3"/>
        <v>0</v>
      </c>
      <c r="I44" s="123">
        <f t="shared" si="4"/>
        <v>58.525168930341138</v>
      </c>
      <c r="J44" s="123">
        <f t="shared" si="5"/>
        <v>30.718783862230609</v>
      </c>
      <c r="K44" s="123">
        <f t="shared" si="6"/>
        <v>2.6560472074282586</v>
      </c>
      <c r="L44" s="123">
        <f t="shared" si="7"/>
        <v>14.992425962589031</v>
      </c>
      <c r="M44" s="123">
        <f t="shared" si="8"/>
        <v>70.812947431071137</v>
      </c>
      <c r="N44" s="123">
        <f t="shared" si="9"/>
        <v>73.468994638499396</v>
      </c>
      <c r="O44" s="123">
        <f t="shared" si="10"/>
        <v>1.932234558992534</v>
      </c>
    </row>
    <row r="45" spans="1:15" x14ac:dyDescent="0.25">
      <c r="A45" s="32">
        <v>1983</v>
      </c>
      <c r="B45" s="32">
        <v>4</v>
      </c>
      <c r="C45" s="117">
        <f t="shared" si="11"/>
        <v>73.802999999999997</v>
      </c>
      <c r="D45" s="117">
        <f>+HLOOKUP('Ingreso Datos'!$I$7,'Precip 1981-2012'!$D$5:$AL$397,37,FALSE)</f>
        <v>80.099999999999994</v>
      </c>
      <c r="E45" s="122">
        <f t="shared" si="0"/>
        <v>94.255925231939159</v>
      </c>
      <c r="F45" s="122">
        <f t="shared" si="1"/>
        <v>6.1358775695817496</v>
      </c>
      <c r="G45" s="123">
        <f t="shared" si="2"/>
        <v>33.752163482532076</v>
      </c>
      <c r="H45" s="123">
        <f t="shared" si="3"/>
        <v>0</v>
      </c>
      <c r="I45" s="123">
        <f t="shared" si="4"/>
        <v>46.347836517467918</v>
      </c>
      <c r="J45" s="123">
        <f t="shared" si="5"/>
        <v>31.03816069979483</v>
      </c>
      <c r="K45" s="123">
        <f t="shared" si="6"/>
        <v>2.7140027827372464</v>
      </c>
      <c r="L45" s="123">
        <f t="shared" si="7"/>
        <v>11.171750799592468</v>
      </c>
      <c r="M45" s="123">
        <f t="shared" si="8"/>
        <v>34.858835862791395</v>
      </c>
      <c r="N45" s="123">
        <f t="shared" si="9"/>
        <v>37.572838645528641</v>
      </c>
      <c r="O45" s="123">
        <f t="shared" si="10"/>
        <v>0.98816565637740317</v>
      </c>
    </row>
    <row r="46" spans="1:15" x14ac:dyDescent="0.25">
      <c r="A46" s="32">
        <v>1983</v>
      </c>
      <c r="B46" s="32">
        <v>5</v>
      </c>
      <c r="C46" s="117">
        <f t="shared" si="11"/>
        <v>44.483999999999995</v>
      </c>
      <c r="D46" s="117">
        <f>+HLOOKUP('Ingreso Datos'!$I$7,'Precip 1981-2012'!$D$5:$AL$397,38,FALSE)</f>
        <v>299.2</v>
      </c>
      <c r="E46" s="122">
        <f t="shared" si="0"/>
        <v>64.936925231939156</v>
      </c>
      <c r="F46" s="122">
        <f t="shared" si="1"/>
        <v>6.1358775695817496</v>
      </c>
      <c r="G46" s="123">
        <f t="shared" si="2"/>
        <v>244.08946140723623</v>
      </c>
      <c r="H46" s="123">
        <f t="shared" si="3"/>
        <v>10.626538592763765</v>
      </c>
      <c r="I46" s="123">
        <f t="shared" si="4"/>
        <v>44.483999999999995</v>
      </c>
      <c r="J46" s="123">
        <f t="shared" si="5"/>
        <v>149.53199168379413</v>
      </c>
      <c r="K46" s="123">
        <f t="shared" si="6"/>
        <v>94.557469723442097</v>
      </c>
      <c r="L46" s="123">
        <f t="shared" si="7"/>
        <v>47.851581095676273</v>
      </c>
      <c r="M46" s="123">
        <f t="shared" si="8"/>
        <v>112.85216138771032</v>
      </c>
      <c r="N46" s="123">
        <f t="shared" si="9"/>
        <v>207.40963111115241</v>
      </c>
      <c r="O46" s="123">
        <f t="shared" si="10"/>
        <v>5.4548732982233084</v>
      </c>
    </row>
    <row r="47" spans="1:15" x14ac:dyDescent="0.25">
      <c r="A47" s="32">
        <v>1983</v>
      </c>
      <c r="B47" s="32">
        <v>6</v>
      </c>
      <c r="C47" s="117">
        <f t="shared" si="11"/>
        <v>29.318999999999996</v>
      </c>
      <c r="D47" s="117">
        <f>+HLOOKUP('Ingreso Datos'!$I$7,'Precip 1981-2012'!$D$5:$AL$397,39,FALSE)</f>
        <v>80.2</v>
      </c>
      <c r="E47" s="122">
        <f t="shared" si="0"/>
        <v>39.145386639175399</v>
      </c>
      <c r="F47" s="122">
        <f t="shared" si="1"/>
        <v>2.9479159917526201</v>
      </c>
      <c r="G47" s="123">
        <f t="shared" si="2"/>
        <v>52.603859942248249</v>
      </c>
      <c r="H47" s="123">
        <f t="shared" si="3"/>
        <v>8.9036786505155234</v>
      </c>
      <c r="I47" s="123">
        <f t="shared" si="4"/>
        <v>29.318999999999996</v>
      </c>
      <c r="J47" s="123">
        <f t="shared" si="5"/>
        <v>46.294827273935596</v>
      </c>
      <c r="K47" s="123">
        <f t="shared" si="6"/>
        <v>6.3090326683126534</v>
      </c>
      <c r="L47" s="123">
        <f t="shared" si="7"/>
        <v>19.155644342766081</v>
      </c>
      <c r="M47" s="123">
        <f t="shared" si="8"/>
        <v>74.990764026845795</v>
      </c>
      <c r="N47" s="123">
        <f t="shared" si="9"/>
        <v>81.299796695158449</v>
      </c>
      <c r="O47" s="123">
        <f t="shared" si="10"/>
        <v>2.1381846530826674</v>
      </c>
    </row>
    <row r="48" spans="1:15" x14ac:dyDescent="0.25">
      <c r="A48" s="32">
        <v>1983</v>
      </c>
      <c r="B48" s="32">
        <v>7</v>
      </c>
      <c r="C48" s="117">
        <f t="shared" si="11"/>
        <v>35.384999999999998</v>
      </c>
      <c r="D48" s="117">
        <f>+HLOOKUP('Ingreso Datos'!$I$7,'Precip 1981-2012'!$D$5:$AL$397,40,FALSE)</f>
        <v>121.5</v>
      </c>
      <c r="E48" s="122">
        <f t="shared" si="0"/>
        <v>46.934246581423636</v>
      </c>
      <c r="F48" s="122">
        <f t="shared" si="1"/>
        <v>3.4647739744270925</v>
      </c>
      <c r="G48" s="123">
        <f t="shared" si="2"/>
        <v>86.265691963580181</v>
      </c>
      <c r="H48" s="123">
        <f t="shared" si="3"/>
        <v>8.7529866869353512</v>
      </c>
      <c r="I48" s="123">
        <f t="shared" si="4"/>
        <v>35.384999999999998</v>
      </c>
      <c r="J48" s="123">
        <f t="shared" si="5"/>
        <v>70.508100979119703</v>
      </c>
      <c r="K48" s="123">
        <f t="shared" si="6"/>
        <v>15.757590984460478</v>
      </c>
      <c r="L48" s="123">
        <f t="shared" si="7"/>
        <v>23.921230901180213</v>
      </c>
      <c r="M48" s="123">
        <f t="shared" si="8"/>
        <v>65.742514420705575</v>
      </c>
      <c r="N48" s="123">
        <f t="shared" si="9"/>
        <v>81.500105405166053</v>
      </c>
      <c r="O48" s="123">
        <f t="shared" si="10"/>
        <v>2.1434527721558672</v>
      </c>
    </row>
    <row r="49" spans="1:15" x14ac:dyDescent="0.25">
      <c r="A49" s="32">
        <v>1983</v>
      </c>
      <c r="B49" s="32">
        <v>8</v>
      </c>
      <c r="C49" s="117">
        <f t="shared" si="11"/>
        <v>55.605000000000004</v>
      </c>
      <c r="D49" s="117">
        <f>+HLOOKUP('Ingreso Datos'!$I$7,'Precip 1981-2012'!$D$5:$AL$397,41,FALSE)</f>
        <v>47.8</v>
      </c>
      <c r="E49" s="122">
        <f t="shared" si="0"/>
        <v>67.304938545003822</v>
      </c>
      <c r="F49" s="122">
        <f t="shared" si="1"/>
        <v>3.5099815635011442</v>
      </c>
      <c r="G49" s="123">
        <f t="shared" si="2"/>
        <v>18.14873645036425</v>
      </c>
      <c r="H49" s="123">
        <f t="shared" si="3"/>
        <v>0</v>
      </c>
      <c r="I49" s="123">
        <f t="shared" si="4"/>
        <v>38.404250236571102</v>
      </c>
      <c r="J49" s="123">
        <f t="shared" si="5"/>
        <v>17.333747796341246</v>
      </c>
      <c r="K49" s="123">
        <f t="shared" si="6"/>
        <v>0.81498865402300424</v>
      </c>
      <c r="L49" s="123">
        <f t="shared" si="7"/>
        <v>7.759422981295204</v>
      </c>
      <c r="M49" s="123">
        <f t="shared" si="8"/>
        <v>33.495555716226249</v>
      </c>
      <c r="N49" s="123">
        <f t="shared" si="9"/>
        <v>34.310544370249254</v>
      </c>
      <c r="O49" s="123">
        <f t="shared" si="10"/>
        <v>0.90236731693755545</v>
      </c>
    </row>
    <row r="50" spans="1:15" x14ac:dyDescent="0.25">
      <c r="A50" s="32">
        <v>1983</v>
      </c>
      <c r="B50" s="32">
        <v>9</v>
      </c>
      <c r="C50" s="117">
        <f t="shared" si="11"/>
        <v>78.858000000000004</v>
      </c>
      <c r="D50" s="117">
        <f>+HLOOKUP('Ingreso Datos'!$I$7,'Precip 1981-2012'!$D$5:$AL$397,42,FALSE)</f>
        <v>47.7</v>
      </c>
      <c r="E50" s="122">
        <f t="shared" si="0"/>
        <v>99.310925231939166</v>
      </c>
      <c r="F50" s="122">
        <f t="shared" si="1"/>
        <v>6.1358775695817496</v>
      </c>
      <c r="G50" s="123">
        <f t="shared" si="2"/>
        <v>12.821633621620663</v>
      </c>
      <c r="H50" s="123">
        <f t="shared" si="3"/>
        <v>0</v>
      </c>
      <c r="I50" s="123">
        <f t="shared" si="4"/>
        <v>34.87836637837934</v>
      </c>
      <c r="J50" s="123">
        <f t="shared" si="5"/>
        <v>12.409433593166234</v>
      </c>
      <c r="K50" s="123">
        <f t="shared" si="6"/>
        <v>0.41220002845442849</v>
      </c>
      <c r="L50" s="123">
        <f t="shared" si="7"/>
        <v>4.6392157288468434</v>
      </c>
      <c r="M50" s="123">
        <f t="shared" si="8"/>
        <v>15.529640845614594</v>
      </c>
      <c r="N50" s="123">
        <f t="shared" si="9"/>
        <v>15.941840874069023</v>
      </c>
      <c r="O50" s="123">
        <f t="shared" si="10"/>
        <v>0.41927041498801532</v>
      </c>
    </row>
    <row r="51" spans="1:15" x14ac:dyDescent="0.25">
      <c r="A51" s="32">
        <v>1983</v>
      </c>
      <c r="B51" s="32">
        <v>10</v>
      </c>
      <c r="C51" s="117">
        <f t="shared" si="11"/>
        <v>113.232</v>
      </c>
      <c r="D51" s="117">
        <f>+HLOOKUP('Ingreso Datos'!$I$7,'Precip 1981-2012'!$D$5:$AL$397,43,FALSE)</f>
        <v>87</v>
      </c>
      <c r="E51" s="122">
        <f t="shared" si="0"/>
        <v>133.68492523193916</v>
      </c>
      <c r="F51" s="122">
        <f t="shared" si="1"/>
        <v>6.1358775695817496</v>
      </c>
      <c r="G51" s="123">
        <f t="shared" si="2"/>
        <v>31.375206727726546</v>
      </c>
      <c r="H51" s="123">
        <f t="shared" si="3"/>
        <v>0</v>
      </c>
      <c r="I51" s="123">
        <f t="shared" si="4"/>
        <v>55.62479327227345</v>
      </c>
      <c r="J51" s="123">
        <f t="shared" si="5"/>
        <v>29.016648813073626</v>
      </c>
      <c r="K51" s="123">
        <f t="shared" si="6"/>
        <v>2.3585579146529199</v>
      </c>
      <c r="L51" s="123">
        <f t="shared" si="7"/>
        <v>9.5272445163615416</v>
      </c>
      <c r="M51" s="123">
        <f t="shared" si="8"/>
        <v>24.128620025558927</v>
      </c>
      <c r="N51" s="123">
        <f t="shared" si="9"/>
        <v>26.487177940211847</v>
      </c>
      <c r="O51" s="123">
        <f t="shared" si="10"/>
        <v>0.69661277982757164</v>
      </c>
    </row>
    <row r="52" spans="1:15" x14ac:dyDescent="0.25">
      <c r="A52" s="32">
        <v>1983</v>
      </c>
      <c r="B52" s="32">
        <v>11</v>
      </c>
      <c r="C52" s="117">
        <f t="shared" si="11"/>
        <v>148.61699999999999</v>
      </c>
      <c r="D52" s="117">
        <f>+HLOOKUP('Ingreso Datos'!$I$7,'Precip 1981-2012'!$D$5:$AL$397,44,FALSE)</f>
        <v>150.5</v>
      </c>
      <c r="E52" s="122">
        <f t="shared" si="0"/>
        <v>169.06992523193915</v>
      </c>
      <c r="F52" s="122">
        <f t="shared" si="1"/>
        <v>6.1358775695817496</v>
      </c>
      <c r="G52" s="123">
        <f t="shared" si="2"/>
        <v>67.820123493780443</v>
      </c>
      <c r="H52" s="123">
        <f t="shared" si="3"/>
        <v>0</v>
      </c>
      <c r="I52" s="123">
        <f t="shared" si="4"/>
        <v>82.679876506219557</v>
      </c>
      <c r="J52" s="123">
        <f t="shared" si="5"/>
        <v>57.684898296401848</v>
      </c>
      <c r="K52" s="123">
        <f t="shared" si="6"/>
        <v>10.135225197378595</v>
      </c>
      <c r="L52" s="123">
        <f t="shared" si="7"/>
        <v>18.969873160135709</v>
      </c>
      <c r="M52" s="123">
        <f t="shared" si="8"/>
        <v>48.242269652627684</v>
      </c>
      <c r="N52" s="123">
        <f t="shared" si="9"/>
        <v>58.377494850006279</v>
      </c>
      <c r="O52" s="123">
        <f t="shared" si="10"/>
        <v>1.5353281145551652</v>
      </c>
    </row>
    <row r="53" spans="1:15" x14ac:dyDescent="0.25">
      <c r="A53" s="32">
        <v>1983</v>
      </c>
      <c r="B53" s="32">
        <v>12</v>
      </c>
      <c r="C53" s="117">
        <f t="shared" si="11"/>
        <v>179.958</v>
      </c>
      <c r="D53" s="117">
        <f>+HLOOKUP('Ingreso Datos'!$I$7,'Precip 1981-2012'!$D$5:$AL$397,45,FALSE)</f>
        <v>19.3</v>
      </c>
      <c r="E53" s="122">
        <f t="shared" si="0"/>
        <v>200.41092523193916</v>
      </c>
      <c r="F53" s="122">
        <f t="shared" si="1"/>
        <v>6.1358775695817496</v>
      </c>
      <c r="G53" s="123">
        <f t="shared" si="2"/>
        <v>0.83539728434864247</v>
      </c>
      <c r="H53" s="123">
        <f t="shared" si="3"/>
        <v>0</v>
      </c>
      <c r="I53" s="123">
        <f t="shared" si="4"/>
        <v>18.46460271565136</v>
      </c>
      <c r="J53" s="123">
        <f t="shared" si="5"/>
        <v>0.8335931872375808</v>
      </c>
      <c r="K53" s="123">
        <f t="shared" si="6"/>
        <v>1.8040971110616644E-3</v>
      </c>
      <c r="L53" s="123">
        <f t="shared" si="7"/>
        <v>2.1156069915752438</v>
      </c>
      <c r="M53" s="123">
        <f t="shared" si="8"/>
        <v>17.687859355798047</v>
      </c>
      <c r="N53" s="123">
        <f t="shared" si="9"/>
        <v>17.689663452909109</v>
      </c>
      <c r="O53" s="123">
        <f t="shared" si="10"/>
        <v>0.46523814881150954</v>
      </c>
    </row>
    <row r="54" spans="1:15" x14ac:dyDescent="0.25">
      <c r="A54" s="32">
        <v>1984</v>
      </c>
      <c r="B54" s="32">
        <v>1</v>
      </c>
      <c r="C54" s="117">
        <f t="shared" si="11"/>
        <v>190.06799999999998</v>
      </c>
      <c r="D54" s="117">
        <f>+HLOOKUP('Ingreso Datos'!$I$7,'Precip 1981-2012'!$D$5:$AL$397,46,FALSE)</f>
        <v>343.1</v>
      </c>
      <c r="E54" s="122">
        <f t="shared" si="0"/>
        <v>210.52092523193915</v>
      </c>
      <c r="F54" s="122">
        <f t="shared" si="1"/>
        <v>6.1358775695817496</v>
      </c>
      <c r="G54" s="123">
        <f t="shared" si="2"/>
        <v>209.7441468061044</v>
      </c>
      <c r="H54" s="123">
        <f t="shared" si="3"/>
        <v>0</v>
      </c>
      <c r="I54" s="123">
        <f t="shared" si="4"/>
        <v>133.35585319389563</v>
      </c>
      <c r="J54" s="123">
        <f t="shared" si="5"/>
        <v>135.89934723019039</v>
      </c>
      <c r="K54" s="123">
        <f t="shared" si="6"/>
        <v>73.84479957591401</v>
      </c>
      <c r="L54" s="123">
        <f t="shared" si="7"/>
        <v>42.70306528930579</v>
      </c>
      <c r="M54" s="123">
        <f t="shared" si="8"/>
        <v>95.311888932459837</v>
      </c>
      <c r="N54" s="123">
        <f t="shared" si="9"/>
        <v>169.15668850837386</v>
      </c>
      <c r="O54" s="123">
        <f t="shared" si="10"/>
        <v>4.4488209077702319</v>
      </c>
    </row>
    <row r="55" spans="1:15" x14ac:dyDescent="0.25">
      <c r="A55" s="32">
        <v>1984</v>
      </c>
      <c r="B55" s="32">
        <v>2</v>
      </c>
      <c r="C55" s="117">
        <f t="shared" si="11"/>
        <v>146.595</v>
      </c>
      <c r="D55" s="117">
        <f>+HLOOKUP('Ingreso Datos'!$I$7,'Precip 1981-2012'!$D$5:$AL$397,47,FALSE)</f>
        <v>332.6</v>
      </c>
      <c r="E55" s="122">
        <f t="shared" si="0"/>
        <v>167.04792523193916</v>
      </c>
      <c r="F55" s="122">
        <f t="shared" si="1"/>
        <v>6.1358775695817496</v>
      </c>
      <c r="G55" s="123">
        <f t="shared" si="2"/>
        <v>218.67877375698333</v>
      </c>
      <c r="H55" s="123">
        <f t="shared" si="3"/>
        <v>0</v>
      </c>
      <c r="I55" s="123">
        <f t="shared" si="4"/>
        <v>113.92122624301669</v>
      </c>
      <c r="J55" s="123">
        <f t="shared" si="5"/>
        <v>139.59479038058549</v>
      </c>
      <c r="K55" s="123">
        <f t="shared" si="6"/>
        <v>79.083983376397839</v>
      </c>
      <c r="L55" s="123">
        <f t="shared" si="7"/>
        <v>47.82742454813976</v>
      </c>
      <c r="M55" s="123">
        <f t="shared" si="8"/>
        <v>134.47043112175152</v>
      </c>
      <c r="N55" s="123">
        <f t="shared" si="9"/>
        <v>213.55441449814936</v>
      </c>
      <c r="O55" s="123">
        <f t="shared" si="10"/>
        <v>5.6164811013013276</v>
      </c>
    </row>
    <row r="56" spans="1:15" x14ac:dyDescent="0.25">
      <c r="A56" s="32">
        <v>1984</v>
      </c>
      <c r="B56" s="32">
        <v>3</v>
      </c>
      <c r="C56" s="117">
        <f t="shared" si="11"/>
        <v>120.30899999999998</v>
      </c>
      <c r="D56" s="117">
        <f>+HLOOKUP('Ingreso Datos'!$I$7,'Precip 1981-2012'!$D$5:$AL$397,48,FALSE)</f>
        <v>197.5</v>
      </c>
      <c r="E56" s="122">
        <f t="shared" si="0"/>
        <v>140.76192523193916</v>
      </c>
      <c r="F56" s="122">
        <f t="shared" si="1"/>
        <v>6.1358775695817496</v>
      </c>
      <c r="G56" s="123">
        <f t="shared" si="2"/>
        <v>112.33537300570174</v>
      </c>
      <c r="H56" s="123">
        <f t="shared" si="3"/>
        <v>0</v>
      </c>
      <c r="I56" s="123">
        <f t="shared" si="4"/>
        <v>85.16462699429826</v>
      </c>
      <c r="J56" s="123">
        <f t="shared" si="5"/>
        <v>87.012594989328093</v>
      </c>
      <c r="K56" s="123">
        <f t="shared" si="6"/>
        <v>25.322778016373647</v>
      </c>
      <c r="L56" s="123">
        <f t="shared" si="7"/>
        <v>31.88586843948676</v>
      </c>
      <c r="M56" s="123">
        <f t="shared" si="8"/>
        <v>102.9541510979811</v>
      </c>
      <c r="N56" s="123">
        <f t="shared" si="9"/>
        <v>128.27692911435474</v>
      </c>
      <c r="O56" s="123">
        <f t="shared" si="10"/>
        <v>3.3736832357075297</v>
      </c>
    </row>
    <row r="57" spans="1:15" x14ac:dyDescent="0.25">
      <c r="A57" s="32">
        <v>1984</v>
      </c>
      <c r="B57" s="32">
        <v>4</v>
      </c>
      <c r="C57" s="117">
        <f t="shared" si="11"/>
        <v>73.802999999999997</v>
      </c>
      <c r="D57" s="117">
        <f>+HLOOKUP('Ingreso Datos'!$I$7,'Precip 1981-2012'!$D$5:$AL$397,49,FALSE)</f>
        <v>125.1</v>
      </c>
      <c r="E57" s="122">
        <f t="shared" si="0"/>
        <v>94.255925231939159</v>
      </c>
      <c r="F57" s="122">
        <f t="shared" si="1"/>
        <v>6.1358775695817496</v>
      </c>
      <c r="G57" s="123">
        <f t="shared" si="2"/>
        <v>68.341594721118014</v>
      </c>
      <c r="H57" s="123">
        <f t="shared" si="3"/>
        <v>0</v>
      </c>
      <c r="I57" s="123">
        <f t="shared" si="4"/>
        <v>56.75840527888198</v>
      </c>
      <c r="J57" s="123">
        <f t="shared" si="5"/>
        <v>58.061722432752219</v>
      </c>
      <c r="K57" s="123">
        <f t="shared" si="6"/>
        <v>10.279872288365794</v>
      </c>
      <c r="L57" s="123">
        <f t="shared" si="7"/>
        <v>21.27401061690443</v>
      </c>
      <c r="M57" s="123">
        <f t="shared" si="8"/>
        <v>68.673580255334542</v>
      </c>
      <c r="N57" s="123">
        <f t="shared" si="9"/>
        <v>78.953452543700337</v>
      </c>
      <c r="O57" s="123">
        <f t="shared" si="10"/>
        <v>2.0764758018993188</v>
      </c>
    </row>
    <row r="58" spans="1:15" x14ac:dyDescent="0.25">
      <c r="A58" s="32">
        <v>1984</v>
      </c>
      <c r="B58" s="32">
        <v>5</v>
      </c>
      <c r="C58" s="117">
        <f t="shared" si="11"/>
        <v>44.483999999999995</v>
      </c>
      <c r="D58" s="117">
        <f>+HLOOKUP('Ingreso Datos'!$I$7,'Precip 1981-2012'!$D$5:$AL$397,50,FALSE)</f>
        <v>177.1</v>
      </c>
      <c r="E58" s="122">
        <f t="shared" si="0"/>
        <v>64.936925231939156</v>
      </c>
      <c r="F58" s="122">
        <f t="shared" si="1"/>
        <v>6.1358775695817496</v>
      </c>
      <c r="G58" s="123">
        <f t="shared" si="2"/>
        <v>127.21132252813135</v>
      </c>
      <c r="H58" s="123">
        <f t="shared" si="3"/>
        <v>5.4046774718686521</v>
      </c>
      <c r="I58" s="123">
        <f t="shared" si="4"/>
        <v>44.483999999999995</v>
      </c>
      <c r="J58" s="123">
        <f t="shared" si="5"/>
        <v>95.679047480810624</v>
      </c>
      <c r="K58" s="123">
        <f t="shared" si="6"/>
        <v>31.532275047320724</v>
      </c>
      <c r="L58" s="123">
        <f t="shared" si="7"/>
        <v>31.999413717561783</v>
      </c>
      <c r="M58" s="123">
        <f t="shared" si="8"/>
        <v>84.953644380153264</v>
      </c>
      <c r="N58" s="123">
        <f t="shared" si="9"/>
        <v>116.48591942747399</v>
      </c>
      <c r="O58" s="123">
        <f t="shared" si="10"/>
        <v>3.0635796809425657</v>
      </c>
    </row>
    <row r="59" spans="1:15" x14ac:dyDescent="0.25">
      <c r="A59" s="32">
        <v>1984</v>
      </c>
      <c r="B59" s="32">
        <v>6</v>
      </c>
      <c r="C59" s="117">
        <f t="shared" si="11"/>
        <v>29.318999999999996</v>
      </c>
      <c r="D59" s="117">
        <f>+HLOOKUP('Ingreso Datos'!$I$7,'Precip 1981-2012'!$D$5:$AL$397,51,FALSE)</f>
        <v>131.6</v>
      </c>
      <c r="E59" s="122">
        <f t="shared" si="0"/>
        <v>44.367247760070512</v>
      </c>
      <c r="F59" s="122">
        <f t="shared" si="1"/>
        <v>4.5144743280211541</v>
      </c>
      <c r="G59" s="123">
        <f t="shared" si="2"/>
        <v>96.746707747745816</v>
      </c>
      <c r="H59" s="123">
        <f t="shared" si="3"/>
        <v>10.938969724122849</v>
      </c>
      <c r="I59" s="123">
        <f t="shared" si="4"/>
        <v>29.318999999999996</v>
      </c>
      <c r="J59" s="123">
        <f t="shared" si="5"/>
        <v>77.357812267346873</v>
      </c>
      <c r="K59" s="123">
        <f t="shared" si="6"/>
        <v>19.388895480398944</v>
      </c>
      <c r="L59" s="123">
        <f t="shared" si="7"/>
        <v>27.319067217256379</v>
      </c>
      <c r="M59" s="123">
        <f t="shared" si="8"/>
        <v>82.038158767652277</v>
      </c>
      <c r="N59" s="123">
        <f t="shared" si="9"/>
        <v>101.42705424805122</v>
      </c>
      <c r="O59" s="123">
        <f t="shared" si="10"/>
        <v>2.6675315267237472</v>
      </c>
    </row>
    <row r="60" spans="1:15" x14ac:dyDescent="0.25">
      <c r="A60" s="32">
        <v>1984</v>
      </c>
      <c r="B60" s="32">
        <v>7</v>
      </c>
      <c r="C60" s="117">
        <f t="shared" si="11"/>
        <v>35.384999999999998</v>
      </c>
      <c r="D60" s="117">
        <f>+HLOOKUP('Ingreso Datos'!$I$7,'Precip 1981-2012'!$D$5:$AL$397,52,FALSE)</f>
        <v>101.2</v>
      </c>
      <c r="E60" s="122">
        <f t="shared" si="0"/>
        <v>44.898955507816311</v>
      </c>
      <c r="F60" s="122">
        <f t="shared" si="1"/>
        <v>2.8541866523448949</v>
      </c>
      <c r="G60" s="123">
        <f t="shared" si="2"/>
        <v>68.892790750150652</v>
      </c>
      <c r="H60" s="123">
        <f t="shared" si="3"/>
        <v>7.8611789739722084</v>
      </c>
      <c r="I60" s="123">
        <f t="shared" si="4"/>
        <v>35.384999999999998</v>
      </c>
      <c r="J60" s="123">
        <f t="shared" si="5"/>
        <v>58.459086998730029</v>
      </c>
      <c r="K60" s="123">
        <f t="shared" si="6"/>
        <v>10.433703751420623</v>
      </c>
      <c r="L60" s="123">
        <f t="shared" si="7"/>
        <v>20.951710333504515</v>
      </c>
      <c r="M60" s="123">
        <f t="shared" si="8"/>
        <v>64.826443882481897</v>
      </c>
      <c r="N60" s="123">
        <f t="shared" si="9"/>
        <v>75.26014763390252</v>
      </c>
      <c r="O60" s="123">
        <f t="shared" si="10"/>
        <v>1.9793418827716363</v>
      </c>
    </row>
    <row r="61" spans="1:15" x14ac:dyDescent="0.25">
      <c r="A61" s="32">
        <v>1984</v>
      </c>
      <c r="B61" s="32">
        <v>8</v>
      </c>
      <c r="C61" s="117">
        <f t="shared" si="11"/>
        <v>55.605000000000004</v>
      </c>
      <c r="D61" s="117">
        <f>+HLOOKUP('Ingreso Datos'!$I$7,'Precip 1981-2012'!$D$5:$AL$397,53,FALSE)</f>
        <v>25.3</v>
      </c>
      <c r="E61" s="122">
        <f t="shared" si="0"/>
        <v>68.196746257966964</v>
      </c>
      <c r="F61" s="122">
        <f t="shared" si="1"/>
        <v>3.7775238773900868</v>
      </c>
      <c r="G61" s="123">
        <f t="shared" si="2"/>
        <v>5.3898978786314924</v>
      </c>
      <c r="H61" s="123">
        <f t="shared" si="3"/>
        <v>0</v>
      </c>
      <c r="I61" s="123">
        <f t="shared" si="4"/>
        <v>27.771281095340719</v>
      </c>
      <c r="J61" s="123">
        <f t="shared" si="5"/>
        <v>5.3156726640831993</v>
      </c>
      <c r="K61" s="123">
        <f t="shared" si="6"/>
        <v>7.4225214548293117E-2</v>
      </c>
      <c r="L61" s="123">
        <f t="shared" si="7"/>
        <v>3.7109595457877842</v>
      </c>
      <c r="M61" s="123">
        <f t="shared" si="8"/>
        <v>22.55642345179993</v>
      </c>
      <c r="N61" s="123">
        <f t="shared" si="9"/>
        <v>22.630648666348222</v>
      </c>
      <c r="O61" s="123">
        <f t="shared" si="10"/>
        <v>0.59518605992495821</v>
      </c>
    </row>
    <row r="62" spans="1:15" x14ac:dyDescent="0.25">
      <c r="A62" s="32">
        <v>1984</v>
      </c>
      <c r="B62" s="32">
        <v>9</v>
      </c>
      <c r="C62" s="117">
        <f t="shared" si="11"/>
        <v>78.858000000000004</v>
      </c>
      <c r="D62" s="117">
        <f>+HLOOKUP('Ingreso Datos'!$I$7,'Precip 1981-2012'!$D$5:$AL$397,54,FALSE)</f>
        <v>207.1</v>
      </c>
      <c r="E62" s="122">
        <f t="shared" si="0"/>
        <v>99.310925231939166</v>
      </c>
      <c r="F62" s="122">
        <f t="shared" si="1"/>
        <v>6.1358775695817496</v>
      </c>
      <c r="G62" s="123">
        <f t="shared" si="2"/>
        <v>137.30431921559321</v>
      </c>
      <c r="H62" s="123">
        <f t="shared" si="3"/>
        <v>0</v>
      </c>
      <c r="I62" s="123">
        <f t="shared" si="4"/>
        <v>69.795680784406784</v>
      </c>
      <c r="J62" s="123">
        <f t="shared" si="5"/>
        <v>101.2784822733023</v>
      </c>
      <c r="K62" s="123">
        <f t="shared" si="6"/>
        <v>36.025836942290908</v>
      </c>
      <c r="L62" s="123">
        <f t="shared" si="7"/>
        <v>32.033000641293256</v>
      </c>
      <c r="M62" s="123">
        <f t="shared" si="8"/>
        <v>72.956441177796833</v>
      </c>
      <c r="N62" s="123">
        <f t="shared" si="9"/>
        <v>108.98227812008774</v>
      </c>
      <c r="O62" s="123">
        <f t="shared" si="10"/>
        <v>2.8662339145583076</v>
      </c>
    </row>
    <row r="63" spans="1:15" x14ac:dyDescent="0.25">
      <c r="A63" s="32">
        <v>1984</v>
      </c>
      <c r="B63" s="32">
        <v>10</v>
      </c>
      <c r="C63" s="117">
        <f t="shared" si="11"/>
        <v>113.232</v>
      </c>
      <c r="D63" s="117">
        <f>+HLOOKUP('Ingreso Datos'!$I$7,'Precip 1981-2012'!$D$5:$AL$397,55,FALSE)</f>
        <v>125.3</v>
      </c>
      <c r="E63" s="122">
        <f t="shared" si="0"/>
        <v>133.68492523193916</v>
      </c>
      <c r="F63" s="122">
        <f t="shared" si="1"/>
        <v>6.1358775695817496</v>
      </c>
      <c r="G63" s="123">
        <f t="shared" si="2"/>
        <v>57.557073541196907</v>
      </c>
      <c r="H63" s="123">
        <f t="shared" si="3"/>
        <v>0</v>
      </c>
      <c r="I63" s="123">
        <f t="shared" si="4"/>
        <v>67.742926458803083</v>
      </c>
      <c r="J63" s="123">
        <f t="shared" si="5"/>
        <v>50.08832394336401</v>
      </c>
      <c r="K63" s="123">
        <f t="shared" si="6"/>
        <v>7.4687495978328968</v>
      </c>
      <c r="L63" s="123">
        <f t="shared" si="7"/>
        <v>18.795088540247896</v>
      </c>
      <c r="M63" s="123">
        <f t="shared" si="8"/>
        <v>63.32623604440937</v>
      </c>
      <c r="N63" s="123">
        <f t="shared" si="9"/>
        <v>70.794985642242267</v>
      </c>
      <c r="O63" s="123">
        <f t="shared" si="10"/>
        <v>1.8619081223909717</v>
      </c>
    </row>
    <row r="64" spans="1:15" x14ac:dyDescent="0.25">
      <c r="A64" s="32">
        <v>1984</v>
      </c>
      <c r="B64" s="32">
        <v>11</v>
      </c>
      <c r="C64" s="117">
        <f t="shared" si="11"/>
        <v>148.61699999999999</v>
      </c>
      <c r="D64" s="117">
        <f>+HLOOKUP('Ingreso Datos'!$I$7,'Precip 1981-2012'!$D$5:$AL$397,56,FALSE)</f>
        <v>143.9</v>
      </c>
      <c r="E64" s="122">
        <f t="shared" si="0"/>
        <v>169.06992523193915</v>
      </c>
      <c r="F64" s="122">
        <f t="shared" si="1"/>
        <v>6.1358775695817496</v>
      </c>
      <c r="G64" s="123">
        <f t="shared" si="2"/>
        <v>63.116291739213501</v>
      </c>
      <c r="H64" s="123">
        <f t="shared" si="3"/>
        <v>0</v>
      </c>
      <c r="I64" s="123">
        <f t="shared" si="4"/>
        <v>80.783708260786511</v>
      </c>
      <c r="J64" s="123">
        <f t="shared" si="5"/>
        <v>54.246281106816561</v>
      </c>
      <c r="K64" s="123">
        <f t="shared" si="6"/>
        <v>8.8700106323969408</v>
      </c>
      <c r="L64" s="123">
        <f t="shared" si="7"/>
        <v>18.800847429051021</v>
      </c>
      <c r="M64" s="123">
        <f t="shared" si="8"/>
        <v>54.240522218013439</v>
      </c>
      <c r="N64" s="123">
        <f t="shared" si="9"/>
        <v>63.11053285041038</v>
      </c>
      <c r="O64" s="123">
        <f t="shared" si="10"/>
        <v>1.659807013965793</v>
      </c>
    </row>
    <row r="65" spans="1:15" x14ac:dyDescent="0.25">
      <c r="A65" s="32">
        <v>1984</v>
      </c>
      <c r="B65" s="32">
        <v>12</v>
      </c>
      <c r="C65" s="117">
        <f t="shared" si="11"/>
        <v>179.958</v>
      </c>
      <c r="D65" s="117">
        <f>+HLOOKUP('Ingreso Datos'!$I$7,'Precip 1981-2012'!$D$5:$AL$397,57,FALSE)</f>
        <v>28.2</v>
      </c>
      <c r="E65" s="122">
        <f t="shared" si="0"/>
        <v>200.41092523193916</v>
      </c>
      <c r="F65" s="122">
        <f t="shared" si="1"/>
        <v>6.1358775695817496</v>
      </c>
      <c r="G65" s="123">
        <f t="shared" si="2"/>
        <v>2.2502882784274059</v>
      </c>
      <c r="H65" s="123">
        <f t="shared" si="3"/>
        <v>0</v>
      </c>
      <c r="I65" s="123">
        <f t="shared" si="4"/>
        <v>25.949711721572594</v>
      </c>
      <c r="J65" s="123">
        <f t="shared" si="5"/>
        <v>2.237245667799912</v>
      </c>
      <c r="K65" s="123">
        <f t="shared" si="6"/>
        <v>1.30426106274939E-2</v>
      </c>
      <c r="L65" s="123">
        <f t="shared" si="7"/>
        <v>2.5380060386708108</v>
      </c>
      <c r="M65" s="123">
        <f t="shared" si="8"/>
        <v>18.500087058180121</v>
      </c>
      <c r="N65" s="123">
        <f t="shared" si="9"/>
        <v>18.513129668807615</v>
      </c>
      <c r="O65" s="123">
        <f t="shared" si="10"/>
        <v>0.48689531028964028</v>
      </c>
    </row>
    <row r="66" spans="1:15" x14ac:dyDescent="0.25">
      <c r="A66" s="32">
        <v>1985</v>
      </c>
      <c r="B66" s="32">
        <v>1</v>
      </c>
      <c r="C66" s="117">
        <f t="shared" si="11"/>
        <v>190.06799999999998</v>
      </c>
      <c r="D66" s="117">
        <f>+HLOOKUP('Ingreso Datos'!$I$7,'Precip 1981-2012'!$D$5:$AL$397,58,FALSE)</f>
        <v>66.400000000000006</v>
      </c>
      <c r="E66" s="122">
        <f t="shared" si="0"/>
        <v>210.52092523193915</v>
      </c>
      <c r="F66" s="122">
        <f t="shared" si="1"/>
        <v>6.1358775695817496</v>
      </c>
      <c r="G66" s="123">
        <f t="shared" si="2"/>
        <v>13.722939131210145</v>
      </c>
      <c r="H66" s="123">
        <f t="shared" si="3"/>
        <v>0</v>
      </c>
      <c r="I66" s="123">
        <f t="shared" si="4"/>
        <v>52.677060868789859</v>
      </c>
      <c r="J66" s="123">
        <f t="shared" si="5"/>
        <v>13.251815160171089</v>
      </c>
      <c r="K66" s="123">
        <f t="shared" si="6"/>
        <v>0.47112397103905579</v>
      </c>
      <c r="L66" s="123">
        <f t="shared" si="7"/>
        <v>4.3920632147515484</v>
      </c>
      <c r="M66" s="123">
        <f t="shared" si="8"/>
        <v>11.397757984090351</v>
      </c>
      <c r="N66" s="123">
        <f t="shared" si="9"/>
        <v>11.868881955129407</v>
      </c>
      <c r="O66" s="123">
        <f t="shared" si="10"/>
        <v>0.31215159541990339</v>
      </c>
    </row>
    <row r="67" spans="1:15" x14ac:dyDescent="0.25">
      <c r="A67" s="32">
        <v>1985</v>
      </c>
      <c r="B67" s="32">
        <v>2</v>
      </c>
      <c r="C67" s="117">
        <f t="shared" si="11"/>
        <v>146.595</v>
      </c>
      <c r="D67" s="117">
        <f>+HLOOKUP('Ingreso Datos'!$I$7,'Precip 1981-2012'!$D$5:$AL$397,59,FALSE)</f>
        <v>102.9</v>
      </c>
      <c r="E67" s="122">
        <f t="shared" si="0"/>
        <v>167.04792523193916</v>
      </c>
      <c r="F67" s="122">
        <f t="shared" si="1"/>
        <v>6.1358775695817496</v>
      </c>
      <c r="G67" s="123">
        <f t="shared" si="2"/>
        <v>36.337451718401979</v>
      </c>
      <c r="H67" s="123">
        <f t="shared" si="3"/>
        <v>0</v>
      </c>
      <c r="I67" s="123">
        <f t="shared" si="4"/>
        <v>66.562548281598026</v>
      </c>
      <c r="J67" s="123">
        <f t="shared" si="5"/>
        <v>33.21101717650965</v>
      </c>
      <c r="K67" s="123">
        <f t="shared" si="6"/>
        <v>3.1264345418923298</v>
      </c>
      <c r="L67" s="123">
        <f t="shared" si="7"/>
        <v>10.81467052606417</v>
      </c>
      <c r="M67" s="123">
        <f t="shared" si="8"/>
        <v>26.788409865197028</v>
      </c>
      <c r="N67" s="123">
        <f t="shared" si="9"/>
        <v>29.914844407089358</v>
      </c>
      <c r="O67" s="123">
        <f t="shared" si="10"/>
        <v>0.78676040790645008</v>
      </c>
    </row>
    <row r="68" spans="1:15" x14ac:dyDescent="0.25">
      <c r="A68" s="32">
        <v>1985</v>
      </c>
      <c r="B68" s="32">
        <v>3</v>
      </c>
      <c r="C68" s="117">
        <f t="shared" si="11"/>
        <v>120.30899999999998</v>
      </c>
      <c r="D68" s="117">
        <f>+HLOOKUP('Ingreso Datos'!$I$7,'Precip 1981-2012'!$D$5:$AL$397,60,FALSE)</f>
        <v>261.7</v>
      </c>
      <c r="E68" s="122">
        <f t="shared" si="0"/>
        <v>140.76192523193916</v>
      </c>
      <c r="F68" s="122">
        <f t="shared" si="1"/>
        <v>6.1358775695817496</v>
      </c>
      <c r="G68" s="123">
        <f t="shared" si="2"/>
        <v>167.3876629390748</v>
      </c>
      <c r="H68" s="123">
        <f t="shared" si="3"/>
        <v>0</v>
      </c>
      <c r="I68" s="123">
        <f t="shared" si="4"/>
        <v>94.312337060925188</v>
      </c>
      <c r="J68" s="123">
        <f t="shared" si="5"/>
        <v>116.75655642795979</v>
      </c>
      <c r="K68" s="123">
        <f t="shared" si="6"/>
        <v>50.631106511115007</v>
      </c>
      <c r="L68" s="123">
        <f t="shared" si="7"/>
        <v>37.567673065145414</v>
      </c>
      <c r="M68" s="123">
        <f t="shared" si="8"/>
        <v>90.003553888878542</v>
      </c>
      <c r="N68" s="123">
        <f t="shared" si="9"/>
        <v>140.63466039999355</v>
      </c>
      <c r="O68" s="123">
        <f t="shared" si="10"/>
        <v>3.6986915685198305</v>
      </c>
    </row>
    <row r="69" spans="1:15" x14ac:dyDescent="0.25">
      <c r="A69" s="32">
        <v>1985</v>
      </c>
      <c r="B69" s="32">
        <v>4</v>
      </c>
      <c r="C69" s="117">
        <f t="shared" si="11"/>
        <v>73.802999999999997</v>
      </c>
      <c r="D69" s="117">
        <f>+HLOOKUP('Ingreso Datos'!$I$7,'Precip 1981-2012'!$D$5:$AL$397,61,FALSE)</f>
        <v>115.7</v>
      </c>
      <c r="E69" s="122">
        <f t="shared" si="0"/>
        <v>94.255925231939159</v>
      </c>
      <c r="F69" s="122">
        <f t="shared" si="1"/>
        <v>6.1358775695817496</v>
      </c>
      <c r="G69" s="123">
        <f t="shared" si="2"/>
        <v>60.724624122983215</v>
      </c>
      <c r="H69" s="123">
        <f t="shared" si="3"/>
        <v>0</v>
      </c>
      <c r="I69" s="123">
        <f t="shared" si="4"/>
        <v>54.975375877016788</v>
      </c>
      <c r="J69" s="123">
        <f t="shared" si="5"/>
        <v>52.470143004739711</v>
      </c>
      <c r="K69" s="123">
        <f t="shared" si="6"/>
        <v>8.2544811182435041</v>
      </c>
      <c r="L69" s="123">
        <f t="shared" si="7"/>
        <v>20.081090895641765</v>
      </c>
      <c r="M69" s="123">
        <f t="shared" si="8"/>
        <v>69.95672517424336</v>
      </c>
      <c r="N69" s="123">
        <f t="shared" si="9"/>
        <v>78.211206292486864</v>
      </c>
      <c r="O69" s="123">
        <f t="shared" si="10"/>
        <v>2.0569547254924045</v>
      </c>
    </row>
    <row r="70" spans="1:15" x14ac:dyDescent="0.25">
      <c r="A70" s="32">
        <v>1985</v>
      </c>
      <c r="B70" s="32">
        <v>5</v>
      </c>
      <c r="C70" s="117">
        <f t="shared" si="11"/>
        <v>44.483999999999995</v>
      </c>
      <c r="D70" s="117">
        <f>+HLOOKUP('Ingreso Datos'!$I$7,'Precip 1981-2012'!$D$5:$AL$397,62,FALSE)</f>
        <v>150.69999999999999</v>
      </c>
      <c r="E70" s="122">
        <f t="shared" si="0"/>
        <v>64.936925231939156</v>
      </c>
      <c r="F70" s="122">
        <f t="shared" si="1"/>
        <v>6.1358775695817496</v>
      </c>
      <c r="G70" s="123">
        <f t="shared" si="2"/>
        <v>102.76482194341777</v>
      </c>
      <c r="H70" s="123">
        <f t="shared" si="3"/>
        <v>3.4511780565822221</v>
      </c>
      <c r="I70" s="123">
        <f t="shared" si="4"/>
        <v>44.483999999999995</v>
      </c>
      <c r="J70" s="123">
        <f t="shared" si="5"/>
        <v>81.158093809687813</v>
      </c>
      <c r="K70" s="123">
        <f t="shared" si="6"/>
        <v>21.606728133729959</v>
      </c>
      <c r="L70" s="123">
        <f t="shared" si="7"/>
        <v>27.342013691856597</v>
      </c>
      <c r="M70" s="123">
        <f t="shared" si="8"/>
        <v>73.897171013472985</v>
      </c>
      <c r="N70" s="123">
        <f t="shared" si="9"/>
        <v>95.503899147202944</v>
      </c>
      <c r="O70" s="123">
        <f t="shared" si="10"/>
        <v>2.5117525475714375</v>
      </c>
    </row>
    <row r="71" spans="1:15" x14ac:dyDescent="0.25">
      <c r="A71" s="32">
        <v>1985</v>
      </c>
      <c r="B71" s="32">
        <v>6</v>
      </c>
      <c r="C71" s="117">
        <f t="shared" si="11"/>
        <v>29.318999999999996</v>
      </c>
      <c r="D71" s="117">
        <f>+HLOOKUP('Ingreso Datos'!$I$7,'Precip 1981-2012'!$D$5:$AL$397,63,FALSE)</f>
        <v>75.3</v>
      </c>
      <c r="E71" s="122">
        <f t="shared" si="0"/>
        <v>46.320747175356942</v>
      </c>
      <c r="F71" s="122">
        <f t="shared" si="1"/>
        <v>5.1005241526070826</v>
      </c>
      <c r="G71" s="123">
        <f t="shared" si="2"/>
        <v>44.228861316454811</v>
      </c>
      <c r="H71" s="123">
        <f t="shared" si="3"/>
        <v>5.2033167401274127</v>
      </c>
      <c r="I71" s="123">
        <f t="shared" si="4"/>
        <v>29.318999999999996</v>
      </c>
      <c r="J71" s="123">
        <f t="shared" si="5"/>
        <v>39.68199719542757</v>
      </c>
      <c r="K71" s="123">
        <f t="shared" si="6"/>
        <v>4.5468641210272409</v>
      </c>
      <c r="L71" s="123">
        <f t="shared" si="7"/>
        <v>15.082293464169283</v>
      </c>
      <c r="M71" s="123">
        <f t="shared" si="8"/>
        <v>51.941717423114881</v>
      </c>
      <c r="N71" s="123">
        <f t="shared" si="9"/>
        <v>56.488581544142122</v>
      </c>
      <c r="O71" s="123">
        <f t="shared" si="10"/>
        <v>1.4856496946109377</v>
      </c>
    </row>
    <row r="72" spans="1:15" x14ac:dyDescent="0.25">
      <c r="A72" s="32">
        <v>1985</v>
      </c>
      <c r="B72" s="32">
        <v>7</v>
      </c>
      <c r="C72" s="117">
        <f t="shared" si="11"/>
        <v>35.384999999999998</v>
      </c>
      <c r="D72" s="117">
        <f>+HLOOKUP('Ingreso Datos'!$I$7,'Precip 1981-2012'!$D$5:$AL$397,64,FALSE)</f>
        <v>136.80000000000001</v>
      </c>
      <c r="E72" s="122">
        <f t="shared" si="0"/>
        <v>50.634608491811747</v>
      </c>
      <c r="F72" s="122">
        <f t="shared" si="1"/>
        <v>4.5748825475435257</v>
      </c>
      <c r="G72" s="123">
        <f t="shared" si="2"/>
        <v>98.064879505270966</v>
      </c>
      <c r="H72" s="123">
        <f t="shared" si="3"/>
        <v>8.5534372348564531</v>
      </c>
      <c r="I72" s="123">
        <f t="shared" si="4"/>
        <v>35.384999999999998</v>
      </c>
      <c r="J72" s="123">
        <f t="shared" si="5"/>
        <v>78.198285171445519</v>
      </c>
      <c r="K72" s="123">
        <f t="shared" si="6"/>
        <v>19.866594333825446</v>
      </c>
      <c r="L72" s="123">
        <f t="shared" si="7"/>
        <v>25.927671707366702</v>
      </c>
      <c r="M72" s="123">
        <f t="shared" si="8"/>
        <v>67.352906928248103</v>
      </c>
      <c r="N72" s="123">
        <f t="shared" si="9"/>
        <v>87.21950126207355</v>
      </c>
      <c r="O72" s="123">
        <f t="shared" si="10"/>
        <v>2.2938728831925346</v>
      </c>
    </row>
    <row r="73" spans="1:15" x14ac:dyDescent="0.25">
      <c r="A73" s="32">
        <v>1985</v>
      </c>
      <c r="B73" s="32">
        <v>8</v>
      </c>
      <c r="C73" s="117">
        <f t="shared" si="11"/>
        <v>55.605000000000004</v>
      </c>
      <c r="D73" s="117">
        <f>+HLOOKUP('Ingreso Datos'!$I$7,'Precip 1981-2012'!$D$5:$AL$397,65,FALSE)</f>
        <v>80</v>
      </c>
      <c r="E73" s="122">
        <f t="shared" si="0"/>
        <v>67.50448799708272</v>
      </c>
      <c r="F73" s="122">
        <f t="shared" si="1"/>
        <v>3.5698463991248137</v>
      </c>
      <c r="G73" s="123">
        <f t="shared" si="2"/>
        <v>41.617047716120901</v>
      </c>
      <c r="H73" s="123">
        <f t="shared" si="3"/>
        <v>0</v>
      </c>
      <c r="I73" s="123">
        <f t="shared" si="4"/>
        <v>46.93638951873556</v>
      </c>
      <c r="J73" s="123">
        <f t="shared" si="5"/>
        <v>37.566744600620041</v>
      </c>
      <c r="K73" s="123">
        <f t="shared" si="6"/>
        <v>4.05030311550086</v>
      </c>
      <c r="L73" s="123">
        <f t="shared" si="7"/>
        <v>14.282547461985645</v>
      </c>
      <c r="M73" s="123">
        <f t="shared" si="8"/>
        <v>49.211868846001096</v>
      </c>
      <c r="N73" s="123">
        <f t="shared" si="9"/>
        <v>53.262171961501956</v>
      </c>
      <c r="O73" s="123">
        <f t="shared" si="10"/>
        <v>1.4007951225875015</v>
      </c>
    </row>
    <row r="74" spans="1:15" x14ac:dyDescent="0.25">
      <c r="A74" s="32">
        <v>1985</v>
      </c>
      <c r="B74" s="32">
        <v>9</v>
      </c>
      <c r="C74" s="117">
        <f t="shared" si="11"/>
        <v>78.858000000000004</v>
      </c>
      <c r="D74" s="117">
        <f>+HLOOKUP('Ingreso Datos'!$I$7,'Precip 1981-2012'!$D$5:$AL$397,66,FALSE)</f>
        <v>106.8</v>
      </c>
      <c r="E74" s="122">
        <f t="shared" si="0"/>
        <v>99.310925231939166</v>
      </c>
      <c r="F74" s="122">
        <f t="shared" si="1"/>
        <v>6.1358775695817496</v>
      </c>
      <c r="G74" s="123">
        <f t="shared" si="2"/>
        <v>52.276665958878333</v>
      </c>
      <c r="H74" s="123">
        <f t="shared" si="3"/>
        <v>0</v>
      </c>
      <c r="I74" s="123">
        <f t="shared" si="4"/>
        <v>54.523334041121664</v>
      </c>
      <c r="J74" s="123">
        <f t="shared" si="5"/>
        <v>46.041221510114184</v>
      </c>
      <c r="K74" s="123">
        <f t="shared" si="6"/>
        <v>6.2354444487641487</v>
      </c>
      <c r="L74" s="123">
        <f t="shared" si="7"/>
        <v>15.793845224757352</v>
      </c>
      <c r="M74" s="123">
        <f t="shared" si="8"/>
        <v>44.52992374734248</v>
      </c>
      <c r="N74" s="123">
        <f t="shared" si="9"/>
        <v>50.765368196106628</v>
      </c>
      <c r="O74" s="123">
        <f t="shared" si="10"/>
        <v>1.3351291835576042</v>
      </c>
    </row>
    <row r="75" spans="1:15" x14ac:dyDescent="0.25">
      <c r="A75" s="32">
        <v>1985</v>
      </c>
      <c r="B75" s="32">
        <v>10</v>
      </c>
      <c r="C75" s="117">
        <f t="shared" si="11"/>
        <v>113.232</v>
      </c>
      <c r="D75" s="117">
        <f>+HLOOKUP('Ingreso Datos'!$I$7,'Precip 1981-2012'!$D$5:$AL$397,67,FALSE)</f>
        <v>110.6</v>
      </c>
      <c r="E75" s="122">
        <f t="shared" si="0"/>
        <v>133.68492523193916</v>
      </c>
      <c r="F75" s="122">
        <f t="shared" si="1"/>
        <v>6.1358775695817496</v>
      </c>
      <c r="G75" s="123">
        <f t="shared" si="2"/>
        <v>47.035057840870429</v>
      </c>
      <c r="H75" s="123">
        <f t="shared" si="3"/>
        <v>0</v>
      </c>
      <c r="I75" s="123">
        <f t="shared" si="4"/>
        <v>63.564942159129565</v>
      </c>
      <c r="J75" s="123">
        <f t="shared" si="5"/>
        <v>41.926241300416123</v>
      </c>
      <c r="K75" s="123">
        <f t="shared" si="6"/>
        <v>5.1088165404543062</v>
      </c>
      <c r="L75" s="123">
        <f t="shared" si="7"/>
        <v>14.654856640358666</v>
      </c>
      <c r="M75" s="123">
        <f t="shared" si="8"/>
        <v>43.065229884814812</v>
      </c>
      <c r="N75" s="123">
        <f t="shared" si="9"/>
        <v>48.174046425269118</v>
      </c>
      <c r="O75" s="123">
        <f t="shared" si="10"/>
        <v>1.2669774209845777</v>
      </c>
    </row>
    <row r="76" spans="1:15" x14ac:dyDescent="0.25">
      <c r="A76" s="32">
        <v>1985</v>
      </c>
      <c r="B76" s="32">
        <v>11</v>
      </c>
      <c r="C76" s="117">
        <f t="shared" si="11"/>
        <v>148.61699999999999</v>
      </c>
      <c r="D76" s="117">
        <f>+HLOOKUP('Ingreso Datos'!$I$7,'Precip 1981-2012'!$D$5:$AL$397,68,FALSE)</f>
        <v>3.6</v>
      </c>
      <c r="E76" s="122">
        <f t="shared" si="0"/>
        <v>169.06992523193915</v>
      </c>
      <c r="F76" s="122">
        <f t="shared" si="1"/>
        <v>6.1358775695817496</v>
      </c>
      <c r="G76" s="123">
        <f t="shared" si="2"/>
        <v>0</v>
      </c>
      <c r="H76" s="123">
        <f t="shared" si="3"/>
        <v>0</v>
      </c>
      <c r="I76" s="123">
        <f t="shared" si="4"/>
        <v>3.6</v>
      </c>
      <c r="J76" s="123">
        <f t="shared" si="5"/>
        <v>0</v>
      </c>
      <c r="K76" s="123">
        <f t="shared" si="6"/>
        <v>0</v>
      </c>
      <c r="L76" s="123">
        <f t="shared" si="7"/>
        <v>1.4330023543730674</v>
      </c>
      <c r="M76" s="123">
        <f t="shared" si="8"/>
        <v>13.221854285985598</v>
      </c>
      <c r="N76" s="123">
        <f t="shared" si="9"/>
        <v>13.221854285985598</v>
      </c>
      <c r="O76" s="123">
        <f t="shared" si="10"/>
        <v>0.34773476772142126</v>
      </c>
    </row>
    <row r="77" spans="1:15" x14ac:dyDescent="0.25">
      <c r="A77" s="32">
        <v>1985</v>
      </c>
      <c r="B77" s="32">
        <v>12</v>
      </c>
      <c r="C77" s="117">
        <f t="shared" si="11"/>
        <v>179.958</v>
      </c>
      <c r="D77" s="117">
        <f>+HLOOKUP('Ingreso Datos'!$I$7,'Precip 1981-2012'!$D$5:$AL$397,69,FALSE)</f>
        <v>28.3</v>
      </c>
      <c r="E77" s="122">
        <f t="shared" si="0"/>
        <v>200.41092523193916</v>
      </c>
      <c r="F77" s="122">
        <f t="shared" si="1"/>
        <v>6.1358775695817496</v>
      </c>
      <c r="G77" s="123">
        <f t="shared" si="2"/>
        <v>2.2696830841663185</v>
      </c>
      <c r="H77" s="123">
        <f t="shared" si="3"/>
        <v>0</v>
      </c>
      <c r="I77" s="123">
        <f t="shared" si="4"/>
        <v>26.030316915833684</v>
      </c>
      <c r="J77" s="123">
        <f t="shared" si="5"/>
        <v>2.2564153439151844</v>
      </c>
      <c r="K77" s="123">
        <f t="shared" si="6"/>
        <v>1.3267740251134086E-2</v>
      </c>
      <c r="L77" s="123">
        <f t="shared" si="7"/>
        <v>0.84571275526509582</v>
      </c>
      <c r="M77" s="123">
        <f t="shared" si="8"/>
        <v>2.8437049430231562</v>
      </c>
      <c r="N77" s="123">
        <f t="shared" si="9"/>
        <v>2.8569726832742903</v>
      </c>
      <c r="O77" s="123">
        <f t="shared" si="10"/>
        <v>7.5138381570113835E-2</v>
      </c>
    </row>
    <row r="78" spans="1:15" x14ac:dyDescent="0.25">
      <c r="A78" s="32">
        <v>1986</v>
      </c>
      <c r="B78" s="32">
        <v>1</v>
      </c>
      <c r="C78" s="117">
        <f t="shared" si="11"/>
        <v>190.06799999999998</v>
      </c>
      <c r="D78" s="117">
        <f>+HLOOKUP('Ingreso Datos'!$I$7,'Precip 1981-2012'!$D$5:$AL$397,70,FALSE)</f>
        <v>216.8</v>
      </c>
      <c r="E78" s="122">
        <f t="shared" si="0"/>
        <v>210.52092523193915</v>
      </c>
      <c r="F78" s="122">
        <f t="shared" si="1"/>
        <v>6.1358775695817496</v>
      </c>
      <c r="G78" s="123">
        <f t="shared" si="2"/>
        <v>106.92557816573435</v>
      </c>
      <c r="H78" s="123">
        <f t="shared" si="3"/>
        <v>0</v>
      </c>
      <c r="I78" s="123">
        <f t="shared" si="4"/>
        <v>109.87442183426566</v>
      </c>
      <c r="J78" s="123">
        <f t="shared" si="5"/>
        <v>83.731246663155133</v>
      </c>
      <c r="K78" s="123">
        <f t="shared" si="6"/>
        <v>23.194331502579217</v>
      </c>
      <c r="L78" s="123">
        <f t="shared" si="7"/>
        <v>26.265745929544238</v>
      </c>
      <c r="M78" s="123">
        <f t="shared" si="8"/>
        <v>58.311213488875993</v>
      </c>
      <c r="N78" s="123">
        <f t="shared" si="9"/>
        <v>81.50554499145521</v>
      </c>
      <c r="O78" s="123">
        <f t="shared" si="10"/>
        <v>2.1435958332752723</v>
      </c>
    </row>
    <row r="79" spans="1:15" x14ac:dyDescent="0.25">
      <c r="A79" s="32">
        <v>1986</v>
      </c>
      <c r="B79" s="32">
        <v>2</v>
      </c>
      <c r="C79" s="117">
        <f t="shared" si="11"/>
        <v>146.595</v>
      </c>
      <c r="D79" s="117">
        <f>+HLOOKUP('Ingreso Datos'!$I$7,'Precip 1981-2012'!$D$5:$AL$397,71,FALSE)</f>
        <v>76.2</v>
      </c>
      <c r="E79" s="122">
        <f t="shared" si="0"/>
        <v>167.04792523193916</v>
      </c>
      <c r="F79" s="122">
        <f t="shared" si="1"/>
        <v>6.1358775695817496</v>
      </c>
      <c r="G79" s="123">
        <f t="shared" si="2"/>
        <v>21.253193565261984</v>
      </c>
      <c r="H79" s="123">
        <f t="shared" si="3"/>
        <v>0</v>
      </c>
      <c r="I79" s="123">
        <f t="shared" si="4"/>
        <v>54.946806434738022</v>
      </c>
      <c r="J79" s="123">
        <f t="shared" si="5"/>
        <v>20.144059876786415</v>
      </c>
      <c r="K79" s="123">
        <f t="shared" si="6"/>
        <v>1.1091336884755698</v>
      </c>
      <c r="L79" s="123">
        <f t="shared" si="7"/>
        <v>8.8674720023962568</v>
      </c>
      <c r="M79" s="123">
        <f t="shared" si="8"/>
        <v>37.542333803934397</v>
      </c>
      <c r="N79" s="123">
        <f t="shared" si="9"/>
        <v>38.651467492409964</v>
      </c>
      <c r="O79" s="123">
        <f t="shared" si="10"/>
        <v>1.016533595050382</v>
      </c>
    </row>
    <row r="80" spans="1:15" x14ac:dyDescent="0.25">
      <c r="A80" s="32">
        <v>1986</v>
      </c>
      <c r="B80" s="32">
        <v>3</v>
      </c>
      <c r="C80" s="117">
        <f t="shared" si="11"/>
        <v>120.30899999999998</v>
      </c>
      <c r="D80" s="117">
        <f>+HLOOKUP('Ingreso Datos'!$I$7,'Precip 1981-2012'!$D$5:$AL$397,72,FALSE)</f>
        <v>319.2</v>
      </c>
      <c r="E80" s="122">
        <f t="shared" si="0"/>
        <v>140.76192523193916</v>
      </c>
      <c r="F80" s="122">
        <f t="shared" si="1"/>
        <v>6.1358775695817496</v>
      </c>
      <c r="G80" s="123">
        <f t="shared" si="2"/>
        <v>218.92181535461742</v>
      </c>
      <c r="H80" s="123">
        <f t="shared" si="3"/>
        <v>0</v>
      </c>
      <c r="I80" s="123">
        <f t="shared" si="4"/>
        <v>100.27818464538257</v>
      </c>
      <c r="J80" s="123">
        <f t="shared" si="5"/>
        <v>139.69378948144643</v>
      </c>
      <c r="K80" s="123">
        <f t="shared" si="6"/>
        <v>79.228025873170992</v>
      </c>
      <c r="L80" s="123">
        <f t="shared" si="7"/>
        <v>44.54982106484276</v>
      </c>
      <c r="M80" s="123">
        <f t="shared" si="8"/>
        <v>104.01144041899992</v>
      </c>
      <c r="N80" s="123">
        <f t="shared" si="9"/>
        <v>183.2394662921709</v>
      </c>
      <c r="O80" s="123">
        <f t="shared" si="10"/>
        <v>4.8191979634840951</v>
      </c>
    </row>
    <row r="81" spans="1:15" x14ac:dyDescent="0.25">
      <c r="A81" s="32">
        <v>1986</v>
      </c>
      <c r="B81" s="32">
        <v>4</v>
      </c>
      <c r="C81" s="117">
        <f t="shared" si="11"/>
        <v>73.802999999999997</v>
      </c>
      <c r="D81" s="117">
        <f>+HLOOKUP('Ingreso Datos'!$I$7,'Precip 1981-2012'!$D$5:$AL$397,73,FALSE)</f>
        <v>310.89999999999998</v>
      </c>
      <c r="E81" s="122">
        <f t="shared" si="0"/>
        <v>94.255925231939159</v>
      </c>
      <c r="F81" s="122">
        <f t="shared" si="1"/>
        <v>6.1358775695817496</v>
      </c>
      <c r="G81" s="123">
        <f t="shared" si="2"/>
        <v>236.40853307693715</v>
      </c>
      <c r="H81" s="123">
        <f t="shared" si="3"/>
        <v>0.6884669230628333</v>
      </c>
      <c r="I81" s="123">
        <f t="shared" si="4"/>
        <v>73.802999999999997</v>
      </c>
      <c r="J81" s="123">
        <f t="shared" si="5"/>
        <v>146.61382181985235</v>
      </c>
      <c r="K81" s="123">
        <f t="shared" si="6"/>
        <v>89.794711257084799</v>
      </c>
      <c r="L81" s="123">
        <f t="shared" si="7"/>
        <v>50.202881994613413</v>
      </c>
      <c r="M81" s="123">
        <f t="shared" si="8"/>
        <v>140.9607608900817</v>
      </c>
      <c r="N81" s="123">
        <f t="shared" si="9"/>
        <v>230.7554721471665</v>
      </c>
      <c r="O81" s="123">
        <f t="shared" si="10"/>
        <v>6.0688689174704793</v>
      </c>
    </row>
    <row r="82" spans="1:15" x14ac:dyDescent="0.25">
      <c r="A82" s="32">
        <v>1986</v>
      </c>
      <c r="B82" s="32">
        <v>5</v>
      </c>
      <c r="C82" s="117">
        <f t="shared" si="11"/>
        <v>44.483999999999995</v>
      </c>
      <c r="D82" s="117">
        <f>+HLOOKUP('Ingreso Datos'!$I$7,'Precip 1981-2012'!$D$5:$AL$397,74,FALSE)</f>
        <v>243.1</v>
      </c>
      <c r="E82" s="122">
        <f t="shared" ref="E82:E145" si="12">+CAD*AD-H81+C82</f>
        <v>64.248458308876323</v>
      </c>
      <c r="F82" s="122">
        <f t="shared" ref="F82:F145" si="13">+CP.o*(CAD*AD-H81)</f>
        <v>5.9293374926628992</v>
      </c>
      <c r="G82" s="123">
        <f t="shared" ref="G82:G145" si="14">+IF(D82&lt;F82,0,(D82-F82)^2/(D82+E82-2*F82))</f>
        <v>190.36165149770198</v>
      </c>
      <c r="H82" s="123">
        <f t="shared" ref="H82:H145" si="15">+MAX(0,H81+D82-G82-C82)</f>
        <v>8.9428154253608483</v>
      </c>
      <c r="I82" s="123">
        <f t="shared" ref="I82:I145" si="16">+MIN(H81+D82-G82,C82)</f>
        <v>44.483999999999995</v>
      </c>
      <c r="J82" s="123">
        <f t="shared" ref="J82:J145" si="17">+Imax*G82/(G82+Imax)</f>
        <v>127.48869965094464</v>
      </c>
      <c r="K82" s="123">
        <f t="shared" ref="K82:K145" si="18">+G82-J82</f>
        <v>62.872951846757346</v>
      </c>
      <c r="L82" s="123">
        <f t="shared" ref="L82:L145" si="19">+L81*EXP(-α)+J82*EXP(-α/2)</f>
        <v>44.775166187669718</v>
      </c>
      <c r="M82" s="123">
        <f t="shared" ref="M82:M145" si="20">+L81-L82+J82</f>
        <v>132.91641545788832</v>
      </c>
      <c r="N82" s="123">
        <f t="shared" ref="N82:N145" si="21">+M82+K82</f>
        <v>195.78936730464568</v>
      </c>
      <c r="O82" s="123">
        <f t="shared" ref="O82:O145" si="22">+N82*Ac/100000</f>
        <v>5.1492603601121818</v>
      </c>
    </row>
    <row r="83" spans="1:15" x14ac:dyDescent="0.25">
      <c r="A83" s="32">
        <v>1986</v>
      </c>
      <c r="B83" s="32">
        <v>6</v>
      </c>
      <c r="C83" s="117">
        <f t="shared" si="11"/>
        <v>29.318999999999996</v>
      </c>
      <c r="D83" s="117">
        <f>+HLOOKUP('Ingreso Datos'!$I$7,'Precip 1981-2012'!$D$5:$AL$397,75,FALSE)</f>
        <v>113.5</v>
      </c>
      <c r="E83" s="122">
        <f t="shared" si="12"/>
        <v>40.829109806578316</v>
      </c>
      <c r="F83" s="122">
        <f t="shared" si="13"/>
        <v>3.4530329419734951</v>
      </c>
      <c r="G83" s="123">
        <f t="shared" si="14"/>
        <v>82.14682478694418</v>
      </c>
      <c r="H83" s="123">
        <f t="shared" si="15"/>
        <v>10.976990638416673</v>
      </c>
      <c r="I83" s="123">
        <f t="shared" si="16"/>
        <v>29.318999999999996</v>
      </c>
      <c r="J83" s="123">
        <f t="shared" si="17"/>
        <v>67.732328169033764</v>
      </c>
      <c r="K83" s="123">
        <f t="shared" si="18"/>
        <v>14.414496617910416</v>
      </c>
      <c r="L83" s="123">
        <f t="shared" si="19"/>
        <v>25.558402263929739</v>
      </c>
      <c r="M83" s="123">
        <f t="shared" si="20"/>
        <v>86.949092092773739</v>
      </c>
      <c r="N83" s="123">
        <f t="shared" si="21"/>
        <v>101.36358871068416</v>
      </c>
      <c r="O83" s="123">
        <f t="shared" si="22"/>
        <v>2.6658623830909933</v>
      </c>
    </row>
    <row r="84" spans="1:15" x14ac:dyDescent="0.25">
      <c r="A84" s="32">
        <v>1986</v>
      </c>
      <c r="B84" s="32">
        <v>7</v>
      </c>
      <c r="C84" s="117">
        <f t="shared" si="11"/>
        <v>35.384999999999998</v>
      </c>
      <c r="D84" s="117">
        <f>+HLOOKUP('Ingreso Datos'!$I$7,'Precip 1981-2012'!$D$5:$AL$397,76,FALSE)</f>
        <v>30.6</v>
      </c>
      <c r="E84" s="122">
        <f t="shared" si="12"/>
        <v>44.860934593522487</v>
      </c>
      <c r="F84" s="122">
        <f t="shared" si="13"/>
        <v>2.8427803780567475</v>
      </c>
      <c r="G84" s="123">
        <f t="shared" si="14"/>
        <v>11.042051067130497</v>
      </c>
      <c r="H84" s="123">
        <f t="shared" si="15"/>
        <v>0</v>
      </c>
      <c r="I84" s="123">
        <f t="shared" si="16"/>
        <v>30.534939571286177</v>
      </c>
      <c r="J84" s="123">
        <f t="shared" si="17"/>
        <v>10.734962960363431</v>
      </c>
      <c r="K84" s="123">
        <f t="shared" si="18"/>
        <v>0.30708810676706655</v>
      </c>
      <c r="L84" s="123">
        <f t="shared" si="19"/>
        <v>5.8560484895137375</v>
      </c>
      <c r="M84" s="123">
        <f t="shared" si="20"/>
        <v>30.437316734779436</v>
      </c>
      <c r="N84" s="123">
        <f t="shared" si="21"/>
        <v>30.744404841546505</v>
      </c>
      <c r="O84" s="123">
        <f t="shared" si="22"/>
        <v>0.80857784733267313</v>
      </c>
    </row>
    <row r="85" spans="1:15" x14ac:dyDescent="0.25">
      <c r="A85" s="32">
        <v>1986</v>
      </c>
      <c r="B85" s="32">
        <v>8</v>
      </c>
      <c r="C85" s="117">
        <f t="shared" si="11"/>
        <v>55.605000000000004</v>
      </c>
      <c r="D85" s="117">
        <f>+HLOOKUP('Ingreso Datos'!$I$7,'Precip 1981-2012'!$D$5:$AL$397,77,FALSE)</f>
        <v>68.5</v>
      </c>
      <c r="E85" s="122">
        <f t="shared" si="12"/>
        <v>76.057925231939166</v>
      </c>
      <c r="F85" s="122">
        <f t="shared" si="13"/>
        <v>6.1358775695817496</v>
      </c>
      <c r="G85" s="123">
        <f t="shared" si="14"/>
        <v>29.400531920975126</v>
      </c>
      <c r="H85" s="123">
        <f t="shared" si="15"/>
        <v>0</v>
      </c>
      <c r="I85" s="123">
        <f t="shared" si="16"/>
        <v>39.099468079024874</v>
      </c>
      <c r="J85" s="123">
        <f t="shared" si="17"/>
        <v>27.319669690878808</v>
      </c>
      <c r="K85" s="123">
        <f t="shared" si="18"/>
        <v>2.0808622300963187</v>
      </c>
      <c r="L85" s="123">
        <f t="shared" si="19"/>
        <v>9.115579398188375</v>
      </c>
      <c r="M85" s="123">
        <f t="shared" si="20"/>
        <v>24.06013878220417</v>
      </c>
      <c r="N85" s="123">
        <f t="shared" si="21"/>
        <v>26.141001012300489</v>
      </c>
      <c r="O85" s="123">
        <f t="shared" si="22"/>
        <v>0.68750832662350281</v>
      </c>
    </row>
    <row r="86" spans="1:15" x14ac:dyDescent="0.25">
      <c r="A86" s="32">
        <v>1986</v>
      </c>
      <c r="B86" s="32">
        <v>9</v>
      </c>
      <c r="C86" s="117">
        <f t="shared" si="11"/>
        <v>78.858000000000004</v>
      </c>
      <c r="D86" s="117">
        <f>+HLOOKUP('Ingreso Datos'!$I$7,'Precip 1981-2012'!$D$5:$AL$397,78,FALSE)</f>
        <v>113.4</v>
      </c>
      <c r="E86" s="122">
        <f t="shared" si="12"/>
        <v>99.310925231939166</v>
      </c>
      <c r="F86" s="122">
        <f t="shared" si="13"/>
        <v>6.1358775695817496</v>
      </c>
      <c r="G86" s="123">
        <f t="shared" si="14"/>
        <v>57.401913784826867</v>
      </c>
      <c r="H86" s="123">
        <f t="shared" si="15"/>
        <v>0</v>
      </c>
      <c r="I86" s="123">
        <f t="shared" si="16"/>
        <v>55.998086215173139</v>
      </c>
      <c r="J86" s="123">
        <f t="shared" si="17"/>
        <v>49.970778276107168</v>
      </c>
      <c r="K86" s="123">
        <f t="shared" si="18"/>
        <v>7.4311355087196986</v>
      </c>
      <c r="L86" s="123">
        <f t="shared" si="19"/>
        <v>16.517387227312607</v>
      </c>
      <c r="M86" s="123">
        <f t="shared" si="20"/>
        <v>42.568970446982938</v>
      </c>
      <c r="N86" s="123">
        <f t="shared" si="21"/>
        <v>50.000105955702637</v>
      </c>
      <c r="O86" s="123">
        <f t="shared" si="22"/>
        <v>1.3150027866349794</v>
      </c>
    </row>
    <row r="87" spans="1:15" x14ac:dyDescent="0.25">
      <c r="A87" s="32">
        <v>1986</v>
      </c>
      <c r="B87" s="32">
        <v>10</v>
      </c>
      <c r="C87" s="117">
        <f t="shared" si="11"/>
        <v>113.232</v>
      </c>
      <c r="D87" s="117">
        <f>+HLOOKUP('Ingreso Datos'!$I$7,'Precip 1981-2012'!$D$5:$AL$397,79,FALSE)</f>
        <v>147.9</v>
      </c>
      <c r="E87" s="122">
        <f t="shared" si="12"/>
        <v>133.68492523193916</v>
      </c>
      <c r="F87" s="122">
        <f t="shared" si="13"/>
        <v>6.1358775695817496</v>
      </c>
      <c r="G87" s="123">
        <f t="shared" si="14"/>
        <v>74.623407394236906</v>
      </c>
      <c r="H87" s="123">
        <f t="shared" si="15"/>
        <v>0</v>
      </c>
      <c r="I87" s="123">
        <f t="shared" si="16"/>
        <v>73.276592605763099</v>
      </c>
      <c r="J87" s="123">
        <f t="shared" si="17"/>
        <v>62.53402408949276</v>
      </c>
      <c r="K87" s="123">
        <f t="shared" si="18"/>
        <v>12.089383304744146</v>
      </c>
      <c r="L87" s="123">
        <f t="shared" si="19"/>
        <v>21.169731725966919</v>
      </c>
      <c r="M87" s="123">
        <f t="shared" si="20"/>
        <v>57.881679590838445</v>
      </c>
      <c r="N87" s="123">
        <f t="shared" si="21"/>
        <v>69.971062895582591</v>
      </c>
      <c r="O87" s="123">
        <f t="shared" si="22"/>
        <v>1.8402389541538222</v>
      </c>
    </row>
    <row r="88" spans="1:15" x14ac:dyDescent="0.25">
      <c r="A88" s="32">
        <v>1986</v>
      </c>
      <c r="B88" s="32">
        <v>11</v>
      </c>
      <c r="C88" s="117">
        <f t="shared" si="11"/>
        <v>148.61699999999999</v>
      </c>
      <c r="D88" s="117">
        <f>+HLOOKUP('Ingreso Datos'!$I$7,'Precip 1981-2012'!$D$5:$AL$397,80,FALSE)</f>
        <v>312.39999999999998</v>
      </c>
      <c r="E88" s="122">
        <f t="shared" si="12"/>
        <v>169.06992523193915</v>
      </c>
      <c r="F88" s="122">
        <f t="shared" si="13"/>
        <v>6.1358775695817496</v>
      </c>
      <c r="G88" s="123">
        <f t="shared" si="14"/>
        <v>199.91065325239308</v>
      </c>
      <c r="H88" s="123">
        <f t="shared" si="15"/>
        <v>0</v>
      </c>
      <c r="I88" s="123">
        <f t="shared" si="16"/>
        <v>112.4893467476069</v>
      </c>
      <c r="J88" s="123">
        <f t="shared" si="17"/>
        <v>131.70184178607704</v>
      </c>
      <c r="K88" s="123">
        <f t="shared" si="18"/>
        <v>68.208811466316035</v>
      </c>
      <c r="L88" s="123">
        <f t="shared" si="19"/>
        <v>43.253668819549084</v>
      </c>
      <c r="M88" s="123">
        <f t="shared" si="20"/>
        <v>109.61790469249488</v>
      </c>
      <c r="N88" s="123">
        <f t="shared" si="21"/>
        <v>177.82671615881091</v>
      </c>
      <c r="O88" s="123">
        <f t="shared" si="22"/>
        <v>4.6768426349767269</v>
      </c>
    </row>
    <row r="89" spans="1:15" x14ac:dyDescent="0.25">
      <c r="A89" s="32">
        <v>1986</v>
      </c>
      <c r="B89" s="32">
        <v>12</v>
      </c>
      <c r="C89" s="117">
        <f t="shared" si="11"/>
        <v>179.958</v>
      </c>
      <c r="D89" s="117">
        <f>+HLOOKUP('Ingreso Datos'!$I$7,'Precip 1981-2012'!$D$5:$AL$397,81,FALSE)</f>
        <v>34.799999999999997</v>
      </c>
      <c r="E89" s="122">
        <f t="shared" si="12"/>
        <v>200.41092523193916</v>
      </c>
      <c r="F89" s="122">
        <f t="shared" si="13"/>
        <v>6.1358775695817496</v>
      </c>
      <c r="G89" s="123">
        <f t="shared" si="14"/>
        <v>3.6854533654363482</v>
      </c>
      <c r="H89" s="123">
        <f t="shared" si="15"/>
        <v>0</v>
      </c>
      <c r="I89" s="123">
        <f t="shared" si="16"/>
        <v>31.114546634563649</v>
      </c>
      <c r="J89" s="123">
        <f t="shared" si="17"/>
        <v>3.6505981600610817</v>
      </c>
      <c r="K89" s="123">
        <f t="shared" si="18"/>
        <v>3.4855205375266429E-2</v>
      </c>
      <c r="L89" s="123">
        <f t="shared" si="19"/>
        <v>5.3710473232881366</v>
      </c>
      <c r="M89" s="123">
        <f t="shared" si="20"/>
        <v>41.533219656322025</v>
      </c>
      <c r="N89" s="123">
        <f t="shared" si="21"/>
        <v>41.568074861697291</v>
      </c>
      <c r="O89" s="123">
        <f t="shared" si="22"/>
        <v>1.0932403688626386</v>
      </c>
    </row>
    <row r="90" spans="1:15" x14ac:dyDescent="0.25">
      <c r="A90" s="32">
        <v>1987</v>
      </c>
      <c r="B90" s="32">
        <v>1</v>
      </c>
      <c r="C90" s="117">
        <f t="shared" si="11"/>
        <v>190.06799999999998</v>
      </c>
      <c r="D90" s="117">
        <f>+HLOOKUP('Ingreso Datos'!$I$7,'Precip 1981-2012'!$D$5:$AL$397,82,FALSE)</f>
        <v>149.19999999999999</v>
      </c>
      <c r="E90" s="122">
        <f t="shared" si="12"/>
        <v>210.52092523193915</v>
      </c>
      <c r="F90" s="122">
        <f t="shared" si="13"/>
        <v>6.1358775695817496</v>
      </c>
      <c r="G90" s="123">
        <f t="shared" si="14"/>
        <v>58.907445717370756</v>
      </c>
      <c r="H90" s="123">
        <f t="shared" si="15"/>
        <v>0</v>
      </c>
      <c r="I90" s="123">
        <f t="shared" si="16"/>
        <v>90.292554282629226</v>
      </c>
      <c r="J90" s="123">
        <f t="shared" si="17"/>
        <v>51.107874830554515</v>
      </c>
      <c r="K90" s="123">
        <f t="shared" si="18"/>
        <v>7.799570886816241</v>
      </c>
      <c r="L90" s="123">
        <f t="shared" si="19"/>
        <v>16.506807993698676</v>
      </c>
      <c r="M90" s="123">
        <f t="shared" si="20"/>
        <v>39.972114160143974</v>
      </c>
      <c r="N90" s="123">
        <f t="shared" si="21"/>
        <v>47.771685046960215</v>
      </c>
      <c r="O90" s="123">
        <f t="shared" si="22"/>
        <v>1.2563953167350537</v>
      </c>
    </row>
    <row r="91" spans="1:15" x14ac:dyDescent="0.25">
      <c r="A91" s="32">
        <v>1987</v>
      </c>
      <c r="B91" s="32">
        <v>2</v>
      </c>
      <c r="C91" s="117">
        <f t="shared" si="11"/>
        <v>146.595</v>
      </c>
      <c r="D91" s="117">
        <f>+HLOOKUP('Ingreso Datos'!$I$7,'Precip 1981-2012'!$D$5:$AL$397,83,FALSE)</f>
        <v>68.8</v>
      </c>
      <c r="E91" s="122">
        <f t="shared" si="12"/>
        <v>167.04792523193916</v>
      </c>
      <c r="F91" s="122">
        <f t="shared" si="13"/>
        <v>6.1358775695817496</v>
      </c>
      <c r="G91" s="123">
        <f t="shared" si="14"/>
        <v>17.563554462646788</v>
      </c>
      <c r="H91" s="123">
        <f t="shared" si="15"/>
        <v>0</v>
      </c>
      <c r="I91" s="123">
        <f t="shared" si="16"/>
        <v>51.236445537353205</v>
      </c>
      <c r="J91" s="123">
        <f t="shared" si="17"/>
        <v>16.799168179616089</v>
      </c>
      <c r="K91" s="123">
        <f t="shared" si="18"/>
        <v>0.76438628303069933</v>
      </c>
      <c r="L91" s="123">
        <f t="shared" si="19"/>
        <v>6.8672502863679012</v>
      </c>
      <c r="M91" s="123">
        <f t="shared" si="20"/>
        <v>26.438725886946862</v>
      </c>
      <c r="N91" s="123">
        <f t="shared" si="21"/>
        <v>27.203112169977562</v>
      </c>
      <c r="O91" s="123">
        <f t="shared" si="22"/>
        <v>0.71544185007040983</v>
      </c>
    </row>
    <row r="92" spans="1:15" x14ac:dyDescent="0.25">
      <c r="A92" s="32">
        <v>1987</v>
      </c>
      <c r="B92" s="32">
        <v>3</v>
      </c>
      <c r="C92" s="117">
        <f t="shared" si="11"/>
        <v>120.30899999999998</v>
      </c>
      <c r="D92" s="117">
        <f>+HLOOKUP('Ingreso Datos'!$I$7,'Precip 1981-2012'!$D$5:$AL$397,84,FALSE)</f>
        <v>358.6</v>
      </c>
      <c r="E92" s="122">
        <f t="shared" si="12"/>
        <v>140.76192523193916</v>
      </c>
      <c r="F92" s="122">
        <f t="shared" si="13"/>
        <v>6.1358775695817496</v>
      </c>
      <c r="G92" s="123">
        <f t="shared" si="14"/>
        <v>255.04714574096766</v>
      </c>
      <c r="H92" s="123">
        <f t="shared" si="15"/>
        <v>0</v>
      </c>
      <c r="I92" s="123">
        <f t="shared" si="16"/>
        <v>103.55285425903236</v>
      </c>
      <c r="J92" s="123">
        <f t="shared" si="17"/>
        <v>153.57403727649412</v>
      </c>
      <c r="K92" s="123">
        <f t="shared" si="18"/>
        <v>101.47310846447354</v>
      </c>
      <c r="L92" s="123">
        <f t="shared" si="19"/>
        <v>48.694633789260976</v>
      </c>
      <c r="M92" s="123">
        <f t="shared" si="20"/>
        <v>111.74665377360105</v>
      </c>
      <c r="N92" s="123">
        <f t="shared" si="21"/>
        <v>213.21976223807459</v>
      </c>
      <c r="O92" s="123">
        <f t="shared" si="22"/>
        <v>5.6076797468613622</v>
      </c>
    </row>
    <row r="93" spans="1:15" x14ac:dyDescent="0.25">
      <c r="A93" s="32">
        <v>1987</v>
      </c>
      <c r="B93" s="32">
        <v>4</v>
      </c>
      <c r="C93" s="117">
        <f t="shared" si="11"/>
        <v>73.802999999999997</v>
      </c>
      <c r="D93" s="117">
        <f>+HLOOKUP('Ingreso Datos'!$I$7,'Precip 1981-2012'!$D$5:$AL$397,85,FALSE)</f>
        <v>193.2</v>
      </c>
      <c r="E93" s="122">
        <f t="shared" si="12"/>
        <v>94.255925231939159</v>
      </c>
      <c r="F93" s="122">
        <f t="shared" si="13"/>
        <v>6.1358775695817496</v>
      </c>
      <c r="G93" s="123">
        <f t="shared" si="14"/>
        <v>127.16205982656984</v>
      </c>
      <c r="H93" s="123">
        <f t="shared" si="15"/>
        <v>0</v>
      </c>
      <c r="I93" s="123">
        <f t="shared" si="16"/>
        <v>66.037940173430144</v>
      </c>
      <c r="J93" s="123">
        <f t="shared" si="17"/>
        <v>95.651177153752883</v>
      </c>
      <c r="K93" s="123">
        <f t="shared" si="18"/>
        <v>31.510882672816962</v>
      </c>
      <c r="L93" s="123">
        <f t="shared" si="19"/>
        <v>34.671981542125486</v>
      </c>
      <c r="M93" s="123">
        <f t="shared" si="20"/>
        <v>109.67382940088837</v>
      </c>
      <c r="N93" s="123">
        <f t="shared" si="21"/>
        <v>141.18471207370533</v>
      </c>
      <c r="O93" s="123">
        <f t="shared" si="22"/>
        <v>3.7131579275384499</v>
      </c>
    </row>
    <row r="94" spans="1:15" x14ac:dyDescent="0.25">
      <c r="A94" s="32">
        <v>1987</v>
      </c>
      <c r="B94" s="32">
        <v>5</v>
      </c>
      <c r="C94" s="117">
        <f t="shared" ref="C94:C157" si="23">+C82</f>
        <v>44.483999999999995</v>
      </c>
      <c r="D94" s="117">
        <f>+HLOOKUP('Ingreso Datos'!$I$7,'Precip 1981-2012'!$D$5:$AL$397,86,FALSE)</f>
        <v>69.8</v>
      </c>
      <c r="E94" s="122">
        <f t="shared" si="12"/>
        <v>64.936925231939156</v>
      </c>
      <c r="F94" s="122">
        <f t="shared" si="13"/>
        <v>6.1358775695817496</v>
      </c>
      <c r="G94" s="123">
        <f t="shared" si="14"/>
        <v>33.09610791186401</v>
      </c>
      <c r="H94" s="123">
        <f t="shared" si="15"/>
        <v>0</v>
      </c>
      <c r="I94" s="123">
        <f t="shared" si="16"/>
        <v>36.703892088135987</v>
      </c>
      <c r="J94" s="123">
        <f t="shared" si="17"/>
        <v>30.482501299358557</v>
      </c>
      <c r="K94" s="123">
        <f t="shared" si="18"/>
        <v>2.6136066125054533</v>
      </c>
      <c r="L94" s="123">
        <f t="shared" si="19"/>
        <v>12.922328913208274</v>
      </c>
      <c r="M94" s="123">
        <f t="shared" si="20"/>
        <v>52.232153928275764</v>
      </c>
      <c r="N94" s="123">
        <f t="shared" si="21"/>
        <v>54.845760540781214</v>
      </c>
      <c r="O94" s="123">
        <f t="shared" si="22"/>
        <v>1.4424435022225457</v>
      </c>
    </row>
    <row r="95" spans="1:15" x14ac:dyDescent="0.25">
      <c r="A95" s="32">
        <v>1987</v>
      </c>
      <c r="B95" s="32">
        <v>6</v>
      </c>
      <c r="C95" s="117">
        <f t="shared" si="23"/>
        <v>29.318999999999996</v>
      </c>
      <c r="D95" s="117">
        <f>+HLOOKUP('Ingreso Datos'!$I$7,'Precip 1981-2012'!$D$5:$AL$397,87,FALSE)</f>
        <v>54.3</v>
      </c>
      <c r="E95" s="122">
        <f t="shared" si="12"/>
        <v>49.771925231939164</v>
      </c>
      <c r="F95" s="122">
        <f t="shared" si="13"/>
        <v>6.1358775695817496</v>
      </c>
      <c r="G95" s="123">
        <f t="shared" si="14"/>
        <v>25.269917116143517</v>
      </c>
      <c r="H95" s="123">
        <f t="shared" si="15"/>
        <v>0</v>
      </c>
      <c r="I95" s="123">
        <f t="shared" si="16"/>
        <v>29.03008288385648</v>
      </c>
      <c r="J95" s="123">
        <f t="shared" si="17"/>
        <v>23.717241648084837</v>
      </c>
      <c r="K95" s="123">
        <f t="shared" si="18"/>
        <v>1.5526754680586805</v>
      </c>
      <c r="L95" s="123">
        <f t="shared" si="19"/>
        <v>8.6800529779735047</v>
      </c>
      <c r="M95" s="123">
        <f t="shared" si="20"/>
        <v>27.959517583319606</v>
      </c>
      <c r="N95" s="123">
        <f t="shared" si="21"/>
        <v>29.512193051378286</v>
      </c>
      <c r="O95" s="123">
        <f t="shared" si="22"/>
        <v>0.776170677251249</v>
      </c>
    </row>
    <row r="96" spans="1:15" x14ac:dyDescent="0.25">
      <c r="A96" s="32">
        <v>1987</v>
      </c>
      <c r="B96" s="32">
        <v>7</v>
      </c>
      <c r="C96" s="117">
        <f t="shared" si="23"/>
        <v>35.384999999999998</v>
      </c>
      <c r="D96" s="117">
        <f>+HLOOKUP('Ingreso Datos'!$I$7,'Precip 1981-2012'!$D$5:$AL$397,88,FALSE)</f>
        <v>155.30000000000001</v>
      </c>
      <c r="E96" s="122">
        <f t="shared" si="12"/>
        <v>55.837925231939167</v>
      </c>
      <c r="F96" s="122">
        <f t="shared" si="13"/>
        <v>6.1358775695817496</v>
      </c>
      <c r="G96" s="123">
        <f t="shared" si="14"/>
        <v>111.88396402493549</v>
      </c>
      <c r="H96" s="123">
        <f t="shared" si="15"/>
        <v>8.0310359750645191</v>
      </c>
      <c r="I96" s="123">
        <f t="shared" si="16"/>
        <v>35.384999999999998</v>
      </c>
      <c r="J96" s="123">
        <f t="shared" si="17"/>
        <v>86.741516566422604</v>
      </c>
      <c r="K96" s="123">
        <f t="shared" si="18"/>
        <v>25.142447458512891</v>
      </c>
      <c r="L96" s="123">
        <f t="shared" si="19"/>
        <v>27.973136465291194</v>
      </c>
      <c r="M96" s="123">
        <f t="shared" si="20"/>
        <v>67.448433079104916</v>
      </c>
      <c r="N96" s="123">
        <f t="shared" si="21"/>
        <v>92.590880537617807</v>
      </c>
      <c r="O96" s="123">
        <f t="shared" si="22"/>
        <v>2.4351401581393484</v>
      </c>
    </row>
    <row r="97" spans="1:15" x14ac:dyDescent="0.25">
      <c r="A97" s="32">
        <v>1987</v>
      </c>
      <c r="B97" s="32">
        <v>8</v>
      </c>
      <c r="C97" s="117">
        <f t="shared" si="23"/>
        <v>55.605000000000004</v>
      </c>
      <c r="D97" s="117">
        <f>+HLOOKUP('Ingreso Datos'!$I$7,'Precip 1981-2012'!$D$5:$AL$397,89,FALSE)</f>
        <v>91.4</v>
      </c>
      <c r="E97" s="122">
        <f t="shared" si="12"/>
        <v>68.026889256874654</v>
      </c>
      <c r="F97" s="122">
        <f t="shared" si="13"/>
        <v>3.7265667770623936</v>
      </c>
      <c r="G97" s="123">
        <f t="shared" si="14"/>
        <v>50.578672992272551</v>
      </c>
      <c r="H97" s="123">
        <f t="shared" si="15"/>
        <v>0</v>
      </c>
      <c r="I97" s="123">
        <f t="shared" si="16"/>
        <v>48.852362982791981</v>
      </c>
      <c r="J97" s="123">
        <f t="shared" si="17"/>
        <v>44.719013966499389</v>
      </c>
      <c r="K97" s="123">
        <f t="shared" si="18"/>
        <v>5.859659025773162</v>
      </c>
      <c r="L97" s="123">
        <f t="shared" si="19"/>
        <v>16.719099315678726</v>
      </c>
      <c r="M97" s="123">
        <f t="shared" si="20"/>
        <v>55.973051116111861</v>
      </c>
      <c r="N97" s="123">
        <f t="shared" si="21"/>
        <v>61.832710141885023</v>
      </c>
      <c r="O97" s="123">
        <f t="shared" si="22"/>
        <v>1.626200276731576</v>
      </c>
    </row>
    <row r="98" spans="1:15" x14ac:dyDescent="0.25">
      <c r="A98" s="32">
        <v>1987</v>
      </c>
      <c r="B98" s="32">
        <v>9</v>
      </c>
      <c r="C98" s="117">
        <f t="shared" si="23"/>
        <v>78.858000000000004</v>
      </c>
      <c r="D98" s="117">
        <f>+HLOOKUP('Ingreso Datos'!$I$7,'Precip 1981-2012'!$D$5:$AL$397,90,FALSE)</f>
        <v>196.4</v>
      </c>
      <c r="E98" s="122">
        <f t="shared" si="12"/>
        <v>99.310925231939166</v>
      </c>
      <c r="F98" s="122">
        <f t="shared" si="13"/>
        <v>6.1358775695817496</v>
      </c>
      <c r="G98" s="123">
        <f t="shared" si="14"/>
        <v>127.7185375344135</v>
      </c>
      <c r="H98" s="123">
        <f t="shared" si="15"/>
        <v>0</v>
      </c>
      <c r="I98" s="123">
        <f t="shared" si="16"/>
        <v>68.681462465586506</v>
      </c>
      <c r="J98" s="123">
        <f t="shared" si="17"/>
        <v>95.965693052260349</v>
      </c>
      <c r="K98" s="123">
        <f t="shared" si="18"/>
        <v>31.752844482153151</v>
      </c>
      <c r="L98" s="123">
        <f t="shared" si="19"/>
        <v>31.643653860653394</v>
      </c>
      <c r="M98" s="123">
        <f t="shared" si="20"/>
        <v>81.04113850728568</v>
      </c>
      <c r="N98" s="123">
        <f t="shared" si="21"/>
        <v>112.79398298943883</v>
      </c>
      <c r="O98" s="123">
        <f t="shared" si="22"/>
        <v>2.9664817526222409</v>
      </c>
    </row>
    <row r="99" spans="1:15" x14ac:dyDescent="0.25">
      <c r="A99" s="32">
        <v>1987</v>
      </c>
      <c r="B99" s="32">
        <v>10</v>
      </c>
      <c r="C99" s="117">
        <f t="shared" si="23"/>
        <v>113.232</v>
      </c>
      <c r="D99" s="117">
        <f>+HLOOKUP('Ingreso Datos'!$I$7,'Precip 1981-2012'!$D$5:$AL$397,91,FALSE)</f>
        <v>50.9</v>
      </c>
      <c r="E99" s="122">
        <f t="shared" si="12"/>
        <v>133.68492523193916</v>
      </c>
      <c r="F99" s="122">
        <f t="shared" si="13"/>
        <v>6.1358775695817496</v>
      </c>
      <c r="G99" s="123">
        <f t="shared" si="14"/>
        <v>11.628981440516634</v>
      </c>
      <c r="H99" s="123">
        <f t="shared" si="15"/>
        <v>0</v>
      </c>
      <c r="I99" s="123">
        <f t="shared" si="16"/>
        <v>39.271018559483366</v>
      </c>
      <c r="J99" s="123">
        <f t="shared" si="17"/>
        <v>11.288882464697613</v>
      </c>
      <c r="K99" s="123">
        <f t="shared" si="18"/>
        <v>0.34009897581902138</v>
      </c>
      <c r="L99" s="123">
        <f t="shared" si="19"/>
        <v>6.6242978854078096</v>
      </c>
      <c r="M99" s="123">
        <f t="shared" si="20"/>
        <v>36.308238439943196</v>
      </c>
      <c r="N99" s="123">
        <f t="shared" si="21"/>
        <v>36.648337415762214</v>
      </c>
      <c r="O99" s="123">
        <f t="shared" si="22"/>
        <v>0.96385127403454618</v>
      </c>
    </row>
    <row r="100" spans="1:15" x14ac:dyDescent="0.25">
      <c r="A100" s="32">
        <v>1987</v>
      </c>
      <c r="B100" s="32">
        <v>11</v>
      </c>
      <c r="C100" s="117">
        <f t="shared" si="23"/>
        <v>148.61699999999999</v>
      </c>
      <c r="D100" s="117">
        <f>+HLOOKUP('Ingreso Datos'!$I$7,'Precip 1981-2012'!$D$5:$AL$397,92,FALSE)</f>
        <v>97.7</v>
      </c>
      <c r="E100" s="122">
        <f t="shared" si="12"/>
        <v>169.06992523193915</v>
      </c>
      <c r="F100" s="122">
        <f t="shared" si="13"/>
        <v>6.1358775695817496</v>
      </c>
      <c r="G100" s="123">
        <f t="shared" si="14"/>
        <v>32.943217286773788</v>
      </c>
      <c r="H100" s="123">
        <f t="shared" si="15"/>
        <v>0</v>
      </c>
      <c r="I100" s="123">
        <f t="shared" si="16"/>
        <v>64.756782713226215</v>
      </c>
      <c r="J100" s="123">
        <f t="shared" si="17"/>
        <v>30.352757481189403</v>
      </c>
      <c r="K100" s="123">
        <f t="shared" si="18"/>
        <v>2.5904598055843842</v>
      </c>
      <c r="L100" s="123">
        <f t="shared" si="19"/>
        <v>10.139158468778867</v>
      </c>
      <c r="M100" s="123">
        <f t="shared" si="20"/>
        <v>26.837896897818347</v>
      </c>
      <c r="N100" s="123">
        <f t="shared" si="21"/>
        <v>29.428356703402731</v>
      </c>
      <c r="O100" s="123">
        <f t="shared" si="22"/>
        <v>0.77396578129949178</v>
      </c>
    </row>
    <row r="101" spans="1:15" x14ac:dyDescent="0.25">
      <c r="A101" s="32">
        <v>1987</v>
      </c>
      <c r="B101" s="32">
        <v>12</v>
      </c>
      <c r="C101" s="117">
        <f t="shared" si="23"/>
        <v>179.958</v>
      </c>
      <c r="D101" s="117">
        <f>+HLOOKUP('Ingreso Datos'!$I$7,'Precip 1981-2012'!$D$5:$AL$397,93,FALSE)</f>
        <v>74.900000000000006</v>
      </c>
      <c r="E101" s="122">
        <f t="shared" si="12"/>
        <v>200.41092523193916</v>
      </c>
      <c r="F101" s="122">
        <f t="shared" si="13"/>
        <v>6.1358775695817496</v>
      </c>
      <c r="G101" s="123">
        <f t="shared" si="14"/>
        <v>17.976427358548065</v>
      </c>
      <c r="H101" s="123">
        <f t="shared" si="15"/>
        <v>0</v>
      </c>
      <c r="I101" s="123">
        <f t="shared" si="16"/>
        <v>56.923572641451941</v>
      </c>
      <c r="J101" s="123">
        <f t="shared" si="17"/>
        <v>17.176499643235253</v>
      </c>
      <c r="K101" s="123">
        <f t="shared" si="18"/>
        <v>0.79992771531281193</v>
      </c>
      <c r="L101" s="123">
        <f t="shared" si="19"/>
        <v>6.3625924336102457</v>
      </c>
      <c r="M101" s="123">
        <f t="shared" si="20"/>
        <v>20.953065678403874</v>
      </c>
      <c r="N101" s="123">
        <f t="shared" si="21"/>
        <v>21.752993393716686</v>
      </c>
      <c r="O101" s="123">
        <f t="shared" si="22"/>
        <v>0.57210372625474881</v>
      </c>
    </row>
    <row r="102" spans="1:15" x14ac:dyDescent="0.25">
      <c r="A102" s="32">
        <v>1988</v>
      </c>
      <c r="B102" s="32">
        <v>1</v>
      </c>
      <c r="C102" s="117">
        <f t="shared" si="23"/>
        <v>190.06799999999998</v>
      </c>
      <c r="D102" s="117">
        <f>+HLOOKUP('Ingreso Datos'!$I$7,'Precip 1981-2012'!$D$5:$AL$397,94,FALSE)</f>
        <v>381.9</v>
      </c>
      <c r="E102" s="122">
        <f t="shared" si="12"/>
        <v>210.52092523193915</v>
      </c>
      <c r="F102" s="122">
        <f t="shared" si="13"/>
        <v>6.1358775695817496</v>
      </c>
      <c r="G102" s="123">
        <f t="shared" si="14"/>
        <v>243.38339686553766</v>
      </c>
      <c r="H102" s="123">
        <f t="shared" si="15"/>
        <v>0</v>
      </c>
      <c r="I102" s="123">
        <f t="shared" si="16"/>
        <v>138.51660313446231</v>
      </c>
      <c r="J102" s="123">
        <f t="shared" si="17"/>
        <v>149.26671351352519</v>
      </c>
      <c r="K102" s="123">
        <f t="shared" si="18"/>
        <v>94.116683352012473</v>
      </c>
      <c r="L102" s="123">
        <f t="shared" si="19"/>
        <v>47.29837163013238</v>
      </c>
      <c r="M102" s="123">
        <f t="shared" si="20"/>
        <v>108.33093431700306</v>
      </c>
      <c r="N102" s="123">
        <f t="shared" si="21"/>
        <v>202.44761766901553</v>
      </c>
      <c r="O102" s="123">
        <f t="shared" si="22"/>
        <v>5.3243723446951083</v>
      </c>
    </row>
    <row r="103" spans="1:15" x14ac:dyDescent="0.25">
      <c r="A103" s="32">
        <v>1988</v>
      </c>
      <c r="B103" s="32">
        <v>2</v>
      </c>
      <c r="C103" s="117">
        <f t="shared" si="23"/>
        <v>146.595</v>
      </c>
      <c r="D103" s="117">
        <f>+HLOOKUP('Ingreso Datos'!$I$7,'Precip 1981-2012'!$D$5:$AL$397,95,FALSE)</f>
        <v>78.3</v>
      </c>
      <c r="E103" s="122">
        <f t="shared" si="12"/>
        <v>167.04792523193916</v>
      </c>
      <c r="F103" s="122">
        <f t="shared" si="13"/>
        <v>6.1358775695817496</v>
      </c>
      <c r="G103" s="123">
        <f t="shared" si="14"/>
        <v>22.343170321013478</v>
      </c>
      <c r="H103" s="123">
        <f t="shared" si="15"/>
        <v>0</v>
      </c>
      <c r="I103" s="123">
        <f t="shared" si="16"/>
        <v>55.956829678986523</v>
      </c>
      <c r="J103" s="123">
        <f t="shared" si="17"/>
        <v>21.120626891178802</v>
      </c>
      <c r="K103" s="123">
        <f t="shared" si="18"/>
        <v>1.2225434298346762</v>
      </c>
      <c r="L103" s="123">
        <f t="shared" si="19"/>
        <v>11.229490449792788</v>
      </c>
      <c r="M103" s="123">
        <f t="shared" si="20"/>
        <v>57.189508071518389</v>
      </c>
      <c r="N103" s="123">
        <f t="shared" si="21"/>
        <v>58.412051501353062</v>
      </c>
      <c r="O103" s="123">
        <f t="shared" si="22"/>
        <v>1.5362369544855854</v>
      </c>
    </row>
    <row r="104" spans="1:15" x14ac:dyDescent="0.25">
      <c r="A104" s="32">
        <v>1988</v>
      </c>
      <c r="B104" s="32">
        <v>3</v>
      </c>
      <c r="C104" s="117">
        <f t="shared" si="23"/>
        <v>120.30899999999998</v>
      </c>
      <c r="D104" s="117">
        <f>+HLOOKUP('Ingreso Datos'!$I$7,'Precip 1981-2012'!$D$5:$AL$397,96,FALSE)</f>
        <v>51.8</v>
      </c>
      <c r="E104" s="122">
        <f t="shared" si="12"/>
        <v>140.76192523193916</v>
      </c>
      <c r="F104" s="122">
        <f t="shared" si="13"/>
        <v>6.1358775695817496</v>
      </c>
      <c r="G104" s="123">
        <f t="shared" si="14"/>
        <v>11.565866715124823</v>
      </c>
      <c r="H104" s="123">
        <f t="shared" si="15"/>
        <v>0</v>
      </c>
      <c r="I104" s="123">
        <f t="shared" si="16"/>
        <v>40.23413328487517</v>
      </c>
      <c r="J104" s="123">
        <f t="shared" si="17"/>
        <v>11.229395996505803</v>
      </c>
      <c r="K104" s="123">
        <f t="shared" si="18"/>
        <v>0.33647071861902056</v>
      </c>
      <c r="L104" s="123">
        <f t="shared" si="19"/>
        <v>4.6095290561764299</v>
      </c>
      <c r="M104" s="123">
        <f t="shared" si="20"/>
        <v>17.849357390122162</v>
      </c>
      <c r="N104" s="123">
        <f t="shared" si="21"/>
        <v>18.185828108741184</v>
      </c>
      <c r="O104" s="123">
        <f t="shared" si="22"/>
        <v>0.47828727925989312</v>
      </c>
    </row>
    <row r="105" spans="1:15" x14ac:dyDescent="0.25">
      <c r="A105" s="32">
        <v>1988</v>
      </c>
      <c r="B105" s="32">
        <v>4</v>
      </c>
      <c r="C105" s="117">
        <f t="shared" si="23"/>
        <v>73.802999999999997</v>
      </c>
      <c r="D105" s="117">
        <f>+HLOOKUP('Ingreso Datos'!$I$7,'Precip 1981-2012'!$D$5:$AL$397,97,FALSE)</f>
        <v>36.200000000000003</v>
      </c>
      <c r="E105" s="122">
        <f t="shared" si="12"/>
        <v>94.255925231939159</v>
      </c>
      <c r="F105" s="122">
        <f t="shared" si="13"/>
        <v>6.1358775695817496</v>
      </c>
      <c r="G105" s="123">
        <f t="shared" si="14"/>
        <v>7.6478216735933948</v>
      </c>
      <c r="H105" s="123">
        <f t="shared" si="15"/>
        <v>0</v>
      </c>
      <c r="I105" s="123">
        <f t="shared" si="16"/>
        <v>28.552178326406608</v>
      </c>
      <c r="J105" s="123">
        <f t="shared" si="17"/>
        <v>7.4992391764201143</v>
      </c>
      <c r="K105" s="123">
        <f t="shared" si="18"/>
        <v>0.14858249717328054</v>
      </c>
      <c r="L105" s="123">
        <f t="shared" si="19"/>
        <v>2.7957735463551994</v>
      </c>
      <c r="M105" s="123">
        <f t="shared" si="20"/>
        <v>9.3129946862413444</v>
      </c>
      <c r="N105" s="123">
        <f t="shared" si="21"/>
        <v>9.4615771834146258</v>
      </c>
      <c r="O105" s="123">
        <f t="shared" si="22"/>
        <v>0.24883947992380465</v>
      </c>
    </row>
    <row r="106" spans="1:15" x14ac:dyDescent="0.25">
      <c r="A106" s="32">
        <v>1988</v>
      </c>
      <c r="B106" s="32">
        <v>5</v>
      </c>
      <c r="C106" s="117">
        <f t="shared" si="23"/>
        <v>44.483999999999995</v>
      </c>
      <c r="D106" s="117">
        <f>+HLOOKUP('Ingreso Datos'!$I$7,'Precip 1981-2012'!$D$5:$AL$397,98,FALSE)</f>
        <v>9.6999999999999993</v>
      </c>
      <c r="E106" s="122">
        <f t="shared" si="12"/>
        <v>64.936925231939156</v>
      </c>
      <c r="F106" s="122">
        <f t="shared" si="13"/>
        <v>6.1358775695817496</v>
      </c>
      <c r="G106" s="123">
        <f t="shared" si="14"/>
        <v>0.20368690857594557</v>
      </c>
      <c r="H106" s="123">
        <f t="shared" si="15"/>
        <v>0</v>
      </c>
      <c r="I106" s="123">
        <f t="shared" si="16"/>
        <v>9.496313091424053</v>
      </c>
      <c r="J106" s="123">
        <f t="shared" si="17"/>
        <v>0.20357948247378344</v>
      </c>
      <c r="K106" s="123">
        <f t="shared" si="18"/>
        <v>1.0742610216213366E-4</v>
      </c>
      <c r="L106" s="123">
        <f t="shared" si="19"/>
        <v>0.33704037150025512</v>
      </c>
      <c r="M106" s="123">
        <f t="shared" si="20"/>
        <v>2.6623126573287279</v>
      </c>
      <c r="N106" s="123">
        <f t="shared" si="21"/>
        <v>2.6624200834308902</v>
      </c>
      <c r="O106" s="123">
        <f t="shared" si="22"/>
        <v>7.0021648194232414E-2</v>
      </c>
    </row>
    <row r="107" spans="1:15" x14ac:dyDescent="0.25">
      <c r="A107" s="32">
        <v>1988</v>
      </c>
      <c r="B107" s="32">
        <v>6</v>
      </c>
      <c r="C107" s="117">
        <f t="shared" si="23"/>
        <v>29.318999999999996</v>
      </c>
      <c r="D107" s="117">
        <f>+HLOOKUP('Ingreso Datos'!$I$7,'Precip 1981-2012'!$D$5:$AL$397,99,FALSE)</f>
        <v>68.2</v>
      </c>
      <c r="E107" s="122">
        <f t="shared" si="12"/>
        <v>49.771925231939164</v>
      </c>
      <c r="F107" s="122">
        <f t="shared" si="13"/>
        <v>6.1358775695817496</v>
      </c>
      <c r="G107" s="123">
        <f t="shared" si="14"/>
        <v>36.4422809317808</v>
      </c>
      <c r="H107" s="123">
        <f t="shared" si="15"/>
        <v>2.438719068219207</v>
      </c>
      <c r="I107" s="123">
        <f t="shared" si="16"/>
        <v>29.318999999999996</v>
      </c>
      <c r="J107" s="123">
        <f t="shared" si="17"/>
        <v>33.298561897356549</v>
      </c>
      <c r="K107" s="123">
        <f t="shared" si="18"/>
        <v>3.1437190344242509</v>
      </c>
      <c r="L107" s="123">
        <f t="shared" si="19"/>
        <v>10.445531962479665</v>
      </c>
      <c r="M107" s="123">
        <f t="shared" si="20"/>
        <v>23.190070306377137</v>
      </c>
      <c r="N107" s="123">
        <f t="shared" si="21"/>
        <v>26.333789340801388</v>
      </c>
      <c r="O107" s="123">
        <f t="shared" si="22"/>
        <v>0.69257865966307652</v>
      </c>
    </row>
    <row r="108" spans="1:15" x14ac:dyDescent="0.25">
      <c r="A108" s="32">
        <v>1988</v>
      </c>
      <c r="B108" s="32">
        <v>7</v>
      </c>
      <c r="C108" s="117">
        <f t="shared" si="23"/>
        <v>35.384999999999998</v>
      </c>
      <c r="D108" s="117">
        <f>+HLOOKUP('Ingreso Datos'!$I$7,'Precip 1981-2012'!$D$5:$AL$397,100,FALSE)</f>
        <v>33.9</v>
      </c>
      <c r="E108" s="122">
        <f t="shared" si="12"/>
        <v>53.399206163719953</v>
      </c>
      <c r="F108" s="122">
        <f t="shared" si="13"/>
        <v>5.4042618491159873</v>
      </c>
      <c r="G108" s="123">
        <f t="shared" si="14"/>
        <v>10.615764778018788</v>
      </c>
      <c r="H108" s="123">
        <f t="shared" si="15"/>
        <v>0</v>
      </c>
      <c r="I108" s="123">
        <f t="shared" si="16"/>
        <v>25.72295429020042</v>
      </c>
      <c r="J108" s="123">
        <f t="shared" si="17"/>
        <v>10.331624630727118</v>
      </c>
      <c r="K108" s="123">
        <f t="shared" si="18"/>
        <v>0.28414014729166936</v>
      </c>
      <c r="L108" s="123">
        <f t="shared" si="19"/>
        <v>4.2521346970576968</v>
      </c>
      <c r="M108" s="123">
        <f t="shared" si="20"/>
        <v>16.525021896149084</v>
      </c>
      <c r="N108" s="123">
        <f t="shared" si="21"/>
        <v>16.809162043440754</v>
      </c>
      <c r="O108" s="123">
        <f t="shared" si="22"/>
        <v>0.44208096174249184</v>
      </c>
    </row>
    <row r="109" spans="1:15" x14ac:dyDescent="0.25">
      <c r="A109" s="32">
        <v>1988</v>
      </c>
      <c r="B109" s="32">
        <v>8</v>
      </c>
      <c r="C109" s="117">
        <f t="shared" si="23"/>
        <v>55.605000000000004</v>
      </c>
      <c r="D109" s="117">
        <f>+HLOOKUP('Ingreso Datos'!$I$7,'Precip 1981-2012'!$D$5:$AL$397,101,FALSE)</f>
        <v>65</v>
      </c>
      <c r="E109" s="122">
        <f t="shared" si="12"/>
        <v>76.057925231939166</v>
      </c>
      <c r="F109" s="122">
        <f t="shared" si="13"/>
        <v>6.1358775695817496</v>
      </c>
      <c r="G109" s="123">
        <f t="shared" si="14"/>
        <v>26.904945670852268</v>
      </c>
      <c r="H109" s="123">
        <f t="shared" si="15"/>
        <v>0</v>
      </c>
      <c r="I109" s="123">
        <f t="shared" si="16"/>
        <v>38.095054329147729</v>
      </c>
      <c r="J109" s="123">
        <f t="shared" si="17"/>
        <v>25.151815539714164</v>
      </c>
      <c r="K109" s="123">
        <f t="shared" si="18"/>
        <v>1.7531301311381036</v>
      </c>
      <c r="L109" s="123">
        <f t="shared" si="19"/>
        <v>8.2808477238805249</v>
      </c>
      <c r="M109" s="123">
        <f t="shared" si="20"/>
        <v>21.123102512891336</v>
      </c>
      <c r="N109" s="123">
        <f t="shared" si="21"/>
        <v>22.876232644029439</v>
      </c>
      <c r="O109" s="123">
        <f t="shared" si="22"/>
        <v>0.60164491853797419</v>
      </c>
    </row>
    <row r="110" spans="1:15" x14ac:dyDescent="0.25">
      <c r="A110" s="32">
        <v>1988</v>
      </c>
      <c r="B110" s="32">
        <v>9</v>
      </c>
      <c r="C110" s="117">
        <f t="shared" si="23"/>
        <v>78.858000000000004</v>
      </c>
      <c r="D110" s="117">
        <f>+HLOOKUP('Ingreso Datos'!$I$7,'Precip 1981-2012'!$D$5:$AL$397,102,FALSE)</f>
        <v>162.4</v>
      </c>
      <c r="E110" s="122">
        <f t="shared" si="12"/>
        <v>99.310925231939166</v>
      </c>
      <c r="F110" s="122">
        <f t="shared" si="13"/>
        <v>6.1358775695817496</v>
      </c>
      <c r="G110" s="123">
        <f t="shared" si="14"/>
        <v>97.893510268922924</v>
      </c>
      <c r="H110" s="123">
        <f t="shared" si="15"/>
        <v>0</v>
      </c>
      <c r="I110" s="123">
        <f t="shared" si="16"/>
        <v>64.506489731077082</v>
      </c>
      <c r="J110" s="123">
        <f t="shared" si="17"/>
        <v>78.089278243893474</v>
      </c>
      <c r="K110" s="123">
        <f t="shared" si="18"/>
        <v>19.804232025029449</v>
      </c>
      <c r="L110" s="123">
        <f t="shared" si="19"/>
        <v>25.228516076659282</v>
      </c>
      <c r="M110" s="123">
        <f t="shared" si="20"/>
        <v>61.141609891114719</v>
      </c>
      <c r="N110" s="123">
        <f t="shared" si="21"/>
        <v>80.945841916144161</v>
      </c>
      <c r="O110" s="123">
        <f t="shared" si="22"/>
        <v>2.1288756423945916</v>
      </c>
    </row>
    <row r="111" spans="1:15" x14ac:dyDescent="0.25">
      <c r="A111" s="32">
        <v>1988</v>
      </c>
      <c r="B111" s="32">
        <v>10</v>
      </c>
      <c r="C111" s="117">
        <f t="shared" si="23"/>
        <v>113.232</v>
      </c>
      <c r="D111" s="117">
        <f>+HLOOKUP('Ingreso Datos'!$I$7,'Precip 1981-2012'!$D$5:$AL$397,103,FALSE)</f>
        <v>60.9</v>
      </c>
      <c r="E111" s="122">
        <f t="shared" si="12"/>
        <v>133.68492523193916</v>
      </c>
      <c r="F111" s="122">
        <f t="shared" si="13"/>
        <v>6.1358775695817496</v>
      </c>
      <c r="G111" s="123">
        <f t="shared" si="14"/>
        <v>16.450315158513508</v>
      </c>
      <c r="H111" s="123">
        <f t="shared" si="15"/>
        <v>0</v>
      </c>
      <c r="I111" s="123">
        <f t="shared" si="16"/>
        <v>44.449684841486487</v>
      </c>
      <c r="J111" s="123">
        <f t="shared" si="17"/>
        <v>15.777902046579845</v>
      </c>
      <c r="K111" s="123">
        <f t="shared" si="18"/>
        <v>0.67241311193366293</v>
      </c>
      <c r="L111" s="123">
        <f t="shared" si="19"/>
        <v>7.4007355034249329</v>
      </c>
      <c r="M111" s="123">
        <f t="shared" si="20"/>
        <v>33.605682619814196</v>
      </c>
      <c r="N111" s="123">
        <f t="shared" si="21"/>
        <v>34.278095731747861</v>
      </c>
      <c r="O111" s="123">
        <f t="shared" si="22"/>
        <v>0.90151391774496881</v>
      </c>
    </row>
    <row r="112" spans="1:15" x14ac:dyDescent="0.25">
      <c r="A112" s="32">
        <v>1988</v>
      </c>
      <c r="B112" s="32">
        <v>11</v>
      </c>
      <c r="C112" s="117">
        <f t="shared" si="23"/>
        <v>148.61699999999999</v>
      </c>
      <c r="D112" s="117">
        <f>+HLOOKUP('Ingreso Datos'!$I$7,'Precip 1981-2012'!$D$5:$AL$397,104,FALSE)</f>
        <v>100.9</v>
      </c>
      <c r="E112" s="122">
        <f t="shared" si="12"/>
        <v>169.06992523193915</v>
      </c>
      <c r="F112" s="122">
        <f t="shared" si="13"/>
        <v>6.1358775695817496</v>
      </c>
      <c r="G112" s="123">
        <f t="shared" si="14"/>
        <v>34.847895492522369</v>
      </c>
      <c r="H112" s="123">
        <f t="shared" si="15"/>
        <v>0</v>
      </c>
      <c r="I112" s="123">
        <f t="shared" si="16"/>
        <v>66.052104507477637</v>
      </c>
      <c r="J112" s="123">
        <f t="shared" si="17"/>
        <v>31.962349828009625</v>
      </c>
      <c r="K112" s="123">
        <f t="shared" si="18"/>
        <v>2.885545664512744</v>
      </c>
      <c r="L112" s="123">
        <f t="shared" si="19"/>
        <v>10.718406283862983</v>
      </c>
      <c r="M112" s="123">
        <f t="shared" si="20"/>
        <v>28.644679047571575</v>
      </c>
      <c r="N112" s="123">
        <f t="shared" si="21"/>
        <v>31.530224712084319</v>
      </c>
      <c r="O112" s="123">
        <f t="shared" si="22"/>
        <v>0.82924490992781763</v>
      </c>
    </row>
    <row r="113" spans="1:15" x14ac:dyDescent="0.25">
      <c r="A113" s="32">
        <v>1988</v>
      </c>
      <c r="B113" s="32">
        <v>12</v>
      </c>
      <c r="C113" s="117">
        <f t="shared" si="23"/>
        <v>179.958</v>
      </c>
      <c r="D113" s="117">
        <f>+HLOOKUP('Ingreso Datos'!$I$7,'Precip 1981-2012'!$D$5:$AL$397,105,FALSE)</f>
        <v>79.400000000000006</v>
      </c>
      <c r="E113" s="122">
        <f t="shared" si="12"/>
        <v>200.41092523193916</v>
      </c>
      <c r="F113" s="122">
        <f t="shared" si="13"/>
        <v>6.1358775695817496</v>
      </c>
      <c r="G113" s="123">
        <f t="shared" si="14"/>
        <v>20.062974829584611</v>
      </c>
      <c r="H113" s="123">
        <f t="shared" si="15"/>
        <v>0</v>
      </c>
      <c r="I113" s="123">
        <f t="shared" si="16"/>
        <v>59.337025170415394</v>
      </c>
      <c r="J113" s="123">
        <f t="shared" si="17"/>
        <v>19.07169272812861</v>
      </c>
      <c r="K113" s="123">
        <f t="shared" si="18"/>
        <v>0.99128210145600093</v>
      </c>
      <c r="L113" s="123">
        <f t="shared" si="19"/>
        <v>7.0118666851101059</v>
      </c>
      <c r="M113" s="123">
        <f t="shared" si="20"/>
        <v>22.778232326881486</v>
      </c>
      <c r="N113" s="123">
        <f t="shared" si="21"/>
        <v>23.769514428337487</v>
      </c>
      <c r="O113" s="123">
        <f t="shared" si="22"/>
        <v>0.62513822946527597</v>
      </c>
    </row>
    <row r="114" spans="1:15" x14ac:dyDescent="0.25">
      <c r="A114" s="32">
        <v>1989</v>
      </c>
      <c r="B114" s="32">
        <v>1</v>
      </c>
      <c r="C114" s="117">
        <f t="shared" si="23"/>
        <v>190.06799999999998</v>
      </c>
      <c r="D114" s="117">
        <f>+HLOOKUP('Ingreso Datos'!$I$7,'Precip 1981-2012'!$D$5:$AL$397,106,FALSE)</f>
        <v>53.7</v>
      </c>
      <c r="E114" s="122">
        <f t="shared" si="12"/>
        <v>210.52092523193915</v>
      </c>
      <c r="F114" s="122">
        <f t="shared" si="13"/>
        <v>6.1358775695817496</v>
      </c>
      <c r="G114" s="123">
        <f t="shared" si="14"/>
        <v>8.9793736639130408</v>
      </c>
      <c r="H114" s="123">
        <f t="shared" si="15"/>
        <v>0</v>
      </c>
      <c r="I114" s="123">
        <f t="shared" si="16"/>
        <v>44.720626336086966</v>
      </c>
      <c r="J114" s="123">
        <f t="shared" si="17"/>
        <v>8.7752385703555156</v>
      </c>
      <c r="K114" s="123">
        <f t="shared" si="18"/>
        <v>0.20413509355752524</v>
      </c>
      <c r="L114" s="123">
        <f t="shared" si="19"/>
        <v>3.4296917988422986</v>
      </c>
      <c r="M114" s="123">
        <f t="shared" si="20"/>
        <v>12.357413456623323</v>
      </c>
      <c r="N114" s="123">
        <f t="shared" si="21"/>
        <v>12.561548550180849</v>
      </c>
      <c r="O114" s="123">
        <f t="shared" si="22"/>
        <v>0.33036872686975627</v>
      </c>
    </row>
    <row r="115" spans="1:15" x14ac:dyDescent="0.25">
      <c r="A115" s="32">
        <v>1989</v>
      </c>
      <c r="B115" s="32">
        <v>2</v>
      </c>
      <c r="C115" s="117">
        <f t="shared" si="23"/>
        <v>146.595</v>
      </c>
      <c r="D115" s="117">
        <f>+HLOOKUP('Ingreso Datos'!$I$7,'Precip 1981-2012'!$D$5:$AL$397,107,FALSE)</f>
        <v>11.7</v>
      </c>
      <c r="E115" s="122">
        <f t="shared" si="12"/>
        <v>167.04792523193916</v>
      </c>
      <c r="F115" s="122">
        <f t="shared" si="13"/>
        <v>6.1358775695817496</v>
      </c>
      <c r="G115" s="123">
        <f t="shared" si="14"/>
        <v>0.18596930962209227</v>
      </c>
      <c r="H115" s="123">
        <f t="shared" si="15"/>
        <v>0</v>
      </c>
      <c r="I115" s="123">
        <f t="shared" si="16"/>
        <v>11.514030690377908</v>
      </c>
      <c r="J115" s="123">
        <f t="shared" si="17"/>
        <v>0.1858797553998528</v>
      </c>
      <c r="K115" s="123">
        <f t="shared" si="18"/>
        <v>8.9554222239468517E-5</v>
      </c>
      <c r="L115" s="123">
        <f t="shared" si="19"/>
        <v>0.39349231585699723</v>
      </c>
      <c r="M115" s="123">
        <f t="shared" si="20"/>
        <v>3.2220792383851542</v>
      </c>
      <c r="N115" s="123">
        <f t="shared" si="21"/>
        <v>3.2221687926073939</v>
      </c>
      <c r="O115" s="123">
        <f t="shared" si="22"/>
        <v>8.4743039245574456E-2</v>
      </c>
    </row>
    <row r="116" spans="1:15" x14ac:dyDescent="0.25">
      <c r="A116" s="32">
        <v>1989</v>
      </c>
      <c r="B116" s="32">
        <v>3</v>
      </c>
      <c r="C116" s="117">
        <f t="shared" si="23"/>
        <v>120.30899999999998</v>
      </c>
      <c r="D116" s="117">
        <f>+HLOOKUP('Ingreso Datos'!$I$7,'Precip 1981-2012'!$D$5:$AL$397,108,FALSE)</f>
        <v>136.6</v>
      </c>
      <c r="E116" s="122">
        <f t="shared" si="12"/>
        <v>140.76192523193916</v>
      </c>
      <c r="F116" s="122">
        <f t="shared" si="13"/>
        <v>6.1358775695817496</v>
      </c>
      <c r="G116" s="123">
        <f t="shared" si="14"/>
        <v>64.207915501288596</v>
      </c>
      <c r="H116" s="123">
        <f t="shared" si="15"/>
        <v>0</v>
      </c>
      <c r="I116" s="123">
        <f t="shared" si="16"/>
        <v>72.392084498711398</v>
      </c>
      <c r="J116" s="123">
        <f t="shared" si="17"/>
        <v>55.05068776034539</v>
      </c>
      <c r="K116" s="123">
        <f t="shared" si="18"/>
        <v>9.1572277409432061</v>
      </c>
      <c r="L116" s="123">
        <f t="shared" si="19"/>
        <v>17.253016705330964</v>
      </c>
      <c r="M116" s="123">
        <f t="shared" si="20"/>
        <v>38.191163370871422</v>
      </c>
      <c r="N116" s="123">
        <f t="shared" si="21"/>
        <v>47.348391111814628</v>
      </c>
      <c r="O116" s="123">
        <f t="shared" si="22"/>
        <v>1.2452626862407248</v>
      </c>
    </row>
    <row r="117" spans="1:15" x14ac:dyDescent="0.25">
      <c r="A117" s="32">
        <v>1989</v>
      </c>
      <c r="B117" s="32">
        <v>4</v>
      </c>
      <c r="C117" s="117">
        <f t="shared" si="23"/>
        <v>73.802999999999997</v>
      </c>
      <c r="D117" s="117">
        <f>+HLOOKUP('Ingreso Datos'!$I$7,'Precip 1981-2012'!$D$5:$AL$397,109,FALSE)</f>
        <v>144.80000000000001</v>
      </c>
      <c r="E117" s="122">
        <f t="shared" si="12"/>
        <v>94.255925231939159</v>
      </c>
      <c r="F117" s="122">
        <f t="shared" si="13"/>
        <v>6.1358775695817496</v>
      </c>
      <c r="G117" s="123">
        <f t="shared" si="14"/>
        <v>84.784307659269643</v>
      </c>
      <c r="H117" s="123">
        <f t="shared" si="15"/>
        <v>0</v>
      </c>
      <c r="I117" s="123">
        <f t="shared" si="16"/>
        <v>60.015692340730368</v>
      </c>
      <c r="J117" s="123">
        <f t="shared" si="17"/>
        <v>69.515364518402933</v>
      </c>
      <c r="K117" s="123">
        <f t="shared" si="18"/>
        <v>15.26894314086671</v>
      </c>
      <c r="L117" s="123">
        <f t="shared" si="19"/>
        <v>23.424753307537046</v>
      </c>
      <c r="M117" s="123">
        <f t="shared" si="20"/>
        <v>63.343627916196851</v>
      </c>
      <c r="N117" s="123">
        <f t="shared" si="21"/>
        <v>78.612571057063562</v>
      </c>
      <c r="O117" s="123">
        <f t="shared" si="22"/>
        <v>2.0675106188007719</v>
      </c>
    </row>
    <row r="118" spans="1:15" x14ac:dyDescent="0.25">
      <c r="A118" s="32">
        <v>1989</v>
      </c>
      <c r="B118" s="32">
        <v>5</v>
      </c>
      <c r="C118" s="117">
        <f t="shared" si="23"/>
        <v>44.483999999999995</v>
      </c>
      <c r="D118" s="117">
        <f>+HLOOKUP('Ingreso Datos'!$I$7,'Precip 1981-2012'!$D$5:$AL$397,110,FALSE)</f>
        <v>16.600000000000001</v>
      </c>
      <c r="E118" s="122">
        <f t="shared" si="12"/>
        <v>64.936925231939156</v>
      </c>
      <c r="F118" s="122">
        <f t="shared" si="13"/>
        <v>6.1358775695817496</v>
      </c>
      <c r="G118" s="123">
        <f t="shared" si="14"/>
        <v>1.5808502035311247</v>
      </c>
      <c r="H118" s="123">
        <f t="shared" si="15"/>
        <v>0</v>
      </c>
      <c r="I118" s="123">
        <f t="shared" si="16"/>
        <v>15.019149796468877</v>
      </c>
      <c r="J118" s="123">
        <f t="shared" si="17"/>
        <v>1.574402291141511</v>
      </c>
      <c r="K118" s="123">
        <f t="shared" si="18"/>
        <v>6.4479123896137303E-3</v>
      </c>
      <c r="L118" s="123">
        <f t="shared" si="19"/>
        <v>2.7828740735532067</v>
      </c>
      <c r="M118" s="123">
        <f t="shared" si="20"/>
        <v>22.21628152512535</v>
      </c>
      <c r="N118" s="123">
        <f t="shared" si="21"/>
        <v>22.222729437514964</v>
      </c>
      <c r="O118" s="123">
        <f t="shared" si="22"/>
        <v>0.58445778420664352</v>
      </c>
    </row>
    <row r="119" spans="1:15" x14ac:dyDescent="0.25">
      <c r="A119" s="32">
        <v>1989</v>
      </c>
      <c r="B119" s="32">
        <v>6</v>
      </c>
      <c r="C119" s="117">
        <f t="shared" si="23"/>
        <v>29.318999999999996</v>
      </c>
      <c r="D119" s="117">
        <f>+HLOOKUP('Ingreso Datos'!$I$7,'Precip 1981-2012'!$D$5:$AL$397,111,FALSE)</f>
        <v>20.5</v>
      </c>
      <c r="E119" s="122">
        <f t="shared" si="12"/>
        <v>49.771925231939164</v>
      </c>
      <c r="F119" s="122">
        <f t="shared" si="13"/>
        <v>6.1358775695817496</v>
      </c>
      <c r="G119" s="123">
        <f t="shared" si="14"/>
        <v>3.5573691054010261</v>
      </c>
      <c r="H119" s="123">
        <f t="shared" si="15"/>
        <v>0</v>
      </c>
      <c r="I119" s="123">
        <f t="shared" si="16"/>
        <v>16.942630894598974</v>
      </c>
      <c r="J119" s="123">
        <f t="shared" si="17"/>
        <v>3.5248838389019657</v>
      </c>
      <c r="K119" s="123">
        <f t="shared" si="18"/>
        <v>3.2485266499060472E-2</v>
      </c>
      <c r="L119" s="123">
        <f t="shared" si="19"/>
        <v>1.3743623283102577</v>
      </c>
      <c r="M119" s="123">
        <f t="shared" si="20"/>
        <v>4.9333955841449146</v>
      </c>
      <c r="N119" s="123">
        <f t="shared" si="21"/>
        <v>4.9658808506439751</v>
      </c>
      <c r="O119" s="123">
        <f t="shared" si="22"/>
        <v>0.13060266637193654</v>
      </c>
    </row>
    <row r="120" spans="1:15" x14ac:dyDescent="0.25">
      <c r="A120" s="32">
        <v>1989</v>
      </c>
      <c r="B120" s="32">
        <v>7</v>
      </c>
      <c r="C120" s="117">
        <f t="shared" si="23"/>
        <v>35.384999999999998</v>
      </c>
      <c r="D120" s="117">
        <f>+HLOOKUP('Ingreso Datos'!$I$7,'Precip 1981-2012'!$D$5:$AL$397,112,FALSE)</f>
        <v>24.9</v>
      </c>
      <c r="E120" s="122">
        <f t="shared" si="12"/>
        <v>55.837925231939167</v>
      </c>
      <c r="F120" s="122">
        <f t="shared" si="13"/>
        <v>6.1358775695817496</v>
      </c>
      <c r="G120" s="123">
        <f t="shared" si="14"/>
        <v>5.1425731877015988</v>
      </c>
      <c r="H120" s="123">
        <f t="shared" si="15"/>
        <v>0</v>
      </c>
      <c r="I120" s="123">
        <f t="shared" si="16"/>
        <v>19.757426812298398</v>
      </c>
      <c r="J120" s="123">
        <f t="shared" si="17"/>
        <v>5.0749608621617339</v>
      </c>
      <c r="K120" s="123">
        <f t="shared" si="18"/>
        <v>6.7612325539864848E-2</v>
      </c>
      <c r="L120" s="123">
        <f t="shared" si="19"/>
        <v>1.7213476229134654</v>
      </c>
      <c r="M120" s="123">
        <f t="shared" si="20"/>
        <v>4.7279755675585262</v>
      </c>
      <c r="N120" s="123">
        <f t="shared" si="21"/>
        <v>4.7955878930983911</v>
      </c>
      <c r="O120" s="123">
        <f t="shared" si="22"/>
        <v>0.12612396158848768</v>
      </c>
    </row>
    <row r="121" spans="1:15" x14ac:dyDescent="0.25">
      <c r="A121" s="32">
        <v>1989</v>
      </c>
      <c r="B121" s="32">
        <v>8</v>
      </c>
      <c r="C121" s="117">
        <f t="shared" si="23"/>
        <v>55.605000000000004</v>
      </c>
      <c r="D121" s="117">
        <f>+HLOOKUP('Ingreso Datos'!$I$7,'Precip 1981-2012'!$D$5:$AL$397,113,FALSE)</f>
        <v>125.5</v>
      </c>
      <c r="E121" s="122">
        <f t="shared" si="12"/>
        <v>76.057925231939166</v>
      </c>
      <c r="F121" s="122">
        <f t="shared" si="13"/>
        <v>6.1358775695817496</v>
      </c>
      <c r="G121" s="123">
        <f t="shared" si="14"/>
        <v>75.271181812176465</v>
      </c>
      <c r="H121" s="123">
        <f t="shared" si="15"/>
        <v>0</v>
      </c>
      <c r="I121" s="123">
        <f t="shared" si="16"/>
        <v>50.228818187823535</v>
      </c>
      <c r="J121" s="123">
        <f t="shared" si="17"/>
        <v>62.988275281699252</v>
      </c>
      <c r="K121" s="123">
        <f t="shared" si="18"/>
        <v>12.282906530477213</v>
      </c>
      <c r="L121" s="123">
        <f t="shared" si="19"/>
        <v>19.864969927490257</v>
      </c>
      <c r="M121" s="123">
        <f t="shared" si="20"/>
        <v>44.844652977122465</v>
      </c>
      <c r="N121" s="123">
        <f t="shared" si="21"/>
        <v>57.127559507599678</v>
      </c>
      <c r="O121" s="123">
        <f t="shared" si="22"/>
        <v>1.5024548150498713</v>
      </c>
    </row>
    <row r="122" spans="1:15" x14ac:dyDescent="0.25">
      <c r="A122" s="32">
        <v>1989</v>
      </c>
      <c r="B122" s="32">
        <v>9</v>
      </c>
      <c r="C122" s="117">
        <f t="shared" si="23"/>
        <v>78.858000000000004</v>
      </c>
      <c r="D122" s="117">
        <f>+HLOOKUP('Ingreso Datos'!$I$7,'Precip 1981-2012'!$D$5:$AL$397,114,FALSE)</f>
        <v>21.4</v>
      </c>
      <c r="E122" s="122">
        <f t="shared" si="12"/>
        <v>99.310925231939166</v>
      </c>
      <c r="F122" s="122">
        <f t="shared" si="13"/>
        <v>6.1358775695817496</v>
      </c>
      <c r="G122" s="123">
        <f t="shared" si="14"/>
        <v>2.1486095233987759</v>
      </c>
      <c r="H122" s="123">
        <f t="shared" si="15"/>
        <v>0</v>
      </c>
      <c r="I122" s="123">
        <f t="shared" si="16"/>
        <v>19.251390476601223</v>
      </c>
      <c r="J122" s="123">
        <f t="shared" si="17"/>
        <v>2.1367158239991868</v>
      </c>
      <c r="K122" s="123">
        <f t="shared" si="18"/>
        <v>1.1893699399589064E-2</v>
      </c>
      <c r="L122" s="123">
        <f t="shared" si="19"/>
        <v>2.6106235730534353</v>
      </c>
      <c r="M122" s="123">
        <f t="shared" si="20"/>
        <v>19.391062178436009</v>
      </c>
      <c r="N122" s="123">
        <f t="shared" si="21"/>
        <v>19.402955877835598</v>
      </c>
      <c r="O122" s="123">
        <f t="shared" si="22"/>
        <v>0.51029773958707625</v>
      </c>
    </row>
    <row r="123" spans="1:15" x14ac:dyDescent="0.25">
      <c r="A123" s="32">
        <v>1989</v>
      </c>
      <c r="B123" s="32">
        <v>10</v>
      </c>
      <c r="C123" s="117">
        <f t="shared" si="23"/>
        <v>113.232</v>
      </c>
      <c r="D123" s="117">
        <f>+HLOOKUP('Ingreso Datos'!$I$7,'Precip 1981-2012'!$D$5:$AL$397,115,FALSE)</f>
        <v>97</v>
      </c>
      <c r="E123" s="122">
        <f t="shared" si="12"/>
        <v>133.68492523193916</v>
      </c>
      <c r="F123" s="122">
        <f t="shared" si="13"/>
        <v>6.1358775695817496</v>
      </c>
      <c r="G123" s="123">
        <f t="shared" si="14"/>
        <v>37.801240380985277</v>
      </c>
      <c r="H123" s="123">
        <f t="shared" si="15"/>
        <v>0</v>
      </c>
      <c r="I123" s="123">
        <f t="shared" si="16"/>
        <v>59.198759619014723</v>
      </c>
      <c r="J123" s="123">
        <f t="shared" si="17"/>
        <v>34.429532990378156</v>
      </c>
      <c r="K123" s="123">
        <f t="shared" si="18"/>
        <v>3.3717073906071207</v>
      </c>
      <c r="L123" s="123">
        <f t="shared" si="19"/>
        <v>11.021509314409887</v>
      </c>
      <c r="M123" s="123">
        <f t="shared" si="20"/>
        <v>26.018647249021704</v>
      </c>
      <c r="N123" s="123">
        <f t="shared" si="21"/>
        <v>29.390354639628825</v>
      </c>
      <c r="O123" s="123">
        <f t="shared" si="22"/>
        <v>0.77296632702223811</v>
      </c>
    </row>
    <row r="124" spans="1:15" x14ac:dyDescent="0.25">
      <c r="A124" s="32">
        <v>1989</v>
      </c>
      <c r="B124" s="32">
        <v>11</v>
      </c>
      <c r="C124" s="117">
        <f t="shared" si="23"/>
        <v>148.61699999999999</v>
      </c>
      <c r="D124" s="117">
        <f>+HLOOKUP('Ingreso Datos'!$I$7,'Precip 1981-2012'!$D$5:$AL$397,116,FALSE)</f>
        <v>109.6</v>
      </c>
      <c r="E124" s="122">
        <f t="shared" si="12"/>
        <v>169.06992523193915</v>
      </c>
      <c r="F124" s="122">
        <f t="shared" si="13"/>
        <v>6.1358775695817496</v>
      </c>
      <c r="G124" s="123">
        <f t="shared" si="14"/>
        <v>40.183551660916137</v>
      </c>
      <c r="H124" s="123">
        <f t="shared" si="15"/>
        <v>0</v>
      </c>
      <c r="I124" s="123">
        <f t="shared" si="16"/>
        <v>69.416448339083857</v>
      </c>
      <c r="J124" s="123">
        <f t="shared" si="17"/>
        <v>36.394766716512109</v>
      </c>
      <c r="K124" s="123">
        <f t="shared" si="18"/>
        <v>3.7887849444040285</v>
      </c>
      <c r="L124" s="123">
        <f t="shared" si="19"/>
        <v>12.458490044657861</v>
      </c>
      <c r="M124" s="123">
        <f t="shared" si="20"/>
        <v>34.957785986264135</v>
      </c>
      <c r="N124" s="123">
        <f t="shared" si="21"/>
        <v>38.746570930668163</v>
      </c>
      <c r="O124" s="123">
        <f t="shared" si="22"/>
        <v>1.0190348154765727</v>
      </c>
    </row>
    <row r="125" spans="1:15" x14ac:dyDescent="0.25">
      <c r="A125" s="32">
        <v>1989</v>
      </c>
      <c r="B125" s="32">
        <v>12</v>
      </c>
      <c r="C125" s="117">
        <f t="shared" si="23"/>
        <v>179.958</v>
      </c>
      <c r="D125" s="117">
        <f>+HLOOKUP('Ingreso Datos'!$I$7,'Precip 1981-2012'!$D$5:$AL$397,117,FALSE)</f>
        <v>197.7</v>
      </c>
      <c r="E125" s="122">
        <f t="shared" si="12"/>
        <v>200.41092523193916</v>
      </c>
      <c r="F125" s="122">
        <f t="shared" si="13"/>
        <v>6.1358775695817496</v>
      </c>
      <c r="G125" s="123">
        <f t="shared" si="14"/>
        <v>95.109091681159427</v>
      </c>
      <c r="H125" s="123">
        <f t="shared" si="15"/>
        <v>0</v>
      </c>
      <c r="I125" s="123">
        <f t="shared" si="16"/>
        <v>102.59090831884056</v>
      </c>
      <c r="J125" s="123">
        <f t="shared" si="17"/>
        <v>76.30724512114891</v>
      </c>
      <c r="K125" s="123">
        <f t="shared" si="18"/>
        <v>18.801846560010517</v>
      </c>
      <c r="L125" s="123">
        <f t="shared" si="19"/>
        <v>25.079772435533979</v>
      </c>
      <c r="M125" s="123">
        <f t="shared" si="20"/>
        <v>63.685962730272792</v>
      </c>
      <c r="N125" s="123">
        <f t="shared" si="21"/>
        <v>82.487809290283309</v>
      </c>
      <c r="O125" s="123">
        <f t="shared" si="22"/>
        <v>2.169429384334451</v>
      </c>
    </row>
    <row r="126" spans="1:15" x14ac:dyDescent="0.25">
      <c r="A126" s="32">
        <v>1990</v>
      </c>
      <c r="B126" s="32">
        <v>1</v>
      </c>
      <c r="C126" s="117">
        <f t="shared" si="23"/>
        <v>190.06799999999998</v>
      </c>
      <c r="D126" s="117">
        <f>+HLOOKUP('Ingreso Datos'!$I$7,'Precip 1981-2012'!$D$5:$AL$397,118,FALSE)</f>
        <v>163.1</v>
      </c>
      <c r="E126" s="122">
        <f t="shared" si="12"/>
        <v>210.52092523193915</v>
      </c>
      <c r="F126" s="122">
        <f t="shared" si="13"/>
        <v>6.1358775695817496</v>
      </c>
      <c r="G126" s="123">
        <f t="shared" si="14"/>
        <v>68.182627136034768</v>
      </c>
      <c r="H126" s="123">
        <f t="shared" si="15"/>
        <v>0</v>
      </c>
      <c r="I126" s="123">
        <f t="shared" si="16"/>
        <v>94.917372863965227</v>
      </c>
      <c r="J126" s="123">
        <f t="shared" si="17"/>
        <v>57.946941388902189</v>
      </c>
      <c r="K126" s="123">
        <f t="shared" si="18"/>
        <v>10.235685747132578</v>
      </c>
      <c r="L126" s="123">
        <f t="shared" si="19"/>
        <v>20.572594681346267</v>
      </c>
      <c r="M126" s="123">
        <f t="shared" si="20"/>
        <v>62.454119143089898</v>
      </c>
      <c r="N126" s="123">
        <f t="shared" si="21"/>
        <v>72.689804890222476</v>
      </c>
      <c r="O126" s="123">
        <f t="shared" si="22"/>
        <v>1.9117418686128513</v>
      </c>
    </row>
    <row r="127" spans="1:15" x14ac:dyDescent="0.25">
      <c r="A127" s="32">
        <v>1990</v>
      </c>
      <c r="B127" s="32">
        <v>2</v>
      </c>
      <c r="C127" s="117">
        <f t="shared" si="23"/>
        <v>146.595</v>
      </c>
      <c r="D127" s="117">
        <f>+HLOOKUP('Ingreso Datos'!$I$7,'Precip 1981-2012'!$D$5:$AL$397,119,FALSE)</f>
        <v>240.3</v>
      </c>
      <c r="E127" s="122">
        <f t="shared" si="12"/>
        <v>167.04792523193916</v>
      </c>
      <c r="F127" s="122">
        <f t="shared" si="13"/>
        <v>6.1358775695817496</v>
      </c>
      <c r="G127" s="123">
        <f t="shared" si="14"/>
        <v>138.79054315204971</v>
      </c>
      <c r="H127" s="123">
        <f t="shared" si="15"/>
        <v>0</v>
      </c>
      <c r="I127" s="123">
        <f t="shared" si="16"/>
        <v>101.5094568479503</v>
      </c>
      <c r="J127" s="123">
        <f t="shared" si="17"/>
        <v>102.08482289889362</v>
      </c>
      <c r="K127" s="123">
        <f t="shared" si="18"/>
        <v>36.705720253156088</v>
      </c>
      <c r="L127" s="123">
        <f t="shared" si="19"/>
        <v>33.933934888053656</v>
      </c>
      <c r="M127" s="123">
        <f t="shared" si="20"/>
        <v>88.723482692186224</v>
      </c>
      <c r="N127" s="123">
        <f t="shared" si="21"/>
        <v>125.42920294534231</v>
      </c>
      <c r="O127" s="123">
        <f t="shared" si="22"/>
        <v>3.2987880374625029</v>
      </c>
    </row>
    <row r="128" spans="1:15" x14ac:dyDescent="0.25">
      <c r="A128" s="32">
        <v>1990</v>
      </c>
      <c r="B128" s="32">
        <v>3</v>
      </c>
      <c r="C128" s="117">
        <f t="shared" si="23"/>
        <v>120.30899999999998</v>
      </c>
      <c r="D128" s="117">
        <f>+HLOOKUP('Ingreso Datos'!$I$7,'Precip 1981-2012'!$D$5:$AL$397,120,FALSE)</f>
        <v>210.4</v>
      </c>
      <c r="E128" s="122">
        <f t="shared" si="12"/>
        <v>140.76192523193916</v>
      </c>
      <c r="F128" s="122">
        <f t="shared" si="13"/>
        <v>6.1358775695817496</v>
      </c>
      <c r="G128" s="123">
        <f t="shared" si="14"/>
        <v>123.11903794921656</v>
      </c>
      <c r="H128" s="123">
        <f t="shared" si="15"/>
        <v>0</v>
      </c>
      <c r="I128" s="123">
        <f t="shared" si="16"/>
        <v>87.280962050783444</v>
      </c>
      <c r="J128" s="123">
        <f t="shared" si="17"/>
        <v>93.345455789335446</v>
      </c>
      <c r="K128" s="123">
        <f t="shared" si="18"/>
        <v>29.773582159881116</v>
      </c>
      <c r="L128" s="123">
        <f t="shared" si="19"/>
        <v>32.507622554805899</v>
      </c>
      <c r="M128" s="123">
        <f t="shared" si="20"/>
        <v>94.771768122583211</v>
      </c>
      <c r="N128" s="123">
        <f t="shared" si="21"/>
        <v>124.54535028246433</v>
      </c>
      <c r="O128" s="123">
        <f t="shared" si="22"/>
        <v>3.2755427124288121</v>
      </c>
    </row>
    <row r="129" spans="1:15" x14ac:dyDescent="0.25">
      <c r="A129" s="32">
        <v>1990</v>
      </c>
      <c r="B129" s="32">
        <v>4</v>
      </c>
      <c r="C129" s="117">
        <f t="shared" si="23"/>
        <v>73.802999999999997</v>
      </c>
      <c r="D129" s="117">
        <f>+HLOOKUP('Ingreso Datos'!$I$7,'Precip 1981-2012'!$D$5:$AL$397,121,FALSE)</f>
        <v>279.60000000000002</v>
      </c>
      <c r="E129" s="122">
        <f t="shared" si="12"/>
        <v>94.255925231939159</v>
      </c>
      <c r="F129" s="122">
        <f t="shared" si="13"/>
        <v>6.1358775695817496</v>
      </c>
      <c r="G129" s="123">
        <f t="shared" si="14"/>
        <v>206.8194142388783</v>
      </c>
      <c r="H129" s="123">
        <f t="shared" si="15"/>
        <v>0</v>
      </c>
      <c r="I129" s="123">
        <f t="shared" si="16"/>
        <v>72.780585761121728</v>
      </c>
      <c r="J129" s="123">
        <f t="shared" si="17"/>
        <v>134.66545119596634</v>
      </c>
      <c r="K129" s="123">
        <f t="shared" si="18"/>
        <v>72.153963042911954</v>
      </c>
      <c r="L129" s="123">
        <f t="shared" si="19"/>
        <v>45.289057702981516</v>
      </c>
      <c r="M129" s="123">
        <f t="shared" si="20"/>
        <v>121.88401604779072</v>
      </c>
      <c r="N129" s="123">
        <f t="shared" si="21"/>
        <v>194.03797909070266</v>
      </c>
      <c r="O129" s="123">
        <f t="shared" si="22"/>
        <v>5.1031988500854801</v>
      </c>
    </row>
    <row r="130" spans="1:15" x14ac:dyDescent="0.25">
      <c r="A130" s="32">
        <v>1990</v>
      </c>
      <c r="B130" s="32">
        <v>5</v>
      </c>
      <c r="C130" s="117">
        <f t="shared" si="23"/>
        <v>44.483999999999995</v>
      </c>
      <c r="D130" s="117">
        <f>+HLOOKUP('Ingreso Datos'!$I$7,'Precip 1981-2012'!$D$5:$AL$397,122,FALSE)</f>
        <v>72</v>
      </c>
      <c r="E130" s="122">
        <f t="shared" si="12"/>
        <v>64.936925231939156</v>
      </c>
      <c r="F130" s="122">
        <f t="shared" si="13"/>
        <v>6.1358775695817496</v>
      </c>
      <c r="G130" s="123">
        <f t="shared" si="14"/>
        <v>34.797871934083346</v>
      </c>
      <c r="H130" s="123">
        <f t="shared" si="15"/>
        <v>0</v>
      </c>
      <c r="I130" s="123">
        <f t="shared" si="16"/>
        <v>37.202128065916654</v>
      </c>
      <c r="J130" s="123">
        <f t="shared" si="17"/>
        <v>31.920262583125062</v>
      </c>
      <c r="K130" s="123">
        <f t="shared" si="18"/>
        <v>2.8776093509582843</v>
      </c>
      <c r="L130" s="123">
        <f t="shared" si="19"/>
        <v>14.41009609142808</v>
      </c>
      <c r="M130" s="123">
        <f t="shared" si="20"/>
        <v>62.799224194678501</v>
      </c>
      <c r="N130" s="123">
        <f t="shared" si="21"/>
        <v>65.676833545636782</v>
      </c>
      <c r="O130" s="123">
        <f t="shared" si="22"/>
        <v>1.7273007222502474</v>
      </c>
    </row>
    <row r="131" spans="1:15" x14ac:dyDescent="0.25">
      <c r="A131" s="32">
        <v>1990</v>
      </c>
      <c r="B131" s="32">
        <v>6</v>
      </c>
      <c r="C131" s="117">
        <f t="shared" si="23"/>
        <v>29.318999999999996</v>
      </c>
      <c r="D131" s="117">
        <f>+HLOOKUP('Ingreso Datos'!$I$7,'Precip 1981-2012'!$D$5:$AL$397,123,FALSE)</f>
        <v>23.4</v>
      </c>
      <c r="E131" s="122">
        <f t="shared" si="12"/>
        <v>49.771925231939164</v>
      </c>
      <c r="F131" s="122">
        <f t="shared" si="13"/>
        <v>6.1358775695817496</v>
      </c>
      <c r="G131" s="123">
        <f t="shared" si="14"/>
        <v>4.8940737413117166</v>
      </c>
      <c r="H131" s="123">
        <f t="shared" si="15"/>
        <v>0</v>
      </c>
      <c r="I131" s="123">
        <f t="shared" si="16"/>
        <v>18.505926258688284</v>
      </c>
      <c r="J131" s="123">
        <f t="shared" si="17"/>
        <v>4.8327989372295033</v>
      </c>
      <c r="K131" s="123">
        <f t="shared" si="18"/>
        <v>6.1274804082213308E-2</v>
      </c>
      <c r="L131" s="123">
        <f t="shared" si="19"/>
        <v>2.920301698012929</v>
      </c>
      <c r="M131" s="123">
        <f t="shared" si="20"/>
        <v>16.322593330644654</v>
      </c>
      <c r="N131" s="123">
        <f t="shared" si="21"/>
        <v>16.383868134726868</v>
      </c>
      <c r="O131" s="123">
        <f t="shared" si="22"/>
        <v>0.43089573194331665</v>
      </c>
    </row>
    <row r="132" spans="1:15" x14ac:dyDescent="0.25">
      <c r="A132" s="32">
        <v>1990</v>
      </c>
      <c r="B132" s="32">
        <v>7</v>
      </c>
      <c r="C132" s="117">
        <f t="shared" si="23"/>
        <v>35.384999999999998</v>
      </c>
      <c r="D132" s="117">
        <f>+HLOOKUP('Ingreso Datos'!$I$7,'Precip 1981-2012'!$D$5:$AL$397,124,FALSE)</f>
        <v>39.5</v>
      </c>
      <c r="E132" s="122">
        <f t="shared" si="12"/>
        <v>55.837925231939167</v>
      </c>
      <c r="F132" s="122">
        <f t="shared" si="13"/>
        <v>6.1358775695817496</v>
      </c>
      <c r="G132" s="123">
        <f t="shared" si="14"/>
        <v>13.40093884560534</v>
      </c>
      <c r="H132" s="123">
        <f t="shared" si="15"/>
        <v>0</v>
      </c>
      <c r="I132" s="123">
        <f t="shared" si="16"/>
        <v>26.099061154394661</v>
      </c>
      <c r="J132" s="123">
        <f t="shared" si="17"/>
        <v>12.951302541637922</v>
      </c>
      <c r="K132" s="123">
        <f t="shared" si="18"/>
        <v>0.44963630396741827</v>
      </c>
      <c r="L132" s="123">
        <f t="shared" si="19"/>
        <v>4.3354740701093348</v>
      </c>
      <c r="M132" s="123">
        <f t="shared" si="20"/>
        <v>11.536130169541517</v>
      </c>
      <c r="N132" s="123">
        <f t="shared" si="21"/>
        <v>11.985766473508935</v>
      </c>
      <c r="O132" s="123">
        <f t="shared" si="22"/>
        <v>0.31522565825328502</v>
      </c>
    </row>
    <row r="133" spans="1:15" x14ac:dyDescent="0.25">
      <c r="A133" s="32">
        <v>1990</v>
      </c>
      <c r="B133" s="32">
        <v>8</v>
      </c>
      <c r="C133" s="117">
        <f t="shared" si="23"/>
        <v>55.605000000000004</v>
      </c>
      <c r="D133" s="117">
        <f>+HLOOKUP('Ingreso Datos'!$I$7,'Precip 1981-2012'!$D$5:$AL$397,125,FALSE)</f>
        <v>20.9</v>
      </c>
      <c r="E133" s="122">
        <f t="shared" si="12"/>
        <v>76.057925231939166</v>
      </c>
      <c r="F133" s="122">
        <f t="shared" si="13"/>
        <v>6.1358775695817496</v>
      </c>
      <c r="G133" s="123">
        <f t="shared" si="14"/>
        <v>2.5739658659917892</v>
      </c>
      <c r="H133" s="123">
        <f t="shared" si="15"/>
        <v>0</v>
      </c>
      <c r="I133" s="123">
        <f t="shared" si="16"/>
        <v>18.326034134008211</v>
      </c>
      <c r="J133" s="123">
        <f t="shared" si="17"/>
        <v>2.5569155721963068</v>
      </c>
      <c r="K133" s="123">
        <f t="shared" si="18"/>
        <v>1.7050293795482396E-2</v>
      </c>
      <c r="L133" s="123">
        <f t="shared" si="19"/>
        <v>1.2234938922754979</v>
      </c>
      <c r="M133" s="123">
        <f t="shared" si="20"/>
        <v>5.6688957500301438</v>
      </c>
      <c r="N133" s="123">
        <f t="shared" si="21"/>
        <v>5.6859460438256262</v>
      </c>
      <c r="O133" s="123">
        <f t="shared" si="22"/>
        <v>0.14954038095261399</v>
      </c>
    </row>
    <row r="134" spans="1:15" x14ac:dyDescent="0.25">
      <c r="A134" s="32">
        <v>1990</v>
      </c>
      <c r="B134" s="32">
        <v>9</v>
      </c>
      <c r="C134" s="117">
        <f t="shared" si="23"/>
        <v>78.858000000000004</v>
      </c>
      <c r="D134" s="117">
        <f>+HLOOKUP('Ingreso Datos'!$I$7,'Precip 1981-2012'!$D$5:$AL$397,126,FALSE)</f>
        <v>86.4</v>
      </c>
      <c r="E134" s="122">
        <f t="shared" si="12"/>
        <v>99.310925231939166</v>
      </c>
      <c r="F134" s="122">
        <f t="shared" si="13"/>
        <v>6.1358775695817496</v>
      </c>
      <c r="G134" s="123">
        <f t="shared" si="14"/>
        <v>37.144604336373703</v>
      </c>
      <c r="H134" s="123">
        <f t="shared" si="15"/>
        <v>0</v>
      </c>
      <c r="I134" s="123">
        <f t="shared" si="16"/>
        <v>49.255395663626302</v>
      </c>
      <c r="J134" s="123">
        <f t="shared" si="17"/>
        <v>33.883965733951733</v>
      </c>
      <c r="K134" s="123">
        <f t="shared" si="18"/>
        <v>3.2606386024219702</v>
      </c>
      <c r="L134" s="123">
        <f t="shared" si="19"/>
        <v>10.715270236718174</v>
      </c>
      <c r="M134" s="123">
        <f t="shared" si="20"/>
        <v>24.392189389509056</v>
      </c>
      <c r="N134" s="123">
        <f t="shared" si="21"/>
        <v>27.652827991931026</v>
      </c>
      <c r="O134" s="123">
        <f t="shared" si="22"/>
        <v>0.72726937618778598</v>
      </c>
    </row>
    <row r="135" spans="1:15" x14ac:dyDescent="0.25">
      <c r="A135" s="32">
        <v>1990</v>
      </c>
      <c r="B135" s="32">
        <v>10</v>
      </c>
      <c r="C135" s="117">
        <f t="shared" si="23"/>
        <v>113.232</v>
      </c>
      <c r="D135" s="117">
        <f>+HLOOKUP('Ingreso Datos'!$I$7,'Precip 1981-2012'!$D$5:$AL$397,127,FALSE)</f>
        <v>135.1</v>
      </c>
      <c r="E135" s="122">
        <f t="shared" si="12"/>
        <v>133.68492523193916</v>
      </c>
      <c r="F135" s="122">
        <f t="shared" si="13"/>
        <v>6.1358775695817496</v>
      </c>
      <c r="G135" s="123">
        <f t="shared" si="14"/>
        <v>64.837781499610884</v>
      </c>
      <c r="H135" s="123">
        <f t="shared" si="15"/>
        <v>0</v>
      </c>
      <c r="I135" s="123">
        <f t="shared" si="16"/>
        <v>70.26221850038911</v>
      </c>
      <c r="J135" s="123">
        <f t="shared" si="17"/>
        <v>55.513057436317375</v>
      </c>
      <c r="K135" s="123">
        <f t="shared" si="18"/>
        <v>9.3247240632935089</v>
      </c>
      <c r="L135" s="123">
        <f t="shared" si="19"/>
        <v>18.406900289363243</v>
      </c>
      <c r="M135" s="123">
        <f t="shared" si="20"/>
        <v>47.821427383672308</v>
      </c>
      <c r="N135" s="123">
        <f t="shared" si="21"/>
        <v>57.146151446965817</v>
      </c>
      <c r="O135" s="123">
        <f t="shared" si="22"/>
        <v>1.502943783055201</v>
      </c>
    </row>
    <row r="136" spans="1:15" x14ac:dyDescent="0.25">
      <c r="A136" s="32">
        <v>1990</v>
      </c>
      <c r="B136" s="32">
        <v>11</v>
      </c>
      <c r="C136" s="117">
        <f t="shared" si="23"/>
        <v>148.61699999999999</v>
      </c>
      <c r="D136" s="117">
        <f>+HLOOKUP('Ingreso Datos'!$I$7,'Precip 1981-2012'!$D$5:$AL$397,128,FALSE)</f>
        <v>174.7</v>
      </c>
      <c r="E136" s="122">
        <f t="shared" si="12"/>
        <v>169.06992523193915</v>
      </c>
      <c r="F136" s="122">
        <f t="shared" si="13"/>
        <v>6.1358775695817496</v>
      </c>
      <c r="G136" s="123">
        <f t="shared" si="14"/>
        <v>85.713484821906874</v>
      </c>
      <c r="H136" s="123">
        <f t="shared" si="15"/>
        <v>0</v>
      </c>
      <c r="I136" s="123">
        <f t="shared" si="16"/>
        <v>88.986515178093114</v>
      </c>
      <c r="J136" s="123">
        <f t="shared" si="17"/>
        <v>70.138773229574483</v>
      </c>
      <c r="K136" s="123">
        <f t="shared" si="18"/>
        <v>15.574711592332392</v>
      </c>
      <c r="L136" s="123">
        <f t="shared" si="19"/>
        <v>23.732526069582356</v>
      </c>
      <c r="M136" s="123">
        <f t="shared" si="20"/>
        <v>64.81314744935537</v>
      </c>
      <c r="N136" s="123">
        <f t="shared" si="21"/>
        <v>80.387859041687761</v>
      </c>
      <c r="O136" s="123">
        <f t="shared" si="22"/>
        <v>2.1142006927963881</v>
      </c>
    </row>
    <row r="137" spans="1:15" x14ac:dyDescent="0.25">
      <c r="A137" s="32">
        <v>1990</v>
      </c>
      <c r="B137" s="32">
        <v>12</v>
      </c>
      <c r="C137" s="117">
        <f t="shared" si="23"/>
        <v>179.958</v>
      </c>
      <c r="D137" s="117">
        <f>+HLOOKUP('Ingreso Datos'!$I$7,'Precip 1981-2012'!$D$5:$AL$397,129,FALSE)</f>
        <v>308.39999999999998</v>
      </c>
      <c r="E137" s="122">
        <f t="shared" si="12"/>
        <v>200.41092523193916</v>
      </c>
      <c r="F137" s="122">
        <f t="shared" si="13"/>
        <v>6.1358775695817496</v>
      </c>
      <c r="G137" s="123">
        <f t="shared" si="14"/>
        <v>184.00079029326139</v>
      </c>
      <c r="H137" s="123">
        <f t="shared" si="15"/>
        <v>0</v>
      </c>
      <c r="I137" s="123">
        <f t="shared" si="16"/>
        <v>124.39920970673859</v>
      </c>
      <c r="J137" s="123">
        <f t="shared" si="17"/>
        <v>124.60387119227921</v>
      </c>
      <c r="K137" s="123">
        <f t="shared" si="18"/>
        <v>59.396919100982174</v>
      </c>
      <c r="L137" s="123">
        <f t="shared" si="19"/>
        <v>41.284707824934486</v>
      </c>
      <c r="M137" s="123">
        <f t="shared" si="20"/>
        <v>107.05168943692709</v>
      </c>
      <c r="N137" s="123">
        <f t="shared" si="21"/>
        <v>166.44860853790925</v>
      </c>
      <c r="O137" s="123">
        <f t="shared" si="22"/>
        <v>4.3775984045470135</v>
      </c>
    </row>
    <row r="138" spans="1:15" x14ac:dyDescent="0.25">
      <c r="A138" s="32">
        <v>1991</v>
      </c>
      <c r="B138" s="32">
        <v>1</v>
      </c>
      <c r="C138" s="117">
        <f t="shared" si="23"/>
        <v>190.06799999999998</v>
      </c>
      <c r="D138" s="117">
        <f>+HLOOKUP('Ingreso Datos'!$I$7,'Precip 1981-2012'!$D$5:$AL$397,130,FALSE)</f>
        <v>39.5</v>
      </c>
      <c r="E138" s="122">
        <f t="shared" si="12"/>
        <v>210.52092523193915</v>
      </c>
      <c r="F138" s="122">
        <f t="shared" si="13"/>
        <v>6.1358775695817496</v>
      </c>
      <c r="G138" s="123">
        <f t="shared" si="14"/>
        <v>4.6820969558697234</v>
      </c>
      <c r="H138" s="123">
        <f t="shared" si="15"/>
        <v>0</v>
      </c>
      <c r="I138" s="123">
        <f t="shared" si="16"/>
        <v>34.817903044130276</v>
      </c>
      <c r="J138" s="123">
        <f t="shared" si="17"/>
        <v>4.6259847560147067</v>
      </c>
      <c r="K138" s="123">
        <f t="shared" si="18"/>
        <v>5.6112199855016698E-2</v>
      </c>
      <c r="L138" s="123">
        <f t="shared" si="19"/>
        <v>5.4835222840705669</v>
      </c>
      <c r="M138" s="123">
        <f t="shared" si="20"/>
        <v>40.427170296878629</v>
      </c>
      <c r="N138" s="123">
        <f t="shared" si="21"/>
        <v>40.483282496733644</v>
      </c>
      <c r="O138" s="123">
        <f t="shared" si="22"/>
        <v>1.064710329664095</v>
      </c>
    </row>
    <row r="139" spans="1:15" x14ac:dyDescent="0.25">
      <c r="A139" s="32">
        <v>1991</v>
      </c>
      <c r="B139" s="32">
        <v>2</v>
      </c>
      <c r="C139" s="117">
        <f t="shared" si="23"/>
        <v>146.595</v>
      </c>
      <c r="D139" s="117">
        <f>+HLOOKUP('Ingreso Datos'!$I$7,'Precip 1981-2012'!$D$5:$AL$397,131,FALSE)</f>
        <v>57.7</v>
      </c>
      <c r="E139" s="122">
        <f t="shared" si="12"/>
        <v>167.04792523193916</v>
      </c>
      <c r="F139" s="122">
        <f t="shared" si="13"/>
        <v>6.1358775695817496</v>
      </c>
      <c r="G139" s="123">
        <f t="shared" si="14"/>
        <v>12.513679632206273</v>
      </c>
      <c r="H139" s="123">
        <f t="shared" si="15"/>
        <v>0</v>
      </c>
      <c r="I139" s="123">
        <f t="shared" si="16"/>
        <v>45.186320367793726</v>
      </c>
      <c r="J139" s="123">
        <f t="shared" si="17"/>
        <v>12.120739098566334</v>
      </c>
      <c r="K139" s="123">
        <f t="shared" si="18"/>
        <v>0.39294053363993875</v>
      </c>
      <c r="L139" s="123">
        <f t="shared" si="19"/>
        <v>4.3263945575533915</v>
      </c>
      <c r="M139" s="123">
        <f t="shared" si="20"/>
        <v>13.27786682508351</v>
      </c>
      <c r="N139" s="123">
        <f t="shared" si="21"/>
        <v>13.670807358723449</v>
      </c>
      <c r="O139" s="123">
        <f t="shared" si="22"/>
        <v>0.35954223353442671</v>
      </c>
    </row>
    <row r="140" spans="1:15" x14ac:dyDescent="0.25">
      <c r="A140" s="32">
        <v>1991</v>
      </c>
      <c r="B140" s="32">
        <v>3</v>
      </c>
      <c r="C140" s="117">
        <f t="shared" si="23"/>
        <v>120.30899999999998</v>
      </c>
      <c r="D140" s="117">
        <f>+HLOOKUP('Ingreso Datos'!$I$7,'Precip 1981-2012'!$D$5:$AL$397,132,FALSE)</f>
        <v>80.3</v>
      </c>
      <c r="E140" s="122">
        <f t="shared" si="12"/>
        <v>140.76192523193916</v>
      </c>
      <c r="F140" s="122">
        <f t="shared" si="13"/>
        <v>6.1358775695817496</v>
      </c>
      <c r="G140" s="123">
        <f t="shared" si="14"/>
        <v>26.343754849330349</v>
      </c>
      <c r="H140" s="123">
        <f t="shared" si="15"/>
        <v>0</v>
      </c>
      <c r="I140" s="123">
        <f t="shared" si="16"/>
        <v>53.956245150669645</v>
      </c>
      <c r="J140" s="123">
        <f t="shared" si="17"/>
        <v>24.660709061926095</v>
      </c>
      <c r="K140" s="123">
        <f t="shared" si="18"/>
        <v>1.6830457874042537</v>
      </c>
      <c r="L140" s="123">
        <f t="shared" si="19"/>
        <v>8.1345384216924028</v>
      </c>
      <c r="M140" s="123">
        <f t="shared" si="20"/>
        <v>20.852565197787083</v>
      </c>
      <c r="N140" s="123">
        <f t="shared" si="21"/>
        <v>22.535610985191337</v>
      </c>
      <c r="O140" s="123">
        <f t="shared" si="22"/>
        <v>0.59268656891053217</v>
      </c>
    </row>
    <row r="141" spans="1:15" x14ac:dyDescent="0.25">
      <c r="A141" s="32">
        <v>1991</v>
      </c>
      <c r="B141" s="32">
        <v>4</v>
      </c>
      <c r="C141" s="117">
        <f t="shared" si="23"/>
        <v>73.802999999999997</v>
      </c>
      <c r="D141" s="117">
        <f>+HLOOKUP('Ingreso Datos'!$I$7,'Precip 1981-2012'!$D$5:$AL$397,133,FALSE)</f>
        <v>520.6</v>
      </c>
      <c r="E141" s="122">
        <f t="shared" si="12"/>
        <v>94.255925231939159</v>
      </c>
      <c r="F141" s="122">
        <f t="shared" si="13"/>
        <v>6.1358775695817496</v>
      </c>
      <c r="G141" s="123">
        <f t="shared" si="14"/>
        <v>439.23047833691089</v>
      </c>
      <c r="H141" s="123">
        <f t="shared" si="15"/>
        <v>7.5665216630891337</v>
      </c>
      <c r="I141" s="123">
        <f t="shared" si="16"/>
        <v>73.802999999999997</v>
      </c>
      <c r="J141" s="123">
        <f t="shared" si="17"/>
        <v>205.44922792930285</v>
      </c>
      <c r="K141" s="123">
        <f t="shared" si="18"/>
        <v>233.78125040760804</v>
      </c>
      <c r="L141" s="123">
        <f t="shared" si="19"/>
        <v>65.040104376456398</v>
      </c>
      <c r="M141" s="123">
        <f t="shared" si="20"/>
        <v>148.54366197453885</v>
      </c>
      <c r="N141" s="123">
        <f t="shared" si="21"/>
        <v>382.32491238214686</v>
      </c>
      <c r="O141" s="123">
        <f t="shared" si="22"/>
        <v>10.055145195650462</v>
      </c>
    </row>
    <row r="142" spans="1:15" x14ac:dyDescent="0.25">
      <c r="A142" s="32">
        <v>1991</v>
      </c>
      <c r="B142" s="32">
        <v>5</v>
      </c>
      <c r="C142" s="117">
        <f t="shared" si="23"/>
        <v>44.483999999999995</v>
      </c>
      <c r="D142" s="117">
        <f>+HLOOKUP('Ingreso Datos'!$I$7,'Precip 1981-2012'!$D$5:$AL$397,134,FALSE)</f>
        <v>106.5</v>
      </c>
      <c r="E142" s="122">
        <f t="shared" si="12"/>
        <v>57.370403568850023</v>
      </c>
      <c r="F142" s="122">
        <f t="shared" si="13"/>
        <v>3.8659210706550091</v>
      </c>
      <c r="G142" s="123">
        <f t="shared" si="14"/>
        <v>67.464142498606719</v>
      </c>
      <c r="H142" s="123">
        <f t="shared" si="15"/>
        <v>2.1183791644824197</v>
      </c>
      <c r="I142" s="123">
        <f t="shared" si="16"/>
        <v>44.483999999999995</v>
      </c>
      <c r="J142" s="123">
        <f t="shared" si="17"/>
        <v>57.427162511625063</v>
      </c>
      <c r="K142" s="123">
        <f t="shared" si="18"/>
        <v>10.036979986981656</v>
      </c>
      <c r="L142" s="123">
        <f t="shared" si="19"/>
        <v>24.317516918787273</v>
      </c>
      <c r="M142" s="123">
        <f t="shared" si="20"/>
        <v>98.149749969294191</v>
      </c>
      <c r="N142" s="123">
        <f t="shared" si="21"/>
        <v>108.18672995627585</v>
      </c>
      <c r="O142" s="123">
        <f t="shared" si="22"/>
        <v>2.845310997850055</v>
      </c>
    </row>
    <row r="143" spans="1:15" x14ac:dyDescent="0.25">
      <c r="A143" s="32">
        <v>1991</v>
      </c>
      <c r="B143" s="32">
        <v>6</v>
      </c>
      <c r="C143" s="117">
        <f t="shared" si="23"/>
        <v>29.318999999999996</v>
      </c>
      <c r="D143" s="117">
        <f>+HLOOKUP('Ingreso Datos'!$I$7,'Precip 1981-2012'!$D$5:$AL$397,135,FALSE)</f>
        <v>168.1</v>
      </c>
      <c r="E143" s="122">
        <f t="shared" si="12"/>
        <v>47.653546067456745</v>
      </c>
      <c r="F143" s="122">
        <f t="shared" si="13"/>
        <v>5.5003638202370233</v>
      </c>
      <c r="G143" s="123">
        <f t="shared" si="14"/>
        <v>129.12467769140682</v>
      </c>
      <c r="H143" s="123">
        <f t="shared" si="15"/>
        <v>11.774701473075616</v>
      </c>
      <c r="I143" s="123">
        <f t="shared" si="16"/>
        <v>29.318999999999996</v>
      </c>
      <c r="J143" s="123">
        <f t="shared" si="17"/>
        <v>96.75740213467644</v>
      </c>
      <c r="K143" s="123">
        <f t="shared" si="18"/>
        <v>32.367275556730377</v>
      </c>
      <c r="L143" s="123">
        <f t="shared" si="19"/>
        <v>32.634223460148284</v>
      </c>
      <c r="M143" s="123">
        <f t="shared" si="20"/>
        <v>88.440695593315425</v>
      </c>
      <c r="N143" s="123">
        <f t="shared" si="21"/>
        <v>120.8079711500458</v>
      </c>
      <c r="O143" s="123">
        <f t="shared" si="22"/>
        <v>3.1772496412462048</v>
      </c>
    </row>
    <row r="144" spans="1:15" x14ac:dyDescent="0.25">
      <c r="A144" s="32">
        <v>1991</v>
      </c>
      <c r="B144" s="32">
        <v>7</v>
      </c>
      <c r="C144" s="117">
        <f t="shared" si="23"/>
        <v>35.384999999999998</v>
      </c>
      <c r="D144" s="117">
        <f>+HLOOKUP('Ingreso Datos'!$I$7,'Precip 1981-2012'!$D$5:$AL$397,136,FALSE)</f>
        <v>130.19999999999999</v>
      </c>
      <c r="E144" s="122">
        <f t="shared" si="12"/>
        <v>44.063223758863543</v>
      </c>
      <c r="F144" s="122">
        <f t="shared" si="13"/>
        <v>2.6034671276590644</v>
      </c>
      <c r="G144" s="123">
        <f t="shared" si="14"/>
        <v>96.304463139781262</v>
      </c>
      <c r="H144" s="123">
        <f t="shared" si="15"/>
        <v>10.285238333294352</v>
      </c>
      <c r="I144" s="123">
        <f t="shared" si="16"/>
        <v>35.384999999999998</v>
      </c>
      <c r="J144" s="123">
        <f t="shared" si="17"/>
        <v>77.074805673490019</v>
      </c>
      <c r="K144" s="123">
        <f t="shared" si="18"/>
        <v>19.229657466291243</v>
      </c>
      <c r="L144" s="123">
        <f t="shared" si="19"/>
        <v>27.292643963556834</v>
      </c>
      <c r="M144" s="123">
        <f t="shared" si="20"/>
        <v>82.416385170081469</v>
      </c>
      <c r="N144" s="123">
        <f t="shared" si="21"/>
        <v>101.64604263637271</v>
      </c>
      <c r="O144" s="123">
        <f t="shared" si="22"/>
        <v>2.6732909213366023</v>
      </c>
    </row>
    <row r="145" spans="1:15" x14ac:dyDescent="0.25">
      <c r="A145" s="32">
        <v>1991</v>
      </c>
      <c r="B145" s="32">
        <v>8</v>
      </c>
      <c r="C145" s="117">
        <f t="shared" si="23"/>
        <v>55.605000000000004</v>
      </c>
      <c r="D145" s="117">
        <f>+HLOOKUP('Ingreso Datos'!$I$7,'Precip 1981-2012'!$D$5:$AL$397,137,FALSE)</f>
        <v>35.9</v>
      </c>
      <c r="E145" s="122">
        <f t="shared" si="12"/>
        <v>65.772686898644821</v>
      </c>
      <c r="F145" s="122">
        <f t="shared" si="13"/>
        <v>3.0503060695934439</v>
      </c>
      <c r="G145" s="123">
        <f t="shared" si="14"/>
        <v>11.290980069621224</v>
      </c>
      <c r="H145" s="123">
        <f t="shared" si="15"/>
        <v>0</v>
      </c>
      <c r="I145" s="123">
        <f t="shared" si="16"/>
        <v>34.894258263673123</v>
      </c>
      <c r="J145" s="123">
        <f t="shared" si="17"/>
        <v>10.970091256816456</v>
      </c>
      <c r="K145" s="123">
        <f t="shared" si="18"/>
        <v>0.32088881280476755</v>
      </c>
      <c r="L145" s="123">
        <f t="shared" si="19"/>
        <v>6.0991540438643197</v>
      </c>
      <c r="M145" s="123">
        <f t="shared" si="20"/>
        <v>32.16358117650897</v>
      </c>
      <c r="N145" s="123">
        <f t="shared" si="21"/>
        <v>32.484469989313737</v>
      </c>
      <c r="O145" s="123">
        <f t="shared" si="22"/>
        <v>0.85434156071895118</v>
      </c>
    </row>
    <row r="146" spans="1:15" x14ac:dyDescent="0.25">
      <c r="A146" s="32">
        <v>1991</v>
      </c>
      <c r="B146" s="32">
        <v>9</v>
      </c>
      <c r="C146" s="117">
        <f t="shared" si="23"/>
        <v>78.858000000000004</v>
      </c>
      <c r="D146" s="117">
        <f>+HLOOKUP('Ingreso Datos'!$I$7,'Precip 1981-2012'!$D$5:$AL$397,138,FALSE)</f>
        <v>40.700000000000003</v>
      </c>
      <c r="E146" s="122">
        <f t="shared" ref="E146:E209" si="24">+CAD*AD-H145+C146</f>
        <v>99.310925231939166</v>
      </c>
      <c r="F146" s="122">
        <f t="shared" ref="F146:F209" si="25">+CP.o*(CAD*AD-H145)</f>
        <v>6.1358775695817496</v>
      </c>
      <c r="G146" s="123">
        <f t="shared" ref="G146:G209" si="26">+IF(D146&lt;F146,0,(D146-F146)^2/(D146+E146-2*F146))</f>
        <v>9.3524841167925175</v>
      </c>
      <c r="H146" s="123">
        <f t="shared" ref="H146:H209" si="27">+MAX(0,H145+D146-G146-C146)</f>
        <v>0</v>
      </c>
      <c r="I146" s="123">
        <f t="shared" ref="I146:I209" si="28">+MIN(H145+D146-G146,C146)</f>
        <v>31.347515883207485</v>
      </c>
      <c r="J146" s="123">
        <f t="shared" ref="J146:J209" si="29">+Imax*G146/(G146+Imax)</f>
        <v>9.1312411433222493</v>
      </c>
      <c r="K146" s="123">
        <f t="shared" ref="K146:K209" si="30">+G146-J146</f>
        <v>0.22124297347026811</v>
      </c>
      <c r="L146" s="123">
        <f t="shared" ref="L146:L209" si="31">+L145*EXP(-α)+J146*EXP(-α/2)</f>
        <v>3.4517668440837932</v>
      </c>
      <c r="M146" s="123">
        <f t="shared" ref="M146:M209" si="32">+L145-L146+J146</f>
        <v>11.778628343102776</v>
      </c>
      <c r="N146" s="123">
        <f t="shared" ref="N146:N209" si="33">+M146+K146</f>
        <v>11.999871316573044</v>
      </c>
      <c r="O146" s="123">
        <f t="shared" ref="O146:O209" si="34">+N146*Ac/100000</f>
        <v>0.31559661562587105</v>
      </c>
    </row>
    <row r="147" spans="1:15" x14ac:dyDescent="0.25">
      <c r="A147" s="32">
        <v>1991</v>
      </c>
      <c r="B147" s="32">
        <v>10</v>
      </c>
      <c r="C147" s="117">
        <f t="shared" si="23"/>
        <v>113.232</v>
      </c>
      <c r="D147" s="117">
        <f>+HLOOKUP('Ingreso Datos'!$I$7,'Precip 1981-2012'!$D$5:$AL$397,139,FALSE)</f>
        <v>182</v>
      </c>
      <c r="E147" s="122">
        <f t="shared" si="24"/>
        <v>133.68492523193916</v>
      </c>
      <c r="F147" s="122">
        <f t="shared" si="25"/>
        <v>6.1358775695817496</v>
      </c>
      <c r="G147" s="123">
        <f t="shared" si="26"/>
        <v>101.93423557970186</v>
      </c>
      <c r="H147" s="123">
        <f t="shared" si="27"/>
        <v>0</v>
      </c>
      <c r="I147" s="123">
        <f t="shared" si="28"/>
        <v>80.065764420298137</v>
      </c>
      <c r="J147" s="123">
        <f t="shared" si="29"/>
        <v>80.639176480449748</v>
      </c>
      <c r="K147" s="123">
        <f t="shared" si="30"/>
        <v>21.295059099252114</v>
      </c>
      <c r="L147" s="123">
        <f t="shared" si="31"/>
        <v>25.55367387771096</v>
      </c>
      <c r="M147" s="123">
        <f t="shared" si="32"/>
        <v>58.537269446822577</v>
      </c>
      <c r="N147" s="123">
        <f t="shared" si="33"/>
        <v>79.832328546074692</v>
      </c>
      <c r="O147" s="123">
        <f t="shared" si="34"/>
        <v>2.0995902407617644</v>
      </c>
    </row>
    <row r="148" spans="1:15" x14ac:dyDescent="0.25">
      <c r="A148" s="32">
        <v>1991</v>
      </c>
      <c r="B148" s="32">
        <v>11</v>
      </c>
      <c r="C148" s="117">
        <f t="shared" si="23"/>
        <v>148.61699999999999</v>
      </c>
      <c r="D148" s="117">
        <f>+HLOOKUP('Ingreso Datos'!$I$7,'Precip 1981-2012'!$D$5:$AL$397,140,FALSE)</f>
        <v>59.9</v>
      </c>
      <c r="E148" s="122">
        <f t="shared" si="24"/>
        <v>169.06992523193915</v>
      </c>
      <c r="F148" s="122">
        <f t="shared" si="25"/>
        <v>6.1358775695817496</v>
      </c>
      <c r="G148" s="123">
        <f t="shared" si="26"/>
        <v>13.339202908245369</v>
      </c>
      <c r="H148" s="123">
        <f t="shared" si="27"/>
        <v>0</v>
      </c>
      <c r="I148" s="123">
        <f t="shared" si="28"/>
        <v>46.56079709175463</v>
      </c>
      <c r="J148" s="123">
        <f t="shared" si="29"/>
        <v>12.893630991109486</v>
      </c>
      <c r="K148" s="123">
        <f t="shared" si="30"/>
        <v>0.44557191713588296</v>
      </c>
      <c r="L148" s="123">
        <f t="shared" si="31"/>
        <v>6.5306090598502289</v>
      </c>
      <c r="M148" s="123">
        <f t="shared" si="32"/>
        <v>31.916695808970218</v>
      </c>
      <c r="N148" s="123">
        <f t="shared" si="33"/>
        <v>32.362267726106097</v>
      </c>
      <c r="O148" s="123">
        <f t="shared" si="34"/>
        <v>0.85112764119659046</v>
      </c>
    </row>
    <row r="149" spans="1:15" x14ac:dyDescent="0.25">
      <c r="A149" s="32">
        <v>1991</v>
      </c>
      <c r="B149" s="32">
        <v>12</v>
      </c>
      <c r="C149" s="117">
        <f t="shared" si="23"/>
        <v>179.958</v>
      </c>
      <c r="D149" s="117">
        <f>+HLOOKUP('Ingreso Datos'!$I$7,'Precip 1981-2012'!$D$5:$AL$397,141,FALSE)</f>
        <v>292.39999999999998</v>
      </c>
      <c r="E149" s="122">
        <f t="shared" si="24"/>
        <v>200.41092523193916</v>
      </c>
      <c r="F149" s="122">
        <f t="shared" si="25"/>
        <v>6.1358775695817496</v>
      </c>
      <c r="G149" s="123">
        <f t="shared" si="26"/>
        <v>170.53167127881855</v>
      </c>
      <c r="H149" s="123">
        <f t="shared" si="27"/>
        <v>0</v>
      </c>
      <c r="I149" s="123">
        <f t="shared" si="28"/>
        <v>121.86832872118143</v>
      </c>
      <c r="J149" s="123">
        <f t="shared" si="29"/>
        <v>118.27759049609593</v>
      </c>
      <c r="K149" s="123">
        <f t="shared" si="30"/>
        <v>52.254080782722625</v>
      </c>
      <c r="L149" s="123">
        <f t="shared" si="31"/>
        <v>37.624395372392563</v>
      </c>
      <c r="M149" s="123">
        <f t="shared" si="32"/>
        <v>87.18380418355359</v>
      </c>
      <c r="N149" s="123">
        <f t="shared" si="33"/>
        <v>139.43788496627621</v>
      </c>
      <c r="O149" s="123">
        <f t="shared" si="34"/>
        <v>3.6672163746130648</v>
      </c>
    </row>
    <row r="150" spans="1:15" x14ac:dyDescent="0.25">
      <c r="A150" s="32">
        <v>1992</v>
      </c>
      <c r="B150" s="32">
        <v>1</v>
      </c>
      <c r="C150" s="117">
        <f t="shared" si="23"/>
        <v>190.06799999999998</v>
      </c>
      <c r="D150" s="117">
        <f>+HLOOKUP('Ingreso Datos'!$I$7,'Precip 1981-2012'!$D$5:$AL$397,142,FALSE)</f>
        <v>63.6</v>
      </c>
      <c r="E150" s="122">
        <f t="shared" si="24"/>
        <v>210.52092523193915</v>
      </c>
      <c r="F150" s="122">
        <f t="shared" si="25"/>
        <v>6.1358775695817496</v>
      </c>
      <c r="G150" s="123">
        <f t="shared" si="26"/>
        <v>12.610791798683659</v>
      </c>
      <c r="H150" s="123">
        <f t="shared" si="27"/>
        <v>0</v>
      </c>
      <c r="I150" s="123">
        <f t="shared" si="28"/>
        <v>50.989208201316345</v>
      </c>
      <c r="J150" s="123">
        <f t="shared" si="29"/>
        <v>12.211826007837573</v>
      </c>
      <c r="K150" s="123">
        <f t="shared" si="30"/>
        <v>0.39896579084608597</v>
      </c>
      <c r="L150" s="123">
        <f t="shared" si="31"/>
        <v>7.4977230132028776</v>
      </c>
      <c r="M150" s="123">
        <f t="shared" si="32"/>
        <v>42.338498367027256</v>
      </c>
      <c r="N150" s="123">
        <f t="shared" si="33"/>
        <v>42.73746415787334</v>
      </c>
      <c r="O150" s="123">
        <f t="shared" si="34"/>
        <v>1.123995307352069</v>
      </c>
    </row>
    <row r="151" spans="1:15" x14ac:dyDescent="0.25">
      <c r="A151" s="32">
        <v>1992</v>
      </c>
      <c r="B151" s="32">
        <v>2</v>
      </c>
      <c r="C151" s="117">
        <f t="shared" si="23"/>
        <v>146.595</v>
      </c>
      <c r="D151" s="117">
        <f>+HLOOKUP('Ingreso Datos'!$I$7,'Precip 1981-2012'!$D$5:$AL$397,143,FALSE)</f>
        <v>238.1</v>
      </c>
      <c r="E151" s="122">
        <f t="shared" si="24"/>
        <v>167.04792523193916</v>
      </c>
      <c r="F151" s="122">
        <f t="shared" si="25"/>
        <v>6.1358775695817496</v>
      </c>
      <c r="G151" s="123">
        <f t="shared" si="26"/>
        <v>136.95754080021638</v>
      </c>
      <c r="H151" s="123">
        <f t="shared" si="27"/>
        <v>0</v>
      </c>
      <c r="I151" s="123">
        <f t="shared" si="28"/>
        <v>101.14245919978362</v>
      </c>
      <c r="J151" s="123">
        <f t="shared" si="29"/>
        <v>101.08968056563425</v>
      </c>
      <c r="K151" s="123">
        <f t="shared" si="30"/>
        <v>35.867860234582125</v>
      </c>
      <c r="L151" s="123">
        <f t="shared" si="31"/>
        <v>32.344244470675186</v>
      </c>
      <c r="M151" s="123">
        <f t="shared" si="32"/>
        <v>76.243159108161947</v>
      </c>
      <c r="N151" s="123">
        <f t="shared" si="33"/>
        <v>112.11101934274407</v>
      </c>
      <c r="O151" s="123">
        <f t="shared" si="34"/>
        <v>2.9485198087141691</v>
      </c>
    </row>
    <row r="152" spans="1:15" x14ac:dyDescent="0.25">
      <c r="A152" s="32">
        <v>1992</v>
      </c>
      <c r="B152" s="32">
        <v>3</v>
      </c>
      <c r="C152" s="117">
        <f t="shared" si="23"/>
        <v>120.30899999999998</v>
      </c>
      <c r="D152" s="117">
        <f>+HLOOKUP('Ingreso Datos'!$I$7,'Precip 1981-2012'!$D$5:$AL$397,144,FALSE)</f>
        <v>165</v>
      </c>
      <c r="E152" s="122">
        <f t="shared" si="24"/>
        <v>140.76192523193916</v>
      </c>
      <c r="F152" s="122">
        <f t="shared" si="25"/>
        <v>6.1358775695817496</v>
      </c>
      <c r="G152" s="123">
        <f t="shared" si="26"/>
        <v>85.992009162040958</v>
      </c>
      <c r="H152" s="123">
        <f t="shared" si="27"/>
        <v>0</v>
      </c>
      <c r="I152" s="123">
        <f t="shared" si="28"/>
        <v>79.007990837959042</v>
      </c>
      <c r="J152" s="123">
        <f t="shared" si="29"/>
        <v>70.325164181227166</v>
      </c>
      <c r="K152" s="123">
        <f t="shared" si="30"/>
        <v>15.666844980813792</v>
      </c>
      <c r="L152" s="123">
        <f t="shared" si="31"/>
        <v>25.153652677120558</v>
      </c>
      <c r="M152" s="123">
        <f t="shared" si="32"/>
        <v>77.515755974781797</v>
      </c>
      <c r="N152" s="123">
        <f t="shared" si="33"/>
        <v>93.182600955595589</v>
      </c>
      <c r="O152" s="123">
        <f t="shared" si="34"/>
        <v>2.450702405132164</v>
      </c>
    </row>
    <row r="153" spans="1:15" x14ac:dyDescent="0.25">
      <c r="A153" s="32">
        <v>1992</v>
      </c>
      <c r="B153" s="32">
        <v>4</v>
      </c>
      <c r="C153" s="117">
        <f t="shared" si="23"/>
        <v>73.802999999999997</v>
      </c>
      <c r="D153" s="117">
        <f>+HLOOKUP('Ingreso Datos'!$I$7,'Precip 1981-2012'!$D$5:$AL$397,145,FALSE)</f>
        <v>394.7</v>
      </c>
      <c r="E153" s="122">
        <f t="shared" si="24"/>
        <v>94.255925231939159</v>
      </c>
      <c r="F153" s="122">
        <f t="shared" si="25"/>
        <v>6.1358775695817496</v>
      </c>
      <c r="G153" s="123">
        <f t="shared" si="26"/>
        <v>316.73398596545769</v>
      </c>
      <c r="H153" s="123">
        <f t="shared" si="27"/>
        <v>4.1630140345423001</v>
      </c>
      <c r="I153" s="123">
        <f t="shared" si="28"/>
        <v>73.802999999999997</v>
      </c>
      <c r="J153" s="123">
        <f t="shared" si="29"/>
        <v>173.97666972759197</v>
      </c>
      <c r="K153" s="123">
        <f t="shared" si="30"/>
        <v>142.75731623786572</v>
      </c>
      <c r="L153" s="123">
        <f t="shared" si="31"/>
        <v>56.862714633743366</v>
      </c>
      <c r="M153" s="123">
        <f t="shared" si="32"/>
        <v>142.26760777096916</v>
      </c>
      <c r="N153" s="123">
        <f t="shared" si="33"/>
        <v>285.02492400883489</v>
      </c>
      <c r="O153" s="123">
        <f t="shared" si="34"/>
        <v>7.4961555014323569</v>
      </c>
    </row>
    <row r="154" spans="1:15" x14ac:dyDescent="0.25">
      <c r="A154" s="32">
        <v>1992</v>
      </c>
      <c r="B154" s="32">
        <v>5</v>
      </c>
      <c r="C154" s="117">
        <f t="shared" si="23"/>
        <v>44.483999999999995</v>
      </c>
      <c r="D154" s="117">
        <f>+HLOOKUP('Ingreso Datos'!$I$7,'Precip 1981-2012'!$D$5:$AL$397,146,FALSE)</f>
        <v>287.2</v>
      </c>
      <c r="E154" s="122">
        <f t="shared" si="24"/>
        <v>60.773911197396856</v>
      </c>
      <c r="F154" s="122">
        <f t="shared" si="25"/>
        <v>4.8869733592190592</v>
      </c>
      <c r="G154" s="123">
        <f t="shared" si="26"/>
        <v>235.66130509170088</v>
      </c>
      <c r="H154" s="123">
        <f t="shared" si="27"/>
        <v>11.217708942841412</v>
      </c>
      <c r="I154" s="123">
        <f t="shared" si="28"/>
        <v>44.483999999999995</v>
      </c>
      <c r="J154" s="123">
        <f t="shared" si="29"/>
        <v>146.32608306218819</v>
      </c>
      <c r="K154" s="123">
        <f t="shared" si="30"/>
        <v>89.335222029512693</v>
      </c>
      <c r="L154" s="123">
        <f t="shared" si="31"/>
        <v>51.316902233449888</v>
      </c>
      <c r="M154" s="123">
        <f t="shared" si="32"/>
        <v>151.87189546248166</v>
      </c>
      <c r="N154" s="123">
        <f t="shared" si="33"/>
        <v>241.20711749199435</v>
      </c>
      <c r="O154" s="123">
        <f t="shared" si="34"/>
        <v>6.3437471900394513</v>
      </c>
    </row>
    <row r="155" spans="1:15" x14ac:dyDescent="0.25">
      <c r="A155" s="32">
        <v>1992</v>
      </c>
      <c r="B155" s="32">
        <v>6</v>
      </c>
      <c r="C155" s="117">
        <f t="shared" si="23"/>
        <v>29.318999999999996</v>
      </c>
      <c r="D155" s="117">
        <f>+HLOOKUP('Ingreso Datos'!$I$7,'Precip 1981-2012'!$D$5:$AL$397,147,FALSE)</f>
        <v>247.9</v>
      </c>
      <c r="E155" s="122">
        <f t="shared" si="24"/>
        <v>38.554216289097752</v>
      </c>
      <c r="F155" s="122">
        <f t="shared" si="25"/>
        <v>2.7705648867293258</v>
      </c>
      <c r="G155" s="123">
        <f t="shared" si="26"/>
        <v>213.90402527796053</v>
      </c>
      <c r="H155" s="123">
        <f t="shared" si="27"/>
        <v>15.894683664880908</v>
      </c>
      <c r="I155" s="123">
        <f t="shared" si="28"/>
        <v>29.318999999999996</v>
      </c>
      <c r="J155" s="123">
        <f t="shared" si="29"/>
        <v>137.63360517382102</v>
      </c>
      <c r="K155" s="123">
        <f t="shared" si="30"/>
        <v>76.270420104139504</v>
      </c>
      <c r="L155" s="123">
        <f t="shared" si="31"/>
        <v>48.056445822050172</v>
      </c>
      <c r="M155" s="123">
        <f t="shared" si="32"/>
        <v>140.89406158522075</v>
      </c>
      <c r="N155" s="123">
        <f t="shared" si="33"/>
        <v>217.16448168936026</v>
      </c>
      <c r="O155" s="123">
        <f t="shared" si="34"/>
        <v>5.7114258684301751</v>
      </c>
    </row>
    <row r="156" spans="1:15" x14ac:dyDescent="0.25">
      <c r="A156" s="32">
        <v>1992</v>
      </c>
      <c r="B156" s="32">
        <v>7</v>
      </c>
      <c r="C156" s="117">
        <f t="shared" si="23"/>
        <v>35.384999999999998</v>
      </c>
      <c r="D156" s="117">
        <f>+HLOOKUP('Ingreso Datos'!$I$7,'Precip 1981-2012'!$D$5:$AL$397,148,FALSE)</f>
        <v>102.5</v>
      </c>
      <c r="E156" s="122">
        <f t="shared" si="24"/>
        <v>39.943241567058251</v>
      </c>
      <c r="F156" s="122">
        <f t="shared" si="25"/>
        <v>1.367472470117477</v>
      </c>
      <c r="G156" s="123">
        <f t="shared" si="26"/>
        <v>73.208165667512432</v>
      </c>
      <c r="H156" s="123">
        <f t="shared" si="27"/>
        <v>9.8015179973684852</v>
      </c>
      <c r="I156" s="123">
        <f t="shared" si="28"/>
        <v>35.384999999999998</v>
      </c>
      <c r="J156" s="123">
        <f t="shared" si="29"/>
        <v>61.537128606114827</v>
      </c>
      <c r="K156" s="123">
        <f t="shared" si="30"/>
        <v>11.671037061397605</v>
      </c>
      <c r="L156" s="123">
        <f t="shared" si="31"/>
        <v>23.941996846279316</v>
      </c>
      <c r="M156" s="123">
        <f t="shared" si="32"/>
        <v>85.651577581885675</v>
      </c>
      <c r="N156" s="123">
        <f t="shared" si="33"/>
        <v>97.322614643283288</v>
      </c>
      <c r="O156" s="123">
        <f t="shared" si="34"/>
        <v>2.5595847651183505</v>
      </c>
    </row>
    <row r="157" spans="1:15" x14ac:dyDescent="0.25">
      <c r="A157" s="32">
        <v>1992</v>
      </c>
      <c r="B157" s="32">
        <v>8</v>
      </c>
      <c r="C157" s="117">
        <f t="shared" si="23"/>
        <v>55.605000000000004</v>
      </c>
      <c r="D157" s="117">
        <f>+HLOOKUP('Ingreso Datos'!$I$7,'Precip 1981-2012'!$D$5:$AL$397,149,FALSE)</f>
        <v>16.2</v>
      </c>
      <c r="E157" s="122">
        <f t="shared" si="24"/>
        <v>66.256407234570688</v>
      </c>
      <c r="F157" s="122">
        <f t="shared" si="25"/>
        <v>3.195422170371204</v>
      </c>
      <c r="G157" s="123">
        <f t="shared" si="26"/>
        <v>2.2233325843250227</v>
      </c>
      <c r="H157" s="123">
        <f t="shared" si="27"/>
        <v>0</v>
      </c>
      <c r="I157" s="123">
        <f t="shared" si="28"/>
        <v>23.778185413043463</v>
      </c>
      <c r="J157" s="123">
        <f t="shared" si="29"/>
        <v>2.2105996871351103</v>
      </c>
      <c r="K157" s="123">
        <f t="shared" si="30"/>
        <v>1.2732897189912329E-2</v>
      </c>
      <c r="L157" s="123">
        <f t="shared" si="31"/>
        <v>3.0323930451404459</v>
      </c>
      <c r="M157" s="123">
        <f t="shared" si="32"/>
        <v>23.120203488273983</v>
      </c>
      <c r="N157" s="123">
        <f t="shared" si="33"/>
        <v>23.132936385463896</v>
      </c>
      <c r="O157" s="123">
        <f t="shared" si="34"/>
        <v>0.60839622693770046</v>
      </c>
    </row>
    <row r="158" spans="1:15" x14ac:dyDescent="0.25">
      <c r="A158" s="32">
        <v>1992</v>
      </c>
      <c r="B158" s="32">
        <v>9</v>
      </c>
      <c r="C158" s="117">
        <f t="shared" ref="C158:C221" si="35">+C146</f>
        <v>78.858000000000004</v>
      </c>
      <c r="D158" s="117">
        <f>+HLOOKUP('Ingreso Datos'!$I$7,'Precip 1981-2012'!$D$5:$AL$397,150,FALSE)</f>
        <v>98.6</v>
      </c>
      <c r="E158" s="122">
        <f t="shared" si="24"/>
        <v>99.310925231939166</v>
      </c>
      <c r="F158" s="122">
        <f t="shared" si="25"/>
        <v>6.1358775695817496</v>
      </c>
      <c r="G158" s="123">
        <f t="shared" si="26"/>
        <v>46.055010548445082</v>
      </c>
      <c r="H158" s="123">
        <f t="shared" si="27"/>
        <v>0</v>
      </c>
      <c r="I158" s="123">
        <f t="shared" si="28"/>
        <v>52.544989451554912</v>
      </c>
      <c r="J158" s="123">
        <f t="shared" si="29"/>
        <v>41.145765325423746</v>
      </c>
      <c r="K158" s="123">
        <f t="shared" si="30"/>
        <v>4.9092452230213368</v>
      </c>
      <c r="L158" s="123">
        <f t="shared" si="31"/>
        <v>13.162940369597715</v>
      </c>
      <c r="M158" s="123">
        <f t="shared" si="32"/>
        <v>31.015218000966478</v>
      </c>
      <c r="N158" s="123">
        <f t="shared" si="33"/>
        <v>35.924463223987814</v>
      </c>
      <c r="O158" s="123">
        <f t="shared" si="34"/>
        <v>0.94481338279087956</v>
      </c>
    </row>
    <row r="159" spans="1:15" x14ac:dyDescent="0.25">
      <c r="A159" s="32">
        <v>1992</v>
      </c>
      <c r="B159" s="32">
        <v>10</v>
      </c>
      <c r="C159" s="117">
        <f t="shared" si="35"/>
        <v>113.232</v>
      </c>
      <c r="D159" s="117">
        <f>+HLOOKUP('Ingreso Datos'!$I$7,'Precip 1981-2012'!$D$5:$AL$397,151,FALSE)</f>
        <v>89.1</v>
      </c>
      <c r="E159" s="122">
        <f t="shared" si="24"/>
        <v>133.68492523193916</v>
      </c>
      <c r="F159" s="122">
        <f t="shared" si="25"/>
        <v>6.1358775695817496</v>
      </c>
      <c r="G159" s="123">
        <f t="shared" si="26"/>
        <v>32.696508287894709</v>
      </c>
      <c r="H159" s="123">
        <f t="shared" si="27"/>
        <v>0</v>
      </c>
      <c r="I159" s="123">
        <f t="shared" si="28"/>
        <v>56.403491712105286</v>
      </c>
      <c r="J159" s="123">
        <f t="shared" si="29"/>
        <v>30.143199069740728</v>
      </c>
      <c r="K159" s="123">
        <f t="shared" si="30"/>
        <v>2.5533092181539807</v>
      </c>
      <c r="L159" s="123">
        <f t="shared" si="31"/>
        <v>10.712999813270017</v>
      </c>
      <c r="M159" s="123">
        <f t="shared" si="32"/>
        <v>32.593139626068428</v>
      </c>
      <c r="N159" s="123">
        <f t="shared" si="33"/>
        <v>35.146448844222405</v>
      </c>
      <c r="O159" s="123">
        <f t="shared" si="34"/>
        <v>0.92435160460304922</v>
      </c>
    </row>
    <row r="160" spans="1:15" x14ac:dyDescent="0.25">
      <c r="A160" s="32">
        <v>1992</v>
      </c>
      <c r="B160" s="32">
        <v>11</v>
      </c>
      <c r="C160" s="117">
        <f t="shared" si="35"/>
        <v>148.61699999999999</v>
      </c>
      <c r="D160" s="117">
        <f>+HLOOKUP('Ingreso Datos'!$I$7,'Precip 1981-2012'!$D$5:$AL$397,152,FALSE)</f>
        <v>59.4</v>
      </c>
      <c r="E160" s="122">
        <f t="shared" si="24"/>
        <v>169.06992523193915</v>
      </c>
      <c r="F160" s="122">
        <f t="shared" si="25"/>
        <v>6.1358775695817496</v>
      </c>
      <c r="G160" s="123">
        <f t="shared" si="26"/>
        <v>13.122528914398918</v>
      </c>
      <c r="H160" s="123">
        <f t="shared" si="27"/>
        <v>0</v>
      </c>
      <c r="I160" s="123">
        <f t="shared" si="28"/>
        <v>46.277471085601078</v>
      </c>
      <c r="J160" s="123">
        <f t="shared" si="29"/>
        <v>12.691080542948637</v>
      </c>
      <c r="K160" s="123">
        <f t="shared" si="30"/>
        <v>0.4314483714502817</v>
      </c>
      <c r="L160" s="123">
        <f t="shared" si="31"/>
        <v>5.0160986150095743</v>
      </c>
      <c r="M160" s="123">
        <f t="shared" si="32"/>
        <v>18.387981741209078</v>
      </c>
      <c r="N160" s="123">
        <f t="shared" si="33"/>
        <v>18.819430112659361</v>
      </c>
      <c r="O160" s="123">
        <f t="shared" si="34"/>
        <v>0.49495101196294117</v>
      </c>
    </row>
    <row r="161" spans="1:15" x14ac:dyDescent="0.25">
      <c r="A161" s="32">
        <v>1992</v>
      </c>
      <c r="B161" s="32">
        <v>12</v>
      </c>
      <c r="C161" s="117">
        <f t="shared" si="35"/>
        <v>179.958</v>
      </c>
      <c r="D161" s="117">
        <f>+HLOOKUP('Ingreso Datos'!$I$7,'Precip 1981-2012'!$D$5:$AL$397,153,FALSE)</f>
        <v>116.8</v>
      </c>
      <c r="E161" s="122">
        <f t="shared" si="24"/>
        <v>200.41092523193916</v>
      </c>
      <c r="F161" s="122">
        <f t="shared" si="25"/>
        <v>6.1358775695817496</v>
      </c>
      <c r="G161" s="123">
        <f t="shared" si="26"/>
        <v>40.160626099850241</v>
      </c>
      <c r="H161" s="123">
        <f t="shared" si="27"/>
        <v>0</v>
      </c>
      <c r="I161" s="123">
        <f t="shared" si="28"/>
        <v>76.639373900149764</v>
      </c>
      <c r="J161" s="123">
        <f t="shared" si="29"/>
        <v>36.375959497745917</v>
      </c>
      <c r="K161" s="123">
        <f t="shared" si="30"/>
        <v>3.7846666021043234</v>
      </c>
      <c r="L161" s="123">
        <f t="shared" si="31"/>
        <v>11.865379221442554</v>
      </c>
      <c r="M161" s="123">
        <f t="shared" si="32"/>
        <v>29.526678891312937</v>
      </c>
      <c r="N161" s="123">
        <f t="shared" si="33"/>
        <v>33.311345493417264</v>
      </c>
      <c r="O161" s="123">
        <f t="shared" si="34"/>
        <v>0.87608838647687404</v>
      </c>
    </row>
    <row r="162" spans="1:15" x14ac:dyDescent="0.25">
      <c r="A162" s="32">
        <v>1993</v>
      </c>
      <c r="B162" s="32">
        <v>1</v>
      </c>
      <c r="C162" s="117">
        <f t="shared" si="35"/>
        <v>190.06799999999998</v>
      </c>
      <c r="D162" s="117">
        <f>+HLOOKUP('Ingreso Datos'!$I$7,'Precip 1981-2012'!$D$5:$AL$397,154,FALSE)</f>
        <v>253.3</v>
      </c>
      <c r="E162" s="122">
        <f t="shared" si="24"/>
        <v>210.52092523193915</v>
      </c>
      <c r="F162" s="122">
        <f t="shared" si="25"/>
        <v>6.1358775695817496</v>
      </c>
      <c r="G162" s="123">
        <f t="shared" si="26"/>
        <v>135.2900358653016</v>
      </c>
      <c r="H162" s="123">
        <f t="shared" si="27"/>
        <v>0</v>
      </c>
      <c r="I162" s="123">
        <f t="shared" si="28"/>
        <v>118.00996413469841</v>
      </c>
      <c r="J162" s="123">
        <f t="shared" si="29"/>
        <v>100.1783081414974</v>
      </c>
      <c r="K162" s="123">
        <f t="shared" si="30"/>
        <v>35.111727723804208</v>
      </c>
      <c r="L162" s="123">
        <f t="shared" si="31"/>
        <v>32.486339641118981</v>
      </c>
      <c r="M162" s="123">
        <f t="shared" si="32"/>
        <v>79.557347721820975</v>
      </c>
      <c r="N162" s="123">
        <f t="shared" si="33"/>
        <v>114.66907544562518</v>
      </c>
      <c r="O162" s="123">
        <f t="shared" si="34"/>
        <v>3.0157966842199424</v>
      </c>
    </row>
    <row r="163" spans="1:15" x14ac:dyDescent="0.25">
      <c r="A163" s="32">
        <v>1993</v>
      </c>
      <c r="B163" s="32">
        <v>2</v>
      </c>
      <c r="C163" s="117">
        <f t="shared" si="35"/>
        <v>146.595</v>
      </c>
      <c r="D163" s="117">
        <f>+HLOOKUP('Ingreso Datos'!$I$7,'Precip 1981-2012'!$D$5:$AL$397,155,FALSE)</f>
        <v>73.599999999999994</v>
      </c>
      <c r="E163" s="122">
        <f t="shared" si="24"/>
        <v>167.04792523193916</v>
      </c>
      <c r="F163" s="122">
        <f t="shared" si="25"/>
        <v>6.1358775695817496</v>
      </c>
      <c r="G163" s="123">
        <f t="shared" si="26"/>
        <v>19.92943402745346</v>
      </c>
      <c r="H163" s="123">
        <f t="shared" si="27"/>
        <v>0</v>
      </c>
      <c r="I163" s="123">
        <f t="shared" si="28"/>
        <v>53.670565972546534</v>
      </c>
      <c r="J163" s="123">
        <f t="shared" si="29"/>
        <v>18.950982337675878</v>
      </c>
      <c r="K163" s="123">
        <f t="shared" si="30"/>
        <v>0.97845168977758235</v>
      </c>
      <c r="L163" s="123">
        <f t="shared" si="31"/>
        <v>9.1026636238104626</v>
      </c>
      <c r="M163" s="123">
        <f t="shared" si="32"/>
        <v>42.334658354984398</v>
      </c>
      <c r="N163" s="123">
        <f t="shared" si="33"/>
        <v>43.313110044761984</v>
      </c>
      <c r="O163" s="123">
        <f t="shared" si="34"/>
        <v>1.1391347941772403</v>
      </c>
    </row>
    <row r="164" spans="1:15" x14ac:dyDescent="0.25">
      <c r="A164" s="32">
        <v>1993</v>
      </c>
      <c r="B164" s="32">
        <v>3</v>
      </c>
      <c r="C164" s="117">
        <f t="shared" si="35"/>
        <v>120.30899999999998</v>
      </c>
      <c r="D164" s="117">
        <f>+HLOOKUP('Ingreso Datos'!$I$7,'Precip 1981-2012'!$D$5:$AL$397,156,FALSE)</f>
        <v>64.900000000000006</v>
      </c>
      <c r="E164" s="122">
        <f t="shared" si="24"/>
        <v>140.76192523193916</v>
      </c>
      <c r="F164" s="122">
        <f t="shared" si="25"/>
        <v>6.1358775695817496</v>
      </c>
      <c r="G164" s="123">
        <f t="shared" si="26"/>
        <v>17.856244106722492</v>
      </c>
      <c r="H164" s="123">
        <f t="shared" si="27"/>
        <v>0</v>
      </c>
      <c r="I164" s="123">
        <f t="shared" si="28"/>
        <v>47.043755893277513</v>
      </c>
      <c r="J164" s="123">
        <f t="shared" si="29"/>
        <v>17.066741757181987</v>
      </c>
      <c r="K164" s="123">
        <f t="shared" si="30"/>
        <v>0.78950234954050558</v>
      </c>
      <c r="L164" s="123">
        <f t="shared" si="31"/>
        <v>6.2269187289243382</v>
      </c>
      <c r="M164" s="123">
        <f t="shared" si="32"/>
        <v>19.942486652068112</v>
      </c>
      <c r="N164" s="123">
        <f t="shared" si="33"/>
        <v>20.731989001608618</v>
      </c>
      <c r="O164" s="123">
        <f t="shared" si="34"/>
        <v>0.54525131074230671</v>
      </c>
    </row>
    <row r="165" spans="1:15" x14ac:dyDescent="0.25">
      <c r="A165" s="32">
        <v>1993</v>
      </c>
      <c r="B165" s="32">
        <v>4</v>
      </c>
      <c r="C165" s="117">
        <f t="shared" si="35"/>
        <v>73.802999999999997</v>
      </c>
      <c r="D165" s="117">
        <f>+HLOOKUP('Ingreso Datos'!$I$7,'Precip 1981-2012'!$D$5:$AL$397,157,FALSE)</f>
        <v>119.8</v>
      </c>
      <c r="E165" s="122">
        <f t="shared" si="24"/>
        <v>94.255925231939159</v>
      </c>
      <c r="F165" s="122">
        <f t="shared" si="25"/>
        <v>6.1358775695817496</v>
      </c>
      <c r="G165" s="123">
        <f t="shared" si="26"/>
        <v>64.026492870758929</v>
      </c>
      <c r="H165" s="123">
        <f t="shared" si="27"/>
        <v>0</v>
      </c>
      <c r="I165" s="123">
        <f t="shared" si="28"/>
        <v>55.773507129241068</v>
      </c>
      <c r="J165" s="123">
        <f t="shared" si="29"/>
        <v>54.917269626636212</v>
      </c>
      <c r="K165" s="123">
        <f t="shared" si="30"/>
        <v>9.1092232441227168</v>
      </c>
      <c r="L165" s="123">
        <f t="shared" si="31"/>
        <v>17.781708920683354</v>
      </c>
      <c r="M165" s="123">
        <f t="shared" si="32"/>
        <v>43.362479434877201</v>
      </c>
      <c r="N165" s="123">
        <f t="shared" si="33"/>
        <v>52.471702678999918</v>
      </c>
      <c r="O165" s="123">
        <f t="shared" si="34"/>
        <v>1.380005780457698</v>
      </c>
    </row>
    <row r="166" spans="1:15" x14ac:dyDescent="0.25">
      <c r="A166" s="32">
        <v>1993</v>
      </c>
      <c r="B166" s="32">
        <v>5</v>
      </c>
      <c r="C166" s="117">
        <f t="shared" si="35"/>
        <v>44.483999999999995</v>
      </c>
      <c r="D166" s="117">
        <f>+HLOOKUP('Ingreso Datos'!$I$7,'Precip 1981-2012'!$D$5:$AL$397,158,FALSE)</f>
        <v>367.4</v>
      </c>
      <c r="E166" s="122">
        <f t="shared" si="24"/>
        <v>64.936925231939156</v>
      </c>
      <c r="F166" s="122">
        <f t="shared" si="25"/>
        <v>6.1358775695817496</v>
      </c>
      <c r="G166" s="123">
        <f t="shared" si="26"/>
        <v>310.69409093497416</v>
      </c>
      <c r="H166" s="123">
        <f t="shared" si="27"/>
        <v>12.221909065025827</v>
      </c>
      <c r="I166" s="123">
        <f t="shared" si="28"/>
        <v>44.483999999999995</v>
      </c>
      <c r="J166" s="123">
        <f t="shared" si="29"/>
        <v>172.13856219155659</v>
      </c>
      <c r="K166" s="123">
        <f t="shared" si="30"/>
        <v>138.55552874341757</v>
      </c>
      <c r="L166" s="123">
        <f t="shared" si="31"/>
        <v>55.567078026449671</v>
      </c>
      <c r="M166" s="123">
        <f t="shared" si="32"/>
        <v>134.35319308579028</v>
      </c>
      <c r="N166" s="123">
        <f t="shared" si="33"/>
        <v>272.90872182920782</v>
      </c>
      <c r="O166" s="123">
        <f t="shared" si="34"/>
        <v>7.1774993841081658</v>
      </c>
    </row>
    <row r="167" spans="1:15" x14ac:dyDescent="0.25">
      <c r="A167" s="32">
        <v>1993</v>
      </c>
      <c r="B167" s="32">
        <v>6</v>
      </c>
      <c r="C167" s="117">
        <f t="shared" si="35"/>
        <v>29.318999999999996</v>
      </c>
      <c r="D167" s="117">
        <f>+HLOOKUP('Ingreso Datos'!$I$7,'Precip 1981-2012'!$D$5:$AL$397,159,FALSE)</f>
        <v>72.8</v>
      </c>
      <c r="E167" s="122">
        <f t="shared" si="24"/>
        <v>37.550016166913338</v>
      </c>
      <c r="F167" s="122">
        <f t="shared" si="25"/>
        <v>2.4693048500740016</v>
      </c>
      <c r="G167" s="123">
        <f t="shared" si="26"/>
        <v>46.924776417164622</v>
      </c>
      <c r="H167" s="123">
        <f t="shared" si="27"/>
        <v>8.7781326478612058</v>
      </c>
      <c r="I167" s="123">
        <f t="shared" si="28"/>
        <v>29.318999999999996</v>
      </c>
      <c r="J167" s="123">
        <f t="shared" si="29"/>
        <v>41.838593408597077</v>
      </c>
      <c r="K167" s="123">
        <f t="shared" si="30"/>
        <v>5.086183008567545</v>
      </c>
      <c r="L167" s="123">
        <f t="shared" si="31"/>
        <v>18.516612527110425</v>
      </c>
      <c r="M167" s="123">
        <f t="shared" si="32"/>
        <v>78.889058907936317</v>
      </c>
      <c r="N167" s="123">
        <f t="shared" si="33"/>
        <v>83.975241916503862</v>
      </c>
      <c r="O167" s="123">
        <f t="shared" si="34"/>
        <v>2.2085488624040517</v>
      </c>
    </row>
    <row r="168" spans="1:15" x14ac:dyDescent="0.25">
      <c r="A168" s="32">
        <v>1993</v>
      </c>
      <c r="B168" s="32">
        <v>7</v>
      </c>
      <c r="C168" s="117">
        <f t="shared" si="35"/>
        <v>35.384999999999998</v>
      </c>
      <c r="D168" s="117">
        <f>+HLOOKUP('Ingreso Datos'!$I$7,'Precip 1981-2012'!$D$5:$AL$397,160,FALSE)</f>
        <v>51</v>
      </c>
      <c r="E168" s="122">
        <f t="shared" si="24"/>
        <v>47.059792584077954</v>
      </c>
      <c r="F168" s="122">
        <f t="shared" si="25"/>
        <v>3.5024377752233877</v>
      </c>
      <c r="G168" s="123">
        <f t="shared" si="26"/>
        <v>24.776458985331509</v>
      </c>
      <c r="H168" s="123">
        <f t="shared" si="27"/>
        <v>0</v>
      </c>
      <c r="I168" s="123">
        <f t="shared" si="28"/>
        <v>35.001673662529697</v>
      </c>
      <c r="J168" s="123">
        <f t="shared" si="29"/>
        <v>23.282038099168375</v>
      </c>
      <c r="K168" s="123">
        <f t="shared" si="30"/>
        <v>1.4944208861631338</v>
      </c>
      <c r="L168" s="123">
        <f t="shared" si="31"/>
        <v>9.0909916480410367</v>
      </c>
      <c r="M168" s="123">
        <f t="shared" si="32"/>
        <v>32.70765897823776</v>
      </c>
      <c r="N168" s="123">
        <f t="shared" si="33"/>
        <v>34.202079864400893</v>
      </c>
      <c r="O168" s="123">
        <f t="shared" si="34"/>
        <v>0.8995147004337436</v>
      </c>
    </row>
    <row r="169" spans="1:15" x14ac:dyDescent="0.25">
      <c r="A169" s="32">
        <v>1993</v>
      </c>
      <c r="B169" s="32">
        <v>8</v>
      </c>
      <c r="C169" s="117">
        <f t="shared" si="35"/>
        <v>55.605000000000004</v>
      </c>
      <c r="D169" s="117">
        <f>+HLOOKUP('Ingreso Datos'!$I$7,'Precip 1981-2012'!$D$5:$AL$397,161,FALSE)</f>
        <v>9.5</v>
      </c>
      <c r="E169" s="122">
        <f t="shared" si="24"/>
        <v>76.057925231939166</v>
      </c>
      <c r="F169" s="122">
        <f t="shared" si="25"/>
        <v>6.1358775695817496</v>
      </c>
      <c r="G169" s="123">
        <f t="shared" si="26"/>
        <v>0.15442640422491971</v>
      </c>
      <c r="H169" s="123">
        <f t="shared" si="27"/>
        <v>0</v>
      </c>
      <c r="I169" s="123">
        <f t="shared" si="28"/>
        <v>9.3455735957750807</v>
      </c>
      <c r="J169" s="123">
        <f t="shared" si="29"/>
        <v>0.1543646478065254</v>
      </c>
      <c r="K169" s="123">
        <f t="shared" si="30"/>
        <v>6.1756418394315338E-5</v>
      </c>
      <c r="L169" s="123">
        <f t="shared" si="31"/>
        <v>0.93721883022841668</v>
      </c>
      <c r="M169" s="123">
        <f t="shared" si="32"/>
        <v>8.3081374656191453</v>
      </c>
      <c r="N169" s="123">
        <f t="shared" si="33"/>
        <v>8.3081992220375405</v>
      </c>
      <c r="O169" s="123">
        <f t="shared" si="34"/>
        <v>0.21850563953958732</v>
      </c>
    </row>
    <row r="170" spans="1:15" x14ac:dyDescent="0.25">
      <c r="A170" s="32">
        <v>1993</v>
      </c>
      <c r="B170" s="32">
        <v>9</v>
      </c>
      <c r="C170" s="117">
        <f t="shared" si="35"/>
        <v>78.858000000000004</v>
      </c>
      <c r="D170" s="117">
        <f>+HLOOKUP('Ingreso Datos'!$I$7,'Precip 1981-2012'!$D$5:$AL$397,162,FALSE)</f>
        <v>41.9</v>
      </c>
      <c r="E170" s="122">
        <f t="shared" si="24"/>
        <v>99.310925231939166</v>
      </c>
      <c r="F170" s="122">
        <f t="shared" si="25"/>
        <v>6.1358775695817496</v>
      </c>
      <c r="G170" s="123">
        <f t="shared" si="26"/>
        <v>9.9199680926875367</v>
      </c>
      <c r="H170" s="123">
        <f t="shared" si="27"/>
        <v>0</v>
      </c>
      <c r="I170" s="123">
        <f t="shared" si="28"/>
        <v>31.980031907312462</v>
      </c>
      <c r="J170" s="123">
        <f t="shared" si="29"/>
        <v>9.6714184490966844</v>
      </c>
      <c r="K170" s="123">
        <f t="shared" si="30"/>
        <v>0.2485496435908523</v>
      </c>
      <c r="L170" s="123">
        <f t="shared" si="31"/>
        <v>3.1159303449506668</v>
      </c>
      <c r="M170" s="123">
        <f t="shared" si="32"/>
        <v>7.4927069343744339</v>
      </c>
      <c r="N170" s="123">
        <f t="shared" si="33"/>
        <v>7.7412565779652862</v>
      </c>
      <c r="O170" s="123">
        <f t="shared" si="34"/>
        <v>0.20359504800048703</v>
      </c>
    </row>
    <row r="171" spans="1:15" x14ac:dyDescent="0.25">
      <c r="A171" s="32">
        <v>1993</v>
      </c>
      <c r="B171" s="32">
        <v>10</v>
      </c>
      <c r="C171" s="117">
        <f t="shared" si="35"/>
        <v>113.232</v>
      </c>
      <c r="D171" s="117">
        <f>+HLOOKUP('Ingreso Datos'!$I$7,'Precip 1981-2012'!$D$5:$AL$397,163,FALSE)</f>
        <v>284.3</v>
      </c>
      <c r="E171" s="122">
        <f t="shared" si="24"/>
        <v>133.68492523193916</v>
      </c>
      <c r="F171" s="122">
        <f t="shared" si="25"/>
        <v>6.1358775695817496</v>
      </c>
      <c r="G171" s="123">
        <f t="shared" si="26"/>
        <v>190.71424028406835</v>
      </c>
      <c r="H171" s="123">
        <f t="shared" si="27"/>
        <v>0</v>
      </c>
      <c r="I171" s="123">
        <f t="shared" si="28"/>
        <v>93.585759715931658</v>
      </c>
      <c r="J171" s="123">
        <f t="shared" si="29"/>
        <v>127.64674704996008</v>
      </c>
      <c r="K171" s="123">
        <f t="shared" si="30"/>
        <v>63.067493234108269</v>
      </c>
      <c r="L171" s="123">
        <f t="shared" si="31"/>
        <v>40.220263851514581</v>
      </c>
      <c r="M171" s="123">
        <f t="shared" si="32"/>
        <v>90.542413543396179</v>
      </c>
      <c r="N171" s="123">
        <f t="shared" si="33"/>
        <v>153.60990677750445</v>
      </c>
      <c r="O171" s="123">
        <f t="shared" si="34"/>
        <v>4.0399405482483672</v>
      </c>
    </row>
    <row r="172" spans="1:15" x14ac:dyDescent="0.25">
      <c r="A172" s="32">
        <v>1993</v>
      </c>
      <c r="B172" s="32">
        <v>11</v>
      </c>
      <c r="C172" s="117">
        <f t="shared" si="35"/>
        <v>148.61699999999999</v>
      </c>
      <c r="D172" s="117">
        <f>+HLOOKUP('Ingreso Datos'!$I$7,'Precip 1981-2012'!$D$5:$AL$397,164,FALSE)</f>
        <v>227.5</v>
      </c>
      <c r="E172" s="122">
        <f t="shared" si="24"/>
        <v>169.06992523193915</v>
      </c>
      <c r="F172" s="122">
        <f t="shared" si="25"/>
        <v>6.1358775695817496</v>
      </c>
      <c r="G172" s="123">
        <f t="shared" si="26"/>
        <v>127.51055954172077</v>
      </c>
      <c r="H172" s="123">
        <f t="shared" si="27"/>
        <v>0</v>
      </c>
      <c r="I172" s="123">
        <f t="shared" si="28"/>
        <v>99.989440458279233</v>
      </c>
      <c r="J172" s="123">
        <f t="shared" si="29"/>
        <v>95.848225647062577</v>
      </c>
      <c r="K172" s="123">
        <f t="shared" si="30"/>
        <v>31.66233389465819</v>
      </c>
      <c r="L172" s="123">
        <f t="shared" si="31"/>
        <v>33.904946205991379</v>
      </c>
      <c r="M172" s="123">
        <f t="shared" si="32"/>
        <v>102.16354329258579</v>
      </c>
      <c r="N172" s="123">
        <f t="shared" si="33"/>
        <v>133.82587718724398</v>
      </c>
      <c r="O172" s="123">
        <f t="shared" si="34"/>
        <v>3.5196205700245167</v>
      </c>
    </row>
    <row r="173" spans="1:15" x14ac:dyDescent="0.25">
      <c r="A173" s="32">
        <v>1993</v>
      </c>
      <c r="B173" s="32">
        <v>12</v>
      </c>
      <c r="C173" s="117">
        <f t="shared" si="35"/>
        <v>179.958</v>
      </c>
      <c r="D173" s="117">
        <f>+HLOOKUP('Ingreso Datos'!$I$7,'Precip 1981-2012'!$D$5:$AL$397,165,FALSE)</f>
        <v>134.4</v>
      </c>
      <c r="E173" s="122">
        <f t="shared" si="24"/>
        <v>200.41092523193916</v>
      </c>
      <c r="F173" s="122">
        <f t="shared" si="25"/>
        <v>6.1358775695817496</v>
      </c>
      <c r="G173" s="123">
        <f t="shared" si="26"/>
        <v>51.006781899119844</v>
      </c>
      <c r="H173" s="123">
        <f t="shared" si="27"/>
        <v>0</v>
      </c>
      <c r="I173" s="123">
        <f t="shared" si="28"/>
        <v>83.393218100880162</v>
      </c>
      <c r="J173" s="123">
        <f t="shared" si="29"/>
        <v>45.053346146022164</v>
      </c>
      <c r="K173" s="123">
        <f t="shared" si="30"/>
        <v>5.9534357530976791</v>
      </c>
      <c r="L173" s="123">
        <f t="shared" si="31"/>
        <v>17.403678925645075</v>
      </c>
      <c r="M173" s="123">
        <f t="shared" si="32"/>
        <v>61.554613426368469</v>
      </c>
      <c r="N173" s="123">
        <f t="shared" si="33"/>
        <v>67.508049179466155</v>
      </c>
      <c r="O173" s="123">
        <f t="shared" si="34"/>
        <v>1.7754616934199599</v>
      </c>
    </row>
    <row r="174" spans="1:15" x14ac:dyDescent="0.25">
      <c r="A174" s="32">
        <v>1994</v>
      </c>
      <c r="B174" s="32">
        <v>1</v>
      </c>
      <c r="C174" s="117">
        <f t="shared" si="35"/>
        <v>190.06799999999998</v>
      </c>
      <c r="D174" s="117">
        <f>+HLOOKUP('Ingreso Datos'!$I$7,'Precip 1981-2012'!$D$5:$AL$397,166,FALSE)</f>
        <v>14.4</v>
      </c>
      <c r="E174" s="122">
        <f t="shared" si="24"/>
        <v>210.52092523193915</v>
      </c>
      <c r="F174" s="122">
        <f t="shared" si="25"/>
        <v>6.1358775695817496</v>
      </c>
      <c r="G174" s="123">
        <f t="shared" si="26"/>
        <v>0.32116617015314786</v>
      </c>
      <c r="H174" s="123">
        <f t="shared" si="27"/>
        <v>0</v>
      </c>
      <c r="I174" s="123">
        <f t="shared" si="28"/>
        <v>14.078833829846852</v>
      </c>
      <c r="J174" s="123">
        <f t="shared" si="29"/>
        <v>0.32089917026320286</v>
      </c>
      <c r="K174" s="123">
        <f t="shared" si="30"/>
        <v>2.6699988994499657E-4</v>
      </c>
      <c r="L174" s="123">
        <f t="shared" si="31"/>
        <v>1.8021379403145867</v>
      </c>
      <c r="M174" s="123">
        <f t="shared" si="32"/>
        <v>15.922440155593691</v>
      </c>
      <c r="N174" s="123">
        <f t="shared" si="33"/>
        <v>15.922707155483636</v>
      </c>
      <c r="O174" s="123">
        <f t="shared" si="34"/>
        <v>0.41876719818921965</v>
      </c>
    </row>
    <row r="175" spans="1:15" x14ac:dyDescent="0.25">
      <c r="A175" s="32">
        <v>1994</v>
      </c>
      <c r="B175" s="32">
        <v>2</v>
      </c>
      <c r="C175" s="117">
        <f t="shared" si="35"/>
        <v>146.595</v>
      </c>
      <c r="D175" s="117">
        <f>+HLOOKUP('Ingreso Datos'!$I$7,'Precip 1981-2012'!$D$5:$AL$397,167,FALSE)</f>
        <v>205.4</v>
      </c>
      <c r="E175" s="122">
        <f t="shared" si="24"/>
        <v>167.04792523193916</v>
      </c>
      <c r="F175" s="122">
        <f t="shared" si="25"/>
        <v>6.1358775695817496</v>
      </c>
      <c r="G175" s="123">
        <f t="shared" si="26"/>
        <v>110.24102587835567</v>
      </c>
      <c r="H175" s="123">
        <f t="shared" si="27"/>
        <v>0</v>
      </c>
      <c r="I175" s="123">
        <f t="shared" si="28"/>
        <v>95.158974121644334</v>
      </c>
      <c r="J175" s="123">
        <f t="shared" si="29"/>
        <v>85.750741615378615</v>
      </c>
      <c r="K175" s="123">
        <f t="shared" si="30"/>
        <v>24.490284262977056</v>
      </c>
      <c r="L175" s="123">
        <f t="shared" si="31"/>
        <v>26.990771505339481</v>
      </c>
      <c r="M175" s="123">
        <f t="shared" si="32"/>
        <v>60.562108050353721</v>
      </c>
      <c r="N175" s="123">
        <f t="shared" si="33"/>
        <v>85.052392313330785</v>
      </c>
      <c r="O175" s="123">
        <f t="shared" si="34"/>
        <v>2.2368779178405997</v>
      </c>
    </row>
    <row r="176" spans="1:15" x14ac:dyDescent="0.25">
      <c r="A176" s="32">
        <v>1994</v>
      </c>
      <c r="B176" s="32">
        <v>3</v>
      </c>
      <c r="C176" s="117">
        <f t="shared" si="35"/>
        <v>120.30899999999998</v>
      </c>
      <c r="D176" s="117">
        <f>+HLOOKUP('Ingreso Datos'!$I$7,'Precip 1981-2012'!$D$5:$AL$397,168,FALSE)</f>
        <v>100.6</v>
      </c>
      <c r="E176" s="122">
        <f t="shared" si="24"/>
        <v>140.76192523193916</v>
      </c>
      <c r="F176" s="122">
        <f t="shared" si="25"/>
        <v>6.1358775695817496</v>
      </c>
      <c r="G176" s="123">
        <f t="shared" si="26"/>
        <v>38.951782273919783</v>
      </c>
      <c r="H176" s="123">
        <f t="shared" si="27"/>
        <v>0</v>
      </c>
      <c r="I176" s="123">
        <f t="shared" si="28"/>
        <v>61.648217726080212</v>
      </c>
      <c r="J176" s="123">
        <f t="shared" si="29"/>
        <v>35.381397572398861</v>
      </c>
      <c r="K176" s="123">
        <f t="shared" si="30"/>
        <v>3.570384701520922</v>
      </c>
      <c r="L176" s="123">
        <f t="shared" si="31"/>
        <v>13.703135478976106</v>
      </c>
      <c r="M176" s="123">
        <f t="shared" si="32"/>
        <v>48.669033598762233</v>
      </c>
      <c r="N176" s="123">
        <f t="shared" si="33"/>
        <v>52.239418300283155</v>
      </c>
      <c r="O176" s="123">
        <f t="shared" si="34"/>
        <v>1.3738967012974468</v>
      </c>
    </row>
    <row r="177" spans="1:15" x14ac:dyDescent="0.25">
      <c r="A177" s="32">
        <v>1994</v>
      </c>
      <c r="B177" s="32">
        <v>4</v>
      </c>
      <c r="C177" s="117">
        <f t="shared" si="35"/>
        <v>73.802999999999997</v>
      </c>
      <c r="D177" s="117">
        <f>+HLOOKUP('Ingreso Datos'!$I$7,'Precip 1981-2012'!$D$5:$AL$397,169,FALSE)</f>
        <v>71.599999999999994</v>
      </c>
      <c r="E177" s="122">
        <f t="shared" si="24"/>
        <v>94.255925231939159</v>
      </c>
      <c r="F177" s="122">
        <f t="shared" si="25"/>
        <v>6.1358775695817496</v>
      </c>
      <c r="G177" s="123">
        <f t="shared" si="26"/>
        <v>27.90360050124967</v>
      </c>
      <c r="H177" s="123">
        <f t="shared" si="27"/>
        <v>0</v>
      </c>
      <c r="I177" s="123">
        <f t="shared" si="28"/>
        <v>43.696399498750324</v>
      </c>
      <c r="J177" s="123">
        <f t="shared" si="29"/>
        <v>26.022459771885586</v>
      </c>
      <c r="K177" s="123">
        <f t="shared" si="30"/>
        <v>1.8811407293640841</v>
      </c>
      <c r="L177" s="123">
        <f t="shared" si="31"/>
        <v>9.4772525801926157</v>
      </c>
      <c r="M177" s="123">
        <f t="shared" si="32"/>
        <v>30.248342670669075</v>
      </c>
      <c r="N177" s="123">
        <f t="shared" si="33"/>
        <v>32.129483400033159</v>
      </c>
      <c r="O177" s="123">
        <f t="shared" si="34"/>
        <v>0.8450054134208721</v>
      </c>
    </row>
    <row r="178" spans="1:15" x14ac:dyDescent="0.25">
      <c r="A178" s="32">
        <v>1994</v>
      </c>
      <c r="B178" s="32">
        <v>5</v>
      </c>
      <c r="C178" s="117">
        <f t="shared" si="35"/>
        <v>44.483999999999995</v>
      </c>
      <c r="D178" s="117">
        <f>+HLOOKUP('Ingreso Datos'!$I$7,'Precip 1981-2012'!$D$5:$AL$397,170,FALSE)</f>
        <v>71.8</v>
      </c>
      <c r="E178" s="122">
        <f t="shared" si="24"/>
        <v>64.936925231939156</v>
      </c>
      <c r="F178" s="122">
        <f t="shared" si="25"/>
        <v>6.1358775695817496</v>
      </c>
      <c r="G178" s="123">
        <f t="shared" si="26"/>
        <v>34.642438292921483</v>
      </c>
      <c r="H178" s="123">
        <f t="shared" si="27"/>
        <v>0</v>
      </c>
      <c r="I178" s="123">
        <f t="shared" si="28"/>
        <v>37.157561707078514</v>
      </c>
      <c r="J178" s="123">
        <f t="shared" si="29"/>
        <v>31.789424850556536</v>
      </c>
      <c r="K178" s="123">
        <f t="shared" si="30"/>
        <v>2.8530134423649471</v>
      </c>
      <c r="L178" s="123">
        <f t="shared" si="31"/>
        <v>10.867381039212802</v>
      </c>
      <c r="M178" s="123">
        <f t="shared" si="32"/>
        <v>30.39929639153635</v>
      </c>
      <c r="N178" s="123">
        <f t="shared" si="33"/>
        <v>33.252309833901293</v>
      </c>
      <c r="O178" s="123">
        <f t="shared" si="34"/>
        <v>0.8745357486316041</v>
      </c>
    </row>
    <row r="179" spans="1:15" x14ac:dyDescent="0.25">
      <c r="A179" s="32">
        <v>1994</v>
      </c>
      <c r="B179" s="32">
        <v>6</v>
      </c>
      <c r="C179" s="117">
        <f t="shared" si="35"/>
        <v>29.318999999999996</v>
      </c>
      <c r="D179" s="117">
        <f>+HLOOKUP('Ingreso Datos'!$I$7,'Precip 1981-2012'!$D$5:$AL$397,171,FALSE)</f>
        <v>129.80000000000001</v>
      </c>
      <c r="E179" s="122">
        <f t="shared" si="24"/>
        <v>49.771925231939164</v>
      </c>
      <c r="F179" s="122">
        <f t="shared" si="25"/>
        <v>6.1358775695817496</v>
      </c>
      <c r="G179" s="123">
        <f t="shared" si="26"/>
        <v>91.409441891212083</v>
      </c>
      <c r="H179" s="123">
        <f t="shared" si="27"/>
        <v>9.0715581087879329</v>
      </c>
      <c r="I179" s="123">
        <f t="shared" si="28"/>
        <v>29.318999999999996</v>
      </c>
      <c r="J179" s="123">
        <f t="shared" si="29"/>
        <v>73.9073036139241</v>
      </c>
      <c r="K179" s="123">
        <f t="shared" si="30"/>
        <v>17.502138277287983</v>
      </c>
      <c r="L179" s="123">
        <f t="shared" si="31"/>
        <v>24.17371834179146</v>
      </c>
      <c r="M179" s="123">
        <f t="shared" si="32"/>
        <v>60.600966311345445</v>
      </c>
      <c r="N179" s="123">
        <f t="shared" si="33"/>
        <v>78.103104588633428</v>
      </c>
      <c r="O179" s="123">
        <f t="shared" si="34"/>
        <v>2.0541116506810591</v>
      </c>
    </row>
    <row r="180" spans="1:15" x14ac:dyDescent="0.25">
      <c r="A180" s="32">
        <v>1994</v>
      </c>
      <c r="B180" s="32">
        <v>7</v>
      </c>
      <c r="C180" s="117">
        <f t="shared" si="35"/>
        <v>35.384999999999998</v>
      </c>
      <c r="D180" s="117">
        <f>+HLOOKUP('Ingreso Datos'!$I$7,'Precip 1981-2012'!$D$5:$AL$397,172,FALSE)</f>
        <v>60.9</v>
      </c>
      <c r="E180" s="122">
        <f t="shared" si="24"/>
        <v>46.766367123151227</v>
      </c>
      <c r="F180" s="122">
        <f t="shared" si="25"/>
        <v>3.4144101369453694</v>
      </c>
      <c r="G180" s="123">
        <f t="shared" si="26"/>
        <v>32.771454137448252</v>
      </c>
      <c r="H180" s="123">
        <f t="shared" si="27"/>
        <v>1.8151039713396813</v>
      </c>
      <c r="I180" s="123">
        <f t="shared" si="28"/>
        <v>35.384999999999998</v>
      </c>
      <c r="J180" s="123">
        <f t="shared" si="29"/>
        <v>30.206885335845129</v>
      </c>
      <c r="K180" s="123">
        <f t="shared" si="30"/>
        <v>2.5645688016031229</v>
      </c>
      <c r="L180" s="123">
        <f t="shared" si="31"/>
        <v>11.809586519838692</v>
      </c>
      <c r="M180" s="123">
        <f t="shared" si="32"/>
        <v>42.571017157797897</v>
      </c>
      <c r="N180" s="123">
        <f t="shared" si="33"/>
        <v>45.13558595940102</v>
      </c>
      <c r="O180" s="123">
        <f t="shared" si="34"/>
        <v>1.1870659107322468</v>
      </c>
    </row>
    <row r="181" spans="1:15" x14ac:dyDescent="0.25">
      <c r="A181" s="32">
        <v>1994</v>
      </c>
      <c r="B181" s="32">
        <v>8</v>
      </c>
      <c r="C181" s="117">
        <f t="shared" si="35"/>
        <v>55.605000000000004</v>
      </c>
      <c r="D181" s="117">
        <f>+HLOOKUP('Ingreso Datos'!$I$7,'Precip 1981-2012'!$D$5:$AL$397,173,FALSE)</f>
        <v>63</v>
      </c>
      <c r="E181" s="122">
        <f t="shared" si="24"/>
        <v>74.242821260599484</v>
      </c>
      <c r="F181" s="122">
        <f t="shared" si="25"/>
        <v>5.5913463781798454</v>
      </c>
      <c r="G181" s="123">
        <f t="shared" si="26"/>
        <v>26.144297564786932</v>
      </c>
      <c r="H181" s="123">
        <f t="shared" si="27"/>
        <v>0</v>
      </c>
      <c r="I181" s="123">
        <f t="shared" si="28"/>
        <v>38.670806406552749</v>
      </c>
      <c r="J181" s="123">
        <f t="shared" si="29"/>
        <v>24.485838866717287</v>
      </c>
      <c r="K181" s="123">
        <f t="shared" si="30"/>
        <v>1.6584586980696443</v>
      </c>
      <c r="L181" s="123">
        <f t="shared" si="31"/>
        <v>8.8115881919220271</v>
      </c>
      <c r="M181" s="123">
        <f t="shared" si="32"/>
        <v>27.483837194633953</v>
      </c>
      <c r="N181" s="123">
        <f t="shared" si="33"/>
        <v>29.142295892703597</v>
      </c>
      <c r="O181" s="123">
        <f t="shared" si="34"/>
        <v>0.76644238197810455</v>
      </c>
    </row>
    <row r="182" spans="1:15" x14ac:dyDescent="0.25">
      <c r="A182" s="32">
        <v>1994</v>
      </c>
      <c r="B182" s="32">
        <v>9</v>
      </c>
      <c r="C182" s="117">
        <f t="shared" si="35"/>
        <v>78.858000000000004</v>
      </c>
      <c r="D182" s="117">
        <f>+HLOOKUP('Ingreso Datos'!$I$7,'Precip 1981-2012'!$D$5:$AL$397,174,FALSE)</f>
        <v>73.099999999999994</v>
      </c>
      <c r="E182" s="122">
        <f t="shared" si="24"/>
        <v>99.310925231939166</v>
      </c>
      <c r="F182" s="122">
        <f t="shared" si="25"/>
        <v>6.1358775695817496</v>
      </c>
      <c r="G182" s="123">
        <f t="shared" si="26"/>
        <v>28.001854201430874</v>
      </c>
      <c r="H182" s="123">
        <f t="shared" si="27"/>
        <v>0</v>
      </c>
      <c r="I182" s="123">
        <f t="shared" si="28"/>
        <v>45.098145798569121</v>
      </c>
      <c r="J182" s="123">
        <f t="shared" si="29"/>
        <v>26.107892059085756</v>
      </c>
      <c r="K182" s="123">
        <f t="shared" si="30"/>
        <v>1.8939621423451172</v>
      </c>
      <c r="L182" s="123">
        <f t="shared" si="31"/>
        <v>9.0256552101828369</v>
      </c>
      <c r="M182" s="123">
        <f t="shared" si="32"/>
        <v>25.893825040824947</v>
      </c>
      <c r="N182" s="123">
        <f t="shared" si="33"/>
        <v>27.787787183170064</v>
      </c>
      <c r="O182" s="123">
        <f t="shared" si="34"/>
        <v>0.73081880291737267</v>
      </c>
    </row>
    <row r="183" spans="1:15" x14ac:dyDescent="0.25">
      <c r="A183" s="32">
        <v>1994</v>
      </c>
      <c r="B183" s="32">
        <v>10</v>
      </c>
      <c r="C183" s="117">
        <f t="shared" si="35"/>
        <v>113.232</v>
      </c>
      <c r="D183" s="117">
        <f>+HLOOKUP('Ingreso Datos'!$I$7,'Precip 1981-2012'!$D$5:$AL$397,175,FALSE)</f>
        <v>181.8</v>
      </c>
      <c r="E183" s="122">
        <f t="shared" si="24"/>
        <v>133.68492523193916</v>
      </c>
      <c r="F183" s="122">
        <f t="shared" si="25"/>
        <v>6.1358775695817496</v>
      </c>
      <c r="G183" s="123">
        <f t="shared" si="26"/>
        <v>101.76960288303846</v>
      </c>
      <c r="H183" s="123">
        <f t="shared" si="27"/>
        <v>0</v>
      </c>
      <c r="I183" s="123">
        <f t="shared" si="28"/>
        <v>80.030397116961552</v>
      </c>
      <c r="J183" s="123">
        <f t="shared" si="29"/>
        <v>80.53611065688419</v>
      </c>
      <c r="K183" s="123">
        <f t="shared" si="30"/>
        <v>21.233492226154269</v>
      </c>
      <c r="L183" s="123">
        <f t="shared" si="31"/>
        <v>26.066478840891548</v>
      </c>
      <c r="M183" s="123">
        <f t="shared" si="32"/>
        <v>63.495287026175475</v>
      </c>
      <c r="N183" s="123">
        <f t="shared" si="33"/>
        <v>84.728779252329744</v>
      </c>
      <c r="O183" s="123">
        <f t="shared" si="34"/>
        <v>2.2283668943362724</v>
      </c>
    </row>
    <row r="184" spans="1:15" x14ac:dyDescent="0.25">
      <c r="A184" s="32">
        <v>1994</v>
      </c>
      <c r="B184" s="32">
        <v>11</v>
      </c>
      <c r="C184" s="117">
        <f t="shared" si="35"/>
        <v>148.61699999999999</v>
      </c>
      <c r="D184" s="117">
        <f>+HLOOKUP('Ingreso Datos'!$I$7,'Precip 1981-2012'!$D$5:$AL$397,176,FALSE)</f>
        <v>47.3</v>
      </c>
      <c r="E184" s="122">
        <f t="shared" si="24"/>
        <v>169.06992523193915</v>
      </c>
      <c r="F184" s="122">
        <f t="shared" si="25"/>
        <v>6.1358775695817496</v>
      </c>
      <c r="G184" s="123">
        <f t="shared" si="26"/>
        <v>8.3023036154425647</v>
      </c>
      <c r="H184" s="123">
        <f t="shared" si="27"/>
        <v>0</v>
      </c>
      <c r="I184" s="123">
        <f t="shared" si="28"/>
        <v>38.997696384557429</v>
      </c>
      <c r="J184" s="123">
        <f t="shared" si="29"/>
        <v>8.1274929569935193</v>
      </c>
      <c r="K184" s="123">
        <f t="shared" si="30"/>
        <v>0.17481065844904542</v>
      </c>
      <c r="L184" s="123">
        <f t="shared" si="31"/>
        <v>5.0903651161954677</v>
      </c>
      <c r="M184" s="123">
        <f t="shared" si="32"/>
        <v>29.103606681689598</v>
      </c>
      <c r="N184" s="123">
        <f t="shared" si="33"/>
        <v>29.278417340138645</v>
      </c>
      <c r="O184" s="123">
        <f t="shared" si="34"/>
        <v>0.77002237604564638</v>
      </c>
    </row>
    <row r="185" spans="1:15" x14ac:dyDescent="0.25">
      <c r="A185" s="32">
        <v>1994</v>
      </c>
      <c r="B185" s="32">
        <v>12</v>
      </c>
      <c r="C185" s="117">
        <f t="shared" si="35"/>
        <v>179.958</v>
      </c>
      <c r="D185" s="117">
        <f>+HLOOKUP('Ingreso Datos'!$I$7,'Precip 1981-2012'!$D$5:$AL$397,177,FALSE)</f>
        <v>143.30000000000001</v>
      </c>
      <c r="E185" s="122">
        <f t="shared" si="24"/>
        <v>200.41092523193916</v>
      </c>
      <c r="F185" s="122">
        <f t="shared" si="25"/>
        <v>6.1358775695817496</v>
      </c>
      <c r="G185" s="123">
        <f t="shared" si="26"/>
        <v>56.764553437785885</v>
      </c>
      <c r="H185" s="123">
        <f t="shared" si="27"/>
        <v>0</v>
      </c>
      <c r="I185" s="123">
        <f t="shared" si="28"/>
        <v>86.535446562214133</v>
      </c>
      <c r="J185" s="123">
        <f t="shared" si="29"/>
        <v>49.487063625259573</v>
      </c>
      <c r="K185" s="123">
        <f t="shared" si="30"/>
        <v>7.2774898125263121</v>
      </c>
      <c r="L185" s="123">
        <f t="shared" si="31"/>
        <v>15.972528674416148</v>
      </c>
      <c r="M185" s="123">
        <f t="shared" si="32"/>
        <v>38.604900067038891</v>
      </c>
      <c r="N185" s="123">
        <f t="shared" si="33"/>
        <v>45.882389879565203</v>
      </c>
      <c r="O185" s="123">
        <f t="shared" si="34"/>
        <v>1.2067068538325647</v>
      </c>
    </row>
    <row r="186" spans="1:15" x14ac:dyDescent="0.25">
      <c r="A186" s="32">
        <v>1995</v>
      </c>
      <c r="B186" s="32">
        <v>1</v>
      </c>
      <c r="C186" s="117">
        <f t="shared" si="35"/>
        <v>190.06799999999998</v>
      </c>
      <c r="D186" s="117">
        <f>+HLOOKUP('Ingreso Datos'!$I$7,'Precip 1981-2012'!$D$5:$AL$397,178,FALSE)</f>
        <v>50.9</v>
      </c>
      <c r="E186" s="122">
        <f t="shared" si="24"/>
        <v>210.52092523193915</v>
      </c>
      <c r="F186" s="122">
        <f t="shared" si="25"/>
        <v>6.1358775695817496</v>
      </c>
      <c r="G186" s="123">
        <f t="shared" si="26"/>
        <v>8.0426784332426617</v>
      </c>
      <c r="H186" s="123">
        <f t="shared" si="27"/>
        <v>0</v>
      </c>
      <c r="I186" s="123">
        <f t="shared" si="28"/>
        <v>42.857321566757335</v>
      </c>
      <c r="J186" s="123">
        <f t="shared" si="29"/>
        <v>7.8785219092901295</v>
      </c>
      <c r="K186" s="123">
        <f t="shared" si="30"/>
        <v>0.16415652395253222</v>
      </c>
      <c r="L186" s="123">
        <f t="shared" si="31"/>
        <v>4.0254898006972191</v>
      </c>
      <c r="M186" s="123">
        <f t="shared" si="32"/>
        <v>19.82556078300906</v>
      </c>
      <c r="N186" s="123">
        <f t="shared" si="33"/>
        <v>19.989717306961591</v>
      </c>
      <c r="O186" s="123">
        <f t="shared" si="34"/>
        <v>0.52572956517308989</v>
      </c>
    </row>
    <row r="187" spans="1:15" x14ac:dyDescent="0.25">
      <c r="A187" s="32">
        <v>1995</v>
      </c>
      <c r="B187" s="32">
        <v>2</v>
      </c>
      <c r="C187" s="117">
        <f t="shared" si="35"/>
        <v>146.595</v>
      </c>
      <c r="D187" s="117">
        <f>+HLOOKUP('Ingreso Datos'!$I$7,'Precip 1981-2012'!$D$5:$AL$397,179,FALSE)</f>
        <v>188.6</v>
      </c>
      <c r="E187" s="122">
        <f t="shared" si="24"/>
        <v>167.04792523193916</v>
      </c>
      <c r="F187" s="122">
        <f t="shared" si="25"/>
        <v>6.1358775695817496</v>
      </c>
      <c r="G187" s="123">
        <f t="shared" si="26"/>
        <v>96.958259990223837</v>
      </c>
      <c r="H187" s="123">
        <f t="shared" si="27"/>
        <v>0</v>
      </c>
      <c r="I187" s="123">
        <f t="shared" si="28"/>
        <v>91.641740009776157</v>
      </c>
      <c r="J187" s="123">
        <f t="shared" si="29"/>
        <v>77.493008105884726</v>
      </c>
      <c r="K187" s="123">
        <f t="shared" si="30"/>
        <v>19.465251884339111</v>
      </c>
      <c r="L187" s="123">
        <f t="shared" si="31"/>
        <v>24.625956797395183</v>
      </c>
      <c r="M187" s="123">
        <f t="shared" si="32"/>
        <v>56.892541109186766</v>
      </c>
      <c r="N187" s="123">
        <f t="shared" si="33"/>
        <v>76.357792993525877</v>
      </c>
      <c r="O187" s="123">
        <f t="shared" si="34"/>
        <v>2.0082099557297304</v>
      </c>
    </row>
    <row r="188" spans="1:15" x14ac:dyDescent="0.25">
      <c r="A188" s="32">
        <v>1995</v>
      </c>
      <c r="B188" s="32">
        <v>3</v>
      </c>
      <c r="C188" s="117">
        <f t="shared" si="35"/>
        <v>120.30899999999998</v>
      </c>
      <c r="D188" s="117">
        <f>+HLOOKUP('Ingreso Datos'!$I$7,'Precip 1981-2012'!$D$5:$AL$397,180,FALSE)</f>
        <v>133.9</v>
      </c>
      <c r="E188" s="122">
        <f t="shared" si="24"/>
        <v>140.76192523193916</v>
      </c>
      <c r="F188" s="122">
        <f t="shared" si="25"/>
        <v>6.1358775695817496</v>
      </c>
      <c r="G188" s="123">
        <f t="shared" si="26"/>
        <v>62.211442504279773</v>
      </c>
      <c r="H188" s="123">
        <f t="shared" si="27"/>
        <v>0</v>
      </c>
      <c r="I188" s="123">
        <f t="shared" si="28"/>
        <v>71.688557495720232</v>
      </c>
      <c r="J188" s="123">
        <f t="shared" si="29"/>
        <v>53.576536717762842</v>
      </c>
      <c r="K188" s="123">
        <f t="shared" si="30"/>
        <v>8.6349057865169314</v>
      </c>
      <c r="L188" s="123">
        <f t="shared" si="31"/>
        <v>19.161578431814437</v>
      </c>
      <c r="M188" s="123">
        <f t="shared" si="32"/>
        <v>59.040915083343592</v>
      </c>
      <c r="N188" s="123">
        <f t="shared" si="33"/>
        <v>67.67582086986053</v>
      </c>
      <c r="O188" s="123">
        <f t="shared" si="34"/>
        <v>1.7798740888773319</v>
      </c>
    </row>
    <row r="189" spans="1:15" x14ac:dyDescent="0.25">
      <c r="A189" s="32">
        <v>1995</v>
      </c>
      <c r="B189" s="32">
        <v>4</v>
      </c>
      <c r="C189" s="117">
        <f t="shared" si="35"/>
        <v>73.802999999999997</v>
      </c>
      <c r="D189" s="117">
        <f>+HLOOKUP('Ingreso Datos'!$I$7,'Precip 1981-2012'!$D$5:$AL$397,181,FALSE)</f>
        <v>62.6</v>
      </c>
      <c r="E189" s="122">
        <f t="shared" si="24"/>
        <v>94.255925231939159</v>
      </c>
      <c r="F189" s="122">
        <f t="shared" si="25"/>
        <v>6.1358775695817496</v>
      </c>
      <c r="G189" s="123">
        <f t="shared" si="26"/>
        <v>22.050803485550901</v>
      </c>
      <c r="H189" s="123">
        <f t="shared" si="27"/>
        <v>0</v>
      </c>
      <c r="I189" s="123">
        <f t="shared" si="28"/>
        <v>40.5491965144491</v>
      </c>
      <c r="J189" s="123">
        <f t="shared" si="29"/>
        <v>20.859192219980631</v>
      </c>
      <c r="K189" s="123">
        <f t="shared" si="30"/>
        <v>1.1916112655702698</v>
      </c>
      <c r="L189" s="123">
        <f t="shared" si="31"/>
        <v>8.3964263841683113</v>
      </c>
      <c r="M189" s="123">
        <f t="shared" si="32"/>
        <v>31.624344267626757</v>
      </c>
      <c r="N189" s="123">
        <f t="shared" si="33"/>
        <v>32.815955533197027</v>
      </c>
      <c r="O189" s="123">
        <f t="shared" si="34"/>
        <v>0.86305963052308188</v>
      </c>
    </row>
    <row r="190" spans="1:15" x14ac:dyDescent="0.25">
      <c r="A190" s="32">
        <v>1995</v>
      </c>
      <c r="B190" s="32">
        <v>5</v>
      </c>
      <c r="C190" s="117">
        <f t="shared" si="35"/>
        <v>44.483999999999995</v>
      </c>
      <c r="D190" s="117">
        <f>+HLOOKUP('Ingreso Datos'!$I$7,'Precip 1981-2012'!$D$5:$AL$397,182,FALSE)</f>
        <v>58.5</v>
      </c>
      <c r="E190" s="122">
        <f t="shared" si="24"/>
        <v>64.936925231939156</v>
      </c>
      <c r="F190" s="122">
        <f t="shared" si="25"/>
        <v>6.1358775695817496</v>
      </c>
      <c r="G190" s="123">
        <f t="shared" si="26"/>
        <v>24.666011086201067</v>
      </c>
      <c r="H190" s="123">
        <f t="shared" si="27"/>
        <v>0</v>
      </c>
      <c r="I190" s="123">
        <f t="shared" si="28"/>
        <v>33.833988913798933</v>
      </c>
      <c r="J190" s="123">
        <f t="shared" si="29"/>
        <v>23.184485743270056</v>
      </c>
      <c r="K190" s="123">
        <f t="shared" si="30"/>
        <v>1.4815253429310111</v>
      </c>
      <c r="L190" s="123">
        <f t="shared" si="31"/>
        <v>8.0709000348584379</v>
      </c>
      <c r="M190" s="123">
        <f t="shared" si="32"/>
        <v>23.510012092579927</v>
      </c>
      <c r="N190" s="123">
        <f t="shared" si="33"/>
        <v>24.991537435510939</v>
      </c>
      <c r="O190" s="123">
        <f t="shared" si="34"/>
        <v>0.65727743455393761</v>
      </c>
    </row>
    <row r="191" spans="1:15" x14ac:dyDescent="0.25">
      <c r="A191" s="32">
        <v>1995</v>
      </c>
      <c r="B191" s="32">
        <v>6</v>
      </c>
      <c r="C191" s="117">
        <f t="shared" si="35"/>
        <v>29.318999999999996</v>
      </c>
      <c r="D191" s="117">
        <f>+HLOOKUP('Ingreso Datos'!$I$7,'Precip 1981-2012'!$D$5:$AL$397,183,FALSE)</f>
        <v>74.599999999999994</v>
      </c>
      <c r="E191" s="122">
        <f t="shared" si="24"/>
        <v>49.771925231939164</v>
      </c>
      <c r="F191" s="122">
        <f t="shared" si="25"/>
        <v>6.1358775695817496</v>
      </c>
      <c r="G191" s="123">
        <f t="shared" si="26"/>
        <v>41.813817555209724</v>
      </c>
      <c r="H191" s="123">
        <f t="shared" si="27"/>
        <v>3.467182444790275</v>
      </c>
      <c r="I191" s="123">
        <f t="shared" si="28"/>
        <v>29.318999999999996</v>
      </c>
      <c r="J191" s="123">
        <f t="shared" si="29"/>
        <v>37.727003930227326</v>
      </c>
      <c r="K191" s="123">
        <f t="shared" si="30"/>
        <v>4.0868136249823976</v>
      </c>
      <c r="L191" s="123">
        <f t="shared" si="31"/>
        <v>12.586564472552014</v>
      </c>
      <c r="M191" s="123">
        <f t="shared" si="32"/>
        <v>33.211339492533753</v>
      </c>
      <c r="N191" s="123">
        <f t="shared" si="33"/>
        <v>37.298153117516151</v>
      </c>
      <c r="O191" s="123">
        <f t="shared" si="34"/>
        <v>0.98094142699067477</v>
      </c>
    </row>
    <row r="192" spans="1:15" x14ac:dyDescent="0.25">
      <c r="A192" s="32">
        <v>1995</v>
      </c>
      <c r="B192" s="32">
        <v>7</v>
      </c>
      <c r="C192" s="117">
        <f t="shared" si="35"/>
        <v>35.384999999999998</v>
      </c>
      <c r="D192" s="117">
        <f>+HLOOKUP('Ingreso Datos'!$I$7,'Precip 1981-2012'!$D$5:$AL$397,184,FALSE)</f>
        <v>111.8</v>
      </c>
      <c r="E192" s="122">
        <f t="shared" si="24"/>
        <v>52.370742787148885</v>
      </c>
      <c r="F192" s="122">
        <f t="shared" si="25"/>
        <v>5.0957228361446667</v>
      </c>
      <c r="G192" s="123">
        <f t="shared" si="26"/>
        <v>73.943724762996638</v>
      </c>
      <c r="H192" s="123">
        <f t="shared" si="27"/>
        <v>5.9384576817936434</v>
      </c>
      <c r="I192" s="123">
        <f t="shared" si="28"/>
        <v>35.384999999999998</v>
      </c>
      <c r="J192" s="123">
        <f t="shared" si="29"/>
        <v>62.056021686618706</v>
      </c>
      <c r="K192" s="123">
        <f t="shared" si="30"/>
        <v>11.887703076377932</v>
      </c>
      <c r="L192" s="123">
        <f t="shared" si="31"/>
        <v>20.635889341308292</v>
      </c>
      <c r="M192" s="123">
        <f t="shared" si="32"/>
        <v>54.006696817862426</v>
      </c>
      <c r="N192" s="123">
        <f t="shared" si="33"/>
        <v>65.894399894240365</v>
      </c>
      <c r="O192" s="123">
        <f t="shared" si="34"/>
        <v>1.7330227172185215</v>
      </c>
    </row>
    <row r="193" spans="1:15" x14ac:dyDescent="0.25">
      <c r="A193" s="32">
        <v>1995</v>
      </c>
      <c r="B193" s="32">
        <v>8</v>
      </c>
      <c r="C193" s="117">
        <f t="shared" si="35"/>
        <v>55.605000000000004</v>
      </c>
      <c r="D193" s="117">
        <f>+HLOOKUP('Ingreso Datos'!$I$7,'Precip 1981-2012'!$D$5:$AL$397,185,FALSE)</f>
        <v>3</v>
      </c>
      <c r="E193" s="122">
        <f t="shared" si="24"/>
        <v>70.119467550145529</v>
      </c>
      <c r="F193" s="122">
        <f t="shared" si="25"/>
        <v>4.354340265043656</v>
      </c>
      <c r="G193" s="123">
        <f t="shared" si="26"/>
        <v>0</v>
      </c>
      <c r="H193" s="123">
        <f t="shared" si="27"/>
        <v>0</v>
      </c>
      <c r="I193" s="123">
        <f t="shared" si="28"/>
        <v>8.9384576817936434</v>
      </c>
      <c r="J193" s="123">
        <f t="shared" si="29"/>
        <v>0</v>
      </c>
      <c r="K193" s="123">
        <f t="shared" si="30"/>
        <v>0</v>
      </c>
      <c r="L193" s="123">
        <f t="shared" si="31"/>
        <v>2.0178483308556703</v>
      </c>
      <c r="M193" s="123">
        <f t="shared" si="32"/>
        <v>18.618041010452622</v>
      </c>
      <c r="N193" s="123">
        <f t="shared" si="33"/>
        <v>18.618041010452622</v>
      </c>
      <c r="O193" s="123">
        <f t="shared" si="34"/>
        <v>0.48965447857490396</v>
      </c>
    </row>
    <row r="194" spans="1:15" x14ac:dyDescent="0.25">
      <c r="A194" s="32">
        <v>1995</v>
      </c>
      <c r="B194" s="32">
        <v>9</v>
      </c>
      <c r="C194" s="117">
        <f t="shared" si="35"/>
        <v>78.858000000000004</v>
      </c>
      <c r="D194" s="117">
        <f>+HLOOKUP('Ingreso Datos'!$I$7,'Precip 1981-2012'!$D$5:$AL$397,186,FALSE)</f>
        <v>96.7</v>
      </c>
      <c r="E194" s="122">
        <f t="shared" si="24"/>
        <v>99.310925231939166</v>
      </c>
      <c r="F194" s="122">
        <f t="shared" si="25"/>
        <v>6.1358775695817496</v>
      </c>
      <c r="G194" s="123">
        <f t="shared" si="26"/>
        <v>44.638605189358429</v>
      </c>
      <c r="H194" s="123">
        <f t="shared" si="27"/>
        <v>0</v>
      </c>
      <c r="I194" s="123">
        <f t="shared" si="28"/>
        <v>52.061394810641573</v>
      </c>
      <c r="J194" s="123">
        <f t="shared" si="29"/>
        <v>40.01151173038896</v>
      </c>
      <c r="K194" s="123">
        <f t="shared" si="30"/>
        <v>4.627093458969469</v>
      </c>
      <c r="L194" s="123">
        <f t="shared" si="31"/>
        <v>12.709049687460491</v>
      </c>
      <c r="M194" s="123">
        <f t="shared" si="32"/>
        <v>29.320310373784139</v>
      </c>
      <c r="N194" s="123">
        <f t="shared" si="33"/>
        <v>33.947403832753608</v>
      </c>
      <c r="O194" s="123">
        <f t="shared" si="34"/>
        <v>0.89281672080141983</v>
      </c>
    </row>
    <row r="195" spans="1:15" x14ac:dyDescent="0.25">
      <c r="A195" s="32">
        <v>1995</v>
      </c>
      <c r="B195" s="32">
        <v>10</v>
      </c>
      <c r="C195" s="117">
        <f t="shared" si="35"/>
        <v>113.232</v>
      </c>
      <c r="D195" s="117">
        <f>+HLOOKUP('Ingreso Datos'!$I$7,'Precip 1981-2012'!$D$5:$AL$397,187,FALSE)</f>
        <v>179.3</v>
      </c>
      <c r="E195" s="122">
        <f t="shared" si="24"/>
        <v>133.68492523193916</v>
      </c>
      <c r="F195" s="122">
        <f t="shared" si="25"/>
        <v>6.1358775695817496</v>
      </c>
      <c r="G195" s="123">
        <f t="shared" si="26"/>
        <v>99.715663560214864</v>
      </c>
      <c r="H195" s="123">
        <f t="shared" si="27"/>
        <v>0</v>
      </c>
      <c r="I195" s="123">
        <f t="shared" si="28"/>
        <v>79.584336439785147</v>
      </c>
      <c r="J195" s="123">
        <f t="shared" si="29"/>
        <v>79.244399598143175</v>
      </c>
      <c r="K195" s="123">
        <f t="shared" si="30"/>
        <v>20.471263962071689</v>
      </c>
      <c r="L195" s="123">
        <f t="shared" si="31"/>
        <v>26.022731341623913</v>
      </c>
      <c r="M195" s="123">
        <f t="shared" si="32"/>
        <v>65.930717943979758</v>
      </c>
      <c r="N195" s="123">
        <f t="shared" si="33"/>
        <v>86.401981906051446</v>
      </c>
      <c r="O195" s="123">
        <f t="shared" si="34"/>
        <v>2.272372124129153</v>
      </c>
    </row>
    <row r="196" spans="1:15" x14ac:dyDescent="0.25">
      <c r="A196" s="32">
        <v>1995</v>
      </c>
      <c r="B196" s="32">
        <v>11</v>
      </c>
      <c r="C196" s="117">
        <f t="shared" si="35"/>
        <v>148.61699999999999</v>
      </c>
      <c r="D196" s="117">
        <f>+HLOOKUP('Ingreso Datos'!$I$7,'Precip 1981-2012'!$D$5:$AL$397,188,FALSE)</f>
        <v>54.2</v>
      </c>
      <c r="E196" s="122">
        <f t="shared" si="24"/>
        <v>169.06992523193915</v>
      </c>
      <c r="F196" s="122">
        <f t="shared" si="25"/>
        <v>6.1358775695817496</v>
      </c>
      <c r="G196" s="123">
        <f t="shared" si="26"/>
        <v>10.94871990591416</v>
      </c>
      <c r="H196" s="123">
        <f t="shared" si="27"/>
        <v>0</v>
      </c>
      <c r="I196" s="123">
        <f t="shared" si="28"/>
        <v>43.251280094085843</v>
      </c>
      <c r="J196" s="123">
        <f t="shared" si="29"/>
        <v>10.646730098246877</v>
      </c>
      <c r="K196" s="123">
        <f t="shared" si="30"/>
        <v>0.30198980766728312</v>
      </c>
      <c r="L196" s="123">
        <f t="shared" si="31"/>
        <v>5.8738614660231985</v>
      </c>
      <c r="M196" s="123">
        <f t="shared" si="32"/>
        <v>30.795599973847594</v>
      </c>
      <c r="N196" s="123">
        <f t="shared" si="33"/>
        <v>31.097589781514877</v>
      </c>
      <c r="O196" s="123">
        <f t="shared" si="34"/>
        <v>0.8178666112538413</v>
      </c>
    </row>
    <row r="197" spans="1:15" x14ac:dyDescent="0.25">
      <c r="A197" s="32">
        <v>1995</v>
      </c>
      <c r="B197" s="32">
        <v>12</v>
      </c>
      <c r="C197" s="117">
        <f t="shared" si="35"/>
        <v>179.958</v>
      </c>
      <c r="D197" s="117">
        <f>+HLOOKUP('Ingreso Datos'!$I$7,'Precip 1981-2012'!$D$5:$AL$397,189,FALSE)</f>
        <v>11</v>
      </c>
      <c r="E197" s="122">
        <f t="shared" si="24"/>
        <v>200.41092523193916</v>
      </c>
      <c r="F197" s="122">
        <f t="shared" si="25"/>
        <v>6.1358775695817496</v>
      </c>
      <c r="G197" s="123">
        <f t="shared" si="26"/>
        <v>0.11880981028029437</v>
      </c>
      <c r="H197" s="123">
        <f t="shared" si="27"/>
        <v>0</v>
      </c>
      <c r="I197" s="123">
        <f t="shared" si="28"/>
        <v>10.881190189719705</v>
      </c>
      <c r="J197" s="123">
        <f t="shared" si="29"/>
        <v>0.11877325217781348</v>
      </c>
      <c r="K197" s="123">
        <f t="shared" si="30"/>
        <v>3.6558102480890864E-5</v>
      </c>
      <c r="L197" s="123">
        <f t="shared" si="31"/>
        <v>0.61150720907008804</v>
      </c>
      <c r="M197" s="123">
        <f t="shared" si="32"/>
        <v>5.3811275091309243</v>
      </c>
      <c r="N197" s="123">
        <f t="shared" si="33"/>
        <v>5.3811640672334056</v>
      </c>
      <c r="O197" s="123">
        <f t="shared" si="34"/>
        <v>0.14152461496823857</v>
      </c>
    </row>
    <row r="198" spans="1:15" x14ac:dyDescent="0.25">
      <c r="A198" s="32">
        <v>1996</v>
      </c>
      <c r="B198" s="32">
        <v>1</v>
      </c>
      <c r="C198" s="117">
        <f t="shared" si="35"/>
        <v>190.06799999999998</v>
      </c>
      <c r="D198" s="117">
        <f>+HLOOKUP('Ingreso Datos'!$I$7,'Precip 1981-2012'!$D$5:$AL$397,190,FALSE)</f>
        <v>358.7</v>
      </c>
      <c r="E198" s="122">
        <f t="shared" si="24"/>
        <v>210.52092523193915</v>
      </c>
      <c r="F198" s="122">
        <f t="shared" si="25"/>
        <v>6.1358775695817496</v>
      </c>
      <c r="G198" s="123">
        <f t="shared" si="26"/>
        <v>223.18277340178997</v>
      </c>
      <c r="H198" s="123">
        <f t="shared" si="27"/>
        <v>0</v>
      </c>
      <c r="I198" s="123">
        <f t="shared" si="28"/>
        <v>135.51722659821002</v>
      </c>
      <c r="J198" s="123">
        <f t="shared" si="29"/>
        <v>141.41659005231122</v>
      </c>
      <c r="K198" s="123">
        <f t="shared" si="30"/>
        <v>81.766183349478752</v>
      </c>
      <c r="L198" s="123">
        <f t="shared" si="31"/>
        <v>44.281250065665176</v>
      </c>
      <c r="M198" s="123">
        <f t="shared" si="32"/>
        <v>97.746847195716128</v>
      </c>
      <c r="N198" s="123">
        <f t="shared" si="33"/>
        <v>179.51303054519488</v>
      </c>
      <c r="O198" s="123">
        <f t="shared" si="34"/>
        <v>4.721192703338625</v>
      </c>
    </row>
    <row r="199" spans="1:15" x14ac:dyDescent="0.25">
      <c r="A199" s="32">
        <v>1996</v>
      </c>
      <c r="B199" s="32">
        <v>2</v>
      </c>
      <c r="C199" s="117">
        <f t="shared" si="35"/>
        <v>146.595</v>
      </c>
      <c r="D199" s="117">
        <f>+HLOOKUP('Ingreso Datos'!$I$7,'Precip 1981-2012'!$D$5:$AL$397,191,FALSE)</f>
        <v>91.1</v>
      </c>
      <c r="E199" s="122">
        <f t="shared" si="24"/>
        <v>167.04792523193916</v>
      </c>
      <c r="F199" s="122">
        <f t="shared" si="25"/>
        <v>6.1358775695817496</v>
      </c>
      <c r="G199" s="123">
        <f t="shared" si="26"/>
        <v>29.35990949284437</v>
      </c>
      <c r="H199" s="123">
        <f t="shared" si="27"/>
        <v>0</v>
      </c>
      <c r="I199" s="123">
        <f t="shared" si="28"/>
        <v>61.740090507155628</v>
      </c>
      <c r="J199" s="123">
        <f t="shared" si="29"/>
        <v>27.284590556838911</v>
      </c>
      <c r="K199" s="123">
        <f t="shared" si="30"/>
        <v>2.0753189360054591</v>
      </c>
      <c r="L199" s="123">
        <f t="shared" si="31"/>
        <v>12.861958580635934</v>
      </c>
      <c r="M199" s="123">
        <f t="shared" si="32"/>
        <v>58.703882041868155</v>
      </c>
      <c r="N199" s="123">
        <f t="shared" si="33"/>
        <v>60.779200977873614</v>
      </c>
      <c r="O199" s="123">
        <f t="shared" si="34"/>
        <v>1.5984929857180759</v>
      </c>
    </row>
    <row r="200" spans="1:15" x14ac:dyDescent="0.25">
      <c r="A200" s="32">
        <v>1996</v>
      </c>
      <c r="B200" s="32">
        <v>3</v>
      </c>
      <c r="C200" s="117">
        <f t="shared" si="35"/>
        <v>120.30899999999998</v>
      </c>
      <c r="D200" s="117">
        <f>+HLOOKUP('Ingreso Datos'!$I$7,'Precip 1981-2012'!$D$5:$AL$397,192,FALSE)</f>
        <v>98.3</v>
      </c>
      <c r="E200" s="122">
        <f t="shared" si="24"/>
        <v>140.76192523193916</v>
      </c>
      <c r="F200" s="122">
        <f t="shared" si="25"/>
        <v>6.1358775695817496</v>
      </c>
      <c r="G200" s="123">
        <f t="shared" si="26"/>
        <v>37.454116551410905</v>
      </c>
      <c r="H200" s="123">
        <f t="shared" si="27"/>
        <v>0</v>
      </c>
      <c r="I200" s="123">
        <f t="shared" si="28"/>
        <v>60.845883448589092</v>
      </c>
      <c r="J200" s="123">
        <f t="shared" si="29"/>
        <v>34.141335327151964</v>
      </c>
      <c r="K200" s="123">
        <f t="shared" si="30"/>
        <v>3.3127812242589414</v>
      </c>
      <c r="L200" s="123">
        <f t="shared" si="31"/>
        <v>11.933799755657294</v>
      </c>
      <c r="M200" s="123">
        <f t="shared" si="32"/>
        <v>35.069494152130602</v>
      </c>
      <c r="N200" s="123">
        <f t="shared" si="33"/>
        <v>38.382275376389543</v>
      </c>
      <c r="O200" s="123">
        <f t="shared" si="34"/>
        <v>1.0094538423990449</v>
      </c>
    </row>
    <row r="201" spans="1:15" x14ac:dyDescent="0.25">
      <c r="A201" s="32">
        <v>1996</v>
      </c>
      <c r="B201" s="32">
        <v>4</v>
      </c>
      <c r="C201" s="117">
        <f t="shared" si="35"/>
        <v>73.802999999999997</v>
      </c>
      <c r="D201" s="117">
        <f>+HLOOKUP('Ingreso Datos'!$I$7,'Precip 1981-2012'!$D$5:$AL$397,193,FALSE)</f>
        <v>300.8</v>
      </c>
      <c r="E201" s="122">
        <f t="shared" si="24"/>
        <v>94.255925231939159</v>
      </c>
      <c r="F201" s="122">
        <f t="shared" si="25"/>
        <v>6.1358775695817496</v>
      </c>
      <c r="G201" s="123">
        <f t="shared" si="26"/>
        <v>226.83003068450876</v>
      </c>
      <c r="H201" s="123">
        <f t="shared" si="27"/>
        <v>0.16696931549125793</v>
      </c>
      <c r="I201" s="123">
        <f t="shared" si="28"/>
        <v>73.802999999999997</v>
      </c>
      <c r="J201" s="123">
        <f t="shared" si="29"/>
        <v>142.87222795923219</v>
      </c>
      <c r="K201" s="123">
        <f t="shared" si="30"/>
        <v>83.957802725276565</v>
      </c>
      <c r="L201" s="123">
        <f t="shared" si="31"/>
        <v>45.84356581251533</v>
      </c>
      <c r="M201" s="123">
        <f t="shared" si="32"/>
        <v>108.96246190237416</v>
      </c>
      <c r="N201" s="123">
        <f t="shared" si="33"/>
        <v>192.92026462765074</v>
      </c>
      <c r="O201" s="123">
        <f t="shared" si="34"/>
        <v>5.0738029597072147</v>
      </c>
    </row>
    <row r="202" spans="1:15" x14ac:dyDescent="0.25">
      <c r="A202" s="32">
        <v>1996</v>
      </c>
      <c r="B202" s="32">
        <v>5</v>
      </c>
      <c r="C202" s="117">
        <f t="shared" si="35"/>
        <v>44.483999999999995</v>
      </c>
      <c r="D202" s="117">
        <f>+HLOOKUP('Ingreso Datos'!$I$7,'Precip 1981-2012'!$D$5:$AL$397,194,FALSE)</f>
        <v>10.7</v>
      </c>
      <c r="E202" s="122">
        <f t="shared" si="24"/>
        <v>64.769955916447898</v>
      </c>
      <c r="F202" s="122">
        <f t="shared" si="25"/>
        <v>6.0857867749343724</v>
      </c>
      <c r="G202" s="123">
        <f t="shared" si="26"/>
        <v>0.33635873288306856</v>
      </c>
      <c r="H202" s="123">
        <f t="shared" si="27"/>
        <v>0</v>
      </c>
      <c r="I202" s="123">
        <f t="shared" si="28"/>
        <v>10.530610582608189</v>
      </c>
      <c r="J202" s="123">
        <f t="shared" si="29"/>
        <v>0.33606588652100783</v>
      </c>
      <c r="K202" s="123">
        <f t="shared" si="30"/>
        <v>2.92846362060728E-4</v>
      </c>
      <c r="L202" s="123">
        <f t="shared" si="31"/>
        <v>4.5878307129555003</v>
      </c>
      <c r="M202" s="123">
        <f t="shared" si="32"/>
        <v>41.591800986080834</v>
      </c>
      <c r="N202" s="123">
        <f t="shared" si="33"/>
        <v>41.592093832442892</v>
      </c>
      <c r="O202" s="123">
        <f t="shared" si="34"/>
        <v>1.0938720677932481</v>
      </c>
    </row>
    <row r="203" spans="1:15" x14ac:dyDescent="0.25">
      <c r="A203" s="32">
        <v>1996</v>
      </c>
      <c r="B203" s="32">
        <v>6</v>
      </c>
      <c r="C203" s="117">
        <f t="shared" si="35"/>
        <v>29.318999999999996</v>
      </c>
      <c r="D203" s="117">
        <f>+HLOOKUP('Ingreso Datos'!$I$7,'Precip 1981-2012'!$D$5:$AL$397,195,FALSE)</f>
        <v>20.2</v>
      </c>
      <c r="E203" s="122">
        <f t="shared" si="24"/>
        <v>49.771925231939164</v>
      </c>
      <c r="F203" s="122">
        <f t="shared" si="25"/>
        <v>6.1358775695817496</v>
      </c>
      <c r="G203" s="123">
        <f t="shared" si="26"/>
        <v>3.4280581741744149</v>
      </c>
      <c r="H203" s="123">
        <f t="shared" si="27"/>
        <v>0</v>
      </c>
      <c r="I203" s="123">
        <f t="shared" si="28"/>
        <v>16.771941825825586</v>
      </c>
      <c r="J203" s="123">
        <f t="shared" si="29"/>
        <v>3.3978816560759992</v>
      </c>
      <c r="K203" s="123">
        <f t="shared" si="30"/>
        <v>3.0176518098415706E-2</v>
      </c>
      <c r="L203" s="123">
        <f t="shared" si="31"/>
        <v>1.5111431848762924</v>
      </c>
      <c r="M203" s="123">
        <f t="shared" si="32"/>
        <v>6.4745691841552073</v>
      </c>
      <c r="N203" s="123">
        <f t="shared" si="33"/>
        <v>6.504745702253623</v>
      </c>
      <c r="O203" s="123">
        <f t="shared" si="34"/>
        <v>0.17107481196927027</v>
      </c>
    </row>
    <row r="204" spans="1:15" x14ac:dyDescent="0.25">
      <c r="A204" s="32">
        <v>1996</v>
      </c>
      <c r="B204" s="32">
        <v>7</v>
      </c>
      <c r="C204" s="117">
        <f t="shared" si="35"/>
        <v>35.384999999999998</v>
      </c>
      <c r="D204" s="117">
        <f>+HLOOKUP('Ingreso Datos'!$I$7,'Precip 1981-2012'!$D$5:$AL$397,196,FALSE)</f>
        <v>23.4</v>
      </c>
      <c r="E204" s="122">
        <f t="shared" si="24"/>
        <v>55.837925231939167</v>
      </c>
      <c r="F204" s="122">
        <f t="shared" si="25"/>
        <v>6.1358775695817496</v>
      </c>
      <c r="G204" s="123">
        <f t="shared" si="26"/>
        <v>4.450753610062347</v>
      </c>
      <c r="H204" s="123">
        <f t="shared" si="27"/>
        <v>0</v>
      </c>
      <c r="I204" s="123">
        <f t="shared" si="28"/>
        <v>18.949246389937652</v>
      </c>
      <c r="J204" s="123">
        <f t="shared" si="29"/>
        <v>4.4000194073125014</v>
      </c>
      <c r="K204" s="123">
        <f t="shared" si="30"/>
        <v>5.0734202749845636E-2</v>
      </c>
      <c r="L204" s="123">
        <f t="shared" si="31"/>
        <v>1.5236660085443492</v>
      </c>
      <c r="M204" s="123">
        <f t="shared" si="32"/>
        <v>4.3874965836444444</v>
      </c>
      <c r="N204" s="123">
        <f t="shared" si="33"/>
        <v>4.43823078639429</v>
      </c>
      <c r="O204" s="123">
        <f t="shared" si="34"/>
        <v>0.11672546968216982</v>
      </c>
    </row>
    <row r="205" spans="1:15" x14ac:dyDescent="0.25">
      <c r="A205" s="32">
        <v>1996</v>
      </c>
      <c r="B205" s="32">
        <v>8</v>
      </c>
      <c r="C205" s="117">
        <f t="shared" si="35"/>
        <v>55.605000000000004</v>
      </c>
      <c r="D205" s="117">
        <f>+HLOOKUP('Ingreso Datos'!$I$7,'Precip 1981-2012'!$D$5:$AL$397,197,FALSE)</f>
        <v>35.9</v>
      </c>
      <c r="E205" s="122">
        <f t="shared" si="24"/>
        <v>76.057925231939166</v>
      </c>
      <c r="F205" s="122">
        <f t="shared" si="25"/>
        <v>6.1358775695817496</v>
      </c>
      <c r="G205" s="123">
        <f t="shared" si="26"/>
        <v>8.8869196522289577</v>
      </c>
      <c r="H205" s="123">
        <f t="shared" si="27"/>
        <v>0</v>
      </c>
      <c r="I205" s="123">
        <f t="shared" si="28"/>
        <v>27.013080347771041</v>
      </c>
      <c r="J205" s="123">
        <f t="shared" si="29"/>
        <v>8.686919761184889</v>
      </c>
      <c r="K205" s="123">
        <f t="shared" si="30"/>
        <v>0.19999989104406879</v>
      </c>
      <c r="L205" s="123">
        <f t="shared" si="31"/>
        <v>2.865419039222254</v>
      </c>
      <c r="M205" s="123">
        <f t="shared" si="32"/>
        <v>7.3451667305069837</v>
      </c>
      <c r="N205" s="123">
        <f t="shared" si="33"/>
        <v>7.5451666215510524</v>
      </c>
      <c r="O205" s="123">
        <f t="shared" si="34"/>
        <v>0.1984378821467927</v>
      </c>
    </row>
    <row r="206" spans="1:15" x14ac:dyDescent="0.25">
      <c r="A206" s="32">
        <v>1996</v>
      </c>
      <c r="B206" s="32">
        <v>9</v>
      </c>
      <c r="C206" s="117">
        <f t="shared" si="35"/>
        <v>78.858000000000004</v>
      </c>
      <c r="D206" s="117">
        <f>+HLOOKUP('Ingreso Datos'!$I$7,'Precip 1981-2012'!$D$5:$AL$397,198,FALSE)</f>
        <v>79.7</v>
      </c>
      <c r="E206" s="122">
        <f t="shared" si="24"/>
        <v>99.310925231939166</v>
      </c>
      <c r="F206" s="122">
        <f t="shared" si="25"/>
        <v>6.1358775695817496</v>
      </c>
      <c r="G206" s="123">
        <f t="shared" si="26"/>
        <v>32.455961643244613</v>
      </c>
      <c r="H206" s="123">
        <f t="shared" si="27"/>
        <v>0</v>
      </c>
      <c r="I206" s="123">
        <f t="shared" si="28"/>
        <v>47.244038356755389</v>
      </c>
      <c r="J206" s="123">
        <f t="shared" si="29"/>
        <v>29.938637139009604</v>
      </c>
      <c r="K206" s="123">
        <f t="shared" si="30"/>
        <v>2.5173245042350096</v>
      </c>
      <c r="L206" s="123">
        <f t="shared" si="31"/>
        <v>9.6421054920897991</v>
      </c>
      <c r="M206" s="123">
        <f t="shared" si="32"/>
        <v>23.16195068614206</v>
      </c>
      <c r="N206" s="123">
        <f t="shared" si="33"/>
        <v>25.679275190377069</v>
      </c>
      <c r="O206" s="123">
        <f t="shared" si="34"/>
        <v>0.67536493750691695</v>
      </c>
    </row>
    <row r="207" spans="1:15" x14ac:dyDescent="0.25">
      <c r="A207" s="32">
        <v>1996</v>
      </c>
      <c r="B207" s="32">
        <v>10</v>
      </c>
      <c r="C207" s="117">
        <f t="shared" si="35"/>
        <v>113.232</v>
      </c>
      <c r="D207" s="117">
        <f>+HLOOKUP('Ingreso Datos'!$I$7,'Precip 1981-2012'!$D$5:$AL$397,199,FALSE)</f>
        <v>120.9</v>
      </c>
      <c r="E207" s="122">
        <f t="shared" si="24"/>
        <v>133.68492523193916</v>
      </c>
      <c r="F207" s="122">
        <f t="shared" si="25"/>
        <v>6.1358775695817496</v>
      </c>
      <c r="G207" s="123">
        <f t="shared" si="26"/>
        <v>54.354469433837451</v>
      </c>
      <c r="H207" s="123">
        <f t="shared" si="27"/>
        <v>0</v>
      </c>
      <c r="I207" s="123">
        <f t="shared" si="28"/>
        <v>66.545530566162554</v>
      </c>
      <c r="J207" s="123">
        <f t="shared" si="29"/>
        <v>47.645309989555109</v>
      </c>
      <c r="K207" s="123">
        <f t="shared" si="30"/>
        <v>6.7091594442823421</v>
      </c>
      <c r="L207" s="123">
        <f t="shared" si="31"/>
        <v>15.84169081943763</v>
      </c>
      <c r="M207" s="123">
        <f t="shared" si="32"/>
        <v>41.445724662207276</v>
      </c>
      <c r="N207" s="123">
        <f t="shared" si="33"/>
        <v>48.154884106489618</v>
      </c>
      <c r="O207" s="123">
        <f t="shared" si="34"/>
        <v>1.2664734520006768</v>
      </c>
    </row>
    <row r="208" spans="1:15" x14ac:dyDescent="0.25">
      <c r="A208" s="32">
        <v>1996</v>
      </c>
      <c r="B208" s="32">
        <v>11</v>
      </c>
      <c r="C208" s="117">
        <f t="shared" si="35"/>
        <v>148.61699999999999</v>
      </c>
      <c r="D208" s="117">
        <f>+HLOOKUP('Ingreso Datos'!$I$7,'Precip 1981-2012'!$D$5:$AL$397,200,FALSE)</f>
        <v>108.6</v>
      </c>
      <c r="E208" s="122">
        <f t="shared" si="24"/>
        <v>169.06992523193915</v>
      </c>
      <c r="F208" s="122">
        <f t="shared" si="25"/>
        <v>6.1358775695817496</v>
      </c>
      <c r="G208" s="123">
        <f t="shared" si="26"/>
        <v>39.559038337625395</v>
      </c>
      <c r="H208" s="123">
        <f t="shared" si="27"/>
        <v>0</v>
      </c>
      <c r="I208" s="123">
        <f t="shared" si="28"/>
        <v>69.040961662374599</v>
      </c>
      <c r="J208" s="123">
        <f t="shared" si="29"/>
        <v>35.881716572093637</v>
      </c>
      <c r="K208" s="123">
        <f t="shared" si="30"/>
        <v>3.677321765531758</v>
      </c>
      <c r="L208" s="123">
        <f t="shared" si="31"/>
        <v>12.769391445934936</v>
      </c>
      <c r="M208" s="123">
        <f t="shared" si="32"/>
        <v>38.954015945596332</v>
      </c>
      <c r="N208" s="123">
        <f t="shared" si="33"/>
        <v>42.63133771112809</v>
      </c>
      <c r="O208" s="123">
        <f t="shared" si="34"/>
        <v>1.1212041818026688</v>
      </c>
    </row>
    <row r="209" spans="1:15" x14ac:dyDescent="0.25">
      <c r="A209" s="32">
        <v>1996</v>
      </c>
      <c r="B209" s="32">
        <v>12</v>
      </c>
      <c r="C209" s="117">
        <f t="shared" si="35"/>
        <v>179.958</v>
      </c>
      <c r="D209" s="117">
        <f>+HLOOKUP('Ingreso Datos'!$I$7,'Precip 1981-2012'!$D$5:$AL$397,201,FALSE)</f>
        <v>93.1</v>
      </c>
      <c r="E209" s="122">
        <f t="shared" si="24"/>
        <v>200.41092523193916</v>
      </c>
      <c r="F209" s="122">
        <f t="shared" si="25"/>
        <v>6.1358775695817496</v>
      </c>
      <c r="G209" s="123">
        <f t="shared" si="26"/>
        <v>26.890843788217541</v>
      </c>
      <c r="H209" s="123">
        <f t="shared" si="27"/>
        <v>0</v>
      </c>
      <c r="I209" s="123">
        <f t="shared" si="28"/>
        <v>66.209156211782457</v>
      </c>
      <c r="J209" s="123">
        <f t="shared" si="29"/>
        <v>25.139491123169773</v>
      </c>
      <c r="K209" s="123">
        <f t="shared" si="30"/>
        <v>1.7513526650477687</v>
      </c>
      <c r="L209" s="123">
        <f t="shared" si="31"/>
        <v>9.1098405351534328</v>
      </c>
      <c r="M209" s="123">
        <f t="shared" si="32"/>
        <v>28.799042033951274</v>
      </c>
      <c r="N209" s="123">
        <f t="shared" si="33"/>
        <v>30.550394698999042</v>
      </c>
      <c r="O209" s="123">
        <f t="shared" si="34"/>
        <v>0.80347538058367485</v>
      </c>
    </row>
    <row r="210" spans="1:15" x14ac:dyDescent="0.25">
      <c r="A210" s="32">
        <v>1997</v>
      </c>
      <c r="B210" s="32">
        <v>1</v>
      </c>
      <c r="C210" s="117">
        <f t="shared" si="35"/>
        <v>190.06799999999998</v>
      </c>
      <c r="D210" s="117">
        <f>+HLOOKUP('Ingreso Datos'!$I$7,'Precip 1981-2012'!$D$5:$AL$397,202,FALSE)</f>
        <v>78.3</v>
      </c>
      <c r="E210" s="122">
        <f t="shared" ref="E210:E273" si="36">+CAD*AD-H209+C210</f>
        <v>210.52092523193915</v>
      </c>
      <c r="F210" s="122">
        <f t="shared" ref="F210:F273" si="37">+CP.o*(CAD*AD-H209)</f>
        <v>6.1358775695817496</v>
      </c>
      <c r="G210" s="123">
        <f t="shared" ref="G210:G273" si="38">+IF(D210&lt;F210,0,(D210-F210)^2/(D210+E210-2*F210))</f>
        <v>18.830866729433133</v>
      </c>
      <c r="H210" s="123">
        <f t="shared" ref="H210:H273" si="39">+MAX(0,H209+D210-G210-C210)</f>
        <v>0</v>
      </c>
      <c r="I210" s="123">
        <f t="shared" ref="I210:I273" si="40">+MIN(H209+D210-G210,C210)</f>
        <v>59.469133270566864</v>
      </c>
      <c r="J210" s="123">
        <f t="shared" ref="J210:J273" si="41">+Imax*G210/(G210+Imax)</f>
        <v>17.954941569263298</v>
      </c>
      <c r="K210" s="123">
        <f t="shared" ref="K210:K273" si="42">+G210-J210</f>
        <v>0.87592516016983524</v>
      </c>
      <c r="L210" s="123">
        <f t="shared" ref="L210:L273" si="43">+L209*EXP(-α)+J210*EXP(-α/2)</f>
        <v>6.5053636524609981</v>
      </c>
      <c r="M210" s="123">
        <f t="shared" ref="M210:M273" si="44">+L209-L210+J210</f>
        <v>20.559418451955732</v>
      </c>
      <c r="N210" s="123">
        <f t="shared" ref="N210:N273" si="45">+M210+K210</f>
        <v>21.435343612125568</v>
      </c>
      <c r="O210" s="123">
        <f t="shared" ref="O210:O273" si="46">+N210*Ac/100000</f>
        <v>0.5637495369989024</v>
      </c>
    </row>
    <row r="211" spans="1:15" x14ac:dyDescent="0.25">
      <c r="A211" s="32">
        <v>1997</v>
      </c>
      <c r="B211" s="32">
        <v>2</v>
      </c>
      <c r="C211" s="117">
        <f t="shared" si="35"/>
        <v>146.595</v>
      </c>
      <c r="D211" s="117">
        <f>+HLOOKUP('Ingreso Datos'!$I$7,'Precip 1981-2012'!$D$5:$AL$397,203,FALSE)</f>
        <v>245.2</v>
      </c>
      <c r="E211" s="122">
        <f t="shared" si="36"/>
        <v>167.04792523193916</v>
      </c>
      <c r="F211" s="122">
        <f t="shared" si="37"/>
        <v>6.1358775695817496</v>
      </c>
      <c r="G211" s="123">
        <f t="shared" si="38"/>
        <v>142.88764908211783</v>
      </c>
      <c r="H211" s="123">
        <f t="shared" si="39"/>
        <v>0</v>
      </c>
      <c r="I211" s="123">
        <f t="shared" si="40"/>
        <v>102.31235091788216</v>
      </c>
      <c r="J211" s="123">
        <f t="shared" si="41"/>
        <v>104.28421355918994</v>
      </c>
      <c r="K211" s="123">
        <f t="shared" si="42"/>
        <v>38.603435522927896</v>
      </c>
      <c r="L211" s="123">
        <f t="shared" si="43"/>
        <v>33.246149624528648</v>
      </c>
      <c r="M211" s="123">
        <f t="shared" si="44"/>
        <v>77.543427587122295</v>
      </c>
      <c r="N211" s="123">
        <f t="shared" si="45"/>
        <v>116.14686311005019</v>
      </c>
      <c r="O211" s="123">
        <f t="shared" si="46"/>
        <v>3.0546624997943197</v>
      </c>
    </row>
    <row r="212" spans="1:15" x14ac:dyDescent="0.25">
      <c r="A212" s="32">
        <v>1997</v>
      </c>
      <c r="B212" s="32">
        <v>3</v>
      </c>
      <c r="C212" s="117">
        <f t="shared" si="35"/>
        <v>120.30899999999998</v>
      </c>
      <c r="D212" s="117">
        <f>+HLOOKUP('Ingreso Datos'!$I$7,'Precip 1981-2012'!$D$5:$AL$397,204,FALSE)</f>
        <v>43.1</v>
      </c>
      <c r="E212" s="122">
        <f t="shared" si="36"/>
        <v>140.76192523193916</v>
      </c>
      <c r="F212" s="122">
        <f t="shared" si="37"/>
        <v>6.1358775695817496</v>
      </c>
      <c r="G212" s="123">
        <f t="shared" si="38"/>
        <v>7.9628474423225484</v>
      </c>
      <c r="H212" s="123">
        <f t="shared" si="39"/>
        <v>0</v>
      </c>
      <c r="I212" s="123">
        <f t="shared" si="40"/>
        <v>35.137152557677453</v>
      </c>
      <c r="J212" s="123">
        <f t="shared" si="41"/>
        <v>7.8019009474909877</v>
      </c>
      <c r="K212" s="123">
        <f t="shared" si="42"/>
        <v>0.16094649483156065</v>
      </c>
      <c r="L212" s="123">
        <f t="shared" si="43"/>
        <v>5.6906043097797561</v>
      </c>
      <c r="M212" s="123">
        <f t="shared" si="44"/>
        <v>35.357446262239876</v>
      </c>
      <c r="N212" s="123">
        <f t="shared" si="45"/>
        <v>35.518392757071439</v>
      </c>
      <c r="O212" s="123">
        <f t="shared" si="46"/>
        <v>0.93413372951097884</v>
      </c>
    </row>
    <row r="213" spans="1:15" x14ac:dyDescent="0.25">
      <c r="A213" s="32">
        <v>1997</v>
      </c>
      <c r="B213" s="32">
        <v>4</v>
      </c>
      <c r="C213" s="117">
        <f t="shared" si="35"/>
        <v>73.802999999999997</v>
      </c>
      <c r="D213" s="117">
        <f>+HLOOKUP('Ingreso Datos'!$I$7,'Precip 1981-2012'!$D$5:$AL$397,205,FALSE)</f>
        <v>96.8</v>
      </c>
      <c r="E213" s="122">
        <f t="shared" si="36"/>
        <v>94.255925231939159</v>
      </c>
      <c r="F213" s="122">
        <f t="shared" si="37"/>
        <v>6.1358775695817496</v>
      </c>
      <c r="G213" s="123">
        <f t="shared" si="38"/>
        <v>45.97713036793084</v>
      </c>
      <c r="H213" s="123">
        <f t="shared" si="39"/>
        <v>0</v>
      </c>
      <c r="I213" s="123">
        <f t="shared" si="40"/>
        <v>50.822869632069157</v>
      </c>
      <c r="J213" s="123">
        <f t="shared" si="41"/>
        <v>41.083592334865926</v>
      </c>
      <c r="K213" s="123">
        <f t="shared" si="42"/>
        <v>4.8935380330649139</v>
      </c>
      <c r="L213" s="123">
        <f t="shared" si="43"/>
        <v>13.403427713782937</v>
      </c>
      <c r="M213" s="123">
        <f t="shared" si="44"/>
        <v>33.370768930862745</v>
      </c>
      <c r="N213" s="123">
        <f t="shared" si="45"/>
        <v>38.264306963927659</v>
      </c>
      <c r="O213" s="123">
        <f t="shared" si="46"/>
        <v>1.0063512731512976</v>
      </c>
    </row>
    <row r="214" spans="1:15" x14ac:dyDescent="0.25">
      <c r="A214" s="32">
        <v>1997</v>
      </c>
      <c r="B214" s="32">
        <v>5</v>
      </c>
      <c r="C214" s="117">
        <f t="shared" si="35"/>
        <v>44.483999999999995</v>
      </c>
      <c r="D214" s="117">
        <f>+HLOOKUP('Ingreso Datos'!$I$7,'Precip 1981-2012'!$D$5:$AL$397,206,FALSE)</f>
        <v>122.7</v>
      </c>
      <c r="E214" s="122">
        <f t="shared" si="36"/>
        <v>64.936925231939156</v>
      </c>
      <c r="F214" s="122">
        <f t="shared" si="37"/>
        <v>6.1358775695817496</v>
      </c>
      <c r="G214" s="123">
        <f t="shared" si="38"/>
        <v>77.479436941699021</v>
      </c>
      <c r="H214" s="123">
        <f t="shared" si="39"/>
        <v>0.73656305830098745</v>
      </c>
      <c r="I214" s="123">
        <f t="shared" si="40"/>
        <v>44.483999999999995</v>
      </c>
      <c r="J214" s="123">
        <f t="shared" si="41"/>
        <v>64.527269768082135</v>
      </c>
      <c r="K214" s="123">
        <f t="shared" si="42"/>
        <v>12.952167173616886</v>
      </c>
      <c r="L214" s="123">
        <f t="shared" si="43"/>
        <v>21.488532829046498</v>
      </c>
      <c r="M214" s="123">
        <f t="shared" si="44"/>
        <v>56.442164652818576</v>
      </c>
      <c r="N214" s="123">
        <f t="shared" si="45"/>
        <v>69.394331826435462</v>
      </c>
      <c r="O214" s="123">
        <f t="shared" si="46"/>
        <v>1.8250709270352528</v>
      </c>
    </row>
    <row r="215" spans="1:15" x14ac:dyDescent="0.25">
      <c r="A215" s="32">
        <v>1997</v>
      </c>
      <c r="B215" s="32">
        <v>6</v>
      </c>
      <c r="C215" s="117">
        <f t="shared" si="35"/>
        <v>29.318999999999996</v>
      </c>
      <c r="D215" s="117">
        <f>+HLOOKUP('Ingreso Datos'!$I$7,'Precip 1981-2012'!$D$5:$AL$397,207,FALSE)</f>
        <v>65</v>
      </c>
      <c r="E215" s="122">
        <f t="shared" si="36"/>
        <v>49.035362173638177</v>
      </c>
      <c r="F215" s="122">
        <f t="shared" si="37"/>
        <v>5.9149086520914533</v>
      </c>
      <c r="G215" s="123">
        <f t="shared" si="38"/>
        <v>34.157129381284847</v>
      </c>
      <c r="H215" s="123">
        <f t="shared" si="39"/>
        <v>2.2604336770161453</v>
      </c>
      <c r="I215" s="123">
        <f t="shared" si="40"/>
        <v>29.318999999999996</v>
      </c>
      <c r="J215" s="123">
        <f t="shared" si="41"/>
        <v>31.38028851394575</v>
      </c>
      <c r="K215" s="123">
        <f t="shared" si="42"/>
        <v>2.7768408673390965</v>
      </c>
      <c r="L215" s="123">
        <f t="shared" si="43"/>
        <v>11.913947047782049</v>
      </c>
      <c r="M215" s="123">
        <f t="shared" si="44"/>
        <v>40.954874295210203</v>
      </c>
      <c r="N215" s="123">
        <f t="shared" si="45"/>
        <v>43.7317151625493</v>
      </c>
      <c r="O215" s="123">
        <f t="shared" si="46"/>
        <v>1.1501441087750466</v>
      </c>
    </row>
    <row r="216" spans="1:15" x14ac:dyDescent="0.25">
      <c r="A216" s="32">
        <v>1997</v>
      </c>
      <c r="B216" s="32">
        <v>7</v>
      </c>
      <c r="C216" s="117">
        <f t="shared" si="35"/>
        <v>35.384999999999998</v>
      </c>
      <c r="D216" s="117">
        <f>+HLOOKUP('Ingreso Datos'!$I$7,'Precip 1981-2012'!$D$5:$AL$397,208,FALSE)</f>
        <v>123.7</v>
      </c>
      <c r="E216" s="122">
        <f t="shared" si="36"/>
        <v>53.577491554923014</v>
      </c>
      <c r="F216" s="122">
        <f t="shared" si="37"/>
        <v>5.4577474664769055</v>
      </c>
      <c r="G216" s="123">
        <f t="shared" si="38"/>
        <v>84.041010375533901</v>
      </c>
      <c r="H216" s="123">
        <f t="shared" si="39"/>
        <v>6.5344233014822422</v>
      </c>
      <c r="I216" s="123">
        <f t="shared" si="40"/>
        <v>35.384999999999998</v>
      </c>
      <c r="J216" s="123">
        <f t="shared" si="41"/>
        <v>69.014892932509554</v>
      </c>
      <c r="K216" s="123">
        <f t="shared" si="42"/>
        <v>15.026117443024347</v>
      </c>
      <c r="L216" s="123">
        <f t="shared" si="43"/>
        <v>22.7461814997293</v>
      </c>
      <c r="M216" s="123">
        <f t="shared" si="44"/>
        <v>58.182658480562303</v>
      </c>
      <c r="N216" s="123">
        <f t="shared" si="45"/>
        <v>73.208775923586643</v>
      </c>
      <c r="O216" s="123">
        <f t="shared" si="46"/>
        <v>1.9253908067903287</v>
      </c>
    </row>
    <row r="217" spans="1:15" x14ac:dyDescent="0.25">
      <c r="A217" s="32">
        <v>1997</v>
      </c>
      <c r="B217" s="32">
        <v>8</v>
      </c>
      <c r="C217" s="117">
        <f t="shared" si="35"/>
        <v>55.605000000000004</v>
      </c>
      <c r="D217" s="117">
        <f>+HLOOKUP('Ingreso Datos'!$I$7,'Precip 1981-2012'!$D$5:$AL$397,209,FALSE)</f>
        <v>46.4</v>
      </c>
      <c r="E217" s="122">
        <f t="shared" si="36"/>
        <v>69.523501930456931</v>
      </c>
      <c r="F217" s="122">
        <f t="shared" si="37"/>
        <v>4.1755505791370764</v>
      </c>
      <c r="G217" s="123">
        <f t="shared" si="38"/>
        <v>16.57399217733229</v>
      </c>
      <c r="H217" s="123">
        <f t="shared" si="39"/>
        <v>0</v>
      </c>
      <c r="I217" s="123">
        <f t="shared" si="40"/>
        <v>36.360431124149954</v>
      </c>
      <c r="J217" s="123">
        <f t="shared" si="41"/>
        <v>15.891640058139084</v>
      </c>
      <c r="K217" s="123">
        <f t="shared" si="42"/>
        <v>0.68235211919320626</v>
      </c>
      <c r="L217" s="123">
        <f t="shared" si="43"/>
        <v>7.193570547162695</v>
      </c>
      <c r="M217" s="123">
        <f t="shared" si="44"/>
        <v>31.444251010705688</v>
      </c>
      <c r="N217" s="123">
        <f t="shared" si="45"/>
        <v>32.126603129898896</v>
      </c>
      <c r="O217" s="123">
        <f t="shared" si="46"/>
        <v>0.84492966231634103</v>
      </c>
    </row>
    <row r="218" spans="1:15" x14ac:dyDescent="0.25">
      <c r="A218" s="32">
        <v>1997</v>
      </c>
      <c r="B218" s="32">
        <v>9</v>
      </c>
      <c r="C218" s="117">
        <f t="shared" si="35"/>
        <v>78.858000000000004</v>
      </c>
      <c r="D218" s="117">
        <f>+HLOOKUP('Ingreso Datos'!$I$7,'Precip 1981-2012'!$D$5:$AL$397,210,FALSE)</f>
        <v>46.6</v>
      </c>
      <c r="E218" s="122">
        <f t="shared" si="36"/>
        <v>99.310925231939166</v>
      </c>
      <c r="F218" s="122">
        <f t="shared" si="37"/>
        <v>6.1358775695817496</v>
      </c>
      <c r="G218" s="123">
        <f t="shared" si="38"/>
        <v>12.251985723401241</v>
      </c>
      <c r="H218" s="123">
        <f t="shared" si="39"/>
        <v>0</v>
      </c>
      <c r="I218" s="123">
        <f t="shared" si="40"/>
        <v>34.348014276598761</v>
      </c>
      <c r="J218" s="123">
        <f t="shared" si="41"/>
        <v>11.875060662013889</v>
      </c>
      <c r="K218" s="123">
        <f t="shared" si="42"/>
        <v>0.37692506138735205</v>
      </c>
      <c r="L218" s="123">
        <f t="shared" si="43"/>
        <v>4.4167844729224894</v>
      </c>
      <c r="M218" s="123">
        <f t="shared" si="44"/>
        <v>14.651846736254093</v>
      </c>
      <c r="N218" s="123">
        <f t="shared" si="45"/>
        <v>15.028771797641445</v>
      </c>
      <c r="O218" s="123">
        <f t="shared" si="46"/>
        <v>0.39525669827797</v>
      </c>
    </row>
    <row r="219" spans="1:15" x14ac:dyDescent="0.25">
      <c r="A219" s="32">
        <v>1997</v>
      </c>
      <c r="B219" s="32">
        <v>10</v>
      </c>
      <c r="C219" s="117">
        <f t="shared" si="35"/>
        <v>113.232</v>
      </c>
      <c r="D219" s="117">
        <f>+HLOOKUP('Ingreso Datos'!$I$7,'Precip 1981-2012'!$D$5:$AL$397,211,FALSE)</f>
        <v>216.2</v>
      </c>
      <c r="E219" s="122">
        <f t="shared" si="36"/>
        <v>133.68492523193916</v>
      </c>
      <c r="F219" s="122">
        <f t="shared" si="37"/>
        <v>6.1358775695817496</v>
      </c>
      <c r="G219" s="123">
        <f t="shared" si="38"/>
        <v>130.70264859731543</v>
      </c>
      <c r="H219" s="123">
        <f t="shared" si="39"/>
        <v>0</v>
      </c>
      <c r="I219" s="123">
        <f t="shared" si="40"/>
        <v>85.497351402684558</v>
      </c>
      <c r="J219" s="123">
        <f t="shared" si="41"/>
        <v>97.640727206494688</v>
      </c>
      <c r="K219" s="123">
        <f t="shared" si="42"/>
        <v>33.061921390820743</v>
      </c>
      <c r="L219" s="123">
        <f t="shared" si="43"/>
        <v>30.964480094804941</v>
      </c>
      <c r="M219" s="123">
        <f t="shared" si="44"/>
        <v>71.093031584612234</v>
      </c>
      <c r="N219" s="123">
        <f t="shared" si="45"/>
        <v>104.15495297543298</v>
      </c>
      <c r="O219" s="123">
        <f t="shared" si="46"/>
        <v>2.7392752632538877</v>
      </c>
    </row>
    <row r="220" spans="1:15" x14ac:dyDescent="0.25">
      <c r="A220" s="32">
        <v>1997</v>
      </c>
      <c r="B220" s="32">
        <v>11</v>
      </c>
      <c r="C220" s="117">
        <f t="shared" si="35"/>
        <v>148.61699999999999</v>
      </c>
      <c r="D220" s="117">
        <f>+HLOOKUP('Ingreso Datos'!$I$7,'Precip 1981-2012'!$D$5:$AL$397,212,FALSE)</f>
        <v>185.7</v>
      </c>
      <c r="E220" s="122">
        <f t="shared" si="36"/>
        <v>169.06992523193915</v>
      </c>
      <c r="F220" s="122">
        <f t="shared" si="37"/>
        <v>6.1358775695817496</v>
      </c>
      <c r="G220" s="123">
        <f t="shared" si="38"/>
        <v>94.141449151311363</v>
      </c>
      <c r="H220" s="123">
        <f t="shared" si="39"/>
        <v>0</v>
      </c>
      <c r="I220" s="123">
        <f t="shared" si="40"/>
        <v>91.558550848688625</v>
      </c>
      <c r="J220" s="123">
        <f t="shared" si="41"/>
        <v>75.683112625743064</v>
      </c>
      <c r="K220" s="123">
        <f t="shared" si="42"/>
        <v>18.458336525568299</v>
      </c>
      <c r="L220" s="123">
        <f t="shared" si="43"/>
        <v>26.694183497230096</v>
      </c>
      <c r="M220" s="123">
        <f t="shared" si="44"/>
        <v>79.953409223317905</v>
      </c>
      <c r="N220" s="123">
        <f t="shared" si="45"/>
        <v>98.411745748886204</v>
      </c>
      <c r="O220" s="123">
        <f t="shared" si="46"/>
        <v>2.588228913195707</v>
      </c>
    </row>
    <row r="221" spans="1:15" x14ac:dyDescent="0.25">
      <c r="A221" s="32">
        <v>1997</v>
      </c>
      <c r="B221" s="32">
        <v>12</v>
      </c>
      <c r="C221" s="117">
        <f t="shared" si="35"/>
        <v>179.958</v>
      </c>
      <c r="D221" s="117">
        <f>+HLOOKUP('Ingreso Datos'!$I$7,'Precip 1981-2012'!$D$5:$AL$397,213,FALSE)</f>
        <v>436.9</v>
      </c>
      <c r="E221" s="122">
        <f t="shared" si="36"/>
        <v>200.41092523193916</v>
      </c>
      <c r="F221" s="122">
        <f t="shared" si="37"/>
        <v>6.1358775695817496</v>
      </c>
      <c r="G221" s="123">
        <f t="shared" si="38"/>
        <v>296.87376096078219</v>
      </c>
      <c r="H221" s="123">
        <f t="shared" si="39"/>
        <v>0</v>
      </c>
      <c r="I221" s="123">
        <f t="shared" si="40"/>
        <v>140.02623903921778</v>
      </c>
      <c r="J221" s="123">
        <f t="shared" si="41"/>
        <v>167.81033081375503</v>
      </c>
      <c r="K221" s="123">
        <f t="shared" si="42"/>
        <v>129.06343014702716</v>
      </c>
      <c r="L221" s="123">
        <f t="shared" si="43"/>
        <v>55.085117626176718</v>
      </c>
      <c r="M221" s="123">
        <f t="shared" si="44"/>
        <v>139.41939668480842</v>
      </c>
      <c r="N221" s="123">
        <f t="shared" si="45"/>
        <v>268.48282683183561</v>
      </c>
      <c r="O221" s="123">
        <f t="shared" si="46"/>
        <v>7.0610983456772765</v>
      </c>
    </row>
    <row r="222" spans="1:15" x14ac:dyDescent="0.25">
      <c r="A222" s="32">
        <v>1998</v>
      </c>
      <c r="B222" s="32">
        <v>1</v>
      </c>
      <c r="C222" s="117">
        <f t="shared" ref="C222:C285" si="47">+C210</f>
        <v>190.06799999999998</v>
      </c>
      <c r="D222" s="117">
        <f>+HLOOKUP('Ingreso Datos'!$I$7,'Precip 1981-2012'!$D$5:$AL$397,214,FALSE)</f>
        <v>449.7</v>
      </c>
      <c r="E222" s="122">
        <f t="shared" si="36"/>
        <v>210.52092523193915</v>
      </c>
      <c r="F222" s="122">
        <f t="shared" si="37"/>
        <v>6.1358775695817496</v>
      </c>
      <c r="G222" s="123">
        <f t="shared" si="38"/>
        <v>303.64902030709573</v>
      </c>
      <c r="H222" s="123">
        <f t="shared" si="39"/>
        <v>0</v>
      </c>
      <c r="I222" s="123">
        <f t="shared" si="40"/>
        <v>146.05097969290426</v>
      </c>
      <c r="J222" s="123">
        <f t="shared" si="41"/>
        <v>169.95387274870171</v>
      </c>
      <c r="K222" s="123">
        <f t="shared" si="42"/>
        <v>133.69514755839401</v>
      </c>
      <c r="L222" s="123">
        <f t="shared" si="43"/>
        <v>58.53157389111125</v>
      </c>
      <c r="M222" s="123">
        <f t="shared" si="44"/>
        <v>166.50741648376717</v>
      </c>
      <c r="N222" s="123">
        <f t="shared" si="45"/>
        <v>300.20256404216116</v>
      </c>
      <c r="O222" s="123">
        <f t="shared" si="46"/>
        <v>7.8953274343088387</v>
      </c>
    </row>
    <row r="223" spans="1:15" x14ac:dyDescent="0.25">
      <c r="A223" s="32">
        <v>1998</v>
      </c>
      <c r="B223" s="32">
        <v>2</v>
      </c>
      <c r="C223" s="117">
        <f t="shared" si="47"/>
        <v>146.595</v>
      </c>
      <c r="D223" s="117">
        <f>+HLOOKUP('Ingreso Datos'!$I$7,'Precip 1981-2012'!$D$5:$AL$397,215,FALSE)</f>
        <v>205.7</v>
      </c>
      <c r="E223" s="122">
        <f t="shared" si="36"/>
        <v>167.04792523193916</v>
      </c>
      <c r="F223" s="122">
        <f t="shared" si="37"/>
        <v>6.1358775695817496</v>
      </c>
      <c r="G223" s="123">
        <f t="shared" si="38"/>
        <v>110.48119755370516</v>
      </c>
      <c r="H223" s="123">
        <f t="shared" si="39"/>
        <v>0</v>
      </c>
      <c r="I223" s="123">
        <f t="shared" si="40"/>
        <v>95.218802446294831</v>
      </c>
      <c r="J223" s="123">
        <f t="shared" si="41"/>
        <v>85.895986526493047</v>
      </c>
      <c r="K223" s="123">
        <f t="shared" si="42"/>
        <v>24.585211027212111</v>
      </c>
      <c r="L223" s="123">
        <f t="shared" si="43"/>
        <v>32.583389715665405</v>
      </c>
      <c r="M223" s="123">
        <f t="shared" si="44"/>
        <v>111.84417070193889</v>
      </c>
      <c r="N223" s="123">
        <f t="shared" si="45"/>
        <v>136.429381729151</v>
      </c>
      <c r="O223" s="123">
        <f t="shared" si="46"/>
        <v>3.5880927394766715</v>
      </c>
    </row>
    <row r="224" spans="1:15" x14ac:dyDescent="0.25">
      <c r="A224" s="32">
        <v>1998</v>
      </c>
      <c r="B224" s="32">
        <v>3</v>
      </c>
      <c r="C224" s="117">
        <f t="shared" si="47"/>
        <v>120.30899999999998</v>
      </c>
      <c r="D224" s="117">
        <f>+HLOOKUP('Ingreso Datos'!$I$7,'Precip 1981-2012'!$D$5:$AL$397,216,FALSE)</f>
        <v>299.2</v>
      </c>
      <c r="E224" s="122">
        <f t="shared" si="36"/>
        <v>140.76192523193916</v>
      </c>
      <c r="F224" s="122">
        <f t="shared" si="37"/>
        <v>6.1358775695817496</v>
      </c>
      <c r="G224" s="123">
        <f t="shared" si="38"/>
        <v>200.81494937627494</v>
      </c>
      <c r="H224" s="123">
        <f t="shared" si="39"/>
        <v>0</v>
      </c>
      <c r="I224" s="123">
        <f t="shared" si="40"/>
        <v>98.38505062372505</v>
      </c>
      <c r="J224" s="123">
        <f t="shared" si="41"/>
        <v>132.09372143915604</v>
      </c>
      <c r="K224" s="123">
        <f t="shared" si="42"/>
        <v>68.721227937118897</v>
      </c>
      <c r="L224" s="123">
        <f t="shared" si="43"/>
        <v>44.492277724258784</v>
      </c>
      <c r="M224" s="123">
        <f t="shared" si="44"/>
        <v>120.18483343056266</v>
      </c>
      <c r="N224" s="123">
        <f t="shared" si="45"/>
        <v>188.90606136768156</v>
      </c>
      <c r="O224" s="123">
        <f t="shared" si="46"/>
        <v>4.9682294139700245</v>
      </c>
    </row>
    <row r="225" spans="1:15" x14ac:dyDescent="0.25">
      <c r="A225" s="32">
        <v>1998</v>
      </c>
      <c r="B225" s="32">
        <v>4</v>
      </c>
      <c r="C225" s="117">
        <f t="shared" si="47"/>
        <v>73.802999999999997</v>
      </c>
      <c r="D225" s="117">
        <f>+HLOOKUP('Ingreso Datos'!$I$7,'Precip 1981-2012'!$D$5:$AL$397,217,FALSE)</f>
        <v>301.2</v>
      </c>
      <c r="E225" s="122">
        <f t="shared" si="36"/>
        <v>94.255925231939159</v>
      </c>
      <c r="F225" s="122">
        <f t="shared" si="37"/>
        <v>6.1358775695817496</v>
      </c>
      <c r="G225" s="123">
        <f t="shared" si="38"/>
        <v>227.20885449039662</v>
      </c>
      <c r="H225" s="123">
        <f t="shared" si="39"/>
        <v>0.18814550960337328</v>
      </c>
      <c r="I225" s="123">
        <f t="shared" si="40"/>
        <v>73.802999999999997</v>
      </c>
      <c r="J225" s="123">
        <f t="shared" si="41"/>
        <v>143.02242570547651</v>
      </c>
      <c r="K225" s="123">
        <f t="shared" si="42"/>
        <v>84.186428784920111</v>
      </c>
      <c r="L225" s="123">
        <f t="shared" si="43"/>
        <v>49.074213273925707</v>
      </c>
      <c r="M225" s="123">
        <f t="shared" si="44"/>
        <v>138.44049015580958</v>
      </c>
      <c r="N225" s="123">
        <f t="shared" si="45"/>
        <v>222.62691894072969</v>
      </c>
      <c r="O225" s="123">
        <f t="shared" si="46"/>
        <v>5.8550879681411914</v>
      </c>
    </row>
    <row r="226" spans="1:15" x14ac:dyDescent="0.25">
      <c r="A226" s="32">
        <v>1998</v>
      </c>
      <c r="B226" s="32">
        <v>5</v>
      </c>
      <c r="C226" s="117">
        <f t="shared" si="47"/>
        <v>44.483999999999995</v>
      </c>
      <c r="D226" s="117">
        <f>+HLOOKUP('Ingreso Datos'!$I$7,'Precip 1981-2012'!$D$5:$AL$397,218,FALSE)</f>
        <v>129.30000000000001</v>
      </c>
      <c r="E226" s="122">
        <f t="shared" si="36"/>
        <v>64.748779722335783</v>
      </c>
      <c r="F226" s="122">
        <f t="shared" si="37"/>
        <v>6.0794339167007374</v>
      </c>
      <c r="G226" s="123">
        <f t="shared" si="38"/>
        <v>83.475261207229352</v>
      </c>
      <c r="H226" s="123">
        <f t="shared" si="39"/>
        <v>1.5288843023740384</v>
      </c>
      <c r="I226" s="123">
        <f t="shared" si="40"/>
        <v>44.483999999999995</v>
      </c>
      <c r="J226" s="123">
        <f t="shared" si="41"/>
        <v>68.632904624484098</v>
      </c>
      <c r="K226" s="123">
        <f t="shared" si="42"/>
        <v>14.842356582745253</v>
      </c>
      <c r="L226" s="123">
        <f t="shared" si="43"/>
        <v>26.26039125360052</v>
      </c>
      <c r="M226" s="123">
        <f t="shared" si="44"/>
        <v>91.446726644809289</v>
      </c>
      <c r="N226" s="123">
        <f t="shared" si="45"/>
        <v>106.28908322755454</v>
      </c>
      <c r="O226" s="123">
        <f t="shared" si="46"/>
        <v>2.7954028888846847</v>
      </c>
    </row>
    <row r="227" spans="1:15" x14ac:dyDescent="0.25">
      <c r="A227" s="32">
        <v>1998</v>
      </c>
      <c r="B227" s="32">
        <v>6</v>
      </c>
      <c r="C227" s="117">
        <f t="shared" si="47"/>
        <v>29.318999999999996</v>
      </c>
      <c r="D227" s="117">
        <f>+HLOOKUP('Ingreso Datos'!$I$7,'Precip 1981-2012'!$D$5:$AL$397,219,FALSE)</f>
        <v>219.1</v>
      </c>
      <c r="E227" s="122">
        <f t="shared" si="36"/>
        <v>48.243040929565126</v>
      </c>
      <c r="F227" s="122">
        <f t="shared" si="37"/>
        <v>5.6772122788695381</v>
      </c>
      <c r="G227" s="123">
        <f t="shared" si="38"/>
        <v>177.93481196248942</v>
      </c>
      <c r="H227" s="123">
        <f t="shared" si="39"/>
        <v>13.375072339884632</v>
      </c>
      <c r="I227" s="123">
        <f t="shared" si="40"/>
        <v>29.318999999999996</v>
      </c>
      <c r="J227" s="123">
        <f t="shared" si="41"/>
        <v>121.79215746320943</v>
      </c>
      <c r="K227" s="123">
        <f t="shared" si="42"/>
        <v>56.142654499279985</v>
      </c>
      <c r="L227" s="123">
        <f t="shared" si="43"/>
        <v>40.652658621375252</v>
      </c>
      <c r="M227" s="123">
        <f t="shared" si="44"/>
        <v>107.3998900954347</v>
      </c>
      <c r="N227" s="123">
        <f t="shared" si="45"/>
        <v>163.54254459471468</v>
      </c>
      <c r="O227" s="123">
        <f t="shared" si="46"/>
        <v>4.3011689228409962</v>
      </c>
    </row>
    <row r="228" spans="1:15" x14ac:dyDescent="0.25">
      <c r="A228" s="32">
        <v>1998</v>
      </c>
      <c r="B228" s="32">
        <v>7</v>
      </c>
      <c r="C228" s="117">
        <f t="shared" si="47"/>
        <v>35.384999999999998</v>
      </c>
      <c r="D228" s="117">
        <f>+HLOOKUP('Ingreso Datos'!$I$7,'Precip 1981-2012'!$D$5:$AL$397,220,FALSE)</f>
        <v>129.1</v>
      </c>
      <c r="E228" s="122">
        <f t="shared" si="36"/>
        <v>42.462852892054528</v>
      </c>
      <c r="F228" s="122">
        <f t="shared" si="37"/>
        <v>2.1233558676163597</v>
      </c>
      <c r="G228" s="123">
        <f t="shared" si="38"/>
        <v>96.362897468512557</v>
      </c>
      <c r="H228" s="123">
        <f t="shared" si="39"/>
        <v>10.727174871372078</v>
      </c>
      <c r="I228" s="123">
        <f t="shared" si="40"/>
        <v>35.384999999999998</v>
      </c>
      <c r="J228" s="123">
        <f t="shared" si="41"/>
        <v>77.112229439814911</v>
      </c>
      <c r="K228" s="123">
        <f t="shared" si="42"/>
        <v>19.250668028697646</v>
      </c>
      <c r="L228" s="123">
        <f t="shared" si="43"/>
        <v>28.08841671015098</v>
      </c>
      <c r="M228" s="123">
        <f t="shared" si="44"/>
        <v>89.676471351039183</v>
      </c>
      <c r="N228" s="123">
        <f t="shared" si="45"/>
        <v>108.92713937973683</v>
      </c>
      <c r="O228" s="123">
        <f t="shared" si="46"/>
        <v>2.8647837656870787</v>
      </c>
    </row>
    <row r="229" spans="1:15" x14ac:dyDescent="0.25">
      <c r="A229" s="32">
        <v>1998</v>
      </c>
      <c r="B229" s="32">
        <v>8</v>
      </c>
      <c r="C229" s="117">
        <f t="shared" si="47"/>
        <v>55.605000000000004</v>
      </c>
      <c r="D229" s="117">
        <f>+HLOOKUP('Ingreso Datos'!$I$7,'Precip 1981-2012'!$D$5:$AL$397,221,FALSE)</f>
        <v>46.4</v>
      </c>
      <c r="E229" s="122">
        <f t="shared" si="36"/>
        <v>65.330750360567095</v>
      </c>
      <c r="F229" s="122">
        <f t="shared" si="37"/>
        <v>2.9177251081701261</v>
      </c>
      <c r="G229" s="123">
        <f t="shared" si="38"/>
        <v>17.854505603115147</v>
      </c>
      <c r="H229" s="123">
        <f t="shared" si="39"/>
        <v>0</v>
      </c>
      <c r="I229" s="123">
        <f t="shared" si="40"/>
        <v>39.272669268256934</v>
      </c>
      <c r="J229" s="123">
        <f t="shared" si="41"/>
        <v>17.065153581758839</v>
      </c>
      <c r="K229" s="123">
        <f t="shared" si="42"/>
        <v>0.78935202135630789</v>
      </c>
      <c r="L229" s="123">
        <f t="shared" si="43"/>
        <v>8.0829144256903565</v>
      </c>
      <c r="M229" s="123">
        <f t="shared" si="44"/>
        <v>37.070655866219468</v>
      </c>
      <c r="N229" s="123">
        <f t="shared" si="45"/>
        <v>37.860007887575776</v>
      </c>
      <c r="O229" s="123">
        <f t="shared" si="46"/>
        <v>0.99571820744324291</v>
      </c>
    </row>
    <row r="230" spans="1:15" x14ac:dyDescent="0.25">
      <c r="A230" s="32">
        <v>1998</v>
      </c>
      <c r="B230" s="32">
        <v>9</v>
      </c>
      <c r="C230" s="117">
        <f t="shared" si="47"/>
        <v>78.858000000000004</v>
      </c>
      <c r="D230" s="117">
        <f>+HLOOKUP('Ingreso Datos'!$I$7,'Precip 1981-2012'!$D$5:$AL$397,222,FALSE)</f>
        <v>195.2</v>
      </c>
      <c r="E230" s="122">
        <f t="shared" si="36"/>
        <v>99.310925231939166</v>
      </c>
      <c r="F230" s="122">
        <f t="shared" si="37"/>
        <v>6.1358775695817496</v>
      </c>
      <c r="G230" s="123">
        <f t="shared" si="38"/>
        <v>126.64876522501912</v>
      </c>
      <c r="H230" s="123">
        <f t="shared" si="39"/>
        <v>0</v>
      </c>
      <c r="I230" s="123">
        <f t="shared" si="40"/>
        <v>68.55123477498087</v>
      </c>
      <c r="J230" s="123">
        <f t="shared" si="41"/>
        <v>95.360462548660294</v>
      </c>
      <c r="K230" s="123">
        <f t="shared" si="42"/>
        <v>31.288302676358825</v>
      </c>
      <c r="L230" s="123">
        <f t="shared" si="43"/>
        <v>30.609920295599846</v>
      </c>
      <c r="M230" s="123">
        <f t="shared" si="44"/>
        <v>72.833456678750807</v>
      </c>
      <c r="N230" s="123">
        <f t="shared" si="45"/>
        <v>104.12175935510963</v>
      </c>
      <c r="O230" s="123">
        <f t="shared" si="46"/>
        <v>2.7384022710393836</v>
      </c>
    </row>
    <row r="231" spans="1:15" x14ac:dyDescent="0.25">
      <c r="A231" s="32">
        <v>1998</v>
      </c>
      <c r="B231" s="32">
        <v>10</v>
      </c>
      <c r="C231" s="117">
        <f t="shared" si="47"/>
        <v>113.232</v>
      </c>
      <c r="D231" s="117">
        <f>+HLOOKUP('Ingreso Datos'!$I$7,'Precip 1981-2012'!$D$5:$AL$397,223,FALSE)</f>
        <v>33.5</v>
      </c>
      <c r="E231" s="122">
        <f t="shared" si="36"/>
        <v>133.68492523193916</v>
      </c>
      <c r="F231" s="122">
        <f t="shared" si="37"/>
        <v>6.1358775695817496</v>
      </c>
      <c r="G231" s="123">
        <f t="shared" si="38"/>
        <v>4.833644524467962</v>
      </c>
      <c r="H231" s="123">
        <f t="shared" si="39"/>
        <v>0</v>
      </c>
      <c r="I231" s="123">
        <f t="shared" si="40"/>
        <v>28.666355475532036</v>
      </c>
      <c r="J231" s="123">
        <f t="shared" si="41"/>
        <v>4.773864309237652</v>
      </c>
      <c r="K231" s="123">
        <f t="shared" si="42"/>
        <v>5.9780215230309963E-2</v>
      </c>
      <c r="L231" s="123">
        <f t="shared" si="43"/>
        <v>4.4859472405640997</v>
      </c>
      <c r="M231" s="123">
        <f t="shared" si="44"/>
        <v>30.8978373642734</v>
      </c>
      <c r="N231" s="123">
        <f t="shared" si="45"/>
        <v>30.957617579503712</v>
      </c>
      <c r="O231" s="123">
        <f t="shared" si="46"/>
        <v>0.81418534234094764</v>
      </c>
    </row>
    <row r="232" spans="1:15" x14ac:dyDescent="0.25">
      <c r="A232" s="32">
        <v>1998</v>
      </c>
      <c r="B232" s="32">
        <v>11</v>
      </c>
      <c r="C232" s="117">
        <f t="shared" si="47"/>
        <v>148.61699999999999</v>
      </c>
      <c r="D232" s="117">
        <f>+HLOOKUP('Ingreso Datos'!$I$7,'Precip 1981-2012'!$D$5:$AL$397,224,FALSE)</f>
        <v>114.4</v>
      </c>
      <c r="E232" s="122">
        <f t="shared" si="36"/>
        <v>169.06992523193915</v>
      </c>
      <c r="F232" s="122">
        <f t="shared" si="37"/>
        <v>6.1358775695817496</v>
      </c>
      <c r="G232" s="123">
        <f t="shared" si="38"/>
        <v>43.219761407751569</v>
      </c>
      <c r="H232" s="123">
        <f t="shared" si="39"/>
        <v>0</v>
      </c>
      <c r="I232" s="123">
        <f t="shared" si="40"/>
        <v>71.180238592248429</v>
      </c>
      <c r="J232" s="123">
        <f t="shared" si="41"/>
        <v>38.867800141996959</v>
      </c>
      <c r="K232" s="123">
        <f t="shared" si="42"/>
        <v>4.3519612657546105</v>
      </c>
      <c r="L232" s="123">
        <f t="shared" si="43"/>
        <v>12.592746346182221</v>
      </c>
      <c r="M232" s="123">
        <f t="shared" si="44"/>
        <v>30.761001036378836</v>
      </c>
      <c r="N232" s="123">
        <f t="shared" si="45"/>
        <v>35.112962302133447</v>
      </c>
      <c r="O232" s="123">
        <f t="shared" si="46"/>
        <v>0.92347090854610969</v>
      </c>
    </row>
    <row r="233" spans="1:15" x14ac:dyDescent="0.25">
      <c r="A233" s="32">
        <v>1998</v>
      </c>
      <c r="B233" s="32">
        <v>12</v>
      </c>
      <c r="C233" s="117">
        <f t="shared" si="47"/>
        <v>179.958</v>
      </c>
      <c r="D233" s="117">
        <f>+HLOOKUP('Ingreso Datos'!$I$7,'Precip 1981-2012'!$D$5:$AL$397,225,FALSE)</f>
        <v>91.2</v>
      </c>
      <c r="E233" s="122">
        <f t="shared" si="36"/>
        <v>200.41092523193916</v>
      </c>
      <c r="F233" s="122">
        <f t="shared" si="37"/>
        <v>6.1358775695817496</v>
      </c>
      <c r="G233" s="123">
        <f t="shared" si="38"/>
        <v>25.903652976608885</v>
      </c>
      <c r="H233" s="123">
        <f t="shared" si="39"/>
        <v>0</v>
      </c>
      <c r="I233" s="123">
        <f t="shared" si="40"/>
        <v>65.296347023391121</v>
      </c>
      <c r="J233" s="123">
        <f t="shared" si="41"/>
        <v>24.274633101005396</v>
      </c>
      <c r="K233" s="123">
        <f t="shared" si="42"/>
        <v>1.6290198756034897</v>
      </c>
      <c r="L233" s="123">
        <f t="shared" si="43"/>
        <v>8.8221234865991178</v>
      </c>
      <c r="M233" s="123">
        <f t="shared" si="44"/>
        <v>28.045255960588499</v>
      </c>
      <c r="N233" s="123">
        <f t="shared" si="45"/>
        <v>29.674275836191988</v>
      </c>
      <c r="O233" s="123">
        <f t="shared" si="46"/>
        <v>0.78043345449184931</v>
      </c>
    </row>
    <row r="234" spans="1:15" x14ac:dyDescent="0.25">
      <c r="A234" s="32">
        <v>1999</v>
      </c>
      <c r="B234" s="32">
        <v>1</v>
      </c>
      <c r="C234" s="117">
        <f t="shared" si="47"/>
        <v>190.06799999999998</v>
      </c>
      <c r="D234" s="117">
        <f>+HLOOKUP('Ingreso Datos'!$I$7,'Precip 1981-2012'!$D$5:$AL$397,226,FALSE)</f>
        <v>16.7</v>
      </c>
      <c r="E234" s="122">
        <f t="shared" si="36"/>
        <v>210.52092523193915</v>
      </c>
      <c r="F234" s="122">
        <f t="shared" si="37"/>
        <v>6.1358775695817496</v>
      </c>
      <c r="G234" s="123">
        <f t="shared" si="38"/>
        <v>0.51919569020293166</v>
      </c>
      <c r="H234" s="123">
        <f t="shared" si="39"/>
        <v>0</v>
      </c>
      <c r="I234" s="123">
        <f t="shared" si="40"/>
        <v>16.180804309797068</v>
      </c>
      <c r="J234" s="123">
        <f t="shared" si="41"/>
        <v>0.51849827551374927</v>
      </c>
      <c r="K234" s="123">
        <f t="shared" si="42"/>
        <v>6.9741468918238514E-4</v>
      </c>
      <c r="L234" s="123">
        <f t="shared" si="43"/>
        <v>1.0247938149613915</v>
      </c>
      <c r="M234" s="123">
        <f t="shared" si="44"/>
        <v>8.315827947151476</v>
      </c>
      <c r="N234" s="123">
        <f t="shared" si="45"/>
        <v>8.3165253618406592</v>
      </c>
      <c r="O234" s="123">
        <f t="shared" si="46"/>
        <v>0.21872461701640933</v>
      </c>
    </row>
    <row r="235" spans="1:15" x14ac:dyDescent="0.25">
      <c r="A235" s="32">
        <v>1999</v>
      </c>
      <c r="B235" s="32">
        <v>2</v>
      </c>
      <c r="C235" s="117">
        <f t="shared" si="47"/>
        <v>146.595</v>
      </c>
      <c r="D235" s="117">
        <f>+HLOOKUP('Ingreso Datos'!$I$7,'Precip 1981-2012'!$D$5:$AL$397,227,FALSE)</f>
        <v>168.2</v>
      </c>
      <c r="E235" s="122">
        <f t="shared" si="36"/>
        <v>167.04792523193916</v>
      </c>
      <c r="F235" s="122">
        <f t="shared" si="37"/>
        <v>6.1358775695817496</v>
      </c>
      <c r="G235" s="123">
        <f t="shared" si="38"/>
        <v>81.32110728663659</v>
      </c>
      <c r="H235" s="123">
        <f t="shared" si="39"/>
        <v>0</v>
      </c>
      <c r="I235" s="123">
        <f t="shared" si="40"/>
        <v>86.878892713363399</v>
      </c>
      <c r="J235" s="123">
        <f t="shared" si="41"/>
        <v>67.169975683097817</v>
      </c>
      <c r="K235" s="123">
        <f t="shared" si="42"/>
        <v>14.151131603538772</v>
      </c>
      <c r="L235" s="123">
        <f t="shared" si="43"/>
        <v>21.104490615557584</v>
      </c>
      <c r="M235" s="123">
        <f t="shared" si="44"/>
        <v>47.090278882501622</v>
      </c>
      <c r="N235" s="123">
        <f t="shared" si="45"/>
        <v>61.241410486040394</v>
      </c>
      <c r="O235" s="123">
        <f t="shared" si="46"/>
        <v>1.6106490957828623</v>
      </c>
    </row>
    <row r="236" spans="1:15" x14ac:dyDescent="0.25">
      <c r="A236" s="32">
        <v>1999</v>
      </c>
      <c r="B236" s="32">
        <v>3</v>
      </c>
      <c r="C236" s="117">
        <f t="shared" si="47"/>
        <v>120.30899999999998</v>
      </c>
      <c r="D236" s="117">
        <f>+HLOOKUP('Ingreso Datos'!$I$7,'Precip 1981-2012'!$D$5:$AL$397,228,FALSE)</f>
        <v>55.6</v>
      </c>
      <c r="E236" s="122">
        <f t="shared" si="36"/>
        <v>140.76192523193916</v>
      </c>
      <c r="F236" s="122">
        <f t="shared" si="37"/>
        <v>6.1358775695817496</v>
      </c>
      <c r="G236" s="123">
        <f t="shared" si="38"/>
        <v>13.290766185822667</v>
      </c>
      <c r="H236" s="123">
        <f t="shared" si="39"/>
        <v>0</v>
      </c>
      <c r="I236" s="123">
        <f t="shared" si="40"/>
        <v>42.309233814177333</v>
      </c>
      <c r="J236" s="123">
        <f t="shared" si="41"/>
        <v>12.848370616564747</v>
      </c>
      <c r="K236" s="123">
        <f t="shared" si="42"/>
        <v>0.44239556925792023</v>
      </c>
      <c r="L236" s="123">
        <f t="shared" si="43"/>
        <v>6.0813995222526653</v>
      </c>
      <c r="M236" s="123">
        <f t="shared" si="44"/>
        <v>27.871461709869664</v>
      </c>
      <c r="N236" s="123">
        <f t="shared" si="45"/>
        <v>28.313857279127582</v>
      </c>
      <c r="O236" s="123">
        <f t="shared" si="46"/>
        <v>0.74465444644105538</v>
      </c>
    </row>
    <row r="237" spans="1:15" x14ac:dyDescent="0.25">
      <c r="A237" s="32">
        <v>1999</v>
      </c>
      <c r="B237" s="32">
        <v>4</v>
      </c>
      <c r="C237" s="117">
        <f t="shared" si="47"/>
        <v>73.802999999999997</v>
      </c>
      <c r="D237" s="117">
        <f>+HLOOKUP('Ingreso Datos'!$I$7,'Precip 1981-2012'!$D$5:$AL$397,229,FALSE)</f>
        <v>151</v>
      </c>
      <c r="E237" s="122">
        <f t="shared" si="36"/>
        <v>94.255925231939159</v>
      </c>
      <c r="F237" s="122">
        <f t="shared" si="37"/>
        <v>6.1358775695817496</v>
      </c>
      <c r="G237" s="123">
        <f t="shared" si="38"/>
        <v>90.073132261211654</v>
      </c>
      <c r="H237" s="123">
        <f t="shared" si="39"/>
        <v>0</v>
      </c>
      <c r="I237" s="123">
        <f t="shared" si="40"/>
        <v>60.926867738788346</v>
      </c>
      <c r="J237" s="123">
        <f t="shared" si="41"/>
        <v>73.031277542776934</v>
      </c>
      <c r="K237" s="123">
        <f t="shared" si="42"/>
        <v>17.04185471843472</v>
      </c>
      <c r="L237" s="123">
        <f t="shared" si="43"/>
        <v>23.431792216188722</v>
      </c>
      <c r="M237" s="123">
        <f t="shared" si="44"/>
        <v>55.680884848840876</v>
      </c>
      <c r="N237" s="123">
        <f t="shared" si="45"/>
        <v>72.722739567275596</v>
      </c>
      <c r="O237" s="123">
        <f t="shared" si="46"/>
        <v>1.9126080506193481</v>
      </c>
    </row>
    <row r="238" spans="1:15" x14ac:dyDescent="0.25">
      <c r="A238" s="32">
        <v>1999</v>
      </c>
      <c r="B238" s="32">
        <v>5</v>
      </c>
      <c r="C238" s="117">
        <f t="shared" si="47"/>
        <v>44.483999999999995</v>
      </c>
      <c r="D238" s="117">
        <f>+HLOOKUP('Ingreso Datos'!$I$7,'Precip 1981-2012'!$D$5:$AL$397,230,FALSE)</f>
        <v>59.8</v>
      </c>
      <c r="E238" s="122">
        <f t="shared" si="36"/>
        <v>64.936925231939156</v>
      </c>
      <c r="F238" s="122">
        <f t="shared" si="37"/>
        <v>6.1358775695817496</v>
      </c>
      <c r="G238" s="123">
        <f t="shared" si="38"/>
        <v>25.606488069606439</v>
      </c>
      <c r="H238" s="123">
        <f t="shared" si="39"/>
        <v>0</v>
      </c>
      <c r="I238" s="123">
        <f t="shared" si="40"/>
        <v>34.193511930393555</v>
      </c>
      <c r="J238" s="123">
        <f t="shared" si="41"/>
        <v>24.013480548432444</v>
      </c>
      <c r="K238" s="123">
        <f t="shared" si="42"/>
        <v>1.5930075211739947</v>
      </c>
      <c r="L238" s="123">
        <f t="shared" si="43"/>
        <v>9.8003394193323619</v>
      </c>
      <c r="M238" s="123">
        <f t="shared" si="44"/>
        <v>37.644933345288806</v>
      </c>
      <c r="N238" s="123">
        <f t="shared" si="45"/>
        <v>39.2379408664628</v>
      </c>
      <c r="O238" s="123">
        <f t="shared" si="46"/>
        <v>1.0319578447879716</v>
      </c>
    </row>
    <row r="239" spans="1:15" x14ac:dyDescent="0.25">
      <c r="A239" s="32">
        <v>1999</v>
      </c>
      <c r="B239" s="32">
        <v>6</v>
      </c>
      <c r="C239" s="117">
        <f t="shared" si="47"/>
        <v>29.318999999999996</v>
      </c>
      <c r="D239" s="117">
        <f>+HLOOKUP('Ingreso Datos'!$I$7,'Precip 1981-2012'!$D$5:$AL$397,231,FALSE)</f>
        <v>71.400000000000006</v>
      </c>
      <c r="E239" s="122">
        <f t="shared" si="36"/>
        <v>49.771925231939164</v>
      </c>
      <c r="F239" s="122">
        <f t="shared" si="37"/>
        <v>6.1358775695817496</v>
      </c>
      <c r="G239" s="123">
        <f t="shared" si="38"/>
        <v>39.112938694070856</v>
      </c>
      <c r="H239" s="123">
        <f t="shared" si="39"/>
        <v>2.9680613059291545</v>
      </c>
      <c r="I239" s="123">
        <f t="shared" si="40"/>
        <v>29.318999999999996</v>
      </c>
      <c r="J239" s="123">
        <f t="shared" si="41"/>
        <v>35.514313872192474</v>
      </c>
      <c r="K239" s="123">
        <f t="shared" si="42"/>
        <v>3.5986248218783814</v>
      </c>
      <c r="L239" s="123">
        <f t="shared" si="43"/>
        <v>12.0637592096191</v>
      </c>
      <c r="M239" s="123">
        <f t="shared" si="44"/>
        <v>33.250894081905734</v>
      </c>
      <c r="N239" s="123">
        <f t="shared" si="45"/>
        <v>36.849518903784116</v>
      </c>
      <c r="O239" s="123">
        <f t="shared" si="46"/>
        <v>0.9691423471695223</v>
      </c>
    </row>
    <row r="240" spans="1:15" x14ac:dyDescent="0.25">
      <c r="A240" s="32">
        <v>1999</v>
      </c>
      <c r="B240" s="32">
        <v>7</v>
      </c>
      <c r="C240" s="117">
        <f t="shared" si="47"/>
        <v>35.384999999999998</v>
      </c>
      <c r="D240" s="117">
        <f>+HLOOKUP('Ingreso Datos'!$I$7,'Precip 1981-2012'!$D$5:$AL$397,232,FALSE)</f>
        <v>98.3</v>
      </c>
      <c r="E240" s="122">
        <f t="shared" si="36"/>
        <v>52.869863926010012</v>
      </c>
      <c r="F240" s="122">
        <f t="shared" si="37"/>
        <v>5.2454591778030029</v>
      </c>
      <c r="G240" s="123">
        <f t="shared" si="38"/>
        <v>61.552548126658941</v>
      </c>
      <c r="H240" s="123">
        <f t="shared" si="39"/>
        <v>4.3305131792702127</v>
      </c>
      <c r="I240" s="123">
        <f t="shared" si="40"/>
        <v>35.384999999999998</v>
      </c>
      <c r="J240" s="123">
        <f t="shared" si="41"/>
        <v>53.087137312346144</v>
      </c>
      <c r="K240" s="123">
        <f t="shared" si="42"/>
        <v>8.4654108143127971</v>
      </c>
      <c r="L240" s="123">
        <f t="shared" si="43"/>
        <v>17.780166607136096</v>
      </c>
      <c r="M240" s="123">
        <f t="shared" si="44"/>
        <v>47.370729914829148</v>
      </c>
      <c r="N240" s="123">
        <f t="shared" si="45"/>
        <v>55.836140729141945</v>
      </c>
      <c r="O240" s="123">
        <f t="shared" si="46"/>
        <v>1.4684905011764331</v>
      </c>
    </row>
    <row r="241" spans="1:15" x14ac:dyDescent="0.25">
      <c r="A241" s="32">
        <v>1999</v>
      </c>
      <c r="B241" s="32">
        <v>8</v>
      </c>
      <c r="C241" s="117">
        <f t="shared" si="47"/>
        <v>55.605000000000004</v>
      </c>
      <c r="D241" s="117">
        <f>+HLOOKUP('Ingreso Datos'!$I$7,'Precip 1981-2012'!$D$5:$AL$397,233,FALSE)</f>
        <v>17.899999999999999</v>
      </c>
      <c r="E241" s="122">
        <f t="shared" si="36"/>
        <v>71.727412052668953</v>
      </c>
      <c r="F241" s="122">
        <f t="shared" si="37"/>
        <v>4.8367236158006852</v>
      </c>
      <c r="G241" s="123">
        <f t="shared" si="38"/>
        <v>2.1343430594327955</v>
      </c>
      <c r="H241" s="123">
        <f t="shared" si="39"/>
        <v>0</v>
      </c>
      <c r="I241" s="123">
        <f t="shared" si="40"/>
        <v>20.096170119837417</v>
      </c>
      <c r="J241" s="123">
        <f t="shared" si="41"/>
        <v>2.1226063492529095</v>
      </c>
      <c r="K241" s="123">
        <f t="shared" si="42"/>
        <v>1.1736710179885979E-2</v>
      </c>
      <c r="L241" s="123">
        <f t="shared" si="43"/>
        <v>2.4023522428696711</v>
      </c>
      <c r="M241" s="123">
        <f t="shared" si="44"/>
        <v>17.500420713519333</v>
      </c>
      <c r="N241" s="123">
        <f t="shared" si="45"/>
        <v>17.512157423699218</v>
      </c>
      <c r="O241" s="123">
        <f t="shared" si="46"/>
        <v>0.46056974024328939</v>
      </c>
    </row>
    <row r="242" spans="1:15" x14ac:dyDescent="0.25">
      <c r="A242" s="32">
        <v>1999</v>
      </c>
      <c r="B242" s="32">
        <v>9</v>
      </c>
      <c r="C242" s="117">
        <f t="shared" si="47"/>
        <v>78.858000000000004</v>
      </c>
      <c r="D242" s="117">
        <f>+HLOOKUP('Ingreso Datos'!$I$7,'Precip 1981-2012'!$D$5:$AL$397,234,FALSE)</f>
        <v>40.700000000000003</v>
      </c>
      <c r="E242" s="122">
        <f t="shared" si="36"/>
        <v>99.310925231939166</v>
      </c>
      <c r="F242" s="122">
        <f t="shared" si="37"/>
        <v>6.1358775695817496</v>
      </c>
      <c r="G242" s="123">
        <f t="shared" si="38"/>
        <v>9.3524841167925175</v>
      </c>
      <c r="H242" s="123">
        <f t="shared" si="39"/>
        <v>0</v>
      </c>
      <c r="I242" s="123">
        <f t="shared" si="40"/>
        <v>31.347515883207485</v>
      </c>
      <c r="J242" s="123">
        <f t="shared" si="41"/>
        <v>9.1312411433222493</v>
      </c>
      <c r="K242" s="123">
        <f t="shared" si="42"/>
        <v>0.22124297347026811</v>
      </c>
      <c r="L242" s="123">
        <f t="shared" si="43"/>
        <v>3.0902808320073025</v>
      </c>
      <c r="M242" s="123">
        <f t="shared" si="44"/>
        <v>8.4433125541846188</v>
      </c>
      <c r="N242" s="123">
        <f t="shared" si="45"/>
        <v>8.6645555276548869</v>
      </c>
      <c r="O242" s="123">
        <f t="shared" si="46"/>
        <v>0.22787781037732352</v>
      </c>
    </row>
    <row r="243" spans="1:15" x14ac:dyDescent="0.25">
      <c r="A243" s="32">
        <v>1999</v>
      </c>
      <c r="B243" s="32">
        <v>10</v>
      </c>
      <c r="C243" s="117">
        <f t="shared" si="47"/>
        <v>113.232</v>
      </c>
      <c r="D243" s="117">
        <f>+HLOOKUP('Ingreso Datos'!$I$7,'Precip 1981-2012'!$D$5:$AL$397,235,FALSE)</f>
        <v>82.9</v>
      </c>
      <c r="E243" s="122">
        <f t="shared" si="36"/>
        <v>133.68492523193916</v>
      </c>
      <c r="F243" s="122">
        <f t="shared" si="37"/>
        <v>6.1358775695817496</v>
      </c>
      <c r="G243" s="123">
        <f t="shared" si="38"/>
        <v>28.841657587890388</v>
      </c>
      <c r="H243" s="123">
        <f t="shared" si="39"/>
        <v>0</v>
      </c>
      <c r="I243" s="123">
        <f t="shared" si="40"/>
        <v>54.058342412109617</v>
      </c>
      <c r="J243" s="123">
        <f t="shared" si="41"/>
        <v>26.836455850789342</v>
      </c>
      <c r="K243" s="123">
        <f t="shared" si="42"/>
        <v>2.0052017371010464</v>
      </c>
      <c r="L243" s="123">
        <f t="shared" si="43"/>
        <v>8.6940304790820395</v>
      </c>
      <c r="M243" s="123">
        <f t="shared" si="44"/>
        <v>21.232706203714606</v>
      </c>
      <c r="N243" s="123">
        <f t="shared" si="45"/>
        <v>23.237907940815653</v>
      </c>
      <c r="O243" s="123">
        <f t="shared" si="46"/>
        <v>0.61115697884345166</v>
      </c>
    </row>
    <row r="244" spans="1:15" x14ac:dyDescent="0.25">
      <c r="A244" s="32">
        <v>1999</v>
      </c>
      <c r="B244" s="32">
        <v>11</v>
      </c>
      <c r="C244" s="117">
        <f t="shared" si="47"/>
        <v>148.61699999999999</v>
      </c>
      <c r="D244" s="117">
        <f>+HLOOKUP('Ingreso Datos'!$I$7,'Precip 1981-2012'!$D$5:$AL$397,236,FALSE)</f>
        <v>3.5</v>
      </c>
      <c r="E244" s="122">
        <f t="shared" si="36"/>
        <v>169.06992523193915</v>
      </c>
      <c r="F244" s="122">
        <f t="shared" si="37"/>
        <v>6.1358775695817496</v>
      </c>
      <c r="G244" s="123">
        <f t="shared" si="38"/>
        <v>0</v>
      </c>
      <c r="H244" s="123">
        <f t="shared" si="39"/>
        <v>0</v>
      </c>
      <c r="I244" s="123">
        <f t="shared" si="40"/>
        <v>3.5</v>
      </c>
      <c r="J244" s="123">
        <f t="shared" si="41"/>
        <v>0</v>
      </c>
      <c r="K244" s="123">
        <f t="shared" si="42"/>
        <v>0</v>
      </c>
      <c r="L244" s="123">
        <f t="shared" si="43"/>
        <v>0.8501322429320507</v>
      </c>
      <c r="M244" s="123">
        <f t="shared" si="44"/>
        <v>7.8438982361499887</v>
      </c>
      <c r="N244" s="123">
        <f t="shared" si="45"/>
        <v>7.8438982361499887</v>
      </c>
      <c r="O244" s="123">
        <f t="shared" si="46"/>
        <v>0.20629452361074468</v>
      </c>
    </row>
    <row r="245" spans="1:15" x14ac:dyDescent="0.25">
      <c r="A245" s="32">
        <v>1999</v>
      </c>
      <c r="B245" s="32">
        <v>12</v>
      </c>
      <c r="C245" s="117">
        <f t="shared" si="47"/>
        <v>179.958</v>
      </c>
      <c r="D245" s="117">
        <f>+HLOOKUP('Ingreso Datos'!$I$7,'Precip 1981-2012'!$D$5:$AL$397,237,FALSE)</f>
        <v>37.799999999999997</v>
      </c>
      <c r="E245" s="122">
        <f t="shared" si="36"/>
        <v>200.41092523193916</v>
      </c>
      <c r="F245" s="122">
        <f t="shared" si="37"/>
        <v>6.1358775695817496</v>
      </c>
      <c r="G245" s="123">
        <f t="shared" si="38"/>
        <v>4.4375512615931942</v>
      </c>
      <c r="H245" s="123">
        <f t="shared" si="39"/>
        <v>0</v>
      </c>
      <c r="I245" s="123">
        <f t="shared" si="40"/>
        <v>33.362448738406805</v>
      </c>
      <c r="J245" s="123">
        <f t="shared" si="41"/>
        <v>4.3871158945655138</v>
      </c>
      <c r="K245" s="123">
        <f t="shared" si="42"/>
        <v>5.0435367027680478E-2</v>
      </c>
      <c r="L245" s="123">
        <f t="shared" si="43"/>
        <v>1.4549951092063931</v>
      </c>
      <c r="M245" s="123">
        <f t="shared" si="44"/>
        <v>3.7822530282911715</v>
      </c>
      <c r="N245" s="123">
        <f t="shared" si="45"/>
        <v>3.832688395318852</v>
      </c>
      <c r="O245" s="123">
        <f t="shared" si="46"/>
        <v>0.1007997047968858</v>
      </c>
    </row>
    <row r="246" spans="1:15" x14ac:dyDescent="0.25">
      <c r="A246" s="32">
        <v>2000</v>
      </c>
      <c r="B246" s="32">
        <v>1</v>
      </c>
      <c r="C246" s="117">
        <f t="shared" si="47"/>
        <v>190.06799999999998</v>
      </c>
      <c r="D246" s="117">
        <f>+HLOOKUP('Ingreso Datos'!$I$7,'Precip 1981-2012'!$D$5:$AL$397,238,FALSE)</f>
        <v>130.4</v>
      </c>
      <c r="E246" s="122">
        <f t="shared" si="36"/>
        <v>210.52092523193915</v>
      </c>
      <c r="F246" s="122">
        <f t="shared" si="37"/>
        <v>6.1358775695817496</v>
      </c>
      <c r="G246" s="123">
        <f t="shared" si="38"/>
        <v>46.984972209249506</v>
      </c>
      <c r="H246" s="123">
        <f t="shared" si="39"/>
        <v>0</v>
      </c>
      <c r="I246" s="123">
        <f t="shared" si="40"/>
        <v>83.4150277907505</v>
      </c>
      <c r="J246" s="123">
        <f t="shared" si="41"/>
        <v>41.8864404929176</v>
      </c>
      <c r="K246" s="123">
        <f t="shared" si="42"/>
        <v>5.0985317163319053</v>
      </c>
      <c r="L246" s="123">
        <f t="shared" si="43"/>
        <v>13.240308642734924</v>
      </c>
      <c r="M246" s="123">
        <f t="shared" si="44"/>
        <v>30.10112695938907</v>
      </c>
      <c r="N246" s="123">
        <f t="shared" si="45"/>
        <v>35.199658675720976</v>
      </c>
      <c r="O246" s="123">
        <f t="shared" si="46"/>
        <v>0.92575102317146174</v>
      </c>
    </row>
    <row r="247" spans="1:15" x14ac:dyDescent="0.25">
      <c r="A247" s="32">
        <v>2000</v>
      </c>
      <c r="B247" s="32">
        <v>2</v>
      </c>
      <c r="C247" s="117">
        <f t="shared" si="47"/>
        <v>146.595</v>
      </c>
      <c r="D247" s="117">
        <f>+HLOOKUP('Ingreso Datos'!$I$7,'Precip 1981-2012'!$D$5:$AL$397,239,FALSE)</f>
        <v>99.6</v>
      </c>
      <c r="E247" s="122">
        <f t="shared" si="36"/>
        <v>167.04792523193916</v>
      </c>
      <c r="F247" s="122">
        <f t="shared" si="37"/>
        <v>6.1358775695817496</v>
      </c>
      <c r="G247" s="123">
        <f t="shared" si="38"/>
        <v>34.341039801417708</v>
      </c>
      <c r="H247" s="123">
        <f t="shared" si="39"/>
        <v>0</v>
      </c>
      <c r="I247" s="123">
        <f t="shared" si="40"/>
        <v>65.258960198582287</v>
      </c>
      <c r="J247" s="123">
        <f t="shared" si="41"/>
        <v>31.535444099414171</v>
      </c>
      <c r="K247" s="123">
        <f t="shared" si="42"/>
        <v>2.8055957020035365</v>
      </c>
      <c r="L247" s="123">
        <f t="shared" si="43"/>
        <v>11.155924965508834</v>
      </c>
      <c r="M247" s="123">
        <f t="shared" si="44"/>
        <v>33.619827776640264</v>
      </c>
      <c r="N247" s="123">
        <f t="shared" si="45"/>
        <v>36.4254234786438</v>
      </c>
      <c r="O247" s="123">
        <f t="shared" si="46"/>
        <v>0.95798863748833207</v>
      </c>
    </row>
    <row r="248" spans="1:15" x14ac:dyDescent="0.25">
      <c r="A248" s="32">
        <v>2000</v>
      </c>
      <c r="B248" s="32">
        <v>3</v>
      </c>
      <c r="C248" s="117">
        <f t="shared" si="47"/>
        <v>120.30899999999998</v>
      </c>
      <c r="D248" s="117">
        <f>+HLOOKUP('Ingreso Datos'!$I$7,'Precip 1981-2012'!$D$5:$AL$397,240,FALSE)</f>
        <v>172.6</v>
      </c>
      <c r="E248" s="122">
        <f t="shared" si="36"/>
        <v>140.76192523193916</v>
      </c>
      <c r="F248" s="122">
        <f t="shared" si="37"/>
        <v>6.1358775695817496</v>
      </c>
      <c r="G248" s="123">
        <f t="shared" si="38"/>
        <v>92.033240567072752</v>
      </c>
      <c r="H248" s="123">
        <f t="shared" si="39"/>
        <v>0</v>
      </c>
      <c r="I248" s="123">
        <f t="shared" si="40"/>
        <v>80.566759432927242</v>
      </c>
      <c r="J248" s="123">
        <f t="shared" si="41"/>
        <v>74.314561926171322</v>
      </c>
      <c r="K248" s="123">
        <f t="shared" si="42"/>
        <v>17.71867864090143</v>
      </c>
      <c r="L248" s="123">
        <f t="shared" si="43"/>
        <v>24.329284237607538</v>
      </c>
      <c r="M248" s="123">
        <f t="shared" si="44"/>
        <v>61.141202654072615</v>
      </c>
      <c r="N248" s="123">
        <f t="shared" si="45"/>
        <v>78.859881294974045</v>
      </c>
      <c r="O248" s="123">
        <f t="shared" si="46"/>
        <v>2.0740148780578176</v>
      </c>
    </row>
    <row r="249" spans="1:15" x14ac:dyDescent="0.25">
      <c r="A249" s="32">
        <v>2000</v>
      </c>
      <c r="B249" s="32">
        <v>4</v>
      </c>
      <c r="C249" s="117">
        <f t="shared" si="47"/>
        <v>73.802999999999997</v>
      </c>
      <c r="D249" s="117">
        <f>+HLOOKUP('Ingreso Datos'!$I$7,'Precip 1981-2012'!$D$5:$AL$397,241,FALSE)</f>
        <v>114.7</v>
      </c>
      <c r="E249" s="122">
        <f t="shared" si="36"/>
        <v>94.255925231939159</v>
      </c>
      <c r="F249" s="122">
        <f t="shared" si="37"/>
        <v>6.1358775695817496</v>
      </c>
      <c r="G249" s="123">
        <f t="shared" si="38"/>
        <v>59.92433795524736</v>
      </c>
      <c r="H249" s="123">
        <f t="shared" si="39"/>
        <v>0</v>
      </c>
      <c r="I249" s="123">
        <f t="shared" si="40"/>
        <v>54.775662044752643</v>
      </c>
      <c r="J249" s="123">
        <f t="shared" si="41"/>
        <v>51.871567622413259</v>
      </c>
      <c r="K249" s="123">
        <f t="shared" si="42"/>
        <v>8.0527703328341005</v>
      </c>
      <c r="L249" s="123">
        <f t="shared" si="43"/>
        <v>18.599419058692153</v>
      </c>
      <c r="M249" s="123">
        <f t="shared" si="44"/>
        <v>57.601432801328642</v>
      </c>
      <c r="N249" s="123">
        <f t="shared" si="45"/>
        <v>65.654203134162742</v>
      </c>
      <c r="O249" s="123">
        <f t="shared" si="46"/>
        <v>1.7267055424284801</v>
      </c>
    </row>
    <row r="250" spans="1:15" x14ac:dyDescent="0.25">
      <c r="A250" s="32">
        <v>2000</v>
      </c>
      <c r="B250" s="32">
        <v>5</v>
      </c>
      <c r="C250" s="117">
        <f t="shared" si="47"/>
        <v>44.483999999999995</v>
      </c>
      <c r="D250" s="117">
        <f>+HLOOKUP('Ingreso Datos'!$I$7,'Precip 1981-2012'!$D$5:$AL$397,242,FALSE)</f>
        <v>252.9</v>
      </c>
      <c r="E250" s="122">
        <f t="shared" si="36"/>
        <v>64.936925231939156</v>
      </c>
      <c r="F250" s="122">
        <f t="shared" si="37"/>
        <v>6.1358775695817496</v>
      </c>
      <c r="G250" s="123">
        <f t="shared" si="38"/>
        <v>199.27838012547787</v>
      </c>
      <c r="H250" s="123">
        <f t="shared" si="39"/>
        <v>9.1376198745221444</v>
      </c>
      <c r="I250" s="123">
        <f t="shared" si="40"/>
        <v>44.483999999999995</v>
      </c>
      <c r="J250" s="123">
        <f t="shared" si="41"/>
        <v>131.42712483578032</v>
      </c>
      <c r="K250" s="123">
        <f t="shared" si="42"/>
        <v>67.851255289697548</v>
      </c>
      <c r="L250" s="123">
        <f t="shared" si="43"/>
        <v>42.916429858100074</v>
      </c>
      <c r="M250" s="123">
        <f t="shared" si="44"/>
        <v>107.11011403637239</v>
      </c>
      <c r="N250" s="123">
        <f t="shared" si="45"/>
        <v>174.96136932606993</v>
      </c>
      <c r="O250" s="123">
        <f t="shared" si="46"/>
        <v>4.6014840132756394</v>
      </c>
    </row>
    <row r="251" spans="1:15" x14ac:dyDescent="0.25">
      <c r="A251" s="32">
        <v>2000</v>
      </c>
      <c r="B251" s="32">
        <v>6</v>
      </c>
      <c r="C251" s="117">
        <f t="shared" si="47"/>
        <v>29.318999999999996</v>
      </c>
      <c r="D251" s="117">
        <f>+HLOOKUP('Ingreso Datos'!$I$7,'Precip 1981-2012'!$D$5:$AL$397,243,FALSE)</f>
        <v>110.7</v>
      </c>
      <c r="E251" s="122">
        <f t="shared" si="36"/>
        <v>40.63430535741702</v>
      </c>
      <c r="F251" s="122">
        <f t="shared" si="37"/>
        <v>3.3945916072251063</v>
      </c>
      <c r="G251" s="123">
        <f t="shared" si="38"/>
        <v>79.659904807797545</v>
      </c>
      <c r="H251" s="123">
        <f t="shared" si="39"/>
        <v>10.858715066724606</v>
      </c>
      <c r="I251" s="123">
        <f t="shared" si="40"/>
        <v>29.318999999999996</v>
      </c>
      <c r="J251" s="123">
        <f t="shared" si="41"/>
        <v>66.032576432582218</v>
      </c>
      <c r="K251" s="123">
        <f t="shared" si="42"/>
        <v>13.627328375215328</v>
      </c>
      <c r="L251" s="123">
        <f t="shared" si="43"/>
        <v>24.845130401667689</v>
      </c>
      <c r="M251" s="123">
        <f t="shared" si="44"/>
        <v>84.103875889014603</v>
      </c>
      <c r="N251" s="123">
        <f t="shared" si="45"/>
        <v>97.73120426422993</v>
      </c>
      <c r="O251" s="123">
        <f t="shared" si="46"/>
        <v>2.5703306721492472</v>
      </c>
    </row>
    <row r="252" spans="1:15" x14ac:dyDescent="0.25">
      <c r="A252" s="32">
        <v>2000</v>
      </c>
      <c r="B252" s="32">
        <v>7</v>
      </c>
      <c r="C252" s="117">
        <f t="shared" si="47"/>
        <v>35.384999999999998</v>
      </c>
      <c r="D252" s="117">
        <f>+HLOOKUP('Ingreso Datos'!$I$7,'Precip 1981-2012'!$D$5:$AL$397,244,FALSE)</f>
        <v>82.8</v>
      </c>
      <c r="E252" s="122">
        <f t="shared" si="36"/>
        <v>44.979210165214553</v>
      </c>
      <c r="F252" s="122">
        <f t="shared" si="37"/>
        <v>2.8782630495643677</v>
      </c>
      <c r="G252" s="123">
        <f t="shared" si="38"/>
        <v>52.346693453450456</v>
      </c>
      <c r="H252" s="123">
        <f t="shared" si="39"/>
        <v>5.9270216132741425</v>
      </c>
      <c r="I252" s="123">
        <f t="shared" si="40"/>
        <v>35.384999999999998</v>
      </c>
      <c r="J252" s="123">
        <f t="shared" si="41"/>
        <v>46.095531173836946</v>
      </c>
      <c r="K252" s="123">
        <f t="shared" si="42"/>
        <v>6.25116227961351</v>
      </c>
      <c r="L252" s="123">
        <f t="shared" si="43"/>
        <v>16.843673781580144</v>
      </c>
      <c r="M252" s="123">
        <f t="shared" si="44"/>
        <v>54.096987793924491</v>
      </c>
      <c r="N252" s="123">
        <f t="shared" si="45"/>
        <v>60.348150073538001</v>
      </c>
      <c r="O252" s="123">
        <f t="shared" si="46"/>
        <v>1.5871563469340495</v>
      </c>
    </row>
    <row r="253" spans="1:15" x14ac:dyDescent="0.25">
      <c r="A253" s="32">
        <v>2000</v>
      </c>
      <c r="B253" s="32">
        <v>8</v>
      </c>
      <c r="C253" s="117">
        <f t="shared" si="47"/>
        <v>55.605000000000004</v>
      </c>
      <c r="D253" s="117">
        <f>+HLOOKUP('Ingreso Datos'!$I$7,'Precip 1981-2012'!$D$5:$AL$397,245,FALSE)</f>
        <v>98.6</v>
      </c>
      <c r="E253" s="122">
        <f t="shared" si="36"/>
        <v>70.13090361866503</v>
      </c>
      <c r="F253" s="122">
        <f t="shared" si="37"/>
        <v>4.3577710855995067</v>
      </c>
      <c r="G253" s="123">
        <f t="shared" si="38"/>
        <v>55.504656743034907</v>
      </c>
      <c r="H253" s="123">
        <f t="shared" si="39"/>
        <v>0</v>
      </c>
      <c r="I253" s="123">
        <f t="shared" si="40"/>
        <v>49.022364870239237</v>
      </c>
      <c r="J253" s="123">
        <f t="shared" si="41"/>
        <v>48.526775823524694</v>
      </c>
      <c r="K253" s="123">
        <f t="shared" si="42"/>
        <v>6.9778809195102127</v>
      </c>
      <c r="L253" s="123">
        <f t="shared" si="43"/>
        <v>16.821522371633776</v>
      </c>
      <c r="M253" s="123">
        <f t="shared" si="44"/>
        <v>48.548927233471062</v>
      </c>
      <c r="N253" s="123">
        <f t="shared" si="45"/>
        <v>55.526808152981275</v>
      </c>
      <c r="O253" s="123">
        <f t="shared" si="46"/>
        <v>1.4603550544234074</v>
      </c>
    </row>
    <row r="254" spans="1:15" x14ac:dyDescent="0.25">
      <c r="A254" s="32">
        <v>2000</v>
      </c>
      <c r="B254" s="32">
        <v>9</v>
      </c>
      <c r="C254" s="117">
        <f t="shared" si="47"/>
        <v>78.858000000000004</v>
      </c>
      <c r="D254" s="117">
        <f>+HLOOKUP('Ingreso Datos'!$I$7,'Precip 1981-2012'!$D$5:$AL$397,246,FALSE)</f>
        <v>180.9</v>
      </c>
      <c r="E254" s="122">
        <f t="shared" si="36"/>
        <v>99.310925231939166</v>
      </c>
      <c r="F254" s="122">
        <f t="shared" si="37"/>
        <v>6.1358775695817496</v>
      </c>
      <c r="G254" s="123">
        <f t="shared" si="38"/>
        <v>113.99041983409398</v>
      </c>
      <c r="H254" s="123">
        <f t="shared" si="39"/>
        <v>0</v>
      </c>
      <c r="I254" s="123">
        <f t="shared" si="40"/>
        <v>66.909580165906021</v>
      </c>
      <c r="J254" s="123">
        <f t="shared" si="41"/>
        <v>88.002290265002259</v>
      </c>
      <c r="K254" s="123">
        <f t="shared" si="42"/>
        <v>25.988129569091726</v>
      </c>
      <c r="L254" s="123">
        <f t="shared" si="43"/>
        <v>29.163485660218782</v>
      </c>
      <c r="M254" s="123">
        <f t="shared" si="44"/>
        <v>75.660326976417252</v>
      </c>
      <c r="N254" s="123">
        <f t="shared" si="45"/>
        <v>101.64845654550898</v>
      </c>
      <c r="O254" s="123">
        <f t="shared" si="46"/>
        <v>2.6733544071468862</v>
      </c>
    </row>
    <row r="255" spans="1:15" x14ac:dyDescent="0.25">
      <c r="A255" s="32">
        <v>2000</v>
      </c>
      <c r="B255" s="32">
        <v>10</v>
      </c>
      <c r="C255" s="117">
        <f t="shared" si="47"/>
        <v>113.232</v>
      </c>
      <c r="D255" s="117">
        <f>+HLOOKUP('Ingreso Datos'!$I$7,'Precip 1981-2012'!$D$5:$AL$397,247,FALSE)</f>
        <v>162</v>
      </c>
      <c r="E255" s="122">
        <f t="shared" si="36"/>
        <v>133.68492523193916</v>
      </c>
      <c r="F255" s="122">
        <f t="shared" si="37"/>
        <v>6.1358775695817496</v>
      </c>
      <c r="G255" s="123">
        <f t="shared" si="38"/>
        <v>85.718051327861247</v>
      </c>
      <c r="H255" s="123">
        <f t="shared" si="39"/>
        <v>0</v>
      </c>
      <c r="I255" s="123">
        <f t="shared" si="40"/>
        <v>76.281948672138753</v>
      </c>
      <c r="J255" s="123">
        <f t="shared" si="41"/>
        <v>70.141830950534583</v>
      </c>
      <c r="K255" s="123">
        <f t="shared" si="42"/>
        <v>15.576220377326663</v>
      </c>
      <c r="L255" s="123">
        <f t="shared" si="43"/>
        <v>24.785298193252785</v>
      </c>
      <c r="M255" s="123">
        <f t="shared" si="44"/>
        <v>74.52001841750058</v>
      </c>
      <c r="N255" s="123">
        <f t="shared" si="45"/>
        <v>90.096238794827244</v>
      </c>
      <c r="O255" s="123">
        <f t="shared" si="46"/>
        <v>2.3695310803039562</v>
      </c>
    </row>
    <row r="256" spans="1:15" x14ac:dyDescent="0.25">
      <c r="A256" s="32">
        <v>2000</v>
      </c>
      <c r="B256" s="32">
        <v>11</v>
      </c>
      <c r="C256" s="117">
        <f t="shared" si="47"/>
        <v>148.61699999999999</v>
      </c>
      <c r="D256" s="117">
        <f>+HLOOKUP('Ingreso Datos'!$I$7,'Precip 1981-2012'!$D$5:$AL$397,248,FALSE)</f>
        <v>143.4</v>
      </c>
      <c r="E256" s="122">
        <f t="shared" si="36"/>
        <v>169.06992523193915</v>
      </c>
      <c r="F256" s="122">
        <f t="shared" si="37"/>
        <v>6.1358775695817496</v>
      </c>
      <c r="G256" s="123">
        <f t="shared" si="38"/>
        <v>62.763338300063403</v>
      </c>
      <c r="H256" s="123">
        <f t="shared" si="39"/>
        <v>0</v>
      </c>
      <c r="I256" s="123">
        <f t="shared" si="40"/>
        <v>80.63666169993661</v>
      </c>
      <c r="J256" s="123">
        <f t="shared" si="41"/>
        <v>53.985356013252229</v>
      </c>
      <c r="K256" s="123">
        <f t="shared" si="42"/>
        <v>8.7779822868111737</v>
      </c>
      <c r="L256" s="123">
        <f t="shared" si="43"/>
        <v>19.304998584060353</v>
      </c>
      <c r="M256" s="123">
        <f t="shared" si="44"/>
        <v>59.465655622444658</v>
      </c>
      <c r="N256" s="123">
        <f t="shared" si="45"/>
        <v>68.243637909255824</v>
      </c>
      <c r="O256" s="123">
        <f t="shared" si="46"/>
        <v>1.7948076770134282</v>
      </c>
    </row>
    <row r="257" spans="1:15" x14ac:dyDescent="0.25">
      <c r="A257" s="32">
        <v>2000</v>
      </c>
      <c r="B257" s="32">
        <v>12</v>
      </c>
      <c r="C257" s="117">
        <f t="shared" si="47"/>
        <v>179.958</v>
      </c>
      <c r="D257" s="117">
        <f>+HLOOKUP('Ingreso Datos'!$I$7,'Precip 1981-2012'!$D$5:$AL$397,249,FALSE)</f>
        <v>93</v>
      </c>
      <c r="E257" s="122">
        <f t="shared" si="36"/>
        <v>200.41092523193916</v>
      </c>
      <c r="F257" s="122">
        <f t="shared" si="37"/>
        <v>6.1358775695817496</v>
      </c>
      <c r="G257" s="123">
        <f t="shared" si="38"/>
        <v>26.838578783300541</v>
      </c>
      <c r="H257" s="123">
        <f t="shared" si="39"/>
        <v>0</v>
      </c>
      <c r="I257" s="123">
        <f t="shared" si="40"/>
        <v>66.161421216699466</v>
      </c>
      <c r="J257" s="123">
        <f t="shared" si="41"/>
        <v>25.093806496683595</v>
      </c>
      <c r="K257" s="123">
        <f t="shared" si="42"/>
        <v>1.7447722866169464</v>
      </c>
      <c r="L257" s="123">
        <f t="shared" si="43"/>
        <v>9.7346289700340165</v>
      </c>
      <c r="M257" s="123">
        <f t="shared" si="44"/>
        <v>34.664176110709931</v>
      </c>
      <c r="N257" s="123">
        <f t="shared" si="45"/>
        <v>36.408948397326881</v>
      </c>
      <c r="O257" s="123">
        <f t="shared" si="46"/>
        <v>0.95755534284969701</v>
      </c>
    </row>
    <row r="258" spans="1:15" x14ac:dyDescent="0.25">
      <c r="A258" s="32">
        <v>2001</v>
      </c>
      <c r="B258" s="32">
        <v>1</v>
      </c>
      <c r="C258" s="117">
        <f t="shared" si="47"/>
        <v>190.06799999999998</v>
      </c>
      <c r="D258" s="117">
        <f>+HLOOKUP('Ingreso Datos'!$I$7,'Precip 1981-2012'!$D$5:$AL$397,250,FALSE)</f>
        <v>143.19999999999999</v>
      </c>
      <c r="E258" s="122">
        <f t="shared" si="36"/>
        <v>210.52092523193915</v>
      </c>
      <c r="F258" s="122">
        <f t="shared" si="37"/>
        <v>6.1358775695817496</v>
      </c>
      <c r="G258" s="123">
        <f t="shared" si="38"/>
        <v>55.020118082337575</v>
      </c>
      <c r="H258" s="123">
        <f t="shared" si="39"/>
        <v>0</v>
      </c>
      <c r="I258" s="123">
        <f t="shared" si="40"/>
        <v>88.179881917662414</v>
      </c>
      <c r="J258" s="123">
        <f t="shared" si="41"/>
        <v>48.156001753682474</v>
      </c>
      <c r="K258" s="123">
        <f t="shared" si="42"/>
        <v>6.8641163286551006</v>
      </c>
      <c r="L258" s="123">
        <f t="shared" si="43"/>
        <v>16.010433157363881</v>
      </c>
      <c r="M258" s="123">
        <f t="shared" si="44"/>
        <v>41.880197566352606</v>
      </c>
      <c r="N258" s="123">
        <f t="shared" si="45"/>
        <v>48.744313895007707</v>
      </c>
      <c r="O258" s="123">
        <f t="shared" si="46"/>
        <v>1.2819754554387026</v>
      </c>
    </row>
    <row r="259" spans="1:15" x14ac:dyDescent="0.25">
      <c r="A259" s="32">
        <v>2001</v>
      </c>
      <c r="B259" s="32">
        <v>2</v>
      </c>
      <c r="C259" s="117">
        <f t="shared" si="47"/>
        <v>146.595</v>
      </c>
      <c r="D259" s="117">
        <f>+HLOOKUP('Ingreso Datos'!$I$7,'Precip 1981-2012'!$D$5:$AL$397,251,FALSE)</f>
        <v>89.1</v>
      </c>
      <c r="E259" s="122">
        <f t="shared" si="36"/>
        <v>167.04792523193916</v>
      </c>
      <c r="F259" s="122">
        <f t="shared" si="37"/>
        <v>6.1358775695817496</v>
      </c>
      <c r="G259" s="123">
        <f t="shared" si="38"/>
        <v>28.223526751428693</v>
      </c>
      <c r="H259" s="123">
        <f t="shared" si="39"/>
        <v>0</v>
      </c>
      <c r="I259" s="123">
        <f t="shared" si="40"/>
        <v>60.876473248571301</v>
      </c>
      <c r="J259" s="123">
        <f t="shared" si="41"/>
        <v>26.300489041485619</v>
      </c>
      <c r="K259" s="123">
        <f t="shared" si="42"/>
        <v>1.923037709943074</v>
      </c>
      <c r="L259" s="123">
        <f t="shared" si="43"/>
        <v>9.7898088038457622</v>
      </c>
      <c r="M259" s="123">
        <f t="shared" si="44"/>
        <v>32.521113395003738</v>
      </c>
      <c r="N259" s="123">
        <f t="shared" si="45"/>
        <v>34.444151104946812</v>
      </c>
      <c r="O259" s="123">
        <f t="shared" si="46"/>
        <v>0.90588117406010116</v>
      </c>
    </row>
    <row r="260" spans="1:15" x14ac:dyDescent="0.25">
      <c r="A260" s="32">
        <v>2001</v>
      </c>
      <c r="B260" s="32">
        <v>3</v>
      </c>
      <c r="C260" s="117">
        <f t="shared" si="47"/>
        <v>120.30899999999998</v>
      </c>
      <c r="D260" s="117">
        <f>+HLOOKUP('Ingreso Datos'!$I$7,'Precip 1981-2012'!$D$5:$AL$397,252,FALSE)</f>
        <v>99.9</v>
      </c>
      <c r="E260" s="122">
        <f t="shared" si="36"/>
        <v>140.76192523193916</v>
      </c>
      <c r="F260" s="122">
        <f t="shared" si="37"/>
        <v>6.1358775695817496</v>
      </c>
      <c r="G260" s="123">
        <f t="shared" si="38"/>
        <v>38.494260289640017</v>
      </c>
      <c r="H260" s="123">
        <f t="shared" si="39"/>
        <v>0</v>
      </c>
      <c r="I260" s="123">
        <f t="shared" si="40"/>
        <v>61.405739710359988</v>
      </c>
      <c r="J260" s="123">
        <f t="shared" si="41"/>
        <v>35.003499132503308</v>
      </c>
      <c r="K260" s="123">
        <f t="shared" si="42"/>
        <v>3.4907611571367099</v>
      </c>
      <c r="L260" s="123">
        <f t="shared" si="43"/>
        <v>11.902995961289848</v>
      </c>
      <c r="M260" s="123">
        <f t="shared" si="44"/>
        <v>32.89031197505922</v>
      </c>
      <c r="N260" s="123">
        <f t="shared" si="45"/>
        <v>36.38107313219593</v>
      </c>
      <c r="O260" s="123">
        <f t="shared" si="46"/>
        <v>0.95682222337675293</v>
      </c>
    </row>
    <row r="261" spans="1:15" x14ac:dyDescent="0.25">
      <c r="A261" s="32">
        <v>2001</v>
      </c>
      <c r="B261" s="32">
        <v>4</v>
      </c>
      <c r="C261" s="117">
        <f t="shared" si="47"/>
        <v>73.802999999999997</v>
      </c>
      <c r="D261" s="117">
        <f>+HLOOKUP('Ingreso Datos'!$I$7,'Precip 1981-2012'!$D$5:$AL$397,253,FALSE)</f>
        <v>417.4</v>
      </c>
      <c r="E261" s="122">
        <f t="shared" si="36"/>
        <v>94.255925231939159</v>
      </c>
      <c r="F261" s="122">
        <f t="shared" si="37"/>
        <v>6.1358775695817496</v>
      </c>
      <c r="G261" s="123">
        <f t="shared" si="38"/>
        <v>338.69351198505058</v>
      </c>
      <c r="H261" s="123">
        <f t="shared" si="39"/>
        <v>4.9034880149494029</v>
      </c>
      <c r="I261" s="123">
        <f t="shared" si="40"/>
        <v>73.802999999999997</v>
      </c>
      <c r="J261" s="123">
        <f t="shared" si="41"/>
        <v>180.40136066366</v>
      </c>
      <c r="K261" s="123">
        <f t="shared" si="42"/>
        <v>158.29215132139058</v>
      </c>
      <c r="L261" s="123">
        <f t="shared" si="43"/>
        <v>57.5760427681344</v>
      </c>
      <c r="M261" s="123">
        <f t="shared" si="44"/>
        <v>134.72831385681545</v>
      </c>
      <c r="N261" s="123">
        <f t="shared" si="45"/>
        <v>293.020465178206</v>
      </c>
      <c r="O261" s="123">
        <f t="shared" si="46"/>
        <v>7.7064382341868178</v>
      </c>
    </row>
    <row r="262" spans="1:15" x14ac:dyDescent="0.25">
      <c r="A262" s="32">
        <v>2001</v>
      </c>
      <c r="B262" s="32">
        <v>5</v>
      </c>
      <c r="C262" s="117">
        <f t="shared" si="47"/>
        <v>44.483999999999995</v>
      </c>
      <c r="D262" s="117">
        <f>+HLOOKUP('Ingreso Datos'!$I$7,'Precip 1981-2012'!$D$5:$AL$397,254,FALSE)</f>
        <v>219.9</v>
      </c>
      <c r="E262" s="122">
        <f t="shared" si="36"/>
        <v>60.033437216989753</v>
      </c>
      <c r="F262" s="122">
        <f t="shared" si="37"/>
        <v>4.6648311650969285</v>
      </c>
      <c r="G262" s="123">
        <f t="shared" si="38"/>
        <v>171.19560849721802</v>
      </c>
      <c r="H262" s="123">
        <f t="shared" si="39"/>
        <v>9.123879517731396</v>
      </c>
      <c r="I262" s="123">
        <f t="shared" si="40"/>
        <v>44.483999999999995</v>
      </c>
      <c r="J262" s="123">
        <f t="shared" si="41"/>
        <v>118.59660031806602</v>
      </c>
      <c r="K262" s="123">
        <f t="shared" si="42"/>
        <v>52.599008179151994</v>
      </c>
      <c r="L262" s="123">
        <f t="shared" si="43"/>
        <v>42.715549153565917</v>
      </c>
      <c r="M262" s="123">
        <f t="shared" si="44"/>
        <v>133.45709393263451</v>
      </c>
      <c r="N262" s="123">
        <f t="shared" si="45"/>
        <v>186.05610211178652</v>
      </c>
      <c r="O262" s="123">
        <f t="shared" si="46"/>
        <v>4.8932754855399851</v>
      </c>
    </row>
    <row r="263" spans="1:15" x14ac:dyDescent="0.25">
      <c r="A263" s="32">
        <v>2001</v>
      </c>
      <c r="B263" s="32">
        <v>6</v>
      </c>
      <c r="C263" s="117">
        <f t="shared" si="47"/>
        <v>29.318999999999996</v>
      </c>
      <c r="D263" s="117">
        <f>+HLOOKUP('Ingreso Datos'!$I$7,'Precip 1981-2012'!$D$5:$AL$397,255,FALSE)</f>
        <v>93.3</v>
      </c>
      <c r="E263" s="122">
        <f t="shared" si="36"/>
        <v>40.648045714207768</v>
      </c>
      <c r="F263" s="122">
        <f t="shared" si="37"/>
        <v>3.3987137142623305</v>
      </c>
      <c r="G263" s="123">
        <f t="shared" si="38"/>
        <v>63.564309673043937</v>
      </c>
      <c r="H263" s="123">
        <f t="shared" si="39"/>
        <v>9.5405698446874609</v>
      </c>
      <c r="I263" s="123">
        <f t="shared" si="40"/>
        <v>29.318999999999996</v>
      </c>
      <c r="J263" s="123">
        <f t="shared" si="41"/>
        <v>54.576893685442258</v>
      </c>
      <c r="K263" s="123">
        <f t="shared" si="42"/>
        <v>8.987415987601679</v>
      </c>
      <c r="L263" s="123">
        <f t="shared" si="43"/>
        <v>21.243256143167486</v>
      </c>
      <c r="M263" s="123">
        <f t="shared" si="44"/>
        <v>76.049186695840689</v>
      </c>
      <c r="N263" s="123">
        <f t="shared" si="45"/>
        <v>85.036602683442368</v>
      </c>
      <c r="O263" s="123">
        <f t="shared" si="46"/>
        <v>2.2364626505745342</v>
      </c>
    </row>
    <row r="264" spans="1:15" x14ac:dyDescent="0.25">
      <c r="A264" s="32">
        <v>2001</v>
      </c>
      <c r="B264" s="32">
        <v>7</v>
      </c>
      <c r="C264" s="117">
        <f t="shared" si="47"/>
        <v>35.384999999999998</v>
      </c>
      <c r="D264" s="117">
        <f>+HLOOKUP('Ingreso Datos'!$I$7,'Precip 1981-2012'!$D$5:$AL$397,256,FALSE)</f>
        <v>34</v>
      </c>
      <c r="E264" s="122">
        <f t="shared" si="36"/>
        <v>46.297355387251699</v>
      </c>
      <c r="F264" s="122">
        <f t="shared" si="37"/>
        <v>3.2737066161755113</v>
      </c>
      <c r="G264" s="123">
        <f t="shared" si="38"/>
        <v>12.801435194700296</v>
      </c>
      <c r="H264" s="123">
        <f t="shared" si="39"/>
        <v>0</v>
      </c>
      <c r="I264" s="123">
        <f t="shared" si="40"/>
        <v>30.739134649987164</v>
      </c>
      <c r="J264" s="123">
        <f t="shared" si="41"/>
        <v>12.390512042018802</v>
      </c>
      <c r="K264" s="123">
        <f t="shared" si="42"/>
        <v>0.41092315268149449</v>
      </c>
      <c r="L264" s="123">
        <f t="shared" si="43"/>
        <v>5.9517945402139985</v>
      </c>
      <c r="M264" s="123">
        <f t="shared" si="44"/>
        <v>27.681973644972288</v>
      </c>
      <c r="N264" s="123">
        <f t="shared" si="45"/>
        <v>28.092896797653783</v>
      </c>
      <c r="O264" s="123">
        <f t="shared" si="46"/>
        <v>0.73884318577829444</v>
      </c>
    </row>
    <row r="265" spans="1:15" x14ac:dyDescent="0.25">
      <c r="A265" s="32">
        <v>2001</v>
      </c>
      <c r="B265" s="32">
        <v>8</v>
      </c>
      <c r="C265" s="117">
        <f t="shared" si="47"/>
        <v>55.605000000000004</v>
      </c>
      <c r="D265" s="117">
        <f>+HLOOKUP('Ingreso Datos'!$I$7,'Precip 1981-2012'!$D$5:$AL$397,257,FALSE)</f>
        <v>184.9</v>
      </c>
      <c r="E265" s="122">
        <f t="shared" si="36"/>
        <v>76.057925231939166</v>
      </c>
      <c r="F265" s="122">
        <f t="shared" si="37"/>
        <v>6.1358775695817496</v>
      </c>
      <c r="G265" s="123">
        <f t="shared" si="38"/>
        <v>128.50176371446688</v>
      </c>
      <c r="H265" s="123">
        <f t="shared" si="39"/>
        <v>0.79323628553312631</v>
      </c>
      <c r="I265" s="123">
        <f t="shared" si="40"/>
        <v>55.605000000000004</v>
      </c>
      <c r="J265" s="123">
        <f t="shared" si="41"/>
        <v>96.407212359551153</v>
      </c>
      <c r="K265" s="123">
        <f t="shared" si="42"/>
        <v>32.094551354915723</v>
      </c>
      <c r="L265" s="123">
        <f t="shared" si="43"/>
        <v>30.728854324654524</v>
      </c>
      <c r="M265" s="123">
        <f t="shared" si="44"/>
        <v>71.630152575110628</v>
      </c>
      <c r="N265" s="123">
        <f t="shared" si="45"/>
        <v>103.72470393002635</v>
      </c>
      <c r="O265" s="123">
        <f t="shared" si="46"/>
        <v>2.7279597133596929</v>
      </c>
    </row>
    <row r="266" spans="1:15" x14ac:dyDescent="0.25">
      <c r="A266" s="32">
        <v>2001</v>
      </c>
      <c r="B266" s="32">
        <v>9</v>
      </c>
      <c r="C266" s="117">
        <f t="shared" si="47"/>
        <v>78.858000000000004</v>
      </c>
      <c r="D266" s="117">
        <f>+HLOOKUP('Ingreso Datos'!$I$7,'Precip 1981-2012'!$D$5:$AL$397,258,FALSE)</f>
        <v>229.8</v>
      </c>
      <c r="E266" s="122">
        <f t="shared" si="36"/>
        <v>98.517688946406039</v>
      </c>
      <c r="F266" s="122">
        <f t="shared" si="37"/>
        <v>5.8979066839218115</v>
      </c>
      <c r="G266" s="123">
        <f t="shared" si="38"/>
        <v>158.38446331611831</v>
      </c>
      <c r="H266" s="123">
        <f t="shared" si="39"/>
        <v>0</v>
      </c>
      <c r="I266" s="123">
        <f t="shared" si="40"/>
        <v>72.208772969414809</v>
      </c>
      <c r="J266" s="123">
        <f t="shared" si="41"/>
        <v>112.30372459127366</v>
      </c>
      <c r="K266" s="123">
        <f t="shared" si="42"/>
        <v>46.08073872484465</v>
      </c>
      <c r="L266" s="123">
        <f t="shared" si="43"/>
        <v>38.122534690405942</v>
      </c>
      <c r="M266" s="123">
        <f t="shared" si="44"/>
        <v>104.91004422552224</v>
      </c>
      <c r="N266" s="123">
        <f t="shared" si="45"/>
        <v>150.99078295036691</v>
      </c>
      <c r="O266" s="123">
        <f t="shared" si="46"/>
        <v>3.9710575915946498</v>
      </c>
    </row>
    <row r="267" spans="1:15" x14ac:dyDescent="0.25">
      <c r="A267" s="32">
        <v>2001</v>
      </c>
      <c r="B267" s="32">
        <v>10</v>
      </c>
      <c r="C267" s="117">
        <f t="shared" si="47"/>
        <v>113.232</v>
      </c>
      <c r="D267" s="117">
        <f>+HLOOKUP('Ingreso Datos'!$I$7,'Precip 1981-2012'!$D$5:$AL$397,259,FALSE)</f>
        <v>126.5</v>
      </c>
      <c r="E267" s="122">
        <f t="shared" si="36"/>
        <v>133.68492523193916</v>
      </c>
      <c r="F267" s="122">
        <f t="shared" si="37"/>
        <v>6.1358775695817496</v>
      </c>
      <c r="G267" s="123">
        <f t="shared" si="38"/>
        <v>58.437887600013752</v>
      </c>
      <c r="H267" s="123">
        <f t="shared" si="39"/>
        <v>0</v>
      </c>
      <c r="I267" s="123">
        <f t="shared" si="40"/>
        <v>68.062112399986248</v>
      </c>
      <c r="J267" s="123">
        <f t="shared" si="41"/>
        <v>50.754054150095847</v>
      </c>
      <c r="K267" s="123">
        <f t="shared" si="42"/>
        <v>7.6838334499179055</v>
      </c>
      <c r="L267" s="123">
        <f t="shared" si="43"/>
        <v>19.5987202808303</v>
      </c>
      <c r="M267" s="123">
        <f t="shared" si="44"/>
        <v>69.277868559671489</v>
      </c>
      <c r="N267" s="123">
        <f t="shared" si="45"/>
        <v>76.961702009589402</v>
      </c>
      <c r="O267" s="123">
        <f t="shared" si="46"/>
        <v>2.0240927628522014</v>
      </c>
    </row>
    <row r="268" spans="1:15" x14ac:dyDescent="0.25">
      <c r="A268" s="32">
        <v>2001</v>
      </c>
      <c r="B268" s="32">
        <v>11</v>
      </c>
      <c r="C268" s="117">
        <f t="shared" si="47"/>
        <v>148.61699999999999</v>
      </c>
      <c r="D268" s="117">
        <f>+HLOOKUP('Ingreso Datos'!$I$7,'Precip 1981-2012'!$D$5:$AL$397,260,FALSE)</f>
        <v>171.4</v>
      </c>
      <c r="E268" s="122">
        <f t="shared" si="36"/>
        <v>169.06992523193915</v>
      </c>
      <c r="F268" s="122">
        <f t="shared" si="37"/>
        <v>6.1358775695817496</v>
      </c>
      <c r="G268" s="123">
        <f t="shared" si="38"/>
        <v>83.2187155552257</v>
      </c>
      <c r="H268" s="123">
        <f t="shared" si="39"/>
        <v>0</v>
      </c>
      <c r="I268" s="123">
        <f t="shared" si="40"/>
        <v>88.181284444774306</v>
      </c>
      <c r="J268" s="123">
        <f t="shared" si="41"/>
        <v>68.45938394913918</v>
      </c>
      <c r="K268" s="123">
        <f t="shared" si="42"/>
        <v>14.759331606086519</v>
      </c>
      <c r="L268" s="123">
        <f t="shared" si="43"/>
        <v>23.32391552079374</v>
      </c>
      <c r="M268" s="123">
        <f t="shared" si="44"/>
        <v>64.73418870917574</v>
      </c>
      <c r="N268" s="123">
        <f t="shared" si="45"/>
        <v>79.493520315262259</v>
      </c>
      <c r="O268" s="123">
        <f t="shared" si="46"/>
        <v>2.0906795842913977</v>
      </c>
    </row>
    <row r="269" spans="1:15" x14ac:dyDescent="0.25">
      <c r="A269" s="32">
        <v>2001</v>
      </c>
      <c r="B269" s="32">
        <v>12</v>
      </c>
      <c r="C269" s="117">
        <f t="shared" si="47"/>
        <v>179.958</v>
      </c>
      <c r="D269" s="117">
        <f>+HLOOKUP('Ingreso Datos'!$I$7,'Precip 1981-2012'!$D$5:$AL$397,261,FALSE)</f>
        <v>70.900000000000006</v>
      </c>
      <c r="E269" s="122">
        <f t="shared" si="36"/>
        <v>200.41092523193916</v>
      </c>
      <c r="F269" s="122">
        <f t="shared" si="37"/>
        <v>6.1358775695817496</v>
      </c>
      <c r="G269" s="123">
        <f t="shared" si="38"/>
        <v>16.192113156786174</v>
      </c>
      <c r="H269" s="123">
        <f t="shared" si="39"/>
        <v>0</v>
      </c>
      <c r="I269" s="123">
        <f t="shared" si="40"/>
        <v>54.707886843213828</v>
      </c>
      <c r="J269" s="123">
        <f t="shared" si="41"/>
        <v>15.540224370543466</v>
      </c>
      <c r="K269" s="123">
        <f t="shared" si="42"/>
        <v>0.65188878624270785</v>
      </c>
      <c r="L269" s="123">
        <f t="shared" si="43"/>
        <v>7.1401744736102684</v>
      </c>
      <c r="M269" s="123">
        <f t="shared" si="44"/>
        <v>31.723965417726937</v>
      </c>
      <c r="N269" s="123">
        <f t="shared" si="45"/>
        <v>32.375854203969645</v>
      </c>
      <c r="O269" s="123">
        <f t="shared" si="46"/>
        <v>0.85148496556440167</v>
      </c>
    </row>
    <row r="270" spans="1:15" x14ac:dyDescent="0.25">
      <c r="A270" s="32">
        <v>2002</v>
      </c>
      <c r="B270" s="32">
        <v>1</v>
      </c>
      <c r="C270" s="117">
        <f t="shared" si="47"/>
        <v>190.06799999999998</v>
      </c>
      <c r="D270" s="117">
        <f>+HLOOKUP('Ingreso Datos'!$I$7,'Precip 1981-2012'!$D$5:$AL$397,262,FALSE)</f>
        <v>115.3</v>
      </c>
      <c r="E270" s="122">
        <f t="shared" si="36"/>
        <v>210.52092523193915</v>
      </c>
      <c r="F270" s="122">
        <f t="shared" si="37"/>
        <v>6.1358775695817496</v>
      </c>
      <c r="G270" s="123">
        <f t="shared" si="38"/>
        <v>38.006178177659649</v>
      </c>
      <c r="H270" s="123">
        <f t="shared" si="39"/>
        <v>0</v>
      </c>
      <c r="I270" s="123">
        <f t="shared" si="40"/>
        <v>77.293821822340348</v>
      </c>
      <c r="J270" s="123">
        <f t="shared" si="41"/>
        <v>34.599459940957971</v>
      </c>
      <c r="K270" s="123">
        <f t="shared" si="42"/>
        <v>3.4067182367016784</v>
      </c>
      <c r="L270" s="123">
        <f t="shared" si="43"/>
        <v>11.517561144190939</v>
      </c>
      <c r="M270" s="123">
        <f t="shared" si="44"/>
        <v>30.222073270377301</v>
      </c>
      <c r="N270" s="123">
        <f t="shared" si="45"/>
        <v>33.628791507078979</v>
      </c>
      <c r="O270" s="123">
        <f t="shared" si="46"/>
        <v>0.88443721663617714</v>
      </c>
    </row>
    <row r="271" spans="1:15" x14ac:dyDescent="0.25">
      <c r="A271" s="32">
        <v>2002</v>
      </c>
      <c r="B271" s="32">
        <v>2</v>
      </c>
      <c r="C271" s="117">
        <f t="shared" si="47"/>
        <v>146.595</v>
      </c>
      <c r="D271" s="117">
        <f>+HLOOKUP('Ingreso Datos'!$I$7,'Precip 1981-2012'!$D$5:$AL$397,263,FALSE)</f>
        <v>115.2</v>
      </c>
      <c r="E271" s="122">
        <f t="shared" si="36"/>
        <v>167.04792523193916</v>
      </c>
      <c r="F271" s="122">
        <f t="shared" si="37"/>
        <v>6.1358775695817496</v>
      </c>
      <c r="G271" s="123">
        <f t="shared" si="38"/>
        <v>44.05938049061745</v>
      </c>
      <c r="H271" s="123">
        <f t="shared" si="39"/>
        <v>0</v>
      </c>
      <c r="I271" s="123">
        <f t="shared" si="40"/>
        <v>71.14061950938256</v>
      </c>
      <c r="J271" s="123">
        <f t="shared" si="41"/>
        <v>39.54551776077205</v>
      </c>
      <c r="K271" s="123">
        <f t="shared" si="42"/>
        <v>4.5138627298453997</v>
      </c>
      <c r="L271" s="123">
        <f t="shared" si="43"/>
        <v>13.49224640454409</v>
      </c>
      <c r="M271" s="123">
        <f t="shared" si="44"/>
        <v>37.570832500418902</v>
      </c>
      <c r="N271" s="123">
        <f t="shared" si="45"/>
        <v>42.084695230264302</v>
      </c>
      <c r="O271" s="123">
        <f t="shared" si="46"/>
        <v>1.1068274845559511</v>
      </c>
    </row>
    <row r="272" spans="1:15" x14ac:dyDescent="0.25">
      <c r="A272" s="32">
        <v>2002</v>
      </c>
      <c r="B272" s="32">
        <v>3</v>
      </c>
      <c r="C272" s="117">
        <f t="shared" si="47"/>
        <v>120.30899999999998</v>
      </c>
      <c r="D272" s="117">
        <f>+HLOOKUP('Ingreso Datos'!$I$7,'Precip 1981-2012'!$D$5:$AL$397,264,FALSE)</f>
        <v>363.7</v>
      </c>
      <c r="E272" s="122">
        <f t="shared" si="36"/>
        <v>140.76192523193916</v>
      </c>
      <c r="F272" s="122">
        <f t="shared" si="37"/>
        <v>6.1358775695817496</v>
      </c>
      <c r="G272" s="123">
        <f t="shared" si="38"/>
        <v>259.76159098288286</v>
      </c>
      <c r="H272" s="123">
        <f t="shared" si="39"/>
        <v>0</v>
      </c>
      <c r="I272" s="123">
        <f t="shared" si="40"/>
        <v>103.93840901711712</v>
      </c>
      <c r="J272" s="123">
        <f t="shared" si="41"/>
        <v>155.27088560157273</v>
      </c>
      <c r="K272" s="123">
        <f t="shared" si="42"/>
        <v>104.49070538131014</v>
      </c>
      <c r="L272" s="123">
        <f t="shared" si="43"/>
        <v>49.873059042160016</v>
      </c>
      <c r="M272" s="123">
        <f t="shared" si="44"/>
        <v>118.89007296395681</v>
      </c>
      <c r="N272" s="123">
        <f t="shared" si="45"/>
        <v>223.38077834526695</v>
      </c>
      <c r="O272" s="123">
        <f t="shared" si="46"/>
        <v>5.8749144704805207</v>
      </c>
    </row>
    <row r="273" spans="1:15" x14ac:dyDescent="0.25">
      <c r="A273" s="32">
        <v>2002</v>
      </c>
      <c r="B273" s="32">
        <v>4</v>
      </c>
      <c r="C273" s="117">
        <f t="shared" si="47"/>
        <v>73.802999999999997</v>
      </c>
      <c r="D273" s="117">
        <f>+HLOOKUP('Ingreso Datos'!$I$7,'Precip 1981-2012'!$D$5:$AL$397,265,FALSE)</f>
        <v>382.9</v>
      </c>
      <c r="E273" s="122">
        <f t="shared" si="36"/>
        <v>94.255925231939159</v>
      </c>
      <c r="F273" s="122">
        <f t="shared" si="37"/>
        <v>6.1358775695817496</v>
      </c>
      <c r="G273" s="123">
        <f t="shared" si="38"/>
        <v>305.34746735393111</v>
      </c>
      <c r="H273" s="123">
        <f t="shared" si="39"/>
        <v>3.7495326460688716</v>
      </c>
      <c r="I273" s="123">
        <f t="shared" si="40"/>
        <v>73.802999999999997</v>
      </c>
      <c r="J273" s="123">
        <f t="shared" si="41"/>
        <v>170.48463755820427</v>
      </c>
      <c r="K273" s="123">
        <f t="shared" si="42"/>
        <v>134.86282979572684</v>
      </c>
      <c r="L273" s="123">
        <f t="shared" si="43"/>
        <v>58.187892836191537</v>
      </c>
      <c r="M273" s="123">
        <f t="shared" si="44"/>
        <v>162.16980376417274</v>
      </c>
      <c r="N273" s="123">
        <f t="shared" si="45"/>
        <v>297.03263355989958</v>
      </c>
      <c r="O273" s="123">
        <f t="shared" si="46"/>
        <v>7.8119582626253585</v>
      </c>
    </row>
    <row r="274" spans="1:15" x14ac:dyDescent="0.25">
      <c r="A274" s="32">
        <v>2002</v>
      </c>
      <c r="B274" s="32">
        <v>5</v>
      </c>
      <c r="C274" s="117">
        <f t="shared" si="47"/>
        <v>44.483999999999995</v>
      </c>
      <c r="D274" s="117">
        <f>+HLOOKUP('Ingreso Datos'!$I$7,'Precip 1981-2012'!$D$5:$AL$397,266,FALSE)</f>
        <v>128.6</v>
      </c>
      <c r="E274" s="122">
        <f t="shared" ref="E274:E337" si="48">+CAD*AD-H273+C274</f>
        <v>61.187392585870285</v>
      </c>
      <c r="F274" s="122">
        <f t="shared" ref="F274:F337" si="49">+CP.o*(CAD*AD-H273)</f>
        <v>5.0110177757610881</v>
      </c>
      <c r="G274" s="123">
        <f t="shared" ref="G274:G337" si="50">+IF(D274&lt;F274,0,(D274-F274)^2/(D274+E274-2*F274))</f>
        <v>84.967631023060591</v>
      </c>
      <c r="H274" s="123">
        <f t="shared" ref="H274:H337" si="51">+MAX(0,H273+D274-G274-C274)</f>
        <v>2.8979016230082806</v>
      </c>
      <c r="I274" s="123">
        <f t="shared" ref="I274:I337" si="52">+MIN(H273+D274-G274,C274)</f>
        <v>44.483999999999995</v>
      </c>
      <c r="J274" s="123">
        <f t="shared" ref="J274:J337" si="53">+Imax*G274/(G274+Imax)</f>
        <v>69.638555634188549</v>
      </c>
      <c r="K274" s="123">
        <f t="shared" ref="K274:K337" si="54">+G274-J274</f>
        <v>15.329075388872042</v>
      </c>
      <c r="L274" s="123">
        <f t="shared" ref="L274:L337" si="55">+L273*EXP(-α)+J274*EXP(-α/2)</f>
        <v>27.466028763636253</v>
      </c>
      <c r="M274" s="123">
        <f t="shared" ref="M274:M337" si="56">+L273-L274+J274</f>
        <v>100.36041970674384</v>
      </c>
      <c r="N274" s="123">
        <f t="shared" ref="N274:N337" si="57">+M274+K274</f>
        <v>115.68949509561588</v>
      </c>
      <c r="O274" s="123">
        <f t="shared" ref="O274:O337" si="58">+N274*Ac/100000</f>
        <v>3.0426337210146976</v>
      </c>
    </row>
    <row r="275" spans="1:15" x14ac:dyDescent="0.25">
      <c r="A275" s="32">
        <v>2002</v>
      </c>
      <c r="B275" s="32">
        <v>6</v>
      </c>
      <c r="C275" s="117">
        <f t="shared" si="47"/>
        <v>29.318999999999996</v>
      </c>
      <c r="D275" s="117">
        <f>+HLOOKUP('Ingreso Datos'!$I$7,'Precip 1981-2012'!$D$5:$AL$397,267,FALSE)</f>
        <v>71.7</v>
      </c>
      <c r="E275" s="122">
        <f t="shared" si="48"/>
        <v>46.874023608930884</v>
      </c>
      <c r="F275" s="122">
        <f t="shared" si="49"/>
        <v>5.266507082679265</v>
      </c>
      <c r="G275" s="123">
        <f t="shared" si="50"/>
        <v>40.849386764576074</v>
      </c>
      <c r="H275" s="123">
        <f t="shared" si="51"/>
        <v>4.4295148584322135</v>
      </c>
      <c r="I275" s="123">
        <f t="shared" si="52"/>
        <v>29.318999999999996</v>
      </c>
      <c r="J275" s="123">
        <f t="shared" si="53"/>
        <v>36.940109978002496</v>
      </c>
      <c r="K275" s="123">
        <f t="shared" si="54"/>
        <v>3.909276786573578</v>
      </c>
      <c r="L275" s="123">
        <f t="shared" si="55"/>
        <v>14.237022508344026</v>
      </c>
      <c r="M275" s="123">
        <f t="shared" si="56"/>
        <v>50.169116233294723</v>
      </c>
      <c r="N275" s="123">
        <f t="shared" si="57"/>
        <v>54.078393019868301</v>
      </c>
      <c r="O275" s="123">
        <f t="shared" si="58"/>
        <v>1.4222617364225363</v>
      </c>
    </row>
    <row r="276" spans="1:15" x14ac:dyDescent="0.25">
      <c r="A276" s="32">
        <v>2002</v>
      </c>
      <c r="B276" s="32">
        <v>7</v>
      </c>
      <c r="C276" s="117">
        <f t="shared" si="47"/>
        <v>35.384999999999998</v>
      </c>
      <c r="D276" s="117">
        <f>+HLOOKUP('Ingreso Datos'!$I$7,'Precip 1981-2012'!$D$5:$AL$397,268,FALSE)</f>
        <v>193.5</v>
      </c>
      <c r="E276" s="122">
        <f t="shared" si="48"/>
        <v>51.408410373506953</v>
      </c>
      <c r="F276" s="122">
        <f t="shared" si="49"/>
        <v>4.807023112052085</v>
      </c>
      <c r="G276" s="123">
        <f t="shared" si="50"/>
        <v>151.32125945960959</v>
      </c>
      <c r="H276" s="123">
        <f t="shared" si="51"/>
        <v>11.223255398822623</v>
      </c>
      <c r="I276" s="123">
        <f t="shared" si="52"/>
        <v>35.384999999999998</v>
      </c>
      <c r="J276" s="123">
        <f t="shared" si="53"/>
        <v>108.70592801437439</v>
      </c>
      <c r="K276" s="123">
        <f t="shared" si="54"/>
        <v>42.615331445235199</v>
      </c>
      <c r="L276" s="123">
        <f t="shared" si="55"/>
        <v>35.384863195352359</v>
      </c>
      <c r="M276" s="123">
        <f t="shared" si="56"/>
        <v>87.558087327366053</v>
      </c>
      <c r="N276" s="123">
        <f t="shared" si="57"/>
        <v>130.17341877260125</v>
      </c>
      <c r="O276" s="123">
        <f t="shared" si="58"/>
        <v>3.4235609137194132</v>
      </c>
    </row>
    <row r="277" spans="1:15" x14ac:dyDescent="0.25">
      <c r="A277" s="32">
        <v>2002</v>
      </c>
      <c r="B277" s="32">
        <v>8</v>
      </c>
      <c r="C277" s="117">
        <f t="shared" si="47"/>
        <v>55.605000000000004</v>
      </c>
      <c r="D277" s="117">
        <f>+HLOOKUP('Ingreso Datos'!$I$7,'Precip 1981-2012'!$D$5:$AL$397,269,FALSE)</f>
        <v>74.8</v>
      </c>
      <c r="E277" s="122">
        <f t="shared" si="48"/>
        <v>64.83466983311655</v>
      </c>
      <c r="F277" s="122">
        <f t="shared" si="49"/>
        <v>2.7689009499349626</v>
      </c>
      <c r="G277" s="123">
        <f t="shared" si="50"/>
        <v>38.692023984804052</v>
      </c>
      <c r="H277" s="123">
        <f t="shared" si="51"/>
        <v>0</v>
      </c>
      <c r="I277" s="123">
        <f t="shared" si="52"/>
        <v>47.331231414018561</v>
      </c>
      <c r="J277" s="123">
        <f t="shared" si="53"/>
        <v>35.166945491466919</v>
      </c>
      <c r="K277" s="123">
        <f t="shared" si="54"/>
        <v>3.5250784933371335</v>
      </c>
      <c r="L277" s="123">
        <f t="shared" si="55"/>
        <v>14.456878769772485</v>
      </c>
      <c r="M277" s="123">
        <f t="shared" si="56"/>
        <v>56.094929917046791</v>
      </c>
      <c r="N277" s="123">
        <f t="shared" si="57"/>
        <v>59.620008410383925</v>
      </c>
      <c r="O277" s="123">
        <f t="shared" si="58"/>
        <v>1.5680062211930974</v>
      </c>
    </row>
    <row r="278" spans="1:15" x14ac:dyDescent="0.25">
      <c r="A278" s="32">
        <v>2002</v>
      </c>
      <c r="B278" s="32">
        <v>9</v>
      </c>
      <c r="C278" s="117">
        <f t="shared" si="47"/>
        <v>78.858000000000004</v>
      </c>
      <c r="D278" s="117">
        <f>+HLOOKUP('Ingreso Datos'!$I$7,'Precip 1981-2012'!$D$5:$AL$397,270,FALSE)</f>
        <v>283.39999999999998</v>
      </c>
      <c r="E278" s="122">
        <f t="shared" si="48"/>
        <v>99.310925231939166</v>
      </c>
      <c r="F278" s="122">
        <f t="shared" si="49"/>
        <v>6.1358775695817496</v>
      </c>
      <c r="G278" s="123">
        <f t="shared" si="50"/>
        <v>207.52501299432421</v>
      </c>
      <c r="H278" s="123">
        <f t="shared" si="51"/>
        <v>0</v>
      </c>
      <c r="I278" s="123">
        <f t="shared" si="52"/>
        <v>75.874987005675763</v>
      </c>
      <c r="J278" s="123">
        <f t="shared" si="53"/>
        <v>134.96424457611724</v>
      </c>
      <c r="K278" s="123">
        <f t="shared" si="54"/>
        <v>72.560768418206976</v>
      </c>
      <c r="L278" s="123">
        <f t="shared" si="55"/>
        <v>43.617427527087379</v>
      </c>
      <c r="M278" s="123">
        <f t="shared" si="56"/>
        <v>105.80369581880234</v>
      </c>
      <c r="N278" s="123">
        <f t="shared" si="57"/>
        <v>178.36446423700932</v>
      </c>
      <c r="O278" s="123">
        <f t="shared" si="58"/>
        <v>4.6909854094333454</v>
      </c>
    </row>
    <row r="279" spans="1:15" x14ac:dyDescent="0.25">
      <c r="A279" s="32">
        <v>2002</v>
      </c>
      <c r="B279" s="32">
        <v>10</v>
      </c>
      <c r="C279" s="117">
        <f t="shared" si="47"/>
        <v>113.232</v>
      </c>
      <c r="D279" s="117">
        <f>+HLOOKUP('Ingreso Datos'!$I$7,'Precip 1981-2012'!$D$5:$AL$397,271,FALSE)</f>
        <v>211.9</v>
      </c>
      <c r="E279" s="122">
        <f t="shared" si="48"/>
        <v>133.68492523193916</v>
      </c>
      <c r="F279" s="122">
        <f t="shared" si="49"/>
        <v>6.1358775695817496</v>
      </c>
      <c r="G279" s="123">
        <f t="shared" si="50"/>
        <v>127.02430590359027</v>
      </c>
      <c r="H279" s="123">
        <f t="shared" si="51"/>
        <v>0</v>
      </c>
      <c r="I279" s="123">
        <f t="shared" si="52"/>
        <v>84.875694096409731</v>
      </c>
      <c r="J279" s="123">
        <f t="shared" si="53"/>
        <v>95.573214591513008</v>
      </c>
      <c r="K279" s="123">
        <f t="shared" si="54"/>
        <v>31.451091312077267</v>
      </c>
      <c r="L279" s="123">
        <f t="shared" si="55"/>
        <v>34.151135665915419</v>
      </c>
      <c r="M279" s="123">
        <f t="shared" si="56"/>
        <v>105.03950645268498</v>
      </c>
      <c r="N279" s="123">
        <f t="shared" si="57"/>
        <v>136.49059776476224</v>
      </c>
      <c r="O279" s="123">
        <f t="shared" si="58"/>
        <v>3.5897027212132468</v>
      </c>
    </row>
    <row r="280" spans="1:15" x14ac:dyDescent="0.25">
      <c r="A280" s="32">
        <v>2002</v>
      </c>
      <c r="B280" s="32">
        <v>11</v>
      </c>
      <c r="C280" s="117">
        <f t="shared" si="47"/>
        <v>148.61699999999999</v>
      </c>
      <c r="D280" s="117">
        <f>+HLOOKUP('Ingreso Datos'!$I$7,'Precip 1981-2012'!$D$5:$AL$397,272,FALSE)</f>
        <v>434.5</v>
      </c>
      <c r="E280" s="122">
        <f t="shared" si="48"/>
        <v>169.06992523193915</v>
      </c>
      <c r="F280" s="122">
        <f t="shared" si="49"/>
        <v>6.1358775695817496</v>
      </c>
      <c r="G280" s="123">
        <f t="shared" si="50"/>
        <v>310.32705776307671</v>
      </c>
      <c r="H280" s="123">
        <f t="shared" si="51"/>
        <v>0</v>
      </c>
      <c r="I280" s="123">
        <f t="shared" si="52"/>
        <v>124.17294223692329</v>
      </c>
      <c r="J280" s="123">
        <f t="shared" si="53"/>
        <v>172.02583607960921</v>
      </c>
      <c r="K280" s="123">
        <f t="shared" si="54"/>
        <v>138.3012216834675</v>
      </c>
      <c r="L280" s="123">
        <f t="shared" si="55"/>
        <v>57.132487107280888</v>
      </c>
      <c r="M280" s="123">
        <f t="shared" si="56"/>
        <v>149.04448463824374</v>
      </c>
      <c r="N280" s="123">
        <f t="shared" si="57"/>
        <v>287.34570632171125</v>
      </c>
      <c r="O280" s="123">
        <f t="shared" si="58"/>
        <v>7.5571920762610061</v>
      </c>
    </row>
    <row r="281" spans="1:15" x14ac:dyDescent="0.25">
      <c r="A281" s="32">
        <v>2002</v>
      </c>
      <c r="B281" s="32">
        <v>12</v>
      </c>
      <c r="C281" s="117">
        <f t="shared" si="47"/>
        <v>179.958</v>
      </c>
      <c r="D281" s="117">
        <f>+HLOOKUP('Ingreso Datos'!$I$7,'Precip 1981-2012'!$D$5:$AL$397,273,FALSE)</f>
        <v>288.3</v>
      </c>
      <c r="E281" s="122">
        <f t="shared" si="48"/>
        <v>200.41092523193916</v>
      </c>
      <c r="F281" s="122">
        <f t="shared" si="49"/>
        <v>6.1358775695817496</v>
      </c>
      <c r="G281" s="123">
        <f t="shared" si="50"/>
        <v>167.10757004178424</v>
      </c>
      <c r="H281" s="123">
        <f t="shared" si="51"/>
        <v>0</v>
      </c>
      <c r="I281" s="123">
        <f t="shared" si="52"/>
        <v>121.19242995821577</v>
      </c>
      <c r="J281" s="123">
        <f t="shared" si="53"/>
        <v>116.62021192596556</v>
      </c>
      <c r="K281" s="123">
        <f t="shared" si="54"/>
        <v>50.487358115818679</v>
      </c>
      <c r="L281" s="123">
        <f t="shared" si="55"/>
        <v>42.05415329601616</v>
      </c>
      <c r="M281" s="123">
        <f t="shared" si="56"/>
        <v>131.69854573723029</v>
      </c>
      <c r="N281" s="123">
        <f t="shared" si="57"/>
        <v>182.18590385304896</v>
      </c>
      <c r="O281" s="123">
        <f t="shared" si="58"/>
        <v>4.7914892713351875</v>
      </c>
    </row>
    <row r="282" spans="1:15" x14ac:dyDescent="0.25">
      <c r="A282" s="32">
        <v>2003</v>
      </c>
      <c r="B282" s="32">
        <v>1</v>
      </c>
      <c r="C282" s="117">
        <f t="shared" si="47"/>
        <v>190.06799999999998</v>
      </c>
      <c r="D282" s="117">
        <f>+HLOOKUP('Ingreso Datos'!$I$7,'Precip 1981-2012'!$D$5:$AL$397,274,FALSE)</f>
        <v>118.3</v>
      </c>
      <c r="E282" s="122">
        <f t="shared" si="48"/>
        <v>210.52092523193915</v>
      </c>
      <c r="F282" s="122">
        <f t="shared" si="49"/>
        <v>6.1358775695817496</v>
      </c>
      <c r="G282" s="123">
        <f t="shared" si="50"/>
        <v>39.743558186864362</v>
      </c>
      <c r="H282" s="123">
        <f t="shared" si="51"/>
        <v>0</v>
      </c>
      <c r="I282" s="123">
        <f t="shared" si="52"/>
        <v>78.556441813135635</v>
      </c>
      <c r="J282" s="123">
        <f t="shared" si="53"/>
        <v>36.033459966988566</v>
      </c>
      <c r="K282" s="123">
        <f t="shared" si="54"/>
        <v>3.7100982198757961</v>
      </c>
      <c r="L282" s="123">
        <f t="shared" si="55"/>
        <v>15.37998698618874</v>
      </c>
      <c r="M282" s="123">
        <f t="shared" si="56"/>
        <v>62.707626276815986</v>
      </c>
      <c r="N282" s="123">
        <f t="shared" si="57"/>
        <v>66.41772449669179</v>
      </c>
      <c r="O282" s="123">
        <f t="shared" si="58"/>
        <v>1.7467861542629939</v>
      </c>
    </row>
    <row r="283" spans="1:15" x14ac:dyDescent="0.25">
      <c r="A283" s="32">
        <v>2003</v>
      </c>
      <c r="B283" s="32">
        <v>2</v>
      </c>
      <c r="C283" s="117">
        <f t="shared" si="47"/>
        <v>146.595</v>
      </c>
      <c r="D283" s="117">
        <f>+HLOOKUP('Ingreso Datos'!$I$7,'Precip 1981-2012'!$D$5:$AL$397,275,FALSE)</f>
        <v>217.7</v>
      </c>
      <c r="E283" s="122">
        <f t="shared" si="48"/>
        <v>167.04792523193916</v>
      </c>
      <c r="F283" s="122">
        <f t="shared" si="49"/>
        <v>6.1358775695817496</v>
      </c>
      <c r="G283" s="123">
        <f t="shared" si="50"/>
        <v>120.16709119567145</v>
      </c>
      <c r="H283" s="123">
        <f t="shared" si="51"/>
        <v>0</v>
      </c>
      <c r="I283" s="123">
        <f t="shared" si="52"/>
        <v>97.532908804328542</v>
      </c>
      <c r="J283" s="123">
        <f t="shared" si="53"/>
        <v>91.638705890498329</v>
      </c>
      <c r="K283" s="123">
        <f t="shared" si="54"/>
        <v>28.528385305173117</v>
      </c>
      <c r="L283" s="123">
        <f t="shared" si="55"/>
        <v>30.159647056357411</v>
      </c>
      <c r="M283" s="123">
        <f t="shared" si="56"/>
        <v>76.859045820329655</v>
      </c>
      <c r="N283" s="123">
        <f t="shared" si="57"/>
        <v>105.38743112550277</v>
      </c>
      <c r="O283" s="123">
        <f t="shared" si="58"/>
        <v>2.7716894386007231</v>
      </c>
    </row>
    <row r="284" spans="1:15" x14ac:dyDescent="0.25">
      <c r="A284" s="32">
        <v>2003</v>
      </c>
      <c r="B284" s="32">
        <v>3</v>
      </c>
      <c r="C284" s="117">
        <f t="shared" si="47"/>
        <v>120.30899999999998</v>
      </c>
      <c r="D284" s="117">
        <f>+HLOOKUP('Ingreso Datos'!$I$7,'Precip 1981-2012'!$D$5:$AL$397,276,FALSE)</f>
        <v>195.4</v>
      </c>
      <c r="E284" s="122">
        <f t="shared" si="48"/>
        <v>140.76192523193916</v>
      </c>
      <c r="F284" s="122">
        <f t="shared" si="49"/>
        <v>6.1358775695817496</v>
      </c>
      <c r="G284" s="123">
        <f t="shared" si="50"/>
        <v>110.59584805891377</v>
      </c>
      <c r="H284" s="123">
        <f t="shared" si="51"/>
        <v>0</v>
      </c>
      <c r="I284" s="123">
        <f t="shared" si="52"/>
        <v>84.804151941086232</v>
      </c>
      <c r="J284" s="123">
        <f t="shared" si="53"/>
        <v>85.965272399289532</v>
      </c>
      <c r="K284" s="123">
        <f t="shared" si="54"/>
        <v>24.630575659624242</v>
      </c>
      <c r="L284" s="123">
        <f t="shared" si="55"/>
        <v>29.8307509264522</v>
      </c>
      <c r="M284" s="123">
        <f t="shared" si="56"/>
        <v>86.294168529194735</v>
      </c>
      <c r="N284" s="123">
        <f t="shared" si="57"/>
        <v>110.92474418881898</v>
      </c>
      <c r="O284" s="123">
        <f t="shared" si="58"/>
        <v>2.9173207721659389</v>
      </c>
    </row>
    <row r="285" spans="1:15" x14ac:dyDescent="0.25">
      <c r="A285" s="32">
        <v>2003</v>
      </c>
      <c r="B285" s="32">
        <v>4</v>
      </c>
      <c r="C285" s="117">
        <f t="shared" si="47"/>
        <v>73.802999999999997</v>
      </c>
      <c r="D285" s="117">
        <f>+HLOOKUP('Ingreso Datos'!$I$7,'Precip 1981-2012'!$D$5:$AL$397,277,FALSE)</f>
        <v>170.5</v>
      </c>
      <c r="E285" s="122">
        <f t="shared" si="48"/>
        <v>94.255925231939159</v>
      </c>
      <c r="F285" s="122">
        <f t="shared" si="49"/>
        <v>6.1358775695817496</v>
      </c>
      <c r="G285" s="123">
        <f t="shared" si="50"/>
        <v>106.99904367230079</v>
      </c>
      <c r="H285" s="123">
        <f t="shared" si="51"/>
        <v>0</v>
      </c>
      <c r="I285" s="123">
        <f t="shared" si="52"/>
        <v>63.500956327699214</v>
      </c>
      <c r="J285" s="123">
        <f t="shared" si="53"/>
        <v>83.776290010334236</v>
      </c>
      <c r="K285" s="123">
        <f t="shared" si="54"/>
        <v>23.22275366196655</v>
      </c>
      <c r="L285" s="123">
        <f t="shared" si="55"/>
        <v>29.11408799768661</v>
      </c>
      <c r="M285" s="123">
        <f t="shared" si="56"/>
        <v>84.492952939099823</v>
      </c>
      <c r="N285" s="123">
        <f t="shared" si="57"/>
        <v>107.71570660106637</v>
      </c>
      <c r="O285" s="123">
        <f t="shared" si="58"/>
        <v>2.8329230836080459</v>
      </c>
    </row>
    <row r="286" spans="1:15" x14ac:dyDescent="0.25">
      <c r="A286" s="32">
        <v>2003</v>
      </c>
      <c r="B286" s="32">
        <v>5</v>
      </c>
      <c r="C286" s="117">
        <f t="shared" ref="C286:C349" si="59">+C274</f>
        <v>44.483999999999995</v>
      </c>
      <c r="D286" s="117">
        <f>+HLOOKUP('Ingreso Datos'!$I$7,'Precip 1981-2012'!$D$5:$AL$397,278,FALSE)</f>
        <v>180.9</v>
      </c>
      <c r="E286" s="122">
        <f t="shared" si="48"/>
        <v>64.936925231939156</v>
      </c>
      <c r="F286" s="122">
        <f t="shared" si="49"/>
        <v>6.1358775695817496</v>
      </c>
      <c r="G286" s="123">
        <f t="shared" si="50"/>
        <v>130.76649432251511</v>
      </c>
      <c r="H286" s="123">
        <f t="shared" si="51"/>
        <v>5.6495056774848962</v>
      </c>
      <c r="I286" s="123">
        <f t="shared" si="52"/>
        <v>44.483999999999995</v>
      </c>
      <c r="J286" s="123">
        <f t="shared" si="53"/>
        <v>97.676353562095954</v>
      </c>
      <c r="K286" s="123">
        <f t="shared" si="54"/>
        <v>33.09014076041916</v>
      </c>
      <c r="L286" s="123">
        <f t="shared" si="55"/>
        <v>33.390607976340831</v>
      </c>
      <c r="M286" s="123">
        <f t="shared" si="56"/>
        <v>93.399833583441733</v>
      </c>
      <c r="N286" s="123">
        <f t="shared" si="57"/>
        <v>126.48997434386089</v>
      </c>
      <c r="O286" s="123">
        <f t="shared" si="58"/>
        <v>3.3266863252435415</v>
      </c>
    </row>
    <row r="287" spans="1:15" x14ac:dyDescent="0.25">
      <c r="A287" s="32">
        <v>2003</v>
      </c>
      <c r="B287" s="32">
        <v>6</v>
      </c>
      <c r="C287" s="117">
        <f t="shared" si="59"/>
        <v>29.318999999999996</v>
      </c>
      <c r="D287" s="117">
        <f>+HLOOKUP('Ingreso Datos'!$I$7,'Precip 1981-2012'!$D$5:$AL$397,279,FALSE)</f>
        <v>93.7</v>
      </c>
      <c r="E287" s="122">
        <f t="shared" si="48"/>
        <v>44.122419554454268</v>
      </c>
      <c r="F287" s="122">
        <f t="shared" si="49"/>
        <v>4.4410258663362807</v>
      </c>
      <c r="G287" s="123">
        <f t="shared" si="50"/>
        <v>61.789527965408588</v>
      </c>
      <c r="H287" s="123">
        <f t="shared" si="51"/>
        <v>8.2409777120763152</v>
      </c>
      <c r="I287" s="123">
        <f t="shared" si="52"/>
        <v>29.318999999999996</v>
      </c>
      <c r="J287" s="123">
        <f t="shared" si="53"/>
        <v>53.263321951758925</v>
      </c>
      <c r="K287" s="123">
        <f t="shared" si="54"/>
        <v>8.5262060136496629</v>
      </c>
      <c r="L287" s="123">
        <f t="shared" si="55"/>
        <v>19.920672873878313</v>
      </c>
      <c r="M287" s="123">
        <f t="shared" si="56"/>
        <v>66.73325705422144</v>
      </c>
      <c r="N287" s="123">
        <f t="shared" si="57"/>
        <v>75.25946306787111</v>
      </c>
      <c r="O287" s="123">
        <f t="shared" si="58"/>
        <v>1.97932387868501</v>
      </c>
    </row>
    <row r="288" spans="1:15" x14ac:dyDescent="0.25">
      <c r="A288" s="32">
        <v>2003</v>
      </c>
      <c r="B288" s="32">
        <v>7</v>
      </c>
      <c r="C288" s="117">
        <f t="shared" si="59"/>
        <v>35.384999999999998</v>
      </c>
      <c r="D288" s="117">
        <f>+HLOOKUP('Ingreso Datos'!$I$7,'Precip 1981-2012'!$D$5:$AL$397,280,FALSE)</f>
        <v>38</v>
      </c>
      <c r="E288" s="122">
        <f t="shared" si="48"/>
        <v>47.596947519862852</v>
      </c>
      <c r="F288" s="122">
        <f t="shared" si="49"/>
        <v>3.6635842559588547</v>
      </c>
      <c r="G288" s="123">
        <f t="shared" si="50"/>
        <v>15.063150312816877</v>
      </c>
      <c r="H288" s="123">
        <f t="shared" si="51"/>
        <v>0</v>
      </c>
      <c r="I288" s="123">
        <f t="shared" si="52"/>
        <v>31.177827399259439</v>
      </c>
      <c r="J288" s="123">
        <f t="shared" si="53"/>
        <v>14.49740774292597</v>
      </c>
      <c r="K288" s="123">
        <f t="shared" si="54"/>
        <v>0.56574256989090621</v>
      </c>
      <c r="L288" s="123">
        <f t="shared" si="55"/>
        <v>6.4813013354660516</v>
      </c>
      <c r="M288" s="123">
        <f t="shared" si="56"/>
        <v>27.936779281338232</v>
      </c>
      <c r="N288" s="123">
        <f t="shared" si="57"/>
        <v>28.50252185122914</v>
      </c>
      <c r="O288" s="123">
        <f t="shared" si="58"/>
        <v>0.74961632468732642</v>
      </c>
    </row>
    <row r="289" spans="1:15" x14ac:dyDescent="0.25">
      <c r="A289" s="32">
        <v>2003</v>
      </c>
      <c r="B289" s="32">
        <v>8</v>
      </c>
      <c r="C289" s="117">
        <f t="shared" si="59"/>
        <v>55.605000000000004</v>
      </c>
      <c r="D289" s="117">
        <f>+HLOOKUP('Ingreso Datos'!$I$7,'Precip 1981-2012'!$D$5:$AL$397,281,FALSE)</f>
        <v>140.4</v>
      </c>
      <c r="E289" s="122">
        <f t="shared" si="48"/>
        <v>76.057925231939166</v>
      </c>
      <c r="F289" s="122">
        <f t="shared" si="49"/>
        <v>6.1358775695817496</v>
      </c>
      <c r="G289" s="123">
        <f t="shared" si="50"/>
        <v>88.286364173535958</v>
      </c>
      <c r="H289" s="123">
        <f t="shared" si="51"/>
        <v>0</v>
      </c>
      <c r="I289" s="123">
        <f t="shared" si="52"/>
        <v>52.113635826464048</v>
      </c>
      <c r="J289" s="123">
        <f t="shared" si="53"/>
        <v>71.852237688444134</v>
      </c>
      <c r="K289" s="123">
        <f t="shared" si="54"/>
        <v>16.434126485091824</v>
      </c>
      <c r="L289" s="123">
        <f t="shared" si="55"/>
        <v>23.102206169398784</v>
      </c>
      <c r="M289" s="123">
        <f t="shared" si="56"/>
        <v>55.2313328545114</v>
      </c>
      <c r="N289" s="123">
        <f t="shared" si="57"/>
        <v>71.665459339603217</v>
      </c>
      <c r="O289" s="123">
        <f t="shared" si="58"/>
        <v>1.8848015806315648</v>
      </c>
    </row>
    <row r="290" spans="1:15" x14ac:dyDescent="0.25">
      <c r="A290" s="32">
        <v>2003</v>
      </c>
      <c r="B290" s="32">
        <v>9</v>
      </c>
      <c r="C290" s="117">
        <f t="shared" si="59"/>
        <v>78.858000000000004</v>
      </c>
      <c r="D290" s="117">
        <f>+HLOOKUP('Ingreso Datos'!$I$7,'Precip 1981-2012'!$D$5:$AL$397,282,FALSE)</f>
        <v>71.5</v>
      </c>
      <c r="E290" s="122">
        <f t="shared" si="48"/>
        <v>99.310925231939166</v>
      </c>
      <c r="F290" s="122">
        <f t="shared" si="49"/>
        <v>6.1358775695817496</v>
      </c>
      <c r="G290" s="123">
        <f t="shared" si="50"/>
        <v>26.948977332216995</v>
      </c>
      <c r="H290" s="123">
        <f t="shared" si="51"/>
        <v>0</v>
      </c>
      <c r="I290" s="123">
        <f t="shared" si="52"/>
        <v>44.551022667783002</v>
      </c>
      <c r="J290" s="123">
        <f t="shared" si="53"/>
        <v>25.190291830816467</v>
      </c>
      <c r="K290" s="123">
        <f t="shared" si="54"/>
        <v>1.758685501400528</v>
      </c>
      <c r="L290" s="123">
        <f t="shared" si="55"/>
        <v>10.136104301810136</v>
      </c>
      <c r="M290" s="123">
        <f t="shared" si="56"/>
        <v>38.156393698405111</v>
      </c>
      <c r="N290" s="123">
        <f t="shared" si="57"/>
        <v>39.915079199805639</v>
      </c>
      <c r="O290" s="123">
        <f t="shared" si="58"/>
        <v>1.0497665829548883</v>
      </c>
    </row>
    <row r="291" spans="1:15" x14ac:dyDescent="0.25">
      <c r="A291" s="32">
        <v>2003</v>
      </c>
      <c r="B291" s="32">
        <v>10</v>
      </c>
      <c r="C291" s="117">
        <f t="shared" si="59"/>
        <v>113.232</v>
      </c>
      <c r="D291" s="117">
        <f>+HLOOKUP('Ingreso Datos'!$I$7,'Precip 1981-2012'!$D$5:$AL$397,283,FALSE)</f>
        <v>146.1</v>
      </c>
      <c r="E291" s="122">
        <f t="shared" si="48"/>
        <v>133.68492523193916</v>
      </c>
      <c r="F291" s="122">
        <f t="shared" si="49"/>
        <v>6.1358775695817496</v>
      </c>
      <c r="G291" s="123">
        <f t="shared" si="50"/>
        <v>73.229873358844955</v>
      </c>
      <c r="H291" s="123">
        <f t="shared" si="51"/>
        <v>0</v>
      </c>
      <c r="I291" s="123">
        <f t="shared" si="52"/>
        <v>72.870126641155039</v>
      </c>
      <c r="J291" s="123">
        <f t="shared" si="53"/>
        <v>61.552465892013871</v>
      </c>
      <c r="K291" s="123">
        <f t="shared" si="54"/>
        <v>11.677407466831085</v>
      </c>
      <c r="L291" s="123">
        <f t="shared" si="55"/>
        <v>20.238811274953054</v>
      </c>
      <c r="M291" s="123">
        <f t="shared" si="56"/>
        <v>51.449758918870955</v>
      </c>
      <c r="N291" s="123">
        <f t="shared" si="57"/>
        <v>63.12716638570204</v>
      </c>
      <c r="O291" s="123">
        <f t="shared" si="58"/>
        <v>1.6602444759439636</v>
      </c>
    </row>
    <row r="292" spans="1:15" x14ac:dyDescent="0.25">
      <c r="A292" s="32">
        <v>2003</v>
      </c>
      <c r="B292" s="32">
        <v>11</v>
      </c>
      <c r="C292" s="117">
        <f t="shared" si="59"/>
        <v>148.61699999999999</v>
      </c>
      <c r="D292" s="117">
        <f>+HLOOKUP('Ingreso Datos'!$I$7,'Precip 1981-2012'!$D$5:$AL$397,284,FALSE)</f>
        <v>156.6</v>
      </c>
      <c r="E292" s="122">
        <f t="shared" si="48"/>
        <v>169.06992523193915</v>
      </c>
      <c r="F292" s="122">
        <f t="shared" si="49"/>
        <v>6.1358775695817496</v>
      </c>
      <c r="G292" s="123">
        <f t="shared" si="50"/>
        <v>72.238622618804413</v>
      </c>
      <c r="H292" s="123">
        <f t="shared" si="51"/>
        <v>0</v>
      </c>
      <c r="I292" s="123">
        <f t="shared" si="52"/>
        <v>84.361377381195581</v>
      </c>
      <c r="J292" s="123">
        <f t="shared" si="53"/>
        <v>60.85062880885642</v>
      </c>
      <c r="K292" s="123">
        <f t="shared" si="54"/>
        <v>11.387993809947993</v>
      </c>
      <c r="L292" s="123">
        <f t="shared" si="55"/>
        <v>21.007221883816637</v>
      </c>
      <c r="M292" s="123">
        <f t="shared" si="56"/>
        <v>60.082218199992838</v>
      </c>
      <c r="N292" s="123">
        <f t="shared" si="57"/>
        <v>71.470212009940838</v>
      </c>
      <c r="O292" s="123">
        <f t="shared" si="58"/>
        <v>1.8796665758614439</v>
      </c>
    </row>
    <row r="293" spans="1:15" x14ac:dyDescent="0.25">
      <c r="A293" s="32">
        <v>2003</v>
      </c>
      <c r="B293" s="32">
        <v>12</v>
      </c>
      <c r="C293" s="117">
        <f t="shared" si="59"/>
        <v>179.958</v>
      </c>
      <c r="D293" s="117">
        <f>+HLOOKUP('Ingreso Datos'!$I$7,'Precip 1981-2012'!$D$5:$AL$397,285,FALSE)</f>
        <v>173.9</v>
      </c>
      <c r="E293" s="122">
        <f t="shared" si="48"/>
        <v>200.41092523193916</v>
      </c>
      <c r="F293" s="122">
        <f t="shared" si="49"/>
        <v>6.1358775695817496</v>
      </c>
      <c r="G293" s="123">
        <f t="shared" si="50"/>
        <v>77.739656644434405</v>
      </c>
      <c r="H293" s="123">
        <f t="shared" si="51"/>
        <v>0</v>
      </c>
      <c r="I293" s="123">
        <f t="shared" si="52"/>
        <v>96.160343355565601</v>
      </c>
      <c r="J293" s="123">
        <f t="shared" si="53"/>
        <v>64.707658779674958</v>
      </c>
      <c r="K293" s="123">
        <f t="shared" si="54"/>
        <v>13.031997864759447</v>
      </c>
      <c r="L293" s="123">
        <f t="shared" si="55"/>
        <v>22.288466276081493</v>
      </c>
      <c r="M293" s="123">
        <f t="shared" si="56"/>
        <v>63.426414387410105</v>
      </c>
      <c r="N293" s="123">
        <f t="shared" si="57"/>
        <v>76.458412252169552</v>
      </c>
      <c r="O293" s="123">
        <f t="shared" si="58"/>
        <v>2.0108562422320593</v>
      </c>
    </row>
    <row r="294" spans="1:15" x14ac:dyDescent="0.25">
      <c r="A294" s="32">
        <v>2004</v>
      </c>
      <c r="B294" s="32">
        <v>1</v>
      </c>
      <c r="C294" s="117">
        <f t="shared" si="59"/>
        <v>190.06799999999998</v>
      </c>
      <c r="D294" s="117">
        <f>+HLOOKUP('Ingreso Datos'!$I$7,'Precip 1981-2012'!$D$5:$AL$397,286,FALSE)</f>
        <v>48.2</v>
      </c>
      <c r="E294" s="122">
        <f t="shared" si="48"/>
        <v>210.52092523193915</v>
      </c>
      <c r="F294" s="122">
        <f t="shared" si="49"/>
        <v>6.1358775695817496</v>
      </c>
      <c r="G294" s="123">
        <f t="shared" si="50"/>
        <v>7.1795348110733341</v>
      </c>
      <c r="H294" s="123">
        <f t="shared" si="51"/>
        <v>0</v>
      </c>
      <c r="I294" s="123">
        <f t="shared" si="52"/>
        <v>41.020465188926671</v>
      </c>
      <c r="J294" s="123">
        <f t="shared" si="53"/>
        <v>7.0484351084192225</v>
      </c>
      <c r="K294" s="123">
        <f t="shared" si="54"/>
        <v>0.13109970265411164</v>
      </c>
      <c r="L294" s="123">
        <f t="shared" si="55"/>
        <v>4.3835129301353355</v>
      </c>
      <c r="M294" s="123">
        <f t="shared" si="56"/>
        <v>24.953388454365381</v>
      </c>
      <c r="N294" s="123">
        <f t="shared" si="57"/>
        <v>25.084488157019493</v>
      </c>
      <c r="O294" s="123">
        <f t="shared" si="58"/>
        <v>0.65972203852961264</v>
      </c>
    </row>
    <row r="295" spans="1:15" x14ac:dyDescent="0.25">
      <c r="A295" s="32">
        <v>2004</v>
      </c>
      <c r="B295" s="32">
        <v>2</v>
      </c>
      <c r="C295" s="117">
        <f t="shared" si="59"/>
        <v>146.595</v>
      </c>
      <c r="D295" s="117">
        <f>+HLOOKUP('Ingreso Datos'!$I$7,'Precip 1981-2012'!$D$5:$AL$397,287,FALSE)</f>
        <v>61.3</v>
      </c>
      <c r="E295" s="122">
        <f t="shared" si="48"/>
        <v>167.04792523193916</v>
      </c>
      <c r="F295" s="122">
        <f t="shared" si="49"/>
        <v>6.1358775695817496</v>
      </c>
      <c r="G295" s="123">
        <f t="shared" si="50"/>
        <v>14.083368851880243</v>
      </c>
      <c r="H295" s="123">
        <f t="shared" si="51"/>
        <v>0</v>
      </c>
      <c r="I295" s="123">
        <f t="shared" si="52"/>
        <v>47.216631148119752</v>
      </c>
      <c r="J295" s="123">
        <f t="shared" si="53"/>
        <v>13.587618981578734</v>
      </c>
      <c r="K295" s="123">
        <f t="shared" si="54"/>
        <v>0.49574987030150908</v>
      </c>
      <c r="L295" s="123">
        <f t="shared" si="55"/>
        <v>4.6775302461689057</v>
      </c>
      <c r="M295" s="123">
        <f t="shared" si="56"/>
        <v>13.293601665545165</v>
      </c>
      <c r="N295" s="123">
        <f t="shared" si="57"/>
        <v>13.789351535846674</v>
      </c>
      <c r="O295" s="123">
        <f t="shared" si="58"/>
        <v>0.36265994539276752</v>
      </c>
    </row>
    <row r="296" spans="1:15" x14ac:dyDescent="0.25">
      <c r="A296" s="32">
        <v>2004</v>
      </c>
      <c r="B296" s="32">
        <v>3</v>
      </c>
      <c r="C296" s="117">
        <f t="shared" si="59"/>
        <v>120.30899999999998</v>
      </c>
      <c r="D296" s="117">
        <f>+HLOOKUP('Ingreso Datos'!$I$7,'Precip 1981-2012'!$D$5:$AL$397,288,FALSE)</f>
        <v>53.3</v>
      </c>
      <c r="E296" s="122">
        <f t="shared" si="48"/>
        <v>140.76192523193916</v>
      </c>
      <c r="F296" s="122">
        <f t="shared" si="49"/>
        <v>6.1358775695817496</v>
      </c>
      <c r="G296" s="123">
        <f t="shared" si="50"/>
        <v>12.236384637828564</v>
      </c>
      <c r="H296" s="123">
        <f t="shared" si="51"/>
        <v>0</v>
      </c>
      <c r="I296" s="123">
        <f t="shared" si="52"/>
        <v>41.063615362171433</v>
      </c>
      <c r="J296" s="123">
        <f t="shared" si="53"/>
        <v>11.860404152918687</v>
      </c>
      <c r="K296" s="123">
        <f t="shared" si="54"/>
        <v>0.37598048490987779</v>
      </c>
      <c r="L296" s="123">
        <f t="shared" si="55"/>
        <v>4.1661742460444406</v>
      </c>
      <c r="M296" s="123">
        <f t="shared" si="56"/>
        <v>12.371760153043152</v>
      </c>
      <c r="N296" s="123">
        <f t="shared" si="57"/>
        <v>12.747740637953029</v>
      </c>
      <c r="O296" s="123">
        <f t="shared" si="58"/>
        <v>0.33526557877816465</v>
      </c>
    </row>
    <row r="297" spans="1:15" x14ac:dyDescent="0.25">
      <c r="A297" s="32">
        <v>2004</v>
      </c>
      <c r="B297" s="32">
        <v>4</v>
      </c>
      <c r="C297" s="117">
        <f t="shared" si="59"/>
        <v>73.802999999999997</v>
      </c>
      <c r="D297" s="117">
        <f>+HLOOKUP('Ingreso Datos'!$I$7,'Precip 1981-2012'!$D$5:$AL$397,289,FALSE)</f>
        <v>125</v>
      </c>
      <c r="E297" s="122">
        <f t="shared" si="48"/>
        <v>94.255925231939159</v>
      </c>
      <c r="F297" s="122">
        <f t="shared" si="49"/>
        <v>6.1358775695817496</v>
      </c>
      <c r="G297" s="123">
        <f t="shared" si="50"/>
        <v>68.259710850451114</v>
      </c>
      <c r="H297" s="123">
        <f t="shared" si="51"/>
        <v>0</v>
      </c>
      <c r="I297" s="123">
        <f t="shared" si="52"/>
        <v>56.740289149548886</v>
      </c>
      <c r="J297" s="123">
        <f t="shared" si="53"/>
        <v>58.002608989790758</v>
      </c>
      <c r="K297" s="123">
        <f t="shared" si="54"/>
        <v>10.257101860660356</v>
      </c>
      <c r="L297" s="123">
        <f t="shared" si="55"/>
        <v>18.544998473403385</v>
      </c>
      <c r="M297" s="123">
        <f t="shared" si="56"/>
        <v>43.623784762431811</v>
      </c>
      <c r="N297" s="123">
        <f t="shared" si="57"/>
        <v>53.880886623092167</v>
      </c>
      <c r="O297" s="123">
        <f t="shared" si="58"/>
        <v>1.4170673181873239</v>
      </c>
    </row>
    <row r="298" spans="1:15" x14ac:dyDescent="0.25">
      <c r="A298" s="32">
        <v>2004</v>
      </c>
      <c r="B298" s="32">
        <v>5</v>
      </c>
      <c r="C298" s="117">
        <f t="shared" si="59"/>
        <v>44.483999999999995</v>
      </c>
      <c r="D298" s="117">
        <f>+HLOOKUP('Ingreso Datos'!$I$7,'Precip 1981-2012'!$D$5:$AL$397,290,FALSE)</f>
        <v>29.2</v>
      </c>
      <c r="E298" s="122">
        <f t="shared" si="48"/>
        <v>64.936925231939156</v>
      </c>
      <c r="F298" s="122">
        <f t="shared" si="49"/>
        <v>6.1358775695817496</v>
      </c>
      <c r="G298" s="123">
        <f t="shared" si="50"/>
        <v>6.4979250990680537</v>
      </c>
      <c r="H298" s="123">
        <f t="shared" si="51"/>
        <v>0</v>
      </c>
      <c r="I298" s="123">
        <f t="shared" si="52"/>
        <v>22.702074900931947</v>
      </c>
      <c r="J298" s="123">
        <f t="shared" si="53"/>
        <v>6.3903499301485214</v>
      </c>
      <c r="K298" s="123">
        <f t="shared" si="54"/>
        <v>0.10757516891953234</v>
      </c>
      <c r="L298" s="123">
        <f t="shared" si="55"/>
        <v>3.8116782538331799</v>
      </c>
      <c r="M298" s="123">
        <f t="shared" si="56"/>
        <v>21.123670149718727</v>
      </c>
      <c r="N298" s="123">
        <f t="shared" si="57"/>
        <v>21.231245318638258</v>
      </c>
      <c r="O298" s="123">
        <f t="shared" si="58"/>
        <v>0.55838175188018624</v>
      </c>
    </row>
    <row r="299" spans="1:15" x14ac:dyDescent="0.25">
      <c r="A299" s="32">
        <v>2004</v>
      </c>
      <c r="B299" s="32">
        <v>6</v>
      </c>
      <c r="C299" s="117">
        <f t="shared" si="59"/>
        <v>29.318999999999996</v>
      </c>
      <c r="D299" s="117">
        <f>+HLOOKUP('Ingreso Datos'!$I$7,'Precip 1981-2012'!$D$5:$AL$397,291,FALSE)</f>
        <v>82.1</v>
      </c>
      <c r="E299" s="122">
        <f t="shared" si="48"/>
        <v>49.771925231939164</v>
      </c>
      <c r="F299" s="122">
        <f t="shared" si="49"/>
        <v>6.1358775695817496</v>
      </c>
      <c r="G299" s="123">
        <f t="shared" si="50"/>
        <v>48.248659614340617</v>
      </c>
      <c r="H299" s="123">
        <f t="shared" si="51"/>
        <v>4.5323403856593814</v>
      </c>
      <c r="I299" s="123">
        <f t="shared" si="52"/>
        <v>29.318999999999996</v>
      </c>
      <c r="J299" s="123">
        <f t="shared" si="53"/>
        <v>42.887829815469253</v>
      </c>
      <c r="K299" s="123">
        <f t="shared" si="54"/>
        <v>5.3608297988713645</v>
      </c>
      <c r="L299" s="123">
        <f t="shared" si="55"/>
        <v>13.783891127360238</v>
      </c>
      <c r="M299" s="123">
        <f t="shared" si="56"/>
        <v>32.91561694194219</v>
      </c>
      <c r="N299" s="123">
        <f t="shared" si="57"/>
        <v>38.276446740813554</v>
      </c>
      <c r="O299" s="123">
        <f t="shared" si="58"/>
        <v>1.0066705492833965</v>
      </c>
    </row>
    <row r="300" spans="1:15" x14ac:dyDescent="0.25">
      <c r="A300" s="32">
        <v>2004</v>
      </c>
      <c r="B300" s="32">
        <v>7</v>
      </c>
      <c r="C300" s="117">
        <f t="shared" si="59"/>
        <v>35.384999999999998</v>
      </c>
      <c r="D300" s="117">
        <f>+HLOOKUP('Ingreso Datos'!$I$7,'Precip 1981-2012'!$D$5:$AL$397,292,FALSE)</f>
        <v>30.5</v>
      </c>
      <c r="E300" s="122">
        <f t="shared" si="48"/>
        <v>51.305584846279785</v>
      </c>
      <c r="F300" s="122">
        <f t="shared" si="49"/>
        <v>4.7761754538839352</v>
      </c>
      <c r="G300" s="123">
        <f t="shared" si="50"/>
        <v>9.158277259153385</v>
      </c>
      <c r="H300" s="123">
        <f t="shared" si="51"/>
        <v>0</v>
      </c>
      <c r="I300" s="123">
        <f t="shared" si="52"/>
        <v>25.874063126505995</v>
      </c>
      <c r="J300" s="123">
        <f t="shared" si="53"/>
        <v>8.9460229621226279</v>
      </c>
      <c r="K300" s="123">
        <f t="shared" si="54"/>
        <v>0.21225429703075704</v>
      </c>
      <c r="L300" s="123">
        <f t="shared" si="55"/>
        <v>4.1452885395366685</v>
      </c>
      <c r="M300" s="123">
        <f t="shared" si="56"/>
        <v>18.584625549946196</v>
      </c>
      <c r="N300" s="123">
        <f t="shared" si="57"/>
        <v>18.796879846976953</v>
      </c>
      <c r="O300" s="123">
        <f t="shared" si="58"/>
        <v>0.49435793997549388</v>
      </c>
    </row>
    <row r="301" spans="1:15" x14ac:dyDescent="0.25">
      <c r="A301" s="32">
        <v>2004</v>
      </c>
      <c r="B301" s="32">
        <v>8</v>
      </c>
      <c r="C301" s="117">
        <f t="shared" si="59"/>
        <v>55.605000000000004</v>
      </c>
      <c r="D301" s="117">
        <f>+HLOOKUP('Ingreso Datos'!$I$7,'Precip 1981-2012'!$D$5:$AL$397,293,FALSE)</f>
        <v>18.399999999999999</v>
      </c>
      <c r="E301" s="122">
        <f t="shared" si="48"/>
        <v>76.057925231939166</v>
      </c>
      <c r="F301" s="122">
        <f t="shared" si="49"/>
        <v>6.1358775695817496</v>
      </c>
      <c r="G301" s="123">
        <f t="shared" si="50"/>
        <v>1.8300974338930691</v>
      </c>
      <c r="H301" s="123">
        <f t="shared" si="51"/>
        <v>0</v>
      </c>
      <c r="I301" s="123">
        <f t="shared" si="52"/>
        <v>16.569902566106929</v>
      </c>
      <c r="J301" s="123">
        <f t="shared" si="53"/>
        <v>1.8214615476127041</v>
      </c>
      <c r="K301" s="123">
        <f t="shared" si="54"/>
        <v>8.635886280365046E-3</v>
      </c>
      <c r="L301" s="123">
        <f t="shared" si="55"/>
        <v>0.97491788950604108</v>
      </c>
      <c r="M301" s="123">
        <f t="shared" si="56"/>
        <v>4.9918321976433315</v>
      </c>
      <c r="N301" s="123">
        <f t="shared" si="57"/>
        <v>5.0004680839236961</v>
      </c>
      <c r="O301" s="123">
        <f t="shared" si="58"/>
        <v>0.13151231060719321</v>
      </c>
    </row>
    <row r="302" spans="1:15" x14ac:dyDescent="0.25">
      <c r="A302" s="32">
        <v>2004</v>
      </c>
      <c r="B302" s="32">
        <v>9</v>
      </c>
      <c r="C302" s="117">
        <f t="shared" si="59"/>
        <v>78.858000000000004</v>
      </c>
      <c r="D302" s="117">
        <f>+HLOOKUP('Ingreso Datos'!$I$7,'Precip 1981-2012'!$D$5:$AL$397,294,FALSE)</f>
        <v>109.2</v>
      </c>
      <c r="E302" s="122">
        <f t="shared" si="48"/>
        <v>99.310925231939166</v>
      </c>
      <c r="F302" s="122">
        <f t="shared" si="49"/>
        <v>6.1358775695817496</v>
      </c>
      <c r="G302" s="123">
        <f t="shared" si="50"/>
        <v>54.128914871227785</v>
      </c>
      <c r="H302" s="123">
        <f t="shared" si="51"/>
        <v>0</v>
      </c>
      <c r="I302" s="123">
        <f t="shared" si="52"/>
        <v>55.071085128772218</v>
      </c>
      <c r="J302" s="123">
        <f t="shared" si="53"/>
        <v>47.471912056509602</v>
      </c>
      <c r="K302" s="123">
        <f t="shared" si="54"/>
        <v>6.657002814718183</v>
      </c>
      <c r="L302" s="123">
        <f t="shared" si="55"/>
        <v>14.93996123452713</v>
      </c>
      <c r="M302" s="123">
        <f t="shared" si="56"/>
        <v>33.506868711488515</v>
      </c>
      <c r="N302" s="123">
        <f t="shared" si="57"/>
        <v>40.163871526206698</v>
      </c>
      <c r="O302" s="123">
        <f t="shared" si="58"/>
        <v>1.0563098211392361</v>
      </c>
    </row>
    <row r="303" spans="1:15" x14ac:dyDescent="0.25">
      <c r="A303" s="32">
        <v>2004</v>
      </c>
      <c r="B303" s="32">
        <v>10</v>
      </c>
      <c r="C303" s="117">
        <f t="shared" si="59"/>
        <v>113.232</v>
      </c>
      <c r="D303" s="117">
        <f>+HLOOKUP('Ingreso Datos'!$I$7,'Precip 1981-2012'!$D$5:$AL$397,295,FALSE)</f>
        <v>191.5</v>
      </c>
      <c r="E303" s="122">
        <f t="shared" si="48"/>
        <v>133.68492523193916</v>
      </c>
      <c r="F303" s="122">
        <f t="shared" si="49"/>
        <v>6.1358775695817496</v>
      </c>
      <c r="G303" s="123">
        <f t="shared" si="50"/>
        <v>109.80636537034134</v>
      </c>
      <c r="H303" s="123">
        <f t="shared" si="51"/>
        <v>0</v>
      </c>
      <c r="I303" s="123">
        <f t="shared" si="52"/>
        <v>81.693634629658661</v>
      </c>
      <c r="J303" s="123">
        <f t="shared" si="53"/>
        <v>85.487520922189432</v>
      </c>
      <c r="K303" s="123">
        <f t="shared" si="54"/>
        <v>24.318844448151907</v>
      </c>
      <c r="L303" s="123">
        <f t="shared" si="55"/>
        <v>28.193123097025175</v>
      </c>
      <c r="M303" s="123">
        <f t="shared" si="56"/>
        <v>72.234359059691386</v>
      </c>
      <c r="N303" s="123">
        <f t="shared" si="57"/>
        <v>96.553203507843293</v>
      </c>
      <c r="O303" s="123">
        <f t="shared" si="58"/>
        <v>2.5393492522562786</v>
      </c>
    </row>
    <row r="304" spans="1:15" x14ac:dyDescent="0.25">
      <c r="A304" s="32">
        <v>2004</v>
      </c>
      <c r="B304" s="32">
        <v>11</v>
      </c>
      <c r="C304" s="117">
        <f t="shared" si="59"/>
        <v>148.61699999999999</v>
      </c>
      <c r="D304" s="117">
        <f>+HLOOKUP('Ingreso Datos'!$I$7,'Precip 1981-2012'!$D$5:$AL$397,296,FALSE)</f>
        <v>192.4</v>
      </c>
      <c r="E304" s="122">
        <f t="shared" si="48"/>
        <v>169.06992523193915</v>
      </c>
      <c r="F304" s="122">
        <f t="shared" si="49"/>
        <v>6.1358775695817496</v>
      </c>
      <c r="G304" s="123">
        <f t="shared" si="50"/>
        <v>99.354252903319022</v>
      </c>
      <c r="H304" s="123">
        <f t="shared" si="51"/>
        <v>0</v>
      </c>
      <c r="I304" s="123">
        <f t="shared" si="52"/>
        <v>93.045747096680984</v>
      </c>
      <c r="J304" s="123">
        <f t="shared" si="53"/>
        <v>79.015979341424412</v>
      </c>
      <c r="K304" s="123">
        <f t="shared" si="54"/>
        <v>20.33827356189461</v>
      </c>
      <c r="L304" s="123">
        <f t="shared" si="55"/>
        <v>27.46538956654063</v>
      </c>
      <c r="M304" s="123">
        <f t="shared" si="56"/>
        <v>79.743712871908954</v>
      </c>
      <c r="N304" s="123">
        <f t="shared" si="57"/>
        <v>100.08198643380356</v>
      </c>
      <c r="O304" s="123">
        <f t="shared" si="58"/>
        <v>2.632156243209034</v>
      </c>
    </row>
    <row r="305" spans="1:15" x14ac:dyDescent="0.25">
      <c r="A305" s="32">
        <v>2004</v>
      </c>
      <c r="B305" s="32">
        <v>12</v>
      </c>
      <c r="C305" s="117">
        <f t="shared" si="59"/>
        <v>179.958</v>
      </c>
      <c r="D305" s="117">
        <f>+HLOOKUP('Ingreso Datos'!$I$7,'Precip 1981-2012'!$D$5:$AL$397,297,FALSE)</f>
        <v>85.4</v>
      </c>
      <c r="E305" s="122">
        <f t="shared" si="48"/>
        <v>200.41092523193916</v>
      </c>
      <c r="F305" s="122">
        <f t="shared" si="49"/>
        <v>6.1358775695817496</v>
      </c>
      <c r="G305" s="123">
        <f t="shared" si="50"/>
        <v>22.968560965266548</v>
      </c>
      <c r="H305" s="123">
        <f t="shared" si="51"/>
        <v>0</v>
      </c>
      <c r="I305" s="123">
        <f t="shared" si="52"/>
        <v>62.431439034733458</v>
      </c>
      <c r="J305" s="123">
        <f t="shared" si="53"/>
        <v>21.678596789120572</v>
      </c>
      <c r="K305" s="123">
        <f t="shared" si="54"/>
        <v>1.2899641761459755</v>
      </c>
      <c r="L305" s="123">
        <f t="shared" si="55"/>
        <v>9.4646322666852889</v>
      </c>
      <c r="M305" s="123">
        <f t="shared" si="56"/>
        <v>39.679354088975913</v>
      </c>
      <c r="N305" s="123">
        <f t="shared" si="57"/>
        <v>40.969318265121885</v>
      </c>
      <c r="O305" s="123">
        <f t="shared" si="58"/>
        <v>1.0774930703727055</v>
      </c>
    </row>
    <row r="306" spans="1:15" x14ac:dyDescent="0.25">
      <c r="A306" s="32">
        <v>2005</v>
      </c>
      <c r="B306" s="32">
        <v>1</v>
      </c>
      <c r="C306" s="117">
        <f t="shared" si="59"/>
        <v>190.06799999999998</v>
      </c>
      <c r="D306" s="117">
        <f>+HLOOKUP('Ingreso Datos'!$I$7,'Precip 1981-2012'!$D$5:$AL$397,298,FALSE)</f>
        <v>81.3</v>
      </c>
      <c r="E306" s="122">
        <f t="shared" si="48"/>
        <v>210.52092523193915</v>
      </c>
      <c r="F306" s="122">
        <f t="shared" si="49"/>
        <v>6.1358775695817496</v>
      </c>
      <c r="G306" s="123">
        <f t="shared" si="50"/>
        <v>20.209844654018902</v>
      </c>
      <c r="H306" s="123">
        <f t="shared" si="51"/>
        <v>0</v>
      </c>
      <c r="I306" s="123">
        <f t="shared" si="52"/>
        <v>61.090155345981096</v>
      </c>
      <c r="J306" s="123">
        <f t="shared" si="53"/>
        <v>19.204359862562271</v>
      </c>
      <c r="K306" s="123">
        <f t="shared" si="54"/>
        <v>1.0054847914566309</v>
      </c>
      <c r="L306" s="123">
        <f t="shared" si="55"/>
        <v>6.9307538135257323</v>
      </c>
      <c r="M306" s="123">
        <f t="shared" si="56"/>
        <v>21.738238315721826</v>
      </c>
      <c r="N306" s="123">
        <f t="shared" si="57"/>
        <v>22.743723107178457</v>
      </c>
      <c r="O306" s="123">
        <f t="shared" si="58"/>
        <v>0.5981599177187934</v>
      </c>
    </row>
    <row r="307" spans="1:15" x14ac:dyDescent="0.25">
      <c r="A307" s="32">
        <v>2005</v>
      </c>
      <c r="B307" s="32">
        <v>2</v>
      </c>
      <c r="C307" s="117">
        <f t="shared" si="59"/>
        <v>146.595</v>
      </c>
      <c r="D307" s="117">
        <f>+HLOOKUP('Ingreso Datos'!$I$7,'Precip 1981-2012'!$D$5:$AL$397,299,FALSE)</f>
        <v>26.7</v>
      </c>
      <c r="E307" s="122">
        <f t="shared" si="48"/>
        <v>167.04792523193916</v>
      </c>
      <c r="F307" s="122">
        <f t="shared" si="49"/>
        <v>6.1358775695817496</v>
      </c>
      <c r="G307" s="123">
        <f t="shared" si="50"/>
        <v>2.330240555093495</v>
      </c>
      <c r="H307" s="123">
        <f t="shared" si="51"/>
        <v>0</v>
      </c>
      <c r="I307" s="123">
        <f t="shared" si="52"/>
        <v>24.369759444906503</v>
      </c>
      <c r="J307" s="123">
        <f t="shared" si="53"/>
        <v>2.316257556919465</v>
      </c>
      <c r="K307" s="123">
        <f t="shared" si="54"/>
        <v>1.3982998174030037E-2</v>
      </c>
      <c r="L307" s="123">
        <f t="shared" si="55"/>
        <v>1.402014693597889</v>
      </c>
      <c r="M307" s="123">
        <f t="shared" si="56"/>
        <v>7.8449966768473089</v>
      </c>
      <c r="N307" s="123">
        <f t="shared" si="57"/>
        <v>7.858979675021339</v>
      </c>
      <c r="O307" s="123">
        <f t="shared" si="58"/>
        <v>0.20669116545306121</v>
      </c>
    </row>
    <row r="308" spans="1:15" x14ac:dyDescent="0.25">
      <c r="A308" s="32">
        <v>2005</v>
      </c>
      <c r="B308" s="32">
        <v>3</v>
      </c>
      <c r="C308" s="117">
        <f t="shared" si="59"/>
        <v>120.30899999999998</v>
      </c>
      <c r="D308" s="117">
        <f>+HLOOKUP('Ingreso Datos'!$I$7,'Precip 1981-2012'!$D$5:$AL$397,300,FALSE)</f>
        <v>82.3</v>
      </c>
      <c r="E308" s="122">
        <f t="shared" si="48"/>
        <v>140.76192523193916</v>
      </c>
      <c r="F308" s="122">
        <f t="shared" si="49"/>
        <v>6.1358775695817496</v>
      </c>
      <c r="G308" s="123">
        <f t="shared" si="50"/>
        <v>27.520133140186481</v>
      </c>
      <c r="H308" s="123">
        <f t="shared" si="51"/>
        <v>0</v>
      </c>
      <c r="I308" s="123">
        <f t="shared" si="52"/>
        <v>54.779866859813517</v>
      </c>
      <c r="J308" s="123">
        <f t="shared" si="53"/>
        <v>25.688643770364575</v>
      </c>
      <c r="K308" s="123">
        <f t="shared" si="54"/>
        <v>1.8314893698219059</v>
      </c>
      <c r="L308" s="123">
        <f t="shared" si="55"/>
        <v>8.1700212106823482</v>
      </c>
      <c r="M308" s="123">
        <f t="shared" si="56"/>
        <v>18.920637253280116</v>
      </c>
      <c r="N308" s="123">
        <f t="shared" si="57"/>
        <v>20.752126623102022</v>
      </c>
      <c r="O308" s="123">
        <f t="shared" si="58"/>
        <v>0.54578093018758311</v>
      </c>
    </row>
    <row r="309" spans="1:15" x14ac:dyDescent="0.25">
      <c r="A309" s="32">
        <v>2005</v>
      </c>
      <c r="B309" s="32">
        <v>4</v>
      </c>
      <c r="C309" s="117">
        <f t="shared" si="59"/>
        <v>73.802999999999997</v>
      </c>
      <c r="D309" s="117">
        <f>+HLOOKUP('Ingreso Datos'!$I$7,'Precip 1981-2012'!$D$5:$AL$397,301,FALSE)</f>
        <v>120.2</v>
      </c>
      <c r="E309" s="122">
        <f t="shared" si="48"/>
        <v>94.255925231939159</v>
      </c>
      <c r="F309" s="122">
        <f t="shared" si="49"/>
        <v>6.1358775695817496</v>
      </c>
      <c r="G309" s="123">
        <f t="shared" si="50"/>
        <v>64.350359475973306</v>
      </c>
      <c r="H309" s="123">
        <f t="shared" si="51"/>
        <v>0</v>
      </c>
      <c r="I309" s="123">
        <f t="shared" si="52"/>
        <v>55.849640524026697</v>
      </c>
      <c r="J309" s="123">
        <f t="shared" si="53"/>
        <v>55.155365672692213</v>
      </c>
      <c r="K309" s="123">
        <f t="shared" si="54"/>
        <v>9.1949938032810934</v>
      </c>
      <c r="L309" s="123">
        <f t="shared" si="55"/>
        <v>18.046165627160502</v>
      </c>
      <c r="M309" s="123">
        <f t="shared" si="56"/>
        <v>45.279221256214058</v>
      </c>
      <c r="N309" s="123">
        <f t="shared" si="57"/>
        <v>54.474215059495151</v>
      </c>
      <c r="O309" s="123">
        <f t="shared" si="58"/>
        <v>1.4326718560647225</v>
      </c>
    </row>
    <row r="310" spans="1:15" x14ac:dyDescent="0.25">
      <c r="A310" s="32">
        <v>2005</v>
      </c>
      <c r="B310" s="32">
        <v>5</v>
      </c>
      <c r="C310" s="117">
        <f t="shared" si="59"/>
        <v>44.483999999999995</v>
      </c>
      <c r="D310" s="117">
        <f>+HLOOKUP('Ingreso Datos'!$I$7,'Precip 1981-2012'!$D$5:$AL$397,302,FALSE)</f>
        <v>169.4</v>
      </c>
      <c r="E310" s="122">
        <f t="shared" si="48"/>
        <v>64.936925231939156</v>
      </c>
      <c r="F310" s="122">
        <f t="shared" si="49"/>
        <v>6.1358775695817496</v>
      </c>
      <c r="G310" s="123">
        <f t="shared" si="50"/>
        <v>120.03311308044594</v>
      </c>
      <c r="H310" s="123">
        <f t="shared" si="51"/>
        <v>4.8828869195540676</v>
      </c>
      <c r="I310" s="123">
        <f t="shared" si="52"/>
        <v>44.483999999999995</v>
      </c>
      <c r="J310" s="123">
        <f t="shared" si="53"/>
        <v>91.560770335767415</v>
      </c>
      <c r="K310" s="123">
        <f t="shared" si="54"/>
        <v>28.472342744678528</v>
      </c>
      <c r="L310" s="123">
        <f t="shared" si="55"/>
        <v>30.395984469933197</v>
      </c>
      <c r="M310" s="123">
        <f t="shared" si="56"/>
        <v>79.210951492994724</v>
      </c>
      <c r="N310" s="123">
        <f t="shared" si="57"/>
        <v>107.68329423767325</v>
      </c>
      <c r="O310" s="123">
        <f t="shared" si="58"/>
        <v>2.8320706384508068</v>
      </c>
    </row>
    <row r="311" spans="1:15" x14ac:dyDescent="0.25">
      <c r="A311" s="32">
        <v>2005</v>
      </c>
      <c r="B311" s="32">
        <v>6</v>
      </c>
      <c r="C311" s="117">
        <f t="shared" si="59"/>
        <v>29.318999999999996</v>
      </c>
      <c r="D311" s="117">
        <f>+HLOOKUP('Ingreso Datos'!$I$7,'Precip 1981-2012'!$D$5:$AL$397,303,FALSE)</f>
        <v>175.3</v>
      </c>
      <c r="E311" s="122">
        <f t="shared" si="48"/>
        <v>44.889038312385097</v>
      </c>
      <c r="F311" s="122">
        <f t="shared" si="49"/>
        <v>4.6710114937155289</v>
      </c>
      <c r="G311" s="123">
        <f t="shared" si="50"/>
        <v>138.08235167003593</v>
      </c>
      <c r="H311" s="123">
        <f t="shared" si="51"/>
        <v>12.78153524951815</v>
      </c>
      <c r="I311" s="123">
        <f t="shared" si="52"/>
        <v>29.318999999999996</v>
      </c>
      <c r="J311" s="123">
        <f t="shared" si="53"/>
        <v>101.70116886170516</v>
      </c>
      <c r="K311" s="123">
        <f t="shared" si="54"/>
        <v>36.381182808330777</v>
      </c>
      <c r="L311" s="123">
        <f t="shared" si="55"/>
        <v>34.774529835007904</v>
      </c>
      <c r="M311" s="123">
        <f t="shared" si="56"/>
        <v>97.322623496630456</v>
      </c>
      <c r="N311" s="123">
        <f t="shared" si="57"/>
        <v>133.70380630496123</v>
      </c>
      <c r="O311" s="123">
        <f t="shared" si="58"/>
        <v>3.5164101058204804</v>
      </c>
    </row>
    <row r="312" spans="1:15" x14ac:dyDescent="0.25">
      <c r="A312" s="32">
        <v>2005</v>
      </c>
      <c r="B312" s="32">
        <v>7</v>
      </c>
      <c r="C312" s="117">
        <f t="shared" si="59"/>
        <v>35.384999999999998</v>
      </c>
      <c r="D312" s="117">
        <f>+HLOOKUP('Ingreso Datos'!$I$7,'Precip 1981-2012'!$D$5:$AL$397,304,FALSE)</f>
        <v>23.5</v>
      </c>
      <c r="E312" s="122">
        <f t="shared" si="48"/>
        <v>43.05638998242101</v>
      </c>
      <c r="F312" s="122">
        <f t="shared" si="49"/>
        <v>2.3014169947263046</v>
      </c>
      <c r="G312" s="123">
        <f t="shared" si="50"/>
        <v>7.2534968207875341</v>
      </c>
      <c r="H312" s="123">
        <f t="shared" si="51"/>
        <v>0</v>
      </c>
      <c r="I312" s="123">
        <f t="shared" si="52"/>
        <v>29.028038428730618</v>
      </c>
      <c r="J312" s="123">
        <f t="shared" si="53"/>
        <v>7.1197072510710022</v>
      </c>
      <c r="K312" s="123">
        <f t="shared" si="54"/>
        <v>0.13378956971653189</v>
      </c>
      <c r="L312" s="123">
        <f t="shared" si="55"/>
        <v>5.6267302720581363</v>
      </c>
      <c r="M312" s="123">
        <f t="shared" si="56"/>
        <v>36.26750681402077</v>
      </c>
      <c r="N312" s="123">
        <f t="shared" si="57"/>
        <v>36.401296383737304</v>
      </c>
      <c r="O312" s="123">
        <f t="shared" si="58"/>
        <v>0.95735409489229106</v>
      </c>
    </row>
    <row r="313" spans="1:15" x14ac:dyDescent="0.25">
      <c r="A313" s="32">
        <v>2005</v>
      </c>
      <c r="B313" s="32">
        <v>8</v>
      </c>
      <c r="C313" s="117">
        <f t="shared" si="59"/>
        <v>55.605000000000004</v>
      </c>
      <c r="D313" s="117">
        <f>+HLOOKUP('Ingreso Datos'!$I$7,'Precip 1981-2012'!$D$5:$AL$397,305,FALSE)</f>
        <v>91.3</v>
      </c>
      <c r="E313" s="122">
        <f t="shared" si="48"/>
        <v>76.057925231939166</v>
      </c>
      <c r="F313" s="122">
        <f t="shared" si="49"/>
        <v>6.1358775695817496</v>
      </c>
      <c r="G313" s="123">
        <f t="shared" si="50"/>
        <v>46.767082745059867</v>
      </c>
      <c r="H313" s="123">
        <f t="shared" si="51"/>
        <v>0</v>
      </c>
      <c r="I313" s="123">
        <f t="shared" si="52"/>
        <v>44.532917254940131</v>
      </c>
      <c r="J313" s="123">
        <f t="shared" si="53"/>
        <v>41.713186282764198</v>
      </c>
      <c r="K313" s="123">
        <f t="shared" si="54"/>
        <v>5.0538964622956684</v>
      </c>
      <c r="L313" s="123">
        <f t="shared" si="55"/>
        <v>13.594058086381372</v>
      </c>
      <c r="M313" s="123">
        <f t="shared" si="56"/>
        <v>33.745858468440964</v>
      </c>
      <c r="N313" s="123">
        <f t="shared" si="57"/>
        <v>38.799754930736633</v>
      </c>
      <c r="O313" s="123">
        <f t="shared" si="58"/>
        <v>1.0204335546783734</v>
      </c>
    </row>
    <row r="314" spans="1:15" x14ac:dyDescent="0.25">
      <c r="A314" s="32">
        <v>2005</v>
      </c>
      <c r="B314" s="32">
        <v>9</v>
      </c>
      <c r="C314" s="117">
        <f t="shared" si="59"/>
        <v>78.858000000000004</v>
      </c>
      <c r="D314" s="117">
        <f>+HLOOKUP('Ingreso Datos'!$I$7,'Precip 1981-2012'!$D$5:$AL$397,306,FALSE)</f>
        <v>112.8</v>
      </c>
      <c r="E314" s="122">
        <f t="shared" si="48"/>
        <v>99.310925231939166</v>
      </c>
      <c r="F314" s="122">
        <f t="shared" si="49"/>
        <v>6.1358775695817496</v>
      </c>
      <c r="G314" s="123">
        <f t="shared" si="50"/>
        <v>56.931956875968567</v>
      </c>
      <c r="H314" s="123">
        <f t="shared" si="51"/>
        <v>0</v>
      </c>
      <c r="I314" s="123">
        <f t="shared" si="52"/>
        <v>55.868043124031431</v>
      </c>
      <c r="J314" s="123">
        <f t="shared" si="53"/>
        <v>49.614246642126098</v>
      </c>
      <c r="K314" s="123">
        <f t="shared" si="54"/>
        <v>7.3177102338424689</v>
      </c>
      <c r="L314" s="123">
        <f t="shared" si="55"/>
        <v>16.843819627621574</v>
      </c>
      <c r="M314" s="123">
        <f t="shared" si="56"/>
        <v>46.364485100885894</v>
      </c>
      <c r="N314" s="123">
        <f t="shared" si="57"/>
        <v>53.682195334728362</v>
      </c>
      <c r="O314" s="123">
        <f t="shared" si="58"/>
        <v>1.411841737303356</v>
      </c>
    </row>
    <row r="315" spans="1:15" x14ac:dyDescent="0.25">
      <c r="A315" s="32">
        <v>2005</v>
      </c>
      <c r="B315" s="32">
        <v>10</v>
      </c>
      <c r="C315" s="117">
        <f t="shared" si="59"/>
        <v>113.232</v>
      </c>
      <c r="D315" s="117">
        <f>+HLOOKUP('Ingreso Datos'!$I$7,'Precip 1981-2012'!$D$5:$AL$397,307,FALSE)</f>
        <v>108.5</v>
      </c>
      <c r="E315" s="122">
        <f t="shared" si="48"/>
        <v>133.68492523193916</v>
      </c>
      <c r="F315" s="122">
        <f t="shared" si="49"/>
        <v>6.1358775695817496</v>
      </c>
      <c r="G315" s="123">
        <f t="shared" si="50"/>
        <v>45.575525563504506</v>
      </c>
      <c r="H315" s="123">
        <f t="shared" si="51"/>
        <v>0</v>
      </c>
      <c r="I315" s="123">
        <f t="shared" si="52"/>
        <v>62.924474436495494</v>
      </c>
      <c r="J315" s="123">
        <f t="shared" si="53"/>
        <v>40.762628614175505</v>
      </c>
      <c r="K315" s="123">
        <f t="shared" si="54"/>
        <v>4.8128969493290015</v>
      </c>
      <c r="L315" s="123">
        <f t="shared" si="55"/>
        <v>14.393661058865751</v>
      </c>
      <c r="M315" s="123">
        <f t="shared" si="56"/>
        <v>43.212787182931329</v>
      </c>
      <c r="N315" s="123">
        <f t="shared" si="57"/>
        <v>48.025684132260331</v>
      </c>
      <c r="O315" s="123">
        <f t="shared" si="58"/>
        <v>1.2630754926784467</v>
      </c>
    </row>
    <row r="316" spans="1:15" x14ac:dyDescent="0.25">
      <c r="A316" s="32">
        <v>2005</v>
      </c>
      <c r="B316" s="32">
        <v>11</v>
      </c>
      <c r="C316" s="117">
        <f t="shared" si="59"/>
        <v>148.61699999999999</v>
      </c>
      <c r="D316" s="117">
        <f>+HLOOKUP('Ingreso Datos'!$I$7,'Precip 1981-2012'!$D$5:$AL$397,308,FALSE)</f>
        <v>109.8</v>
      </c>
      <c r="E316" s="122">
        <f t="shared" si="48"/>
        <v>169.06992523193915</v>
      </c>
      <c r="F316" s="122">
        <f t="shared" si="49"/>
        <v>6.1358775695817496</v>
      </c>
      <c r="G316" s="123">
        <f t="shared" si="50"/>
        <v>40.308792350409114</v>
      </c>
      <c r="H316" s="123">
        <f t="shared" si="51"/>
        <v>0</v>
      </c>
      <c r="I316" s="123">
        <f t="shared" si="52"/>
        <v>69.491207649590876</v>
      </c>
      <c r="J316" s="123">
        <f t="shared" si="53"/>
        <v>36.497473489753574</v>
      </c>
      <c r="K316" s="123">
        <f t="shared" si="54"/>
        <v>3.8113188606555397</v>
      </c>
      <c r="L316" s="123">
        <f t="shared" si="55"/>
        <v>12.820347417835842</v>
      </c>
      <c r="M316" s="123">
        <f t="shared" si="56"/>
        <v>38.070787130783486</v>
      </c>
      <c r="N316" s="123">
        <f t="shared" si="57"/>
        <v>41.882105991439026</v>
      </c>
      <c r="O316" s="123">
        <f t="shared" si="58"/>
        <v>1.1014993875748462</v>
      </c>
    </row>
    <row r="317" spans="1:15" x14ac:dyDescent="0.25">
      <c r="A317" s="32">
        <v>2005</v>
      </c>
      <c r="B317" s="32">
        <v>12</v>
      </c>
      <c r="C317" s="117">
        <f t="shared" si="59"/>
        <v>179.958</v>
      </c>
      <c r="D317" s="117">
        <f>+HLOOKUP('Ingreso Datos'!$I$7,'Precip 1981-2012'!$D$5:$AL$397,309,FALSE)</f>
        <v>145</v>
      </c>
      <c r="E317" s="122">
        <f t="shared" si="48"/>
        <v>200.41092523193916</v>
      </c>
      <c r="F317" s="122">
        <f t="shared" si="49"/>
        <v>6.1358775695817496</v>
      </c>
      <c r="G317" s="123">
        <f t="shared" si="50"/>
        <v>57.883450009796263</v>
      </c>
      <c r="H317" s="123">
        <f t="shared" si="51"/>
        <v>0</v>
      </c>
      <c r="I317" s="123">
        <f t="shared" si="52"/>
        <v>87.116549990203737</v>
      </c>
      <c r="J317" s="123">
        <f t="shared" si="53"/>
        <v>50.335311450085065</v>
      </c>
      <c r="K317" s="123">
        <f t="shared" si="54"/>
        <v>7.5481385597111981</v>
      </c>
      <c r="L317" s="123">
        <f t="shared" si="55"/>
        <v>16.993642982734535</v>
      </c>
      <c r="M317" s="123">
        <f t="shared" si="56"/>
        <v>46.162015885186371</v>
      </c>
      <c r="N317" s="123">
        <f t="shared" si="57"/>
        <v>53.710154444897569</v>
      </c>
      <c r="O317" s="123">
        <f t="shared" si="58"/>
        <v>1.4125770619008062</v>
      </c>
    </row>
    <row r="318" spans="1:15" x14ac:dyDescent="0.25">
      <c r="A318" s="32">
        <v>2006</v>
      </c>
      <c r="B318" s="32">
        <v>1</v>
      </c>
      <c r="C318" s="117">
        <f t="shared" si="59"/>
        <v>190.06799999999998</v>
      </c>
      <c r="D318" s="117">
        <f>+HLOOKUP('Ingreso Datos'!$I$7,'Precip 1981-2012'!$D$5:$AL$397,310,FALSE)</f>
        <v>54.6</v>
      </c>
      <c r="E318" s="122">
        <f t="shared" si="48"/>
        <v>210.52092523193915</v>
      </c>
      <c r="F318" s="122">
        <f t="shared" si="49"/>
        <v>6.1358775695817496</v>
      </c>
      <c r="G318" s="123">
        <f t="shared" si="50"/>
        <v>9.2892183988136328</v>
      </c>
      <c r="H318" s="123">
        <f t="shared" si="51"/>
        <v>0</v>
      </c>
      <c r="I318" s="123">
        <f t="shared" si="52"/>
        <v>45.31078160118637</v>
      </c>
      <c r="J318" s="123">
        <f t="shared" si="53"/>
        <v>9.0709236049146522</v>
      </c>
      <c r="K318" s="123">
        <f t="shared" si="54"/>
        <v>0.21829479389898054</v>
      </c>
      <c r="L318" s="123">
        <f t="shared" si="55"/>
        <v>4.4982059916965884</v>
      </c>
      <c r="M318" s="123">
        <f t="shared" si="56"/>
        <v>21.566360595952599</v>
      </c>
      <c r="N318" s="123">
        <f t="shared" si="57"/>
        <v>21.784655389851579</v>
      </c>
      <c r="O318" s="123">
        <f t="shared" si="58"/>
        <v>0.57293643675309658</v>
      </c>
    </row>
    <row r="319" spans="1:15" x14ac:dyDescent="0.25">
      <c r="A319" s="32">
        <v>2006</v>
      </c>
      <c r="B319" s="32">
        <v>2</v>
      </c>
      <c r="C319" s="117">
        <f t="shared" si="59"/>
        <v>146.595</v>
      </c>
      <c r="D319" s="117">
        <f>+HLOOKUP('Ingreso Datos'!$I$7,'Precip 1981-2012'!$D$5:$AL$397,311,FALSE)</f>
        <v>9.1999999999999993</v>
      </c>
      <c r="E319" s="122">
        <f t="shared" si="48"/>
        <v>167.04792523193916</v>
      </c>
      <c r="F319" s="122">
        <f t="shared" si="49"/>
        <v>6.1358775695817496</v>
      </c>
      <c r="G319" s="123">
        <f t="shared" si="50"/>
        <v>5.7257382357937439E-2</v>
      </c>
      <c r="H319" s="123">
        <f t="shared" si="51"/>
        <v>0</v>
      </c>
      <c r="I319" s="123">
        <f t="shared" si="52"/>
        <v>9.1427426176420621</v>
      </c>
      <c r="J319" s="123">
        <f t="shared" si="53"/>
        <v>5.7248890333058251E-2</v>
      </c>
      <c r="K319" s="123">
        <f t="shared" si="54"/>
        <v>8.4920248791878206E-6</v>
      </c>
      <c r="L319" s="123">
        <f t="shared" si="55"/>
        <v>0.45775199910765563</v>
      </c>
      <c r="M319" s="123">
        <f t="shared" si="56"/>
        <v>4.0977028829219915</v>
      </c>
      <c r="N319" s="123">
        <f t="shared" si="57"/>
        <v>4.0977113749468703</v>
      </c>
      <c r="O319" s="123">
        <f t="shared" si="58"/>
        <v>0.10776980916110269</v>
      </c>
    </row>
    <row r="320" spans="1:15" x14ac:dyDescent="0.25">
      <c r="A320" s="32">
        <v>2006</v>
      </c>
      <c r="B320" s="32">
        <v>3</v>
      </c>
      <c r="C320" s="117">
        <f t="shared" si="59"/>
        <v>120.30899999999998</v>
      </c>
      <c r="D320" s="117">
        <f>+HLOOKUP('Ingreso Datos'!$I$7,'Precip 1981-2012'!$D$5:$AL$397,312,FALSE)</f>
        <v>68.3</v>
      </c>
      <c r="E320" s="122">
        <f t="shared" si="48"/>
        <v>140.76192523193916</v>
      </c>
      <c r="F320" s="122">
        <f t="shared" si="49"/>
        <v>6.1358775695817496</v>
      </c>
      <c r="G320" s="123">
        <f t="shared" si="50"/>
        <v>19.63704851579827</v>
      </c>
      <c r="H320" s="123">
        <f t="shared" si="51"/>
        <v>0</v>
      </c>
      <c r="I320" s="123">
        <f t="shared" si="52"/>
        <v>48.662951484201727</v>
      </c>
      <c r="J320" s="123">
        <f t="shared" si="53"/>
        <v>18.686411300034194</v>
      </c>
      <c r="K320" s="123">
        <f t="shared" si="54"/>
        <v>0.95063721576407545</v>
      </c>
      <c r="L320" s="123">
        <f t="shared" si="55"/>
        <v>5.8880657413523938</v>
      </c>
      <c r="M320" s="123">
        <f t="shared" si="56"/>
        <v>13.256097557789456</v>
      </c>
      <c r="N320" s="123">
        <f t="shared" si="57"/>
        <v>14.206734773553531</v>
      </c>
      <c r="O320" s="123">
        <f t="shared" si="58"/>
        <v>0.37363712454445791</v>
      </c>
    </row>
    <row r="321" spans="1:15" x14ac:dyDescent="0.25">
      <c r="A321" s="32">
        <v>2006</v>
      </c>
      <c r="B321" s="32">
        <v>4</v>
      </c>
      <c r="C321" s="117">
        <f t="shared" si="59"/>
        <v>73.802999999999997</v>
      </c>
      <c r="D321" s="117">
        <f>+HLOOKUP('Ingreso Datos'!$I$7,'Precip 1981-2012'!$D$5:$AL$397,313,FALSE)</f>
        <v>125.8</v>
      </c>
      <c r="E321" s="122">
        <f t="shared" si="48"/>
        <v>94.255925231939159</v>
      </c>
      <c r="F321" s="122">
        <f t="shared" si="49"/>
        <v>6.1358775695817496</v>
      </c>
      <c r="G321" s="123">
        <f t="shared" si="50"/>
        <v>68.915270064357969</v>
      </c>
      <c r="H321" s="123">
        <f t="shared" si="51"/>
        <v>0</v>
      </c>
      <c r="I321" s="123">
        <f t="shared" si="52"/>
        <v>56.884729935642028</v>
      </c>
      <c r="J321" s="123">
        <f t="shared" si="53"/>
        <v>58.475272199763317</v>
      </c>
      <c r="K321" s="123">
        <f t="shared" si="54"/>
        <v>10.439997864594652</v>
      </c>
      <c r="L321" s="123">
        <f t="shared" si="55"/>
        <v>18.861174367830188</v>
      </c>
      <c r="M321" s="123">
        <f t="shared" si="56"/>
        <v>45.502163573285522</v>
      </c>
      <c r="N321" s="123">
        <f t="shared" si="57"/>
        <v>55.942161437880173</v>
      </c>
      <c r="O321" s="123">
        <f t="shared" si="58"/>
        <v>1.4712788458162485</v>
      </c>
    </row>
    <row r="322" spans="1:15" x14ac:dyDescent="0.25">
      <c r="A322" s="32">
        <v>2006</v>
      </c>
      <c r="B322" s="32">
        <v>5</v>
      </c>
      <c r="C322" s="117">
        <f t="shared" si="59"/>
        <v>44.483999999999995</v>
      </c>
      <c r="D322" s="117">
        <f>+HLOOKUP('Ingreso Datos'!$I$7,'Precip 1981-2012'!$D$5:$AL$397,314,FALSE)</f>
        <v>82</v>
      </c>
      <c r="E322" s="122">
        <f t="shared" si="48"/>
        <v>64.936925231939156</v>
      </c>
      <c r="F322" s="122">
        <f t="shared" si="49"/>
        <v>6.1358775695817496</v>
      </c>
      <c r="G322" s="123">
        <f t="shared" si="50"/>
        <v>42.738334405046331</v>
      </c>
      <c r="H322" s="123">
        <f t="shared" si="51"/>
        <v>0</v>
      </c>
      <c r="I322" s="123">
        <f t="shared" si="52"/>
        <v>39.261665594953669</v>
      </c>
      <c r="J322" s="123">
        <f t="shared" si="53"/>
        <v>38.478008044791508</v>
      </c>
      <c r="K322" s="123">
        <f t="shared" si="54"/>
        <v>4.2603263602548225</v>
      </c>
      <c r="L322" s="123">
        <f t="shared" si="55"/>
        <v>13.876516232365667</v>
      </c>
      <c r="M322" s="123">
        <f t="shared" si="56"/>
        <v>43.462666180256029</v>
      </c>
      <c r="N322" s="123">
        <f t="shared" si="57"/>
        <v>47.722992540510852</v>
      </c>
      <c r="O322" s="123">
        <f t="shared" si="58"/>
        <v>1.2551147038154353</v>
      </c>
    </row>
    <row r="323" spans="1:15" x14ac:dyDescent="0.25">
      <c r="A323" s="32">
        <v>2006</v>
      </c>
      <c r="B323" s="32">
        <v>6</v>
      </c>
      <c r="C323" s="117">
        <f t="shared" si="59"/>
        <v>29.318999999999996</v>
      </c>
      <c r="D323" s="117">
        <f>+HLOOKUP('Ingreso Datos'!$I$7,'Precip 1981-2012'!$D$5:$AL$397,315,FALSE)</f>
        <v>139.4</v>
      </c>
      <c r="E323" s="122">
        <f t="shared" si="48"/>
        <v>49.771925231939164</v>
      </c>
      <c r="F323" s="122">
        <f t="shared" si="49"/>
        <v>6.1358775695817496</v>
      </c>
      <c r="G323" s="123">
        <f t="shared" si="50"/>
        <v>100.39179904595679</v>
      </c>
      <c r="H323" s="123">
        <f t="shared" si="51"/>
        <v>9.6892009540432227</v>
      </c>
      <c r="I323" s="123">
        <f t="shared" si="52"/>
        <v>29.318999999999996</v>
      </c>
      <c r="J323" s="123">
        <f t="shared" si="53"/>
        <v>79.670821974689403</v>
      </c>
      <c r="K323" s="123">
        <f t="shared" si="54"/>
        <v>20.720977071267384</v>
      </c>
      <c r="L323" s="123">
        <f t="shared" si="55"/>
        <v>26.270233987054525</v>
      </c>
      <c r="M323" s="123">
        <f t="shared" si="56"/>
        <v>67.277104220000552</v>
      </c>
      <c r="N323" s="123">
        <f t="shared" si="57"/>
        <v>87.998081291267937</v>
      </c>
      <c r="O323" s="123">
        <f t="shared" si="58"/>
        <v>2.3143495379603469</v>
      </c>
    </row>
    <row r="324" spans="1:15" x14ac:dyDescent="0.25">
      <c r="A324" s="32">
        <v>2006</v>
      </c>
      <c r="B324" s="32">
        <v>7</v>
      </c>
      <c r="C324" s="117">
        <f t="shared" si="59"/>
        <v>35.384999999999998</v>
      </c>
      <c r="D324" s="117">
        <f>+HLOOKUP('Ingreso Datos'!$I$7,'Precip 1981-2012'!$D$5:$AL$397,316,FALSE)</f>
        <v>52.6</v>
      </c>
      <c r="E324" s="122">
        <f t="shared" si="48"/>
        <v>46.148724277895937</v>
      </c>
      <c r="F324" s="122">
        <f t="shared" si="49"/>
        <v>3.2291172833687827</v>
      </c>
      <c r="G324" s="123">
        <f t="shared" si="50"/>
        <v>26.410999311499495</v>
      </c>
      <c r="H324" s="123">
        <f t="shared" si="51"/>
        <v>0.49320164254373111</v>
      </c>
      <c r="I324" s="123">
        <f t="shared" si="52"/>
        <v>35.384999999999998</v>
      </c>
      <c r="J324" s="123">
        <f t="shared" si="53"/>
        <v>24.719626176940675</v>
      </c>
      <c r="K324" s="123">
        <f t="shared" si="54"/>
        <v>1.6913731345588197</v>
      </c>
      <c r="L324" s="123">
        <f t="shared" si="55"/>
        <v>10.29870620160969</v>
      </c>
      <c r="M324" s="123">
        <f t="shared" si="56"/>
        <v>40.691153962385513</v>
      </c>
      <c r="N324" s="123">
        <f t="shared" si="57"/>
        <v>42.38252709694433</v>
      </c>
      <c r="O324" s="123">
        <f t="shared" si="58"/>
        <v>1.1146604626496359</v>
      </c>
    </row>
    <row r="325" spans="1:15" x14ac:dyDescent="0.25">
      <c r="A325" s="32">
        <v>2006</v>
      </c>
      <c r="B325" s="32">
        <v>8</v>
      </c>
      <c r="C325" s="117">
        <f t="shared" si="59"/>
        <v>55.605000000000004</v>
      </c>
      <c r="D325" s="117">
        <f>+HLOOKUP('Ingreso Datos'!$I$7,'Precip 1981-2012'!$D$5:$AL$397,317,FALSE)</f>
        <v>26.8</v>
      </c>
      <c r="E325" s="122">
        <f t="shared" si="48"/>
        <v>75.564723589395442</v>
      </c>
      <c r="F325" s="122">
        <f t="shared" si="49"/>
        <v>5.9879170768186301</v>
      </c>
      <c r="G325" s="123">
        <f t="shared" si="50"/>
        <v>4.7919915634014281</v>
      </c>
      <c r="H325" s="123">
        <f t="shared" si="51"/>
        <v>0</v>
      </c>
      <c r="I325" s="123">
        <f t="shared" si="52"/>
        <v>22.501210079142304</v>
      </c>
      <c r="J325" s="123">
        <f t="shared" si="53"/>
        <v>4.7332309346284482</v>
      </c>
      <c r="K325" s="123">
        <f t="shared" si="54"/>
        <v>5.8760628772979828E-2</v>
      </c>
      <c r="L325" s="123">
        <f t="shared" si="55"/>
        <v>2.4871405773972617</v>
      </c>
      <c r="M325" s="123">
        <f t="shared" si="56"/>
        <v>12.544796558840876</v>
      </c>
      <c r="N325" s="123">
        <f t="shared" si="57"/>
        <v>12.603557187613855</v>
      </c>
      <c r="O325" s="123">
        <f t="shared" si="58"/>
        <v>0.33147355403424439</v>
      </c>
    </row>
    <row r="326" spans="1:15" x14ac:dyDescent="0.25">
      <c r="A326" s="32">
        <v>2006</v>
      </c>
      <c r="B326" s="32">
        <v>9</v>
      </c>
      <c r="C326" s="117">
        <f t="shared" si="59"/>
        <v>78.858000000000004</v>
      </c>
      <c r="D326" s="117">
        <f>+HLOOKUP('Ingreso Datos'!$I$7,'Precip 1981-2012'!$D$5:$AL$397,318,FALSE)</f>
        <v>52.3</v>
      </c>
      <c r="E326" s="122">
        <f t="shared" si="48"/>
        <v>99.310925231939166</v>
      </c>
      <c r="F326" s="122">
        <f t="shared" si="49"/>
        <v>6.1358775695817496</v>
      </c>
      <c r="G326" s="123">
        <f t="shared" si="50"/>
        <v>15.29452341614842</v>
      </c>
      <c r="H326" s="123">
        <f t="shared" si="51"/>
        <v>0</v>
      </c>
      <c r="I326" s="123">
        <f t="shared" si="52"/>
        <v>37.005476583851575</v>
      </c>
      <c r="J326" s="123">
        <f t="shared" si="53"/>
        <v>14.711603807538333</v>
      </c>
      <c r="K326" s="123">
        <f t="shared" si="54"/>
        <v>0.58291960861008718</v>
      </c>
      <c r="L326" s="123">
        <f t="shared" si="55"/>
        <v>4.8435703526866716</v>
      </c>
      <c r="M326" s="123">
        <f t="shared" si="56"/>
        <v>12.355174032248923</v>
      </c>
      <c r="N326" s="123">
        <f t="shared" si="57"/>
        <v>12.938093640859011</v>
      </c>
      <c r="O326" s="123">
        <f t="shared" si="58"/>
        <v>0.34027186275459198</v>
      </c>
    </row>
    <row r="327" spans="1:15" x14ac:dyDescent="0.25">
      <c r="A327" s="32">
        <v>2006</v>
      </c>
      <c r="B327" s="32">
        <v>10</v>
      </c>
      <c r="C327" s="117">
        <f t="shared" si="59"/>
        <v>113.232</v>
      </c>
      <c r="D327" s="117">
        <f>+HLOOKUP('Ingreso Datos'!$I$7,'Precip 1981-2012'!$D$5:$AL$397,319,FALSE)</f>
        <v>114.3</v>
      </c>
      <c r="E327" s="122">
        <f t="shared" si="48"/>
        <v>133.68492523193916</v>
      </c>
      <c r="F327" s="122">
        <f t="shared" si="49"/>
        <v>6.1358775695817496</v>
      </c>
      <c r="G327" s="123">
        <f t="shared" si="50"/>
        <v>49.634381381989158</v>
      </c>
      <c r="H327" s="123">
        <f t="shared" si="51"/>
        <v>0</v>
      </c>
      <c r="I327" s="123">
        <f t="shared" si="52"/>
        <v>64.665618618010839</v>
      </c>
      <c r="J327" s="123">
        <f t="shared" si="53"/>
        <v>43.979245055610569</v>
      </c>
      <c r="K327" s="123">
        <f t="shared" si="54"/>
        <v>5.6551363263785888</v>
      </c>
      <c r="L327" s="123">
        <f t="shared" si="55"/>
        <v>14.226082395384303</v>
      </c>
      <c r="M327" s="123">
        <f t="shared" si="56"/>
        <v>34.596733012912935</v>
      </c>
      <c r="N327" s="123">
        <f t="shared" si="57"/>
        <v>40.251869339291524</v>
      </c>
      <c r="O327" s="123">
        <f t="shared" si="58"/>
        <v>1.0586241636233671</v>
      </c>
    </row>
    <row r="328" spans="1:15" x14ac:dyDescent="0.25">
      <c r="A328" s="32">
        <v>2006</v>
      </c>
      <c r="B328" s="32">
        <v>11</v>
      </c>
      <c r="C328" s="117">
        <f t="shared" si="59"/>
        <v>148.61699999999999</v>
      </c>
      <c r="D328" s="117">
        <f>+HLOOKUP('Ingreso Datos'!$I$7,'Precip 1981-2012'!$D$5:$AL$397,320,FALSE)</f>
        <v>252.3</v>
      </c>
      <c r="E328" s="122">
        <f t="shared" si="48"/>
        <v>169.06992523193915</v>
      </c>
      <c r="F328" s="122">
        <f t="shared" si="49"/>
        <v>6.1358775695817496</v>
      </c>
      <c r="G328" s="123">
        <f t="shared" si="50"/>
        <v>148.12282137120232</v>
      </c>
      <c r="H328" s="123">
        <f t="shared" si="51"/>
        <v>0</v>
      </c>
      <c r="I328" s="123">
        <f t="shared" si="52"/>
        <v>104.17717862879769</v>
      </c>
      <c r="J328" s="123">
        <f t="shared" si="53"/>
        <v>107.04543367479253</v>
      </c>
      <c r="K328" s="123">
        <f t="shared" si="54"/>
        <v>41.077387696409787</v>
      </c>
      <c r="L328" s="123">
        <f t="shared" si="55"/>
        <v>34.864551134269263</v>
      </c>
      <c r="M328" s="123">
        <f t="shared" si="56"/>
        <v>86.406964935907581</v>
      </c>
      <c r="N328" s="123">
        <f t="shared" si="57"/>
        <v>127.48435263231737</v>
      </c>
      <c r="O328" s="123">
        <f t="shared" si="58"/>
        <v>3.3528384742299466</v>
      </c>
    </row>
    <row r="329" spans="1:15" x14ac:dyDescent="0.25">
      <c r="A329" s="32">
        <v>2006</v>
      </c>
      <c r="B329" s="32">
        <v>12</v>
      </c>
      <c r="C329" s="117">
        <f t="shared" si="59"/>
        <v>179.958</v>
      </c>
      <c r="D329" s="117">
        <f>+HLOOKUP('Ingreso Datos'!$I$7,'Precip 1981-2012'!$D$5:$AL$397,321,FALSE)</f>
        <v>173.5</v>
      </c>
      <c r="E329" s="122">
        <f t="shared" si="48"/>
        <v>200.41092523193916</v>
      </c>
      <c r="F329" s="122">
        <f t="shared" si="49"/>
        <v>6.1358775695817496</v>
      </c>
      <c r="G329" s="123">
        <f t="shared" si="50"/>
        <v>77.454965593793673</v>
      </c>
      <c r="H329" s="123">
        <f t="shared" si="51"/>
        <v>0</v>
      </c>
      <c r="I329" s="123">
        <f t="shared" si="52"/>
        <v>96.045034406206327</v>
      </c>
      <c r="J329" s="123">
        <f t="shared" si="53"/>
        <v>64.510295365804424</v>
      </c>
      <c r="K329" s="123">
        <f t="shared" si="54"/>
        <v>12.944670227989249</v>
      </c>
      <c r="L329" s="123">
        <f t="shared" si="55"/>
        <v>23.581767436256264</v>
      </c>
      <c r="M329" s="123">
        <f t="shared" si="56"/>
        <v>75.79307906381743</v>
      </c>
      <c r="N329" s="123">
        <f t="shared" si="57"/>
        <v>88.737749291806679</v>
      </c>
      <c r="O329" s="123">
        <f t="shared" si="58"/>
        <v>2.3338028063745155</v>
      </c>
    </row>
    <row r="330" spans="1:15" x14ac:dyDescent="0.25">
      <c r="A330" s="32">
        <v>2007</v>
      </c>
      <c r="B330" s="32">
        <v>1</v>
      </c>
      <c r="C330" s="117">
        <f t="shared" si="59"/>
        <v>190.06799999999998</v>
      </c>
      <c r="D330" s="117">
        <f>+HLOOKUP('Ingreso Datos'!$I$7,'Precip 1981-2012'!$D$5:$AL$397,322,FALSE)</f>
        <v>50.1</v>
      </c>
      <c r="E330" s="122">
        <f t="shared" si="48"/>
        <v>210.52092523193915</v>
      </c>
      <c r="F330" s="122">
        <f t="shared" si="49"/>
        <v>6.1358775695817496</v>
      </c>
      <c r="G330" s="123">
        <f t="shared" si="50"/>
        <v>7.78276835132871</v>
      </c>
      <c r="H330" s="123">
        <f t="shared" si="51"/>
        <v>0</v>
      </c>
      <c r="I330" s="123">
        <f t="shared" si="52"/>
        <v>42.317231648671289</v>
      </c>
      <c r="J330" s="123">
        <f t="shared" si="53"/>
        <v>7.6289488140644428</v>
      </c>
      <c r="K330" s="123">
        <f t="shared" si="54"/>
        <v>0.15381953726426723</v>
      </c>
      <c r="L330" s="123">
        <f t="shared" si="55"/>
        <v>4.6915050069675619</v>
      </c>
      <c r="M330" s="123">
        <f t="shared" si="56"/>
        <v>26.519211243353148</v>
      </c>
      <c r="N330" s="123">
        <f t="shared" si="57"/>
        <v>26.673030780617417</v>
      </c>
      <c r="O330" s="123">
        <f t="shared" si="58"/>
        <v>0.70150070953023813</v>
      </c>
    </row>
    <row r="331" spans="1:15" x14ac:dyDescent="0.25">
      <c r="A331" s="32">
        <v>2007</v>
      </c>
      <c r="B331" s="32">
        <v>2</v>
      </c>
      <c r="C331" s="117">
        <f t="shared" si="59"/>
        <v>146.595</v>
      </c>
      <c r="D331" s="117">
        <f>+HLOOKUP('Ingreso Datos'!$I$7,'Precip 1981-2012'!$D$5:$AL$397,323,FALSE)</f>
        <v>213.5</v>
      </c>
      <c r="E331" s="122">
        <f t="shared" si="48"/>
        <v>167.04792523193916</v>
      </c>
      <c r="F331" s="122">
        <f t="shared" si="49"/>
        <v>6.1358775695817496</v>
      </c>
      <c r="G331" s="123">
        <f t="shared" si="50"/>
        <v>116.75987414690724</v>
      </c>
      <c r="H331" s="123">
        <f t="shared" si="51"/>
        <v>0</v>
      </c>
      <c r="I331" s="123">
        <f t="shared" si="52"/>
        <v>96.740125853092763</v>
      </c>
      <c r="J331" s="123">
        <f t="shared" si="53"/>
        <v>89.643811565472845</v>
      </c>
      <c r="K331" s="123">
        <f t="shared" si="54"/>
        <v>27.116062581434392</v>
      </c>
      <c r="L331" s="123">
        <f t="shared" si="55"/>
        <v>28.490680150380467</v>
      </c>
      <c r="M331" s="123">
        <f t="shared" si="56"/>
        <v>65.844636422059949</v>
      </c>
      <c r="N331" s="123">
        <f t="shared" si="57"/>
        <v>92.960699003494341</v>
      </c>
      <c r="O331" s="123">
        <f t="shared" si="58"/>
        <v>2.4448663837919011</v>
      </c>
    </row>
    <row r="332" spans="1:15" x14ac:dyDescent="0.25">
      <c r="A332" s="32">
        <v>2007</v>
      </c>
      <c r="B332" s="32">
        <v>3</v>
      </c>
      <c r="C332" s="117">
        <f t="shared" si="59"/>
        <v>120.30899999999998</v>
      </c>
      <c r="D332" s="117">
        <f>+HLOOKUP('Ingreso Datos'!$I$7,'Precip 1981-2012'!$D$5:$AL$397,324,FALSE)</f>
        <v>277.7</v>
      </c>
      <c r="E332" s="122">
        <f t="shared" si="48"/>
        <v>140.76192523193916</v>
      </c>
      <c r="F332" s="122">
        <f t="shared" si="49"/>
        <v>6.1358775695817496</v>
      </c>
      <c r="G332" s="123">
        <f t="shared" si="50"/>
        <v>181.55799431226762</v>
      </c>
      <c r="H332" s="123">
        <f t="shared" si="51"/>
        <v>0</v>
      </c>
      <c r="I332" s="123">
        <f t="shared" si="52"/>
        <v>96.142005687732365</v>
      </c>
      <c r="J332" s="123">
        <f t="shared" si="53"/>
        <v>123.47881010724846</v>
      </c>
      <c r="K332" s="123">
        <f t="shared" si="54"/>
        <v>58.07918420501916</v>
      </c>
      <c r="L332" s="123">
        <f t="shared" si="55"/>
        <v>41.398166041991189</v>
      </c>
      <c r="M332" s="123">
        <f t="shared" si="56"/>
        <v>110.57132421563774</v>
      </c>
      <c r="N332" s="123">
        <f t="shared" si="57"/>
        <v>168.65050842065691</v>
      </c>
      <c r="O332" s="123">
        <f t="shared" si="58"/>
        <v>4.4355083714632766</v>
      </c>
    </row>
    <row r="333" spans="1:15" x14ac:dyDescent="0.25">
      <c r="A333" s="32">
        <v>2007</v>
      </c>
      <c r="B333" s="32">
        <v>4</v>
      </c>
      <c r="C333" s="117">
        <f t="shared" si="59"/>
        <v>73.802999999999997</v>
      </c>
      <c r="D333" s="117">
        <f>+HLOOKUP('Ingreso Datos'!$I$7,'Precip 1981-2012'!$D$5:$AL$397,325,FALSE)</f>
        <v>116.2</v>
      </c>
      <c r="E333" s="122">
        <f t="shared" si="48"/>
        <v>94.255925231939159</v>
      </c>
      <c r="F333" s="122">
        <f t="shared" si="49"/>
        <v>6.1358775695817496</v>
      </c>
      <c r="G333" s="123">
        <f t="shared" si="50"/>
        <v>61.125522995641575</v>
      </c>
      <c r="H333" s="123">
        <f t="shared" si="51"/>
        <v>0</v>
      </c>
      <c r="I333" s="123">
        <f t="shared" si="52"/>
        <v>55.074477004358428</v>
      </c>
      <c r="J333" s="123">
        <f t="shared" si="53"/>
        <v>52.769190446208633</v>
      </c>
      <c r="K333" s="123">
        <f t="shared" si="54"/>
        <v>8.3563325494329419</v>
      </c>
      <c r="L333" s="123">
        <f t="shared" si="55"/>
        <v>20.549162856276382</v>
      </c>
      <c r="M333" s="123">
        <f t="shared" si="56"/>
        <v>73.618193631923447</v>
      </c>
      <c r="N333" s="123">
        <f t="shared" si="57"/>
        <v>81.974526181356396</v>
      </c>
      <c r="O333" s="123">
        <f t="shared" si="58"/>
        <v>2.1559300385696734</v>
      </c>
    </row>
    <row r="334" spans="1:15" x14ac:dyDescent="0.25">
      <c r="A334" s="32">
        <v>2007</v>
      </c>
      <c r="B334" s="32">
        <v>5</v>
      </c>
      <c r="C334" s="117">
        <f t="shared" si="59"/>
        <v>44.483999999999995</v>
      </c>
      <c r="D334" s="117">
        <f>+HLOOKUP('Ingreso Datos'!$I$7,'Precip 1981-2012'!$D$5:$AL$397,326,FALSE)</f>
        <v>24.2</v>
      </c>
      <c r="E334" s="122">
        <f t="shared" si="48"/>
        <v>64.936925231939156</v>
      </c>
      <c r="F334" s="122">
        <f t="shared" si="49"/>
        <v>6.1358775695817496</v>
      </c>
      <c r="G334" s="123">
        <f t="shared" si="50"/>
        <v>4.2452585324052903</v>
      </c>
      <c r="H334" s="123">
        <f t="shared" si="51"/>
        <v>0</v>
      </c>
      <c r="I334" s="123">
        <f t="shared" si="52"/>
        <v>19.954741467594708</v>
      </c>
      <c r="J334" s="123">
        <f t="shared" si="53"/>
        <v>4.1990767541186411</v>
      </c>
      <c r="K334" s="123">
        <f t="shared" si="54"/>
        <v>4.6181778286649156E-2</v>
      </c>
      <c r="L334" s="123">
        <f t="shared" si="55"/>
        <v>3.3224336801789693</v>
      </c>
      <c r="M334" s="123">
        <f t="shared" si="56"/>
        <v>21.425805930216058</v>
      </c>
      <c r="N334" s="123">
        <f t="shared" si="57"/>
        <v>21.471987708502706</v>
      </c>
      <c r="O334" s="123">
        <f t="shared" si="58"/>
        <v>0.56471327673362115</v>
      </c>
    </row>
    <row r="335" spans="1:15" x14ac:dyDescent="0.25">
      <c r="A335" s="32">
        <v>2007</v>
      </c>
      <c r="B335" s="32">
        <v>6</v>
      </c>
      <c r="C335" s="117">
        <f t="shared" si="59"/>
        <v>29.318999999999996</v>
      </c>
      <c r="D335" s="117">
        <f>+HLOOKUP('Ingreso Datos'!$I$7,'Precip 1981-2012'!$D$5:$AL$397,327,FALSE)</f>
        <v>67.599999999999994</v>
      </c>
      <c r="E335" s="122">
        <f t="shared" si="48"/>
        <v>49.771925231939164</v>
      </c>
      <c r="F335" s="122">
        <f t="shared" si="49"/>
        <v>6.1358775695817496</v>
      </c>
      <c r="G335" s="123">
        <f t="shared" si="50"/>
        <v>35.945121143063901</v>
      </c>
      <c r="H335" s="123">
        <f t="shared" si="51"/>
        <v>2.3358788569360982</v>
      </c>
      <c r="I335" s="123">
        <f t="shared" si="52"/>
        <v>29.318999999999996</v>
      </c>
      <c r="J335" s="123">
        <f t="shared" si="53"/>
        <v>32.882988962250138</v>
      </c>
      <c r="K335" s="123">
        <f t="shared" si="54"/>
        <v>3.0621321808137623</v>
      </c>
      <c r="L335" s="123">
        <f t="shared" si="55"/>
        <v>10.607502913901589</v>
      </c>
      <c r="M335" s="123">
        <f t="shared" si="56"/>
        <v>25.597919728527518</v>
      </c>
      <c r="N335" s="123">
        <f t="shared" si="57"/>
        <v>28.660051909341281</v>
      </c>
      <c r="O335" s="123">
        <f t="shared" si="58"/>
        <v>0.75375936521567566</v>
      </c>
    </row>
    <row r="336" spans="1:15" x14ac:dyDescent="0.25">
      <c r="A336" s="32">
        <v>2007</v>
      </c>
      <c r="B336" s="32">
        <v>7</v>
      </c>
      <c r="C336" s="117">
        <f t="shared" si="59"/>
        <v>35.384999999999998</v>
      </c>
      <c r="D336" s="117">
        <f>+HLOOKUP('Ingreso Datos'!$I$7,'Precip 1981-2012'!$D$5:$AL$397,328,FALSE)</f>
        <v>40.6</v>
      </c>
      <c r="E336" s="122">
        <f t="shared" si="48"/>
        <v>53.502046375003061</v>
      </c>
      <c r="F336" s="122">
        <f t="shared" si="49"/>
        <v>5.4351139125009196</v>
      </c>
      <c r="G336" s="123">
        <f t="shared" si="50"/>
        <v>14.856928937626444</v>
      </c>
      <c r="H336" s="123">
        <f t="shared" si="51"/>
        <v>0</v>
      </c>
      <c r="I336" s="123">
        <f t="shared" si="52"/>
        <v>28.078949919309657</v>
      </c>
      <c r="J336" s="123">
        <f t="shared" si="53"/>
        <v>14.306287744912954</v>
      </c>
      <c r="K336" s="123">
        <f t="shared" si="54"/>
        <v>0.55064119271349021</v>
      </c>
      <c r="L336" s="123">
        <f t="shared" si="55"/>
        <v>5.5108636200985384</v>
      </c>
      <c r="M336" s="123">
        <f t="shared" si="56"/>
        <v>19.402927038716005</v>
      </c>
      <c r="N336" s="123">
        <f t="shared" si="57"/>
        <v>19.953568231429493</v>
      </c>
      <c r="O336" s="123">
        <f t="shared" si="58"/>
        <v>0.52477884448659573</v>
      </c>
    </row>
    <row r="337" spans="1:15" x14ac:dyDescent="0.25">
      <c r="A337" s="32">
        <v>2007</v>
      </c>
      <c r="B337" s="32">
        <v>8</v>
      </c>
      <c r="C337" s="117">
        <f t="shared" si="59"/>
        <v>55.605000000000004</v>
      </c>
      <c r="D337" s="117">
        <f>+HLOOKUP('Ingreso Datos'!$I$7,'Precip 1981-2012'!$D$5:$AL$397,329,FALSE)</f>
        <v>109.3</v>
      </c>
      <c r="E337" s="122">
        <f t="shared" si="48"/>
        <v>76.057925231939166</v>
      </c>
      <c r="F337" s="122">
        <f t="shared" si="49"/>
        <v>6.1358775695817496</v>
      </c>
      <c r="G337" s="123">
        <f t="shared" si="50"/>
        <v>61.488657072564919</v>
      </c>
      <c r="H337" s="123">
        <f t="shared" si="51"/>
        <v>0</v>
      </c>
      <c r="I337" s="123">
        <f t="shared" si="52"/>
        <v>47.811342927435078</v>
      </c>
      <c r="J337" s="123">
        <f t="shared" si="53"/>
        <v>53.03960503776802</v>
      </c>
      <c r="K337" s="123">
        <f t="shared" si="54"/>
        <v>8.4490520347968996</v>
      </c>
      <c r="L337" s="123">
        <f t="shared" si="55"/>
        <v>17.124538401909835</v>
      </c>
      <c r="M337" s="123">
        <f t="shared" si="56"/>
        <v>41.425930255956722</v>
      </c>
      <c r="N337" s="123">
        <f t="shared" si="57"/>
        <v>49.874982290753621</v>
      </c>
      <c r="O337" s="123">
        <f t="shared" si="58"/>
        <v>1.3117120342468203</v>
      </c>
    </row>
    <row r="338" spans="1:15" x14ac:dyDescent="0.25">
      <c r="A338" s="32">
        <v>2007</v>
      </c>
      <c r="B338" s="32">
        <v>9</v>
      </c>
      <c r="C338" s="117">
        <f t="shared" si="59"/>
        <v>78.858000000000004</v>
      </c>
      <c r="D338" s="117">
        <f>+HLOOKUP('Ingreso Datos'!$I$7,'Precip 1981-2012'!$D$5:$AL$397,330,FALSE)</f>
        <v>116.6</v>
      </c>
      <c r="E338" s="122">
        <f t="shared" ref="E338:E377" si="60">+CAD*AD-H337+C338</f>
        <v>99.310925231939166</v>
      </c>
      <c r="F338" s="122">
        <f t="shared" ref="F338:F377" si="61">+CP.o*(CAD*AD-H337)</f>
        <v>6.1358775695817496</v>
      </c>
      <c r="G338" s="123">
        <f t="shared" ref="G338:G377" si="62">+IF(D338&lt;F338,0,(D338-F338)^2/(D338+E338-2*F338))</f>
        <v>59.921292837538047</v>
      </c>
      <c r="H338" s="123">
        <f t="shared" ref="H338:H377" si="63">+MAX(0,H337+D338-G338-C338)</f>
        <v>0</v>
      </c>
      <c r="I338" s="123">
        <f t="shared" ref="I338:I377" si="64">+MIN(H337+D338-G338,C338)</f>
        <v>56.678707162461947</v>
      </c>
      <c r="J338" s="123">
        <f t="shared" ref="J338:J377" si="65">+Imax*G338/(G338+Imax)</f>
        <v>51.86928591839294</v>
      </c>
      <c r="K338" s="123">
        <f t="shared" ref="K338:K377" si="66">+G338-J338</f>
        <v>8.0520069191451071</v>
      </c>
      <c r="L338" s="123">
        <f t="shared" ref="L338:L377" si="67">+L337*EXP(-α)+J338*EXP(-α/2)</f>
        <v>17.89420070065708</v>
      </c>
      <c r="M338" s="123">
        <f t="shared" ref="M338:M377" si="68">+L337-L338+J338</f>
        <v>51.099623619645698</v>
      </c>
      <c r="N338" s="123">
        <f t="shared" ref="N338:N377" si="69">+M338+K338</f>
        <v>59.151630538790805</v>
      </c>
      <c r="O338" s="123">
        <f t="shared" ref="O338:O377" si="70">+N338*Ac/100000</f>
        <v>1.5556878831701981</v>
      </c>
    </row>
    <row r="339" spans="1:15" x14ac:dyDescent="0.25">
      <c r="A339" s="32">
        <v>2007</v>
      </c>
      <c r="B339" s="32">
        <v>10</v>
      </c>
      <c r="C339" s="117">
        <f t="shared" si="59"/>
        <v>113.232</v>
      </c>
      <c r="D339" s="117">
        <f>+HLOOKUP('Ingreso Datos'!$I$7,'Precip 1981-2012'!$D$5:$AL$397,331,FALSE)</f>
        <v>238.6</v>
      </c>
      <c r="E339" s="122">
        <f t="shared" si="60"/>
        <v>133.68492523193916</v>
      </c>
      <c r="F339" s="122">
        <f t="shared" si="61"/>
        <v>6.1358775695817496</v>
      </c>
      <c r="G339" s="123">
        <f t="shared" si="62"/>
        <v>150.10442035611766</v>
      </c>
      <c r="H339" s="123">
        <f t="shared" si="63"/>
        <v>0</v>
      </c>
      <c r="I339" s="123">
        <f t="shared" si="64"/>
        <v>88.495579643882337</v>
      </c>
      <c r="J339" s="123">
        <f t="shared" si="65"/>
        <v>108.07653146932356</v>
      </c>
      <c r="K339" s="123">
        <f t="shared" si="66"/>
        <v>42.027888886794102</v>
      </c>
      <c r="L339" s="123">
        <f t="shared" si="67"/>
        <v>35.545660207064202</v>
      </c>
      <c r="M339" s="123">
        <f t="shared" si="68"/>
        <v>90.425071962916434</v>
      </c>
      <c r="N339" s="123">
        <f t="shared" si="69"/>
        <v>132.45296084971054</v>
      </c>
      <c r="O339" s="123">
        <f t="shared" si="70"/>
        <v>3.4835128703473868</v>
      </c>
    </row>
    <row r="340" spans="1:15" x14ac:dyDescent="0.25">
      <c r="A340" s="32">
        <v>2007</v>
      </c>
      <c r="B340" s="32">
        <v>11</v>
      </c>
      <c r="C340" s="117">
        <f t="shared" si="59"/>
        <v>148.61699999999999</v>
      </c>
      <c r="D340" s="117">
        <f>+HLOOKUP('Ingreso Datos'!$I$7,'Precip 1981-2012'!$D$5:$AL$397,332,FALSE)</f>
        <v>29.7</v>
      </c>
      <c r="E340" s="122">
        <f t="shared" si="60"/>
        <v>169.06992523193915</v>
      </c>
      <c r="F340" s="122">
        <f t="shared" si="61"/>
        <v>6.1358775695817496</v>
      </c>
      <c r="G340" s="123">
        <f t="shared" si="62"/>
        <v>2.977336805178926</v>
      </c>
      <c r="H340" s="123">
        <f t="shared" si="63"/>
        <v>0</v>
      </c>
      <c r="I340" s="123">
        <f t="shared" si="64"/>
        <v>26.722663194821074</v>
      </c>
      <c r="J340" s="123">
        <f t="shared" si="65"/>
        <v>2.9545474711671273</v>
      </c>
      <c r="K340" s="123">
        <f t="shared" si="66"/>
        <v>2.2789334011798612E-2</v>
      </c>
      <c r="L340" s="123">
        <f t="shared" si="67"/>
        <v>4.3996742465860095</v>
      </c>
      <c r="M340" s="123">
        <f t="shared" si="68"/>
        <v>34.100533431645317</v>
      </c>
      <c r="N340" s="123">
        <f t="shared" si="69"/>
        <v>34.123322765657115</v>
      </c>
      <c r="O340" s="123">
        <f t="shared" si="70"/>
        <v>0.89744338873678209</v>
      </c>
    </row>
    <row r="341" spans="1:15" x14ac:dyDescent="0.25">
      <c r="A341" s="32">
        <v>2007</v>
      </c>
      <c r="B341" s="32">
        <v>12</v>
      </c>
      <c r="C341" s="117">
        <f t="shared" si="59"/>
        <v>179.958</v>
      </c>
      <c r="D341" s="117">
        <f>+HLOOKUP('Ingreso Datos'!$I$7,'Precip 1981-2012'!$D$5:$AL$397,333,FALSE)</f>
        <v>68.8</v>
      </c>
      <c r="E341" s="122">
        <f t="shared" si="60"/>
        <v>200.41092523193916</v>
      </c>
      <c r="F341" s="122">
        <f t="shared" si="61"/>
        <v>6.1358775695817496</v>
      </c>
      <c r="G341" s="123">
        <f t="shared" si="62"/>
        <v>15.282964596470674</v>
      </c>
      <c r="H341" s="123">
        <f t="shared" si="63"/>
        <v>0</v>
      </c>
      <c r="I341" s="123">
        <f t="shared" si="64"/>
        <v>53.51703540352932</v>
      </c>
      <c r="J341" s="123">
        <f t="shared" si="65"/>
        <v>14.700908971229136</v>
      </c>
      <c r="K341" s="123">
        <f t="shared" si="66"/>
        <v>0.5820556252415372</v>
      </c>
      <c r="L341" s="123">
        <f t="shared" si="67"/>
        <v>5.0272401695744415</v>
      </c>
      <c r="M341" s="123">
        <f t="shared" si="68"/>
        <v>14.073343048240705</v>
      </c>
      <c r="N341" s="123">
        <f t="shared" si="69"/>
        <v>14.655398673482242</v>
      </c>
      <c r="O341" s="123">
        <f t="shared" si="70"/>
        <v>0.38543698511258301</v>
      </c>
    </row>
    <row r="342" spans="1:15" x14ac:dyDescent="0.25">
      <c r="A342" s="32">
        <v>2008</v>
      </c>
      <c r="B342" s="32">
        <v>1</v>
      </c>
      <c r="C342" s="117">
        <f t="shared" si="59"/>
        <v>190.06799999999998</v>
      </c>
      <c r="D342" s="117">
        <f>+HLOOKUP('Ingreso Datos'!$I$7,'Precip 1981-2012'!$D$5:$AL$397,334,FALSE)</f>
        <v>61.8</v>
      </c>
      <c r="E342" s="122">
        <f t="shared" si="60"/>
        <v>210.52092523193915</v>
      </c>
      <c r="F342" s="122">
        <f t="shared" si="61"/>
        <v>6.1358775695817496</v>
      </c>
      <c r="G342" s="123">
        <f t="shared" si="62"/>
        <v>11.915033317903557</v>
      </c>
      <c r="H342" s="123">
        <f t="shared" si="63"/>
        <v>0</v>
      </c>
      <c r="I342" s="123">
        <f t="shared" si="64"/>
        <v>49.88496668209644</v>
      </c>
      <c r="J342" s="123">
        <f t="shared" si="65"/>
        <v>11.558253585851237</v>
      </c>
      <c r="K342" s="123">
        <f t="shared" si="66"/>
        <v>0.3567797320523205</v>
      </c>
      <c r="L342" s="123">
        <f t="shared" si="67"/>
        <v>4.1058865637672097</v>
      </c>
      <c r="M342" s="123">
        <f t="shared" si="68"/>
        <v>12.479607191658468</v>
      </c>
      <c r="N342" s="123">
        <f t="shared" si="69"/>
        <v>12.836386923710789</v>
      </c>
      <c r="O342" s="123">
        <f t="shared" si="70"/>
        <v>0.33759697609359379</v>
      </c>
    </row>
    <row r="343" spans="1:15" x14ac:dyDescent="0.25">
      <c r="A343" s="32">
        <v>2008</v>
      </c>
      <c r="B343" s="32">
        <v>2</v>
      </c>
      <c r="C343" s="117">
        <f t="shared" si="59"/>
        <v>146.595</v>
      </c>
      <c r="D343" s="117">
        <f>+HLOOKUP('Ingreso Datos'!$I$7,'Precip 1981-2012'!$D$5:$AL$397,335,FALSE)</f>
        <v>82.8</v>
      </c>
      <c r="E343" s="122">
        <f t="shared" si="60"/>
        <v>167.04792523193916</v>
      </c>
      <c r="F343" s="122">
        <f t="shared" si="61"/>
        <v>6.1358775695817496</v>
      </c>
      <c r="G343" s="123">
        <f t="shared" si="62"/>
        <v>24.738961259165787</v>
      </c>
      <c r="H343" s="123">
        <f t="shared" si="63"/>
        <v>0</v>
      </c>
      <c r="I343" s="123">
        <f t="shared" si="64"/>
        <v>58.061038740834206</v>
      </c>
      <c r="J343" s="123">
        <f t="shared" si="65"/>
        <v>23.248924369784021</v>
      </c>
      <c r="K343" s="123">
        <f t="shared" si="66"/>
        <v>1.4900368893817664</v>
      </c>
      <c r="L343" s="123">
        <f t="shared" si="67"/>
        <v>7.6715064548343843</v>
      </c>
      <c r="M343" s="123">
        <f t="shared" si="68"/>
        <v>19.683304478716845</v>
      </c>
      <c r="N343" s="123">
        <f t="shared" si="69"/>
        <v>21.173341368098612</v>
      </c>
      <c r="O343" s="123">
        <f t="shared" si="70"/>
        <v>0.55685887798099354</v>
      </c>
    </row>
    <row r="344" spans="1:15" x14ac:dyDescent="0.25">
      <c r="A344" s="32">
        <v>2008</v>
      </c>
      <c r="B344" s="32">
        <v>3</v>
      </c>
      <c r="C344" s="117">
        <f t="shared" si="59"/>
        <v>120.30899999999998</v>
      </c>
      <c r="D344" s="117">
        <f>+HLOOKUP('Ingreso Datos'!$I$7,'Precip 1981-2012'!$D$5:$AL$397,336,FALSE)</f>
        <v>75.3</v>
      </c>
      <c r="E344" s="122">
        <f t="shared" si="60"/>
        <v>140.76192523193916</v>
      </c>
      <c r="F344" s="122">
        <f t="shared" si="61"/>
        <v>6.1358775695817496</v>
      </c>
      <c r="G344" s="123">
        <f t="shared" si="62"/>
        <v>23.473535693071515</v>
      </c>
      <c r="H344" s="123">
        <f t="shared" si="63"/>
        <v>0</v>
      </c>
      <c r="I344" s="123">
        <f t="shared" si="64"/>
        <v>51.826464306928486</v>
      </c>
      <c r="J344" s="123">
        <f t="shared" si="65"/>
        <v>22.127888587938646</v>
      </c>
      <c r="K344" s="123">
        <f t="shared" si="66"/>
        <v>1.3456471051328691</v>
      </c>
      <c r="L344" s="123">
        <f t="shared" si="67"/>
        <v>7.669613297840467</v>
      </c>
      <c r="M344" s="123">
        <f t="shared" si="68"/>
        <v>22.129781744932565</v>
      </c>
      <c r="N344" s="123">
        <f t="shared" si="69"/>
        <v>23.475428850065434</v>
      </c>
      <c r="O344" s="123">
        <f t="shared" si="70"/>
        <v>0.61740377875672092</v>
      </c>
    </row>
    <row r="345" spans="1:15" x14ac:dyDescent="0.25">
      <c r="A345" s="32">
        <v>2008</v>
      </c>
      <c r="B345" s="32">
        <v>4</v>
      </c>
      <c r="C345" s="117">
        <f t="shared" si="59"/>
        <v>73.802999999999997</v>
      </c>
      <c r="D345" s="117">
        <f>+HLOOKUP('Ingreso Datos'!$I$7,'Precip 1981-2012'!$D$5:$AL$397,337,FALSE)</f>
        <v>128.1</v>
      </c>
      <c r="E345" s="122">
        <f t="shared" si="60"/>
        <v>94.255925231939159</v>
      </c>
      <c r="F345" s="122">
        <f t="shared" si="61"/>
        <v>6.1358775695817496</v>
      </c>
      <c r="G345" s="123">
        <f t="shared" si="62"/>
        <v>70.806130484048211</v>
      </c>
      <c r="H345" s="123">
        <f t="shared" si="63"/>
        <v>0</v>
      </c>
      <c r="I345" s="123">
        <f t="shared" si="64"/>
        <v>57.293869515951783</v>
      </c>
      <c r="J345" s="123">
        <f t="shared" si="65"/>
        <v>59.830997315823062</v>
      </c>
      <c r="K345" s="123">
        <f t="shared" si="66"/>
        <v>10.975133168225149</v>
      </c>
      <c r="L345" s="123">
        <f t="shared" si="67"/>
        <v>19.459320136904974</v>
      </c>
      <c r="M345" s="123">
        <f t="shared" si="68"/>
        <v>48.041290476758554</v>
      </c>
      <c r="N345" s="123">
        <f t="shared" si="69"/>
        <v>59.016423644983703</v>
      </c>
      <c r="O345" s="123">
        <f t="shared" si="70"/>
        <v>1.5521319418630715</v>
      </c>
    </row>
    <row r="346" spans="1:15" x14ac:dyDescent="0.25">
      <c r="A346" s="32">
        <v>2008</v>
      </c>
      <c r="B346" s="32">
        <v>5</v>
      </c>
      <c r="C346" s="117">
        <f t="shared" si="59"/>
        <v>44.483999999999995</v>
      </c>
      <c r="D346" s="117">
        <f>+HLOOKUP('Ingreso Datos'!$I$7,'Precip 1981-2012'!$D$5:$AL$397,338,FALSE)</f>
        <v>52.5</v>
      </c>
      <c r="E346" s="122">
        <f t="shared" si="60"/>
        <v>64.936925231939156</v>
      </c>
      <c r="F346" s="122">
        <f t="shared" si="61"/>
        <v>6.1358775695817496</v>
      </c>
      <c r="G346" s="123">
        <f t="shared" si="62"/>
        <v>20.440530328115564</v>
      </c>
      <c r="H346" s="123">
        <f t="shared" si="63"/>
        <v>0</v>
      </c>
      <c r="I346" s="123">
        <f t="shared" si="64"/>
        <v>32.059469671884436</v>
      </c>
      <c r="J346" s="123">
        <f t="shared" si="65"/>
        <v>19.412544069566707</v>
      </c>
      <c r="K346" s="123">
        <f t="shared" si="66"/>
        <v>1.0279862585488573</v>
      </c>
      <c r="L346" s="123">
        <f t="shared" si="67"/>
        <v>7.9731687342646511</v>
      </c>
      <c r="M346" s="123">
        <f t="shared" si="68"/>
        <v>30.898695472207031</v>
      </c>
      <c r="N346" s="123">
        <f t="shared" si="69"/>
        <v>31.926681730755888</v>
      </c>
      <c r="O346" s="123">
        <f t="shared" si="70"/>
        <v>0.83967172951887992</v>
      </c>
    </row>
    <row r="347" spans="1:15" x14ac:dyDescent="0.25">
      <c r="A347" s="32">
        <v>2008</v>
      </c>
      <c r="B347" s="32">
        <v>6</v>
      </c>
      <c r="C347" s="117">
        <f t="shared" si="59"/>
        <v>29.318999999999996</v>
      </c>
      <c r="D347" s="117">
        <f>+HLOOKUP('Ingreso Datos'!$I$7,'Precip 1981-2012'!$D$5:$AL$397,339,FALSE)</f>
        <v>107.1</v>
      </c>
      <c r="E347" s="122">
        <f t="shared" si="60"/>
        <v>49.771925231939164</v>
      </c>
      <c r="F347" s="122">
        <f t="shared" si="61"/>
        <v>6.1358775695817496</v>
      </c>
      <c r="G347" s="123">
        <f t="shared" si="62"/>
        <v>70.496141267359221</v>
      </c>
      <c r="H347" s="123">
        <f t="shared" si="63"/>
        <v>7.2848587326407781</v>
      </c>
      <c r="I347" s="123">
        <f t="shared" si="64"/>
        <v>29.318999999999996</v>
      </c>
      <c r="J347" s="123">
        <f t="shared" si="65"/>
        <v>59.609508316223653</v>
      </c>
      <c r="K347" s="123">
        <f t="shared" si="66"/>
        <v>10.886632951135567</v>
      </c>
      <c r="L347" s="123">
        <f t="shared" si="67"/>
        <v>19.41974245989886</v>
      </c>
      <c r="M347" s="123">
        <f t="shared" si="68"/>
        <v>48.162934590589444</v>
      </c>
      <c r="N347" s="123">
        <f t="shared" si="69"/>
        <v>59.049567541725011</v>
      </c>
      <c r="O347" s="123">
        <f t="shared" si="70"/>
        <v>1.5530036263473679</v>
      </c>
    </row>
    <row r="348" spans="1:15" x14ac:dyDescent="0.25">
      <c r="A348" s="32">
        <v>2008</v>
      </c>
      <c r="B348" s="32">
        <v>7</v>
      </c>
      <c r="C348" s="117">
        <f t="shared" si="59"/>
        <v>35.384999999999998</v>
      </c>
      <c r="D348" s="117">
        <f>+HLOOKUP('Ingreso Datos'!$I$7,'Precip 1981-2012'!$D$5:$AL$397,340,FALSE)</f>
        <v>127.3</v>
      </c>
      <c r="E348" s="122">
        <f t="shared" si="60"/>
        <v>48.553066499298382</v>
      </c>
      <c r="F348" s="122">
        <f t="shared" si="61"/>
        <v>3.950419949789516</v>
      </c>
      <c r="G348" s="123">
        <f t="shared" si="62"/>
        <v>90.591945141790148</v>
      </c>
      <c r="H348" s="123">
        <f t="shared" si="63"/>
        <v>8.6079135908506359</v>
      </c>
      <c r="I348" s="123">
        <f t="shared" si="64"/>
        <v>35.384999999999998</v>
      </c>
      <c r="J348" s="123">
        <f t="shared" si="65"/>
        <v>73.371971937812702</v>
      </c>
      <c r="K348" s="123">
        <f t="shared" si="66"/>
        <v>17.219973203977446</v>
      </c>
      <c r="L348" s="123">
        <f t="shared" si="67"/>
        <v>24.842597637337139</v>
      </c>
      <c r="M348" s="123">
        <f t="shared" si="68"/>
        <v>67.949116760374423</v>
      </c>
      <c r="N348" s="123">
        <f t="shared" si="69"/>
        <v>85.169089964351869</v>
      </c>
      <c r="O348" s="123">
        <f t="shared" si="70"/>
        <v>2.2399470660624541</v>
      </c>
    </row>
    <row r="349" spans="1:15" x14ac:dyDescent="0.25">
      <c r="A349" s="32">
        <v>2008</v>
      </c>
      <c r="B349" s="32">
        <v>8</v>
      </c>
      <c r="C349" s="117">
        <f t="shared" si="59"/>
        <v>55.605000000000004</v>
      </c>
      <c r="D349" s="117">
        <f>+HLOOKUP('Ingreso Datos'!$I$7,'Precip 1981-2012'!$D$5:$AL$397,341,FALSE)</f>
        <v>83.8</v>
      </c>
      <c r="E349" s="122">
        <f t="shared" si="60"/>
        <v>67.450011641088537</v>
      </c>
      <c r="F349" s="122">
        <f t="shared" si="61"/>
        <v>3.5535034923265587</v>
      </c>
      <c r="G349" s="123">
        <f t="shared" si="62"/>
        <v>44.674385809457647</v>
      </c>
      <c r="H349" s="123">
        <f t="shared" si="63"/>
        <v>0</v>
      </c>
      <c r="I349" s="123">
        <f t="shared" si="64"/>
        <v>47.733527781392979</v>
      </c>
      <c r="J349" s="123">
        <f t="shared" si="65"/>
        <v>40.040256608341728</v>
      </c>
      <c r="K349" s="123">
        <f t="shared" si="66"/>
        <v>4.6341292011159183</v>
      </c>
      <c r="L349" s="123">
        <f t="shared" si="67"/>
        <v>14.949920906597544</v>
      </c>
      <c r="M349" s="123">
        <f t="shared" si="68"/>
        <v>49.932933339081323</v>
      </c>
      <c r="N349" s="123">
        <f t="shared" si="69"/>
        <v>54.567062540197242</v>
      </c>
      <c r="O349" s="123">
        <f t="shared" si="70"/>
        <v>1.4351137448071876</v>
      </c>
    </row>
    <row r="350" spans="1:15" x14ac:dyDescent="0.25">
      <c r="A350" s="32">
        <v>2008</v>
      </c>
      <c r="B350" s="32">
        <v>9</v>
      </c>
      <c r="C350" s="117">
        <f t="shared" ref="C350:C401" si="71">+C338</f>
        <v>78.858000000000004</v>
      </c>
      <c r="D350" s="117">
        <f>+HLOOKUP('Ingreso Datos'!$I$7,'Precip 1981-2012'!$D$5:$AL$397,342,FALSE)</f>
        <v>70.7</v>
      </c>
      <c r="E350" s="122">
        <f t="shared" si="60"/>
        <v>99.310925231939166</v>
      </c>
      <c r="F350" s="122">
        <f t="shared" si="61"/>
        <v>6.1358775695817496</v>
      </c>
      <c r="G350" s="123">
        <f t="shared" si="62"/>
        <v>26.42670113427301</v>
      </c>
      <c r="H350" s="123">
        <f t="shared" si="63"/>
        <v>0</v>
      </c>
      <c r="I350" s="123">
        <f t="shared" si="64"/>
        <v>44.273298865726993</v>
      </c>
      <c r="J350" s="123">
        <f t="shared" si="65"/>
        <v>24.73338076747935</v>
      </c>
      <c r="K350" s="123">
        <f t="shared" si="66"/>
        <v>1.6933203667936603</v>
      </c>
      <c r="L350" s="123">
        <f t="shared" si="67"/>
        <v>9.1960681086988725</v>
      </c>
      <c r="M350" s="123">
        <f t="shared" si="68"/>
        <v>30.48723356537802</v>
      </c>
      <c r="N350" s="123">
        <f t="shared" si="69"/>
        <v>32.180553932171676</v>
      </c>
      <c r="O350" s="123">
        <f t="shared" si="70"/>
        <v>0.84634856841611517</v>
      </c>
    </row>
    <row r="351" spans="1:15" x14ac:dyDescent="0.25">
      <c r="A351" s="32">
        <v>2008</v>
      </c>
      <c r="B351" s="32">
        <v>10</v>
      </c>
      <c r="C351" s="117">
        <f t="shared" si="71"/>
        <v>113.232</v>
      </c>
      <c r="D351" s="117">
        <f>+HLOOKUP('Ingreso Datos'!$I$7,'Precip 1981-2012'!$D$5:$AL$397,343,FALSE)</f>
        <v>205.2</v>
      </c>
      <c r="E351" s="122">
        <f t="shared" si="60"/>
        <v>133.68492523193916</v>
      </c>
      <c r="F351" s="122">
        <f t="shared" si="61"/>
        <v>6.1358775695817496</v>
      </c>
      <c r="G351" s="123">
        <f t="shared" si="62"/>
        <v>121.32555716518254</v>
      </c>
      <c r="H351" s="123">
        <f t="shared" si="63"/>
        <v>0</v>
      </c>
      <c r="I351" s="123">
        <f t="shared" si="64"/>
        <v>83.874442834817444</v>
      </c>
      <c r="J351" s="123">
        <f t="shared" si="65"/>
        <v>92.310872977590435</v>
      </c>
      <c r="K351" s="123">
        <f t="shared" si="66"/>
        <v>29.01468418759211</v>
      </c>
      <c r="L351" s="123">
        <f t="shared" si="67"/>
        <v>29.765151134033434</v>
      </c>
      <c r="M351" s="123">
        <f t="shared" si="68"/>
        <v>71.741789952255871</v>
      </c>
      <c r="N351" s="123">
        <f t="shared" si="69"/>
        <v>100.75647413984798</v>
      </c>
      <c r="O351" s="123">
        <f t="shared" si="70"/>
        <v>2.6498952698780021</v>
      </c>
    </row>
    <row r="352" spans="1:15" x14ac:dyDescent="0.25">
      <c r="A352" s="32">
        <v>2008</v>
      </c>
      <c r="B352" s="32">
        <v>11</v>
      </c>
      <c r="C352" s="117">
        <f t="shared" si="71"/>
        <v>148.61699999999999</v>
      </c>
      <c r="D352" s="117">
        <f>+HLOOKUP('Ingreso Datos'!$I$7,'Precip 1981-2012'!$D$5:$AL$397,344,FALSE)</f>
        <v>18</v>
      </c>
      <c r="E352" s="122">
        <f t="shared" si="60"/>
        <v>169.06992523193915</v>
      </c>
      <c r="F352" s="122">
        <f t="shared" si="61"/>
        <v>6.1358775695817496</v>
      </c>
      <c r="G352" s="123">
        <f t="shared" si="62"/>
        <v>0.80525671961694589</v>
      </c>
      <c r="H352" s="123">
        <f t="shared" si="63"/>
        <v>0</v>
      </c>
      <c r="I352" s="123">
        <f t="shared" si="64"/>
        <v>17.194743280383054</v>
      </c>
      <c r="J352" s="123">
        <f t="shared" si="65"/>
        <v>0.80358032465275264</v>
      </c>
      <c r="K352" s="123">
        <f t="shared" si="66"/>
        <v>1.6763949641932507E-3</v>
      </c>
      <c r="L352" s="123">
        <f t="shared" si="67"/>
        <v>3.1618213258523005</v>
      </c>
      <c r="M352" s="123">
        <f t="shared" si="68"/>
        <v>27.406910132833886</v>
      </c>
      <c r="N352" s="123">
        <f t="shared" si="69"/>
        <v>27.408586527798079</v>
      </c>
      <c r="O352" s="123">
        <f t="shared" si="70"/>
        <v>0.72084582568108946</v>
      </c>
    </row>
    <row r="353" spans="1:15" x14ac:dyDescent="0.25">
      <c r="A353" s="32">
        <v>2008</v>
      </c>
      <c r="B353" s="32">
        <v>12</v>
      </c>
      <c r="C353" s="117">
        <f t="shared" si="71"/>
        <v>179.958</v>
      </c>
      <c r="D353" s="117">
        <f>+HLOOKUP('Ingreso Datos'!$I$7,'Precip 1981-2012'!$D$5:$AL$397,345,FALSE)</f>
        <v>65.2</v>
      </c>
      <c r="E353" s="122">
        <f t="shared" si="60"/>
        <v>200.41092523193916</v>
      </c>
      <c r="F353" s="122">
        <f t="shared" si="61"/>
        <v>6.1358775695817496</v>
      </c>
      <c r="G353" s="123">
        <f t="shared" si="62"/>
        <v>13.770355990342443</v>
      </c>
      <c r="H353" s="123">
        <f t="shared" si="63"/>
        <v>0</v>
      </c>
      <c r="I353" s="123">
        <f t="shared" si="64"/>
        <v>51.429644009657558</v>
      </c>
      <c r="J353" s="123">
        <f t="shared" si="65"/>
        <v>13.296026913012504</v>
      </c>
      <c r="K353" s="123">
        <f t="shared" si="66"/>
        <v>0.4743290773299389</v>
      </c>
      <c r="L353" s="123">
        <f t="shared" si="67"/>
        <v>4.466887189374269</v>
      </c>
      <c r="M353" s="123">
        <f t="shared" si="68"/>
        <v>11.990961049490537</v>
      </c>
      <c r="N353" s="123">
        <f t="shared" si="69"/>
        <v>12.465290126820475</v>
      </c>
      <c r="O353" s="123">
        <f t="shared" si="70"/>
        <v>0.32783713033537853</v>
      </c>
    </row>
    <row r="354" spans="1:15" x14ac:dyDescent="0.25">
      <c r="A354" s="32">
        <v>2009</v>
      </c>
      <c r="B354" s="32">
        <v>1</v>
      </c>
      <c r="C354" s="117">
        <f t="shared" si="71"/>
        <v>190.06799999999998</v>
      </c>
      <c r="D354" s="117">
        <f>+HLOOKUP('Ingreso Datos'!$I$7,'Precip 1981-2012'!$D$5:$AL$397,346,FALSE)</f>
        <v>54.9</v>
      </c>
      <c r="E354" s="122">
        <f t="shared" si="60"/>
        <v>210.52092523193915</v>
      </c>
      <c r="F354" s="122">
        <f t="shared" si="61"/>
        <v>6.1358775695817496</v>
      </c>
      <c r="G354" s="123">
        <f t="shared" si="62"/>
        <v>9.3934324791084194</v>
      </c>
      <c r="H354" s="123">
        <f t="shared" si="63"/>
        <v>0</v>
      </c>
      <c r="I354" s="123">
        <f t="shared" si="64"/>
        <v>45.506567520891579</v>
      </c>
      <c r="J354" s="123">
        <f t="shared" si="65"/>
        <v>9.1702710239817442</v>
      </c>
      <c r="K354" s="123">
        <f t="shared" si="66"/>
        <v>0.22316145512667518</v>
      </c>
      <c r="L354" s="123">
        <f t="shared" si="67"/>
        <v>3.3043629475521281</v>
      </c>
      <c r="M354" s="123">
        <f t="shared" si="68"/>
        <v>10.332795265803885</v>
      </c>
      <c r="N354" s="123">
        <f t="shared" si="69"/>
        <v>10.55595672093056</v>
      </c>
      <c r="O354" s="123">
        <f t="shared" si="70"/>
        <v>0.2776216617604737</v>
      </c>
    </row>
    <row r="355" spans="1:15" x14ac:dyDescent="0.25">
      <c r="A355" s="32">
        <v>2009</v>
      </c>
      <c r="B355" s="32">
        <v>2</v>
      </c>
      <c r="C355" s="117">
        <f t="shared" si="71"/>
        <v>146.595</v>
      </c>
      <c r="D355" s="117">
        <f>+HLOOKUP('Ingreso Datos'!$I$7,'Precip 1981-2012'!$D$5:$AL$397,347,FALSE)</f>
        <v>262.60000000000002</v>
      </c>
      <c r="E355" s="122">
        <f t="shared" si="60"/>
        <v>167.04792523193916</v>
      </c>
      <c r="F355" s="122">
        <f t="shared" si="61"/>
        <v>6.1358775695817496</v>
      </c>
      <c r="G355" s="123">
        <f t="shared" si="62"/>
        <v>157.58888697307313</v>
      </c>
      <c r="H355" s="123">
        <f t="shared" si="63"/>
        <v>0</v>
      </c>
      <c r="I355" s="123">
        <f t="shared" si="64"/>
        <v>105.01111302692689</v>
      </c>
      <c r="J355" s="123">
        <f t="shared" si="65"/>
        <v>111.90315296975419</v>
      </c>
      <c r="K355" s="123">
        <f t="shared" si="66"/>
        <v>45.685734003318942</v>
      </c>
      <c r="L355" s="123">
        <f t="shared" si="67"/>
        <v>35.315613346474827</v>
      </c>
      <c r="M355" s="123">
        <f t="shared" si="68"/>
        <v>79.89190257083149</v>
      </c>
      <c r="N355" s="123">
        <f t="shared" si="69"/>
        <v>125.57763657415043</v>
      </c>
      <c r="O355" s="123">
        <f t="shared" si="70"/>
        <v>3.3026918419001565</v>
      </c>
    </row>
    <row r="356" spans="1:15" x14ac:dyDescent="0.25">
      <c r="A356" s="32">
        <v>2009</v>
      </c>
      <c r="B356" s="32">
        <v>3</v>
      </c>
      <c r="C356" s="117">
        <f t="shared" si="71"/>
        <v>120.30899999999998</v>
      </c>
      <c r="D356" s="117">
        <f>+HLOOKUP('Ingreso Datos'!$I$7,'Precip 1981-2012'!$D$5:$AL$397,348,FALSE)</f>
        <v>43.7</v>
      </c>
      <c r="E356" s="122">
        <f t="shared" si="60"/>
        <v>140.76192523193916</v>
      </c>
      <c r="F356" s="122">
        <f t="shared" si="61"/>
        <v>6.1358775695817496</v>
      </c>
      <c r="G356" s="123">
        <f t="shared" si="62"/>
        <v>8.1947958655663893</v>
      </c>
      <c r="H356" s="123">
        <f t="shared" si="63"/>
        <v>0</v>
      </c>
      <c r="I356" s="123">
        <f t="shared" si="64"/>
        <v>35.505204134433612</v>
      </c>
      <c r="J356" s="123">
        <f t="shared" si="65"/>
        <v>8.0244367436737551</v>
      </c>
      <c r="K356" s="123">
        <f t="shared" si="66"/>
        <v>0.17035912189263414</v>
      </c>
      <c r="L356" s="123">
        <f t="shared" si="67"/>
        <v>5.9625513097882159</v>
      </c>
      <c r="M356" s="123">
        <f t="shared" si="68"/>
        <v>37.377498780360362</v>
      </c>
      <c r="N356" s="123">
        <f t="shared" si="69"/>
        <v>37.547857902253</v>
      </c>
      <c r="O356" s="123">
        <f t="shared" si="70"/>
        <v>0.98750866282925387</v>
      </c>
    </row>
    <row r="357" spans="1:15" x14ac:dyDescent="0.25">
      <c r="A357" s="32">
        <v>2009</v>
      </c>
      <c r="B357" s="32">
        <v>4</v>
      </c>
      <c r="C357" s="117">
        <f t="shared" si="71"/>
        <v>73.802999999999997</v>
      </c>
      <c r="D357" s="117">
        <f>+HLOOKUP('Ingreso Datos'!$I$7,'Precip 1981-2012'!$D$5:$AL$397,349,FALSE)</f>
        <v>17.5</v>
      </c>
      <c r="E357" s="122">
        <f t="shared" si="60"/>
        <v>94.255925231939159</v>
      </c>
      <c r="F357" s="122">
        <f t="shared" si="61"/>
        <v>6.1358775695817496</v>
      </c>
      <c r="G357" s="123">
        <f t="shared" si="62"/>
        <v>1.2981289233563535</v>
      </c>
      <c r="H357" s="123">
        <f t="shared" si="63"/>
        <v>0</v>
      </c>
      <c r="I357" s="123">
        <f t="shared" si="64"/>
        <v>16.201871076643645</v>
      </c>
      <c r="J357" s="123">
        <f t="shared" si="65"/>
        <v>1.2937779116271237</v>
      </c>
      <c r="K357" s="123">
        <f t="shared" si="66"/>
        <v>4.3510117292298034E-3</v>
      </c>
      <c r="L357" s="123">
        <f t="shared" si="67"/>
        <v>0.98760761147580844</v>
      </c>
      <c r="M357" s="123">
        <f t="shared" si="68"/>
        <v>6.2687216099395311</v>
      </c>
      <c r="N357" s="123">
        <f t="shared" si="69"/>
        <v>6.2730726216687609</v>
      </c>
      <c r="O357" s="123">
        <f t="shared" si="70"/>
        <v>0.16498180994988842</v>
      </c>
    </row>
    <row r="358" spans="1:15" x14ac:dyDescent="0.25">
      <c r="A358" s="32">
        <v>2009</v>
      </c>
      <c r="B358" s="32">
        <v>5</v>
      </c>
      <c r="C358" s="117">
        <f t="shared" si="71"/>
        <v>44.483999999999995</v>
      </c>
      <c r="D358" s="117">
        <f>+HLOOKUP('Ingreso Datos'!$I$7,'Precip 1981-2012'!$D$5:$AL$397,350,FALSE)</f>
        <v>146</v>
      </c>
      <c r="E358" s="122">
        <f t="shared" si="60"/>
        <v>64.936925231939156</v>
      </c>
      <c r="F358" s="122">
        <f t="shared" si="61"/>
        <v>6.1358775695817496</v>
      </c>
      <c r="G358" s="123">
        <f t="shared" si="62"/>
        <v>98.46704751565504</v>
      </c>
      <c r="H358" s="123">
        <f t="shared" si="63"/>
        <v>3.0489524843449658</v>
      </c>
      <c r="I358" s="123">
        <f t="shared" si="64"/>
        <v>44.483999999999995</v>
      </c>
      <c r="J358" s="123">
        <f t="shared" si="65"/>
        <v>78.45379894452914</v>
      </c>
      <c r="K358" s="123">
        <f t="shared" si="66"/>
        <v>20.013248571125899</v>
      </c>
      <c r="L358" s="123">
        <f t="shared" si="67"/>
        <v>24.629344818767319</v>
      </c>
      <c r="M358" s="123">
        <f t="shared" si="68"/>
        <v>54.812061737237627</v>
      </c>
      <c r="N358" s="123">
        <f t="shared" si="69"/>
        <v>74.825310308363527</v>
      </c>
      <c r="O358" s="123">
        <f t="shared" si="70"/>
        <v>1.9679056611099606</v>
      </c>
    </row>
    <row r="359" spans="1:15" x14ac:dyDescent="0.25">
      <c r="A359" s="32">
        <v>2009</v>
      </c>
      <c r="B359" s="32">
        <v>6</v>
      </c>
      <c r="C359" s="117">
        <f t="shared" si="71"/>
        <v>29.318999999999996</v>
      </c>
      <c r="D359" s="117">
        <f>+HLOOKUP('Ingreso Datos'!$I$7,'Precip 1981-2012'!$D$5:$AL$397,351,FALSE)</f>
        <v>14</v>
      </c>
      <c r="E359" s="122">
        <f t="shared" si="60"/>
        <v>46.722972747594198</v>
      </c>
      <c r="F359" s="122">
        <f t="shared" si="61"/>
        <v>5.22119182427826</v>
      </c>
      <c r="G359" s="123">
        <f t="shared" si="62"/>
        <v>1.5327480120473338</v>
      </c>
      <c r="H359" s="123">
        <f t="shared" si="63"/>
        <v>0</v>
      </c>
      <c r="I359" s="123">
        <f t="shared" si="64"/>
        <v>15.516204472297632</v>
      </c>
      <c r="J359" s="123">
        <f t="shared" si="65"/>
        <v>1.5266857721966722</v>
      </c>
      <c r="K359" s="123">
        <f t="shared" si="66"/>
        <v>6.062239850661566E-3</v>
      </c>
      <c r="L359" s="123">
        <f t="shared" si="67"/>
        <v>2.8857420603742296</v>
      </c>
      <c r="M359" s="123">
        <f t="shared" si="68"/>
        <v>23.27028853058976</v>
      </c>
      <c r="N359" s="123">
        <f t="shared" si="69"/>
        <v>23.27635077044042</v>
      </c>
      <c r="O359" s="123">
        <f t="shared" si="70"/>
        <v>0.61216802526258307</v>
      </c>
    </row>
    <row r="360" spans="1:15" x14ac:dyDescent="0.25">
      <c r="A360" s="32">
        <v>2009</v>
      </c>
      <c r="B360" s="32">
        <v>7</v>
      </c>
      <c r="C360" s="117">
        <f t="shared" si="71"/>
        <v>35.384999999999998</v>
      </c>
      <c r="D360" s="117">
        <f>+HLOOKUP('Ingreso Datos'!$I$7,'Precip 1981-2012'!$D$5:$AL$397,352,FALSE)</f>
        <v>21.2</v>
      </c>
      <c r="E360" s="122">
        <f t="shared" si="60"/>
        <v>55.837925231939167</v>
      </c>
      <c r="F360" s="122">
        <f t="shared" si="61"/>
        <v>6.1358775695817496</v>
      </c>
      <c r="G360" s="123">
        <f t="shared" si="62"/>
        <v>3.5038012016699884</v>
      </c>
      <c r="H360" s="123">
        <f t="shared" si="63"/>
        <v>0</v>
      </c>
      <c r="I360" s="123">
        <f t="shared" si="64"/>
        <v>17.696198798330009</v>
      </c>
      <c r="J360" s="123">
        <f t="shared" si="65"/>
        <v>3.4722825802266311</v>
      </c>
      <c r="K360" s="123">
        <f t="shared" si="66"/>
        <v>3.1518621443357375E-2</v>
      </c>
      <c r="L360" s="123">
        <f t="shared" si="67"/>
        <v>1.3679725195841181</v>
      </c>
      <c r="M360" s="123">
        <f t="shared" si="68"/>
        <v>4.9900521210167428</v>
      </c>
      <c r="N360" s="123">
        <f t="shared" si="69"/>
        <v>5.0215707424601002</v>
      </c>
      <c r="O360" s="123">
        <f t="shared" si="70"/>
        <v>0.13206731052670065</v>
      </c>
    </row>
    <row r="361" spans="1:15" x14ac:dyDescent="0.25">
      <c r="A361" s="32">
        <v>2009</v>
      </c>
      <c r="B361" s="32">
        <v>8</v>
      </c>
      <c r="C361" s="117">
        <f t="shared" si="71"/>
        <v>55.605000000000004</v>
      </c>
      <c r="D361" s="117">
        <f>+HLOOKUP('Ingreso Datos'!$I$7,'Precip 1981-2012'!$D$5:$AL$397,353,FALSE)</f>
        <v>21.8</v>
      </c>
      <c r="E361" s="122">
        <f t="shared" si="60"/>
        <v>76.057925231939166</v>
      </c>
      <c r="F361" s="122">
        <f t="shared" si="61"/>
        <v>6.1358775695817496</v>
      </c>
      <c r="G361" s="123">
        <f t="shared" si="62"/>
        <v>2.8668735994279926</v>
      </c>
      <c r="H361" s="123">
        <f t="shared" si="63"/>
        <v>0</v>
      </c>
      <c r="I361" s="123">
        <f t="shared" si="64"/>
        <v>18.933126400572007</v>
      </c>
      <c r="J361" s="123">
        <f t="shared" si="65"/>
        <v>2.8457379234599651</v>
      </c>
      <c r="K361" s="123">
        <f t="shared" si="66"/>
        <v>2.1135675968027456E-2</v>
      </c>
      <c r="L361" s="123">
        <f t="shared" si="67"/>
        <v>1.0236371144565073</v>
      </c>
      <c r="M361" s="123">
        <f t="shared" si="68"/>
        <v>3.1900733285875758</v>
      </c>
      <c r="N361" s="123">
        <f t="shared" si="69"/>
        <v>3.2112090045556032</v>
      </c>
      <c r="O361" s="123">
        <f t="shared" si="70"/>
        <v>8.4454796819812369E-2</v>
      </c>
    </row>
    <row r="362" spans="1:15" x14ac:dyDescent="0.25">
      <c r="A362" s="32">
        <v>2009</v>
      </c>
      <c r="B362" s="32">
        <v>9</v>
      </c>
      <c r="C362" s="117">
        <f t="shared" si="71"/>
        <v>78.858000000000004</v>
      </c>
      <c r="D362" s="117">
        <f>+HLOOKUP('Ingreso Datos'!$I$7,'Precip 1981-2012'!$D$5:$AL$397,354,FALSE)</f>
        <v>195.7</v>
      </c>
      <c r="E362" s="122">
        <f t="shared" si="60"/>
        <v>99.310925231939166</v>
      </c>
      <c r="F362" s="122">
        <f t="shared" si="61"/>
        <v>6.1358775695817496</v>
      </c>
      <c r="G362" s="123">
        <f t="shared" si="62"/>
        <v>127.09436934763347</v>
      </c>
      <c r="H362" s="123">
        <f t="shared" si="63"/>
        <v>0</v>
      </c>
      <c r="I362" s="123">
        <f t="shared" si="64"/>
        <v>68.605630652366514</v>
      </c>
      <c r="J362" s="123">
        <f t="shared" si="65"/>
        <v>95.612872599949128</v>
      </c>
      <c r="K362" s="123">
        <f t="shared" si="66"/>
        <v>31.481496747684346</v>
      </c>
      <c r="L362" s="123">
        <f t="shared" si="67"/>
        <v>29.99856933999742</v>
      </c>
      <c r="M362" s="123">
        <f t="shared" si="68"/>
        <v>66.637940374408217</v>
      </c>
      <c r="N362" s="123">
        <f t="shared" si="69"/>
        <v>98.119437122092563</v>
      </c>
      <c r="O362" s="123">
        <f t="shared" si="70"/>
        <v>2.5805411963110343</v>
      </c>
    </row>
    <row r="363" spans="1:15" x14ac:dyDescent="0.25">
      <c r="A363" s="32">
        <v>2009</v>
      </c>
      <c r="B363" s="32">
        <v>10</v>
      </c>
      <c r="C363" s="117">
        <f t="shared" si="71"/>
        <v>113.232</v>
      </c>
      <c r="D363" s="117">
        <f>+HLOOKUP('Ingreso Datos'!$I$7,'Precip 1981-2012'!$D$5:$AL$397,355,FALSE)</f>
        <v>81.099999999999994</v>
      </c>
      <c r="E363" s="122">
        <f t="shared" si="60"/>
        <v>133.68492523193916</v>
      </c>
      <c r="F363" s="122">
        <f t="shared" si="61"/>
        <v>6.1358775695817496</v>
      </c>
      <c r="G363" s="123">
        <f t="shared" si="62"/>
        <v>27.749403405162571</v>
      </c>
      <c r="H363" s="123">
        <f t="shared" si="63"/>
        <v>0</v>
      </c>
      <c r="I363" s="123">
        <f t="shared" si="64"/>
        <v>53.350596594837427</v>
      </c>
      <c r="J363" s="123">
        <f t="shared" si="65"/>
        <v>25.888302499626281</v>
      </c>
      <c r="K363" s="123">
        <f t="shared" si="66"/>
        <v>1.8611009055362899</v>
      </c>
      <c r="L363" s="123">
        <f t="shared" si="67"/>
        <v>11.028724784326412</v>
      </c>
      <c r="M363" s="123">
        <f t="shared" si="68"/>
        <v>44.858147055297295</v>
      </c>
      <c r="N363" s="123">
        <f t="shared" si="69"/>
        <v>46.719247960833584</v>
      </c>
      <c r="O363" s="123">
        <f t="shared" si="70"/>
        <v>1.2287162213699232</v>
      </c>
    </row>
    <row r="364" spans="1:15" x14ac:dyDescent="0.25">
      <c r="A364" s="32">
        <v>2009</v>
      </c>
      <c r="B364" s="32">
        <v>11</v>
      </c>
      <c r="C364" s="117">
        <f t="shared" si="71"/>
        <v>148.61699999999999</v>
      </c>
      <c r="D364" s="117">
        <f>+HLOOKUP('Ingreso Datos'!$I$7,'Precip 1981-2012'!$D$5:$AL$397,356,FALSE)</f>
        <v>613.29999999999995</v>
      </c>
      <c r="E364" s="122">
        <f t="shared" si="60"/>
        <v>169.06992523193915</v>
      </c>
      <c r="F364" s="122">
        <f t="shared" si="61"/>
        <v>6.1358775695817496</v>
      </c>
      <c r="G364" s="123">
        <f t="shared" si="62"/>
        <v>478.70295747136743</v>
      </c>
      <c r="H364" s="123">
        <f t="shared" si="63"/>
        <v>0</v>
      </c>
      <c r="I364" s="123">
        <f t="shared" si="64"/>
        <v>134.59704252863253</v>
      </c>
      <c r="J364" s="123">
        <f t="shared" si="65"/>
        <v>213.69111784270305</v>
      </c>
      <c r="K364" s="123">
        <f t="shared" si="66"/>
        <v>265.01183962866435</v>
      </c>
      <c r="L364" s="123">
        <f t="shared" si="67"/>
        <v>67.900375249843762</v>
      </c>
      <c r="M364" s="123">
        <f t="shared" si="68"/>
        <v>156.8194673771857</v>
      </c>
      <c r="N364" s="123">
        <f t="shared" si="69"/>
        <v>421.83130700585002</v>
      </c>
      <c r="O364" s="123">
        <f t="shared" si="70"/>
        <v>11.094163374253856</v>
      </c>
    </row>
    <row r="365" spans="1:15" x14ac:dyDescent="0.25">
      <c r="A365" s="32">
        <v>2009</v>
      </c>
      <c r="B365" s="32">
        <v>12</v>
      </c>
      <c r="C365" s="117">
        <f t="shared" si="71"/>
        <v>179.958</v>
      </c>
      <c r="D365" s="117">
        <f>+HLOOKUP('Ingreso Datos'!$I$7,'Precip 1981-2012'!$D$5:$AL$397,357,FALSE)</f>
        <v>272.39999999999998</v>
      </c>
      <c r="E365" s="122">
        <f t="shared" si="60"/>
        <v>200.41092523193916</v>
      </c>
      <c r="F365" s="122">
        <f t="shared" si="61"/>
        <v>6.1358775695817496</v>
      </c>
      <c r="G365" s="123">
        <f t="shared" si="62"/>
        <v>153.94256883591169</v>
      </c>
      <c r="H365" s="123">
        <f t="shared" si="63"/>
        <v>0</v>
      </c>
      <c r="I365" s="123">
        <f t="shared" si="64"/>
        <v>118.45743116408829</v>
      </c>
      <c r="J365" s="123">
        <f t="shared" si="65"/>
        <v>110.05213331997939</v>
      </c>
      <c r="K365" s="123">
        <f t="shared" si="66"/>
        <v>43.890435515932296</v>
      </c>
      <c r="L365" s="123">
        <f t="shared" si="67"/>
        <v>41.053213681500885</v>
      </c>
      <c r="M365" s="123">
        <f t="shared" si="68"/>
        <v>136.89929488832226</v>
      </c>
      <c r="N365" s="123">
        <f t="shared" si="69"/>
        <v>180.78973040425456</v>
      </c>
      <c r="O365" s="123">
        <f t="shared" si="70"/>
        <v>4.7547699096318947</v>
      </c>
    </row>
    <row r="366" spans="1:15" x14ac:dyDescent="0.25">
      <c r="A366" s="32">
        <v>2010</v>
      </c>
      <c r="B366" s="32">
        <v>1</v>
      </c>
      <c r="C366" s="117">
        <f t="shared" si="71"/>
        <v>190.06799999999998</v>
      </c>
      <c r="D366" s="117">
        <f>+HLOOKUP('Ingreso Datos'!$I$7,'Precip 1981-2012'!$D$5:$AL$397,358,FALSE)</f>
        <v>357.5</v>
      </c>
      <c r="E366" s="122">
        <f t="shared" si="60"/>
        <v>210.52092523193915</v>
      </c>
      <c r="F366" s="122">
        <f t="shared" si="61"/>
        <v>6.1358775695817496</v>
      </c>
      <c r="G366" s="123">
        <f t="shared" si="62"/>
        <v>222.14472494972566</v>
      </c>
      <c r="H366" s="123">
        <f t="shared" si="63"/>
        <v>0</v>
      </c>
      <c r="I366" s="123">
        <f t="shared" si="64"/>
        <v>135.35527505027434</v>
      </c>
      <c r="J366" s="123">
        <f t="shared" si="65"/>
        <v>140.99910812789298</v>
      </c>
      <c r="K366" s="123">
        <f t="shared" si="66"/>
        <v>81.145616821832675</v>
      </c>
      <c r="L366" s="123">
        <f t="shared" si="67"/>
        <v>48.105231372171829</v>
      </c>
      <c r="M366" s="123">
        <f t="shared" si="68"/>
        <v>133.94709043722204</v>
      </c>
      <c r="N366" s="123">
        <f t="shared" si="69"/>
        <v>215.09270725905472</v>
      </c>
      <c r="O366" s="123">
        <f t="shared" si="70"/>
        <v>5.6569382009131388</v>
      </c>
    </row>
    <row r="367" spans="1:15" x14ac:dyDescent="0.25">
      <c r="A367" s="32">
        <v>2010</v>
      </c>
      <c r="B367" s="32">
        <v>2</v>
      </c>
      <c r="C367" s="117">
        <f t="shared" si="71"/>
        <v>146.595</v>
      </c>
      <c r="D367" s="117">
        <f>+HLOOKUP('Ingreso Datos'!$I$7,'Precip 1981-2012'!$D$5:$AL$397,359,FALSE)</f>
        <v>166.2</v>
      </c>
      <c r="E367" s="122">
        <f t="shared" si="60"/>
        <v>167.04792523193916</v>
      </c>
      <c r="F367" s="122">
        <f t="shared" si="61"/>
        <v>6.1358775695817496</v>
      </c>
      <c r="G367" s="123">
        <f t="shared" si="62"/>
        <v>79.820639899885748</v>
      </c>
      <c r="H367" s="123">
        <f t="shared" si="63"/>
        <v>0</v>
      </c>
      <c r="I367" s="123">
        <f t="shared" si="64"/>
        <v>86.379360100114241</v>
      </c>
      <c r="J367" s="123">
        <f t="shared" si="65"/>
        <v>66.14298372003816</v>
      </c>
      <c r="K367" s="123">
        <f t="shared" si="66"/>
        <v>13.677656179847588</v>
      </c>
      <c r="L367" s="123">
        <f t="shared" si="67"/>
        <v>25.387034023271234</v>
      </c>
      <c r="M367" s="123">
        <f t="shared" si="68"/>
        <v>88.861181068938748</v>
      </c>
      <c r="N367" s="123">
        <f t="shared" si="69"/>
        <v>102.53883724878634</v>
      </c>
      <c r="O367" s="123">
        <f t="shared" si="70"/>
        <v>2.6967714196430803</v>
      </c>
    </row>
    <row r="368" spans="1:15" x14ac:dyDescent="0.25">
      <c r="A368" s="32">
        <v>2010</v>
      </c>
      <c r="B368" s="32">
        <v>3</v>
      </c>
      <c r="C368" s="117">
        <f t="shared" si="71"/>
        <v>120.30899999999998</v>
      </c>
      <c r="D368" s="117">
        <f>+HLOOKUP('Ingreso Datos'!$I$7,'Precip 1981-2012'!$D$5:$AL$397,360,FALSE)</f>
        <v>46.7</v>
      </c>
      <c r="E368" s="122">
        <f t="shared" si="60"/>
        <v>140.76192523193916</v>
      </c>
      <c r="F368" s="122">
        <f t="shared" si="61"/>
        <v>6.1358775695817496</v>
      </c>
      <c r="G368" s="123">
        <f t="shared" si="62"/>
        <v>9.392353621659133</v>
      </c>
      <c r="H368" s="123">
        <f t="shared" si="63"/>
        <v>0</v>
      </c>
      <c r="I368" s="123">
        <f t="shared" si="64"/>
        <v>37.30764637834087</v>
      </c>
      <c r="J368" s="123">
        <f t="shared" si="65"/>
        <v>9.1692428160346378</v>
      </c>
      <c r="K368" s="123">
        <f t="shared" si="66"/>
        <v>0.22311080562449526</v>
      </c>
      <c r="L368" s="123">
        <f t="shared" si="67"/>
        <v>5.3496854308640449</v>
      </c>
      <c r="M368" s="123">
        <f t="shared" si="68"/>
        <v>29.206591408441824</v>
      </c>
      <c r="N368" s="123">
        <f t="shared" si="69"/>
        <v>29.429702214066317</v>
      </c>
      <c r="O368" s="123">
        <f t="shared" si="70"/>
        <v>0.77400116822994414</v>
      </c>
    </row>
    <row r="369" spans="1:15" x14ac:dyDescent="0.25">
      <c r="A369" s="32">
        <v>2010</v>
      </c>
      <c r="B369" s="32">
        <v>4</v>
      </c>
      <c r="C369" s="117">
        <f t="shared" si="71"/>
        <v>73.802999999999997</v>
      </c>
      <c r="D369" s="117">
        <f>+HLOOKUP('Ingreso Datos'!$I$7,'Precip 1981-2012'!$D$5:$AL$397,361,FALSE)</f>
        <v>62.9</v>
      </c>
      <c r="E369" s="122">
        <f t="shared" si="60"/>
        <v>94.255925231939159</v>
      </c>
      <c r="F369" s="122">
        <f t="shared" si="61"/>
        <v>6.1358775695817496</v>
      </c>
      <c r="G369" s="123">
        <f t="shared" si="62"/>
        <v>22.239597281277995</v>
      </c>
      <c r="H369" s="123">
        <f t="shared" si="63"/>
        <v>0</v>
      </c>
      <c r="I369" s="123">
        <f t="shared" si="64"/>
        <v>40.660402718722004</v>
      </c>
      <c r="J369" s="123">
        <f t="shared" si="65"/>
        <v>21.028054622194272</v>
      </c>
      <c r="K369" s="123">
        <f t="shared" si="66"/>
        <v>1.2115426590837224</v>
      </c>
      <c r="L369" s="123">
        <f t="shared" si="67"/>
        <v>7.0986557724446744</v>
      </c>
      <c r="M369" s="123">
        <f t="shared" si="68"/>
        <v>19.279084280613642</v>
      </c>
      <c r="N369" s="123">
        <f t="shared" si="69"/>
        <v>20.490626939697364</v>
      </c>
      <c r="O369" s="123">
        <f t="shared" si="70"/>
        <v>0.53890348851404068</v>
      </c>
    </row>
    <row r="370" spans="1:15" x14ac:dyDescent="0.25">
      <c r="A370" s="32">
        <v>2010</v>
      </c>
      <c r="B370" s="32">
        <v>5</v>
      </c>
      <c r="C370" s="117">
        <f t="shared" si="71"/>
        <v>44.483999999999995</v>
      </c>
      <c r="D370" s="117">
        <f>+HLOOKUP('Ingreso Datos'!$I$7,'Precip 1981-2012'!$D$5:$AL$397,362,FALSE)</f>
        <v>126.8</v>
      </c>
      <c r="E370" s="122">
        <f t="shared" si="60"/>
        <v>64.936925231939156</v>
      </c>
      <c r="F370" s="122">
        <f t="shared" si="61"/>
        <v>6.1358775695817496</v>
      </c>
      <c r="G370" s="123">
        <f t="shared" si="62"/>
        <v>81.129003663363576</v>
      </c>
      <c r="H370" s="123">
        <f t="shared" si="63"/>
        <v>1.186996336636426</v>
      </c>
      <c r="I370" s="123">
        <f t="shared" si="64"/>
        <v>44.483999999999995</v>
      </c>
      <c r="J370" s="123">
        <f t="shared" si="65"/>
        <v>67.038859005693553</v>
      </c>
      <c r="K370" s="123">
        <f t="shared" si="66"/>
        <v>14.090144657670024</v>
      </c>
      <c r="L370" s="123">
        <f t="shared" si="67"/>
        <v>21.657413119828682</v>
      </c>
      <c r="M370" s="123">
        <f t="shared" si="68"/>
        <v>52.480101658309543</v>
      </c>
      <c r="N370" s="123">
        <f t="shared" si="69"/>
        <v>66.570246315979574</v>
      </c>
      <c r="O370" s="123">
        <f t="shared" si="70"/>
        <v>1.7507974781102629</v>
      </c>
    </row>
    <row r="371" spans="1:15" x14ac:dyDescent="0.25">
      <c r="A371" s="32">
        <v>2010</v>
      </c>
      <c r="B371" s="32">
        <v>6</v>
      </c>
      <c r="C371" s="117">
        <f t="shared" si="71"/>
        <v>29.318999999999996</v>
      </c>
      <c r="D371" s="117">
        <f>+HLOOKUP('Ingreso Datos'!$I$7,'Precip 1981-2012'!$D$5:$AL$397,363,FALSE)</f>
        <v>22.4</v>
      </c>
      <c r="E371" s="122">
        <f t="shared" si="60"/>
        <v>48.584928895302738</v>
      </c>
      <c r="F371" s="122">
        <f t="shared" si="61"/>
        <v>5.7797786685908212</v>
      </c>
      <c r="G371" s="123">
        <f t="shared" si="62"/>
        <v>4.6483808155050346</v>
      </c>
      <c r="H371" s="123">
        <f t="shared" si="63"/>
        <v>0</v>
      </c>
      <c r="I371" s="123">
        <f t="shared" si="64"/>
        <v>18.938615521131389</v>
      </c>
      <c r="J371" s="123">
        <f t="shared" si="65"/>
        <v>4.5930690690161633</v>
      </c>
      <c r="K371" s="123">
        <f t="shared" si="66"/>
        <v>5.5311746488871272E-2</v>
      </c>
      <c r="L371" s="123">
        <f t="shared" si="67"/>
        <v>3.5540049616999037</v>
      </c>
      <c r="M371" s="123">
        <f t="shared" si="68"/>
        <v>22.696477227144943</v>
      </c>
      <c r="N371" s="123">
        <f t="shared" si="69"/>
        <v>22.751788973633815</v>
      </c>
      <c r="O371" s="123">
        <f t="shared" si="70"/>
        <v>0.59837205000656934</v>
      </c>
    </row>
    <row r="372" spans="1:15" x14ac:dyDescent="0.25">
      <c r="A372" s="32">
        <v>2010</v>
      </c>
      <c r="B372" s="32">
        <v>7</v>
      </c>
      <c r="C372" s="117">
        <f t="shared" si="71"/>
        <v>35.384999999999998</v>
      </c>
      <c r="D372" s="117">
        <f>+HLOOKUP('Ingreso Datos'!$I$7,'Precip 1981-2012'!$D$5:$AL$397,364,FALSE)</f>
        <v>168.5</v>
      </c>
      <c r="E372" s="122">
        <f t="shared" si="60"/>
        <v>55.837925231939167</v>
      </c>
      <c r="F372" s="122">
        <f t="shared" si="61"/>
        <v>6.1358775695817496</v>
      </c>
      <c r="G372" s="123">
        <f t="shared" si="62"/>
        <v>124.31076696988887</v>
      </c>
      <c r="H372" s="123">
        <f t="shared" si="63"/>
        <v>8.8042330301111278</v>
      </c>
      <c r="I372" s="123">
        <f t="shared" si="64"/>
        <v>35.384999999999998</v>
      </c>
      <c r="J372" s="123">
        <f t="shared" si="65"/>
        <v>94.028892110772233</v>
      </c>
      <c r="K372" s="123">
        <f t="shared" si="66"/>
        <v>30.281874859116641</v>
      </c>
      <c r="L372" s="123">
        <f t="shared" si="67"/>
        <v>29.750681268213235</v>
      </c>
      <c r="M372" s="123">
        <f t="shared" si="68"/>
        <v>67.832215804258908</v>
      </c>
      <c r="N372" s="123">
        <f t="shared" si="69"/>
        <v>98.114090663375549</v>
      </c>
      <c r="O372" s="123">
        <f t="shared" si="70"/>
        <v>2.5804005844467772</v>
      </c>
    </row>
    <row r="373" spans="1:15" x14ac:dyDescent="0.25">
      <c r="A373" s="32">
        <v>2010</v>
      </c>
      <c r="B373" s="32">
        <v>8</v>
      </c>
      <c r="C373" s="117">
        <f t="shared" si="71"/>
        <v>55.605000000000004</v>
      </c>
      <c r="D373" s="117">
        <f>+HLOOKUP('Ingreso Datos'!$I$7,'Precip 1981-2012'!$D$5:$AL$397,365,FALSE)</f>
        <v>13.6</v>
      </c>
      <c r="E373" s="122">
        <f t="shared" si="60"/>
        <v>67.253692201828045</v>
      </c>
      <c r="F373" s="122">
        <f t="shared" si="61"/>
        <v>3.4946076605484113</v>
      </c>
      <c r="G373" s="123">
        <f t="shared" si="62"/>
        <v>1.3825178035057104</v>
      </c>
      <c r="H373" s="123">
        <f t="shared" si="63"/>
        <v>0</v>
      </c>
      <c r="I373" s="123">
        <f t="shared" si="64"/>
        <v>21.021715226605419</v>
      </c>
      <c r="J373" s="123">
        <f t="shared" si="65"/>
        <v>1.3775837773450879</v>
      </c>
      <c r="K373" s="123">
        <f t="shared" si="66"/>
        <v>4.9340261606225511E-3</v>
      </c>
      <c r="L373" s="123">
        <f t="shared" si="67"/>
        <v>3.3398992692108074</v>
      </c>
      <c r="M373" s="123">
        <f t="shared" si="68"/>
        <v>27.788365776347515</v>
      </c>
      <c r="N373" s="123">
        <f t="shared" si="69"/>
        <v>27.793299802508137</v>
      </c>
      <c r="O373" s="123">
        <f t="shared" si="70"/>
        <v>0.73096378480596391</v>
      </c>
    </row>
    <row r="374" spans="1:15" x14ac:dyDescent="0.25">
      <c r="A374" s="32">
        <v>2010</v>
      </c>
      <c r="B374" s="32">
        <v>9</v>
      </c>
      <c r="C374" s="117">
        <f t="shared" si="71"/>
        <v>78.858000000000004</v>
      </c>
      <c r="D374" s="117">
        <f>+HLOOKUP('Ingreso Datos'!$I$7,'Precip 1981-2012'!$D$5:$AL$397,366,FALSE)</f>
        <v>143.9</v>
      </c>
      <c r="E374" s="122">
        <f t="shared" si="60"/>
        <v>99.310925231939166</v>
      </c>
      <c r="F374" s="122">
        <f t="shared" si="61"/>
        <v>6.1358775695817496</v>
      </c>
      <c r="G374" s="123">
        <f t="shared" si="62"/>
        <v>82.181612679212535</v>
      </c>
      <c r="H374" s="123">
        <f t="shared" si="63"/>
        <v>0</v>
      </c>
      <c r="I374" s="123">
        <f t="shared" si="64"/>
        <v>61.718387320787471</v>
      </c>
      <c r="J374" s="123">
        <f t="shared" si="65"/>
        <v>67.755976815585242</v>
      </c>
      <c r="K374" s="123">
        <f t="shared" si="66"/>
        <v>14.425635863627292</v>
      </c>
      <c r="L374" s="123">
        <f t="shared" si="67"/>
        <v>21.514114172684565</v>
      </c>
      <c r="M374" s="123">
        <f t="shared" si="68"/>
        <v>49.581761912111489</v>
      </c>
      <c r="N374" s="123">
        <f t="shared" si="69"/>
        <v>64.007397775738781</v>
      </c>
      <c r="O374" s="123">
        <f t="shared" si="70"/>
        <v>1.6833945615019299</v>
      </c>
    </row>
    <row r="375" spans="1:15" x14ac:dyDescent="0.25">
      <c r="A375" s="32">
        <v>2010</v>
      </c>
      <c r="B375" s="32">
        <v>10</v>
      </c>
      <c r="C375" s="117">
        <f t="shared" si="71"/>
        <v>113.232</v>
      </c>
      <c r="D375" s="117">
        <f>+HLOOKUP('Ingreso Datos'!$I$7,'Precip 1981-2012'!$D$5:$AL$397,367,FALSE)</f>
        <v>24.4</v>
      </c>
      <c r="E375" s="122">
        <f t="shared" si="60"/>
        <v>133.68492523193916</v>
      </c>
      <c r="F375" s="122">
        <f t="shared" si="61"/>
        <v>6.1358775695817496</v>
      </c>
      <c r="G375" s="123">
        <f t="shared" si="62"/>
        <v>2.2877094568416774</v>
      </c>
      <c r="H375" s="123">
        <f t="shared" si="63"/>
        <v>0</v>
      </c>
      <c r="I375" s="123">
        <f t="shared" si="64"/>
        <v>22.11229054315832</v>
      </c>
      <c r="J375" s="123">
        <f t="shared" si="65"/>
        <v>2.274230754241886</v>
      </c>
      <c r="K375" s="123">
        <f t="shared" si="66"/>
        <v>1.3478702599791337E-2</v>
      </c>
      <c r="L375" s="123">
        <f t="shared" si="67"/>
        <v>2.814883969409907</v>
      </c>
      <c r="M375" s="123">
        <f t="shared" si="68"/>
        <v>20.973460957516544</v>
      </c>
      <c r="N375" s="123">
        <f t="shared" si="69"/>
        <v>20.986939660116334</v>
      </c>
      <c r="O375" s="123">
        <f t="shared" si="70"/>
        <v>0.55195651306105964</v>
      </c>
    </row>
    <row r="376" spans="1:15" x14ac:dyDescent="0.25">
      <c r="A376" s="32">
        <v>2010</v>
      </c>
      <c r="B376" s="32">
        <v>11</v>
      </c>
      <c r="C376" s="117">
        <f t="shared" si="71"/>
        <v>148.61699999999999</v>
      </c>
      <c r="D376" s="117">
        <f>+HLOOKUP('Ingreso Datos'!$I$7,'Precip 1981-2012'!$D$5:$AL$397,368,FALSE)</f>
        <v>32.700000000000003</v>
      </c>
      <c r="E376" s="122">
        <f t="shared" si="60"/>
        <v>169.06992523193915</v>
      </c>
      <c r="F376" s="122">
        <f t="shared" si="61"/>
        <v>6.1358775695817496</v>
      </c>
      <c r="G376" s="123">
        <f t="shared" si="62"/>
        <v>3.7237963836419761</v>
      </c>
      <c r="H376" s="123">
        <f t="shared" si="63"/>
        <v>0</v>
      </c>
      <c r="I376" s="123">
        <f t="shared" si="64"/>
        <v>28.976203616358028</v>
      </c>
      <c r="J376" s="123">
        <f t="shared" si="65"/>
        <v>3.6882156476553676</v>
      </c>
      <c r="K376" s="123">
        <f t="shared" si="66"/>
        <v>3.5580735986608492E-2</v>
      </c>
      <c r="L376" s="123">
        <f t="shared" si="67"/>
        <v>1.4285667853250681</v>
      </c>
      <c r="M376" s="123">
        <f t="shared" si="68"/>
        <v>5.074532831740207</v>
      </c>
      <c r="N376" s="123">
        <f t="shared" si="69"/>
        <v>5.110113567726815</v>
      </c>
      <c r="O376" s="123">
        <f t="shared" si="70"/>
        <v>0.13439598683121523</v>
      </c>
    </row>
    <row r="377" spans="1:15" x14ac:dyDescent="0.25">
      <c r="A377" s="32">
        <v>2010</v>
      </c>
      <c r="B377" s="32">
        <v>12</v>
      </c>
      <c r="C377" s="117">
        <f t="shared" si="71"/>
        <v>179.958</v>
      </c>
      <c r="D377" s="117">
        <f>+HLOOKUP('Ingreso Datos'!$I$7,'Precip 1981-2012'!$D$5:$AL$397,369,FALSE)</f>
        <v>78.5</v>
      </c>
      <c r="E377" s="122">
        <f t="shared" si="60"/>
        <v>200.41092523193916</v>
      </c>
      <c r="F377" s="122">
        <f t="shared" si="61"/>
        <v>6.1358775695817496</v>
      </c>
      <c r="G377" s="123">
        <f t="shared" si="62"/>
        <v>19.639148341567843</v>
      </c>
      <c r="H377" s="123">
        <f t="shared" si="63"/>
        <v>0</v>
      </c>
      <c r="I377" s="123">
        <f t="shared" si="64"/>
        <v>58.860851658432153</v>
      </c>
      <c r="J377" s="123">
        <f t="shared" si="65"/>
        <v>18.688312730264045</v>
      </c>
      <c r="K377" s="123">
        <f t="shared" si="66"/>
        <v>0.95083561130379834</v>
      </c>
      <c r="L377" s="123">
        <f t="shared" si="67"/>
        <v>5.9835899384665998</v>
      </c>
      <c r="M377" s="123">
        <f t="shared" si="68"/>
        <v>14.133289577122513</v>
      </c>
      <c r="N377" s="123">
        <f t="shared" si="69"/>
        <v>15.084125188426311</v>
      </c>
      <c r="O377" s="123">
        <f t="shared" si="70"/>
        <v>0.39671249245561202</v>
      </c>
    </row>
    <row r="378" spans="1:15" x14ac:dyDescent="0.25">
      <c r="A378" s="45">
        <v>2011</v>
      </c>
      <c r="B378" s="32">
        <v>1</v>
      </c>
      <c r="C378" s="117">
        <f t="shared" si="71"/>
        <v>190.06799999999998</v>
      </c>
      <c r="D378" s="117">
        <f>+HLOOKUP('Ingreso Datos'!$I$7,'Precip 1981-2012'!$D$5:$AL$397,370,FALSE)</f>
        <v>78</v>
      </c>
      <c r="E378" s="122">
        <f t="shared" ref="E378:E401" si="72">+CAD*AD-H377+C378</f>
        <v>210.52092523193915</v>
      </c>
      <c r="F378" s="122">
        <f t="shared" ref="F378:F401" si="73">+CP.o*(CAD*AD-H377)</f>
        <v>6.1358775695817496</v>
      </c>
      <c r="G378" s="123">
        <f t="shared" ref="G378:G401" si="74">+IF(D378&lt;F378,0,(D378-F378)^2/(D378+E378-2*F378))</f>
        <v>18.694905367352636</v>
      </c>
      <c r="H378" s="123">
        <f t="shared" ref="H378:H401" si="75">+MAX(0,H377+D378-G378-C378)</f>
        <v>0</v>
      </c>
      <c r="I378" s="123">
        <f t="shared" ref="I378:I401" si="76">+MIN(H377+D378-G378,C378)</f>
        <v>59.305094632647368</v>
      </c>
      <c r="J378" s="123">
        <f t="shared" ref="J378:J401" si="77">+Imax*G378/(G378+Imax)</f>
        <v>17.831293095344861</v>
      </c>
      <c r="K378" s="123">
        <f t="shared" ref="K378:K401" si="78">+G378-J378</f>
        <v>0.86361227200777435</v>
      </c>
      <c r="L378" s="123">
        <f t="shared" ref="L378:L401" si="79">+L377*EXP(-α)+J378*EXP(-α/2)</f>
        <v>6.1610027984777247</v>
      </c>
      <c r="M378" s="123">
        <f t="shared" ref="M378:M401" si="80">+L377-L378+J378</f>
        <v>17.653880235333737</v>
      </c>
      <c r="N378" s="123">
        <f t="shared" ref="N378:N401" si="81">+M378+K378</f>
        <v>18.517492507341512</v>
      </c>
      <c r="O378" s="123">
        <f t="shared" ref="O378:O401" si="82">+N378*Ac/100000</f>
        <v>0.48701005294308175</v>
      </c>
    </row>
    <row r="379" spans="1:15" x14ac:dyDescent="0.25">
      <c r="A379" s="45">
        <v>2011</v>
      </c>
      <c r="B379" s="32">
        <v>2</v>
      </c>
      <c r="C379" s="117">
        <f t="shared" si="71"/>
        <v>146.595</v>
      </c>
      <c r="D379" s="117">
        <f>+HLOOKUP('Ingreso Datos'!$I$7,'Precip 1981-2012'!$D$5:$AL$397,371,FALSE)</f>
        <v>124</v>
      </c>
      <c r="E379" s="122">
        <f t="shared" si="72"/>
        <v>167.04792523193916</v>
      </c>
      <c r="F379" s="122">
        <f t="shared" si="73"/>
        <v>6.1358775695817496</v>
      </c>
      <c r="G379" s="123">
        <f t="shared" si="74"/>
        <v>49.831918386960517</v>
      </c>
      <c r="H379" s="123">
        <f t="shared" si="75"/>
        <v>0</v>
      </c>
      <c r="I379" s="123">
        <f t="shared" si="76"/>
        <v>74.168081613039476</v>
      </c>
      <c r="J379" s="123">
        <f t="shared" si="77"/>
        <v>44.134262971278162</v>
      </c>
      <c r="K379" s="123">
        <f t="shared" si="78"/>
        <v>5.6976554156823553</v>
      </c>
      <c r="L379" s="123">
        <f t="shared" si="79"/>
        <v>14.403380113389829</v>
      </c>
      <c r="M379" s="123">
        <f t="shared" si="80"/>
        <v>35.891885656366057</v>
      </c>
      <c r="N379" s="123">
        <f t="shared" si="81"/>
        <v>41.589541072048412</v>
      </c>
      <c r="O379" s="123">
        <f t="shared" si="82"/>
        <v>1.0938049301948733</v>
      </c>
    </row>
    <row r="380" spans="1:15" x14ac:dyDescent="0.25">
      <c r="A380" s="45">
        <v>2011</v>
      </c>
      <c r="B380" s="32">
        <v>3</v>
      </c>
      <c r="C380" s="117">
        <f t="shared" si="71"/>
        <v>120.30899999999998</v>
      </c>
      <c r="D380" s="117">
        <f>+HLOOKUP('Ingreso Datos'!$I$7,'Precip 1981-2012'!$D$5:$AL$397,372,FALSE)</f>
        <v>44.1</v>
      </c>
      <c r="E380" s="122">
        <f t="shared" si="72"/>
        <v>140.76192523193916</v>
      </c>
      <c r="F380" s="122">
        <f t="shared" si="73"/>
        <v>6.1358775695817496</v>
      </c>
      <c r="G380" s="123">
        <f t="shared" si="74"/>
        <v>8.3508498261345387</v>
      </c>
      <c r="H380" s="123">
        <f t="shared" si="75"/>
        <v>0</v>
      </c>
      <c r="I380" s="123">
        <f t="shared" si="76"/>
        <v>35.749150173865459</v>
      </c>
      <c r="J380" s="123">
        <f t="shared" si="77"/>
        <v>8.1740106159505164</v>
      </c>
      <c r="K380" s="123">
        <f t="shared" si="78"/>
        <v>0.17683921018402238</v>
      </c>
      <c r="L380" s="123">
        <f t="shared" si="79"/>
        <v>3.9644533864841431</v>
      </c>
      <c r="M380" s="123">
        <f t="shared" si="80"/>
        <v>18.612937342856203</v>
      </c>
      <c r="N380" s="123">
        <f t="shared" si="81"/>
        <v>18.789776553040227</v>
      </c>
      <c r="O380" s="123">
        <f t="shared" si="82"/>
        <v>0.49417112334495794</v>
      </c>
    </row>
    <row r="381" spans="1:15" x14ac:dyDescent="0.25">
      <c r="A381" s="45">
        <v>2011</v>
      </c>
      <c r="B381" s="32">
        <v>4</v>
      </c>
      <c r="C381" s="117">
        <f t="shared" si="71"/>
        <v>73.802999999999997</v>
      </c>
      <c r="D381" s="117">
        <f>+HLOOKUP('Ingreso Datos'!$I$7,'Precip 1981-2012'!$D$5:$AL$397,373,FALSE)</f>
        <v>95.4</v>
      </c>
      <c r="E381" s="122">
        <f t="shared" si="72"/>
        <v>94.255925231939159</v>
      </c>
      <c r="F381" s="122">
        <f t="shared" si="73"/>
        <v>6.1358775695817496</v>
      </c>
      <c r="G381" s="123">
        <f t="shared" si="74"/>
        <v>44.919924642121245</v>
      </c>
      <c r="H381" s="123">
        <f t="shared" si="75"/>
        <v>0</v>
      </c>
      <c r="I381" s="123">
        <f t="shared" si="76"/>
        <v>50.480075357878761</v>
      </c>
      <c r="J381" s="123">
        <f t="shared" si="77"/>
        <v>40.237384999681559</v>
      </c>
      <c r="K381" s="123">
        <f t="shared" si="78"/>
        <v>4.6825396424396857</v>
      </c>
      <c r="L381" s="123">
        <f t="shared" si="79"/>
        <v>12.970026783281416</v>
      </c>
      <c r="M381" s="123">
        <f t="shared" si="80"/>
        <v>31.231811602884285</v>
      </c>
      <c r="N381" s="123">
        <f t="shared" si="81"/>
        <v>35.914351245323971</v>
      </c>
      <c r="O381" s="123">
        <f t="shared" si="82"/>
        <v>0.94454743775202044</v>
      </c>
    </row>
    <row r="382" spans="1:15" x14ac:dyDescent="0.25">
      <c r="A382" s="45">
        <v>2011</v>
      </c>
      <c r="B382" s="32">
        <v>5</v>
      </c>
      <c r="C382" s="117">
        <f t="shared" si="71"/>
        <v>44.483999999999995</v>
      </c>
      <c r="D382" s="117">
        <f>+HLOOKUP('Ingreso Datos'!$I$7,'Precip 1981-2012'!$D$5:$AL$397,374,FALSE)</f>
        <v>115</v>
      </c>
      <c r="E382" s="122">
        <f t="shared" si="72"/>
        <v>64.936925231939156</v>
      </c>
      <c r="F382" s="122">
        <f t="shared" si="73"/>
        <v>6.1358775695817496</v>
      </c>
      <c r="G382" s="123">
        <f t="shared" si="74"/>
        <v>70.684908177334961</v>
      </c>
      <c r="H382" s="123">
        <f t="shared" si="75"/>
        <v>0</v>
      </c>
      <c r="I382" s="123">
        <f t="shared" si="76"/>
        <v>44.315091822665039</v>
      </c>
      <c r="J382" s="123">
        <f t="shared" si="77"/>
        <v>59.744419112392741</v>
      </c>
      <c r="K382" s="123">
        <f t="shared" si="78"/>
        <v>10.94048906494222</v>
      </c>
      <c r="L382" s="123">
        <f t="shared" si="79"/>
        <v>19.950539519997207</v>
      </c>
      <c r="M382" s="123">
        <f t="shared" si="80"/>
        <v>52.763906375676953</v>
      </c>
      <c r="N382" s="123">
        <f t="shared" si="81"/>
        <v>63.704395440619173</v>
      </c>
      <c r="O382" s="123">
        <f t="shared" si="82"/>
        <v>1.6754256000882841</v>
      </c>
    </row>
    <row r="383" spans="1:15" x14ac:dyDescent="0.25">
      <c r="A383" s="45">
        <v>2011</v>
      </c>
      <c r="B383" s="32">
        <v>6</v>
      </c>
      <c r="C383" s="117">
        <f t="shared" si="71"/>
        <v>29.318999999999996</v>
      </c>
      <c r="D383" s="117">
        <f>+HLOOKUP('Ingreso Datos'!$I$7,'Precip 1981-2012'!$D$5:$AL$397,375,FALSE)</f>
        <v>58.5</v>
      </c>
      <c r="E383" s="122">
        <f t="shared" si="72"/>
        <v>49.771925231939164</v>
      </c>
      <c r="F383" s="122">
        <f t="shared" si="73"/>
        <v>6.1358775695817496</v>
      </c>
      <c r="G383" s="123">
        <f t="shared" si="74"/>
        <v>28.56246312124166</v>
      </c>
      <c r="H383" s="123">
        <f t="shared" si="75"/>
        <v>0.61853687875834495</v>
      </c>
      <c r="I383" s="123">
        <f t="shared" si="76"/>
        <v>29.318999999999996</v>
      </c>
      <c r="J383" s="123">
        <f t="shared" si="77"/>
        <v>26.594570771775135</v>
      </c>
      <c r="K383" s="123">
        <f t="shared" si="78"/>
        <v>1.9678923494665241</v>
      </c>
      <c r="L383" s="123">
        <f t="shared" si="79"/>
        <v>10.267046343867822</v>
      </c>
      <c r="M383" s="123">
        <f t="shared" si="80"/>
        <v>36.278063947904521</v>
      </c>
      <c r="N383" s="123">
        <f t="shared" si="81"/>
        <v>38.245956297371045</v>
      </c>
      <c r="O383" s="123">
        <f t="shared" si="82"/>
        <v>1.0058686506208585</v>
      </c>
    </row>
    <row r="384" spans="1:15" x14ac:dyDescent="0.25">
      <c r="A384" s="45">
        <v>2011</v>
      </c>
      <c r="B384" s="32">
        <v>7</v>
      </c>
      <c r="C384" s="117">
        <f t="shared" si="71"/>
        <v>35.384999999999998</v>
      </c>
      <c r="D384" s="117">
        <f>+HLOOKUP('Ingreso Datos'!$I$7,'Precip 1981-2012'!$D$5:$AL$397,376,FALSE)</f>
        <v>54.2</v>
      </c>
      <c r="E384" s="122">
        <f t="shared" si="72"/>
        <v>55.219388353180818</v>
      </c>
      <c r="F384" s="122">
        <f t="shared" si="73"/>
        <v>5.9503165059542455</v>
      </c>
      <c r="G384" s="123">
        <f t="shared" si="74"/>
        <v>23.872658640161202</v>
      </c>
      <c r="H384" s="123">
        <f t="shared" si="75"/>
        <v>0</v>
      </c>
      <c r="I384" s="123">
        <f t="shared" si="76"/>
        <v>30.94587823859715</v>
      </c>
      <c r="J384" s="123">
        <f t="shared" si="77"/>
        <v>22.482217442057287</v>
      </c>
      <c r="K384" s="123">
        <f t="shared" si="78"/>
        <v>1.3904411981039146</v>
      </c>
      <c r="L384" s="123">
        <f t="shared" si="79"/>
        <v>8.0342139804460064</v>
      </c>
      <c r="M384" s="123">
        <f t="shared" si="80"/>
        <v>24.715049805479104</v>
      </c>
      <c r="N384" s="123">
        <f t="shared" si="81"/>
        <v>26.105491003583019</v>
      </c>
      <c r="O384" s="123">
        <f t="shared" si="82"/>
        <v>0.68657441339423342</v>
      </c>
    </row>
    <row r="385" spans="1:15" x14ac:dyDescent="0.25">
      <c r="A385" s="45">
        <v>2011</v>
      </c>
      <c r="B385" s="32">
        <v>8</v>
      </c>
      <c r="C385" s="117">
        <f t="shared" si="71"/>
        <v>55.605000000000004</v>
      </c>
      <c r="D385" s="117">
        <f>+HLOOKUP('Ingreso Datos'!$I$7,'Precip 1981-2012'!$D$5:$AL$397,377,FALSE)</f>
        <v>37.9</v>
      </c>
      <c r="E385" s="122">
        <f t="shared" si="72"/>
        <v>76.057925231939166</v>
      </c>
      <c r="F385" s="122">
        <f t="shared" si="73"/>
        <v>6.1358775695817496</v>
      </c>
      <c r="G385" s="123">
        <f t="shared" si="74"/>
        <v>9.9222880835619325</v>
      </c>
      <c r="H385" s="123">
        <f t="shared" si="75"/>
        <v>0</v>
      </c>
      <c r="I385" s="123">
        <f t="shared" si="76"/>
        <v>27.977711916438068</v>
      </c>
      <c r="J385" s="123">
        <f t="shared" si="77"/>
        <v>9.673623626479344</v>
      </c>
      <c r="K385" s="123">
        <f t="shared" si="78"/>
        <v>0.24866445708258844</v>
      </c>
      <c r="L385" s="123">
        <f t="shared" si="79"/>
        <v>3.8105885397174304</v>
      </c>
      <c r="M385" s="123">
        <f t="shared" si="80"/>
        <v>13.89724906720792</v>
      </c>
      <c r="N385" s="123">
        <f t="shared" si="81"/>
        <v>14.145913524290508</v>
      </c>
      <c r="O385" s="123">
        <f t="shared" si="82"/>
        <v>0.37203752568884041</v>
      </c>
    </row>
    <row r="386" spans="1:15" x14ac:dyDescent="0.25">
      <c r="A386" s="45">
        <v>2011</v>
      </c>
      <c r="B386" s="32">
        <v>9</v>
      </c>
      <c r="C386" s="117">
        <f t="shared" si="71"/>
        <v>78.858000000000004</v>
      </c>
      <c r="D386" s="117">
        <f>+HLOOKUP('Ingreso Datos'!$I$7,'Precip 1981-2012'!$D$5:$AL$397,378,FALSE)</f>
        <v>89.8</v>
      </c>
      <c r="E386" s="122">
        <f t="shared" si="72"/>
        <v>99.310925231939166</v>
      </c>
      <c r="F386" s="122">
        <f t="shared" si="73"/>
        <v>6.1358775695817496</v>
      </c>
      <c r="G386" s="123">
        <f t="shared" si="74"/>
        <v>39.582211217004399</v>
      </c>
      <c r="H386" s="123">
        <f t="shared" si="75"/>
        <v>0</v>
      </c>
      <c r="I386" s="123">
        <f t="shared" si="76"/>
        <v>50.217788782995598</v>
      </c>
      <c r="J386" s="123">
        <f t="shared" si="77"/>
        <v>35.900780453375368</v>
      </c>
      <c r="K386" s="123">
        <f t="shared" si="78"/>
        <v>3.6814307636290309</v>
      </c>
      <c r="L386" s="123">
        <f t="shared" si="79"/>
        <v>11.598910170627585</v>
      </c>
      <c r="M386" s="123">
        <f t="shared" si="80"/>
        <v>28.112458822465214</v>
      </c>
      <c r="N386" s="123">
        <f t="shared" si="81"/>
        <v>31.793889586094245</v>
      </c>
      <c r="O386" s="123">
        <f t="shared" si="82"/>
        <v>0.83617929611427866</v>
      </c>
    </row>
    <row r="387" spans="1:15" x14ac:dyDescent="0.25">
      <c r="A387" s="45">
        <v>2011</v>
      </c>
      <c r="B387" s="32">
        <v>10</v>
      </c>
      <c r="C387" s="117">
        <f t="shared" si="71"/>
        <v>113.232</v>
      </c>
      <c r="D387" s="117">
        <f>+HLOOKUP('Ingreso Datos'!$I$7,'Precip 1981-2012'!$D$5:$AL$397,379,FALSE)</f>
        <v>121.4</v>
      </c>
      <c r="E387" s="122">
        <f t="shared" si="72"/>
        <v>133.68492523193916</v>
      </c>
      <c r="F387" s="122">
        <f t="shared" si="73"/>
        <v>6.1358775695817496</v>
      </c>
      <c r="G387" s="123">
        <f t="shared" si="74"/>
        <v>54.716216235627229</v>
      </c>
      <c r="H387" s="123">
        <f t="shared" si="75"/>
        <v>0</v>
      </c>
      <c r="I387" s="123">
        <f t="shared" si="76"/>
        <v>66.683783764372777</v>
      </c>
      <c r="J387" s="123">
        <f t="shared" si="77"/>
        <v>47.923036840696</v>
      </c>
      <c r="K387" s="123">
        <f t="shared" si="78"/>
        <v>6.7931793949312294</v>
      </c>
      <c r="L387" s="123">
        <f t="shared" si="79"/>
        <v>16.119880063155772</v>
      </c>
      <c r="M387" s="123">
        <f t="shared" si="80"/>
        <v>43.402066948167814</v>
      </c>
      <c r="N387" s="123">
        <f t="shared" si="81"/>
        <v>50.195246343099043</v>
      </c>
      <c r="O387" s="123">
        <f t="shared" si="82"/>
        <v>1.3201349788235048</v>
      </c>
    </row>
    <row r="388" spans="1:15" x14ac:dyDescent="0.25">
      <c r="A388" s="45">
        <v>2011</v>
      </c>
      <c r="B388" s="32">
        <v>11</v>
      </c>
      <c r="C388" s="117">
        <f t="shared" si="71"/>
        <v>148.61699999999999</v>
      </c>
      <c r="D388" s="117">
        <f>+HLOOKUP('Ingreso Datos'!$I$7,'Precip 1981-2012'!$D$5:$AL$397,380,FALSE)</f>
        <v>100.9</v>
      </c>
      <c r="E388" s="122">
        <f t="shared" si="72"/>
        <v>169.06992523193915</v>
      </c>
      <c r="F388" s="122">
        <f t="shared" si="73"/>
        <v>6.1358775695817496</v>
      </c>
      <c r="G388" s="123">
        <f t="shared" si="74"/>
        <v>34.847895492522369</v>
      </c>
      <c r="H388" s="123">
        <f t="shared" si="75"/>
        <v>0</v>
      </c>
      <c r="I388" s="123">
        <f t="shared" si="76"/>
        <v>66.052104507477637</v>
      </c>
      <c r="J388" s="123">
        <f t="shared" si="77"/>
        <v>31.962349828009625</v>
      </c>
      <c r="K388" s="123">
        <f t="shared" si="78"/>
        <v>2.885545664512744</v>
      </c>
      <c r="L388" s="123">
        <f t="shared" si="79"/>
        <v>11.570994268095056</v>
      </c>
      <c r="M388" s="123">
        <f t="shared" si="80"/>
        <v>36.511235623070341</v>
      </c>
      <c r="N388" s="123">
        <f t="shared" si="81"/>
        <v>39.396781287583082</v>
      </c>
      <c r="O388" s="123">
        <f t="shared" si="82"/>
        <v>1.036135347863435</v>
      </c>
    </row>
    <row r="389" spans="1:15" x14ac:dyDescent="0.25">
      <c r="A389" s="45">
        <v>2011</v>
      </c>
      <c r="B389" s="32">
        <v>12</v>
      </c>
      <c r="C389" s="117">
        <f t="shared" si="71"/>
        <v>179.958</v>
      </c>
      <c r="D389" s="117">
        <f>+HLOOKUP('Ingreso Datos'!$I$7,'Precip 1981-2012'!$D$5:$AL$397,381,FALSE)</f>
        <v>130.5</v>
      </c>
      <c r="E389" s="122">
        <f t="shared" si="72"/>
        <v>200.41092523193916</v>
      </c>
      <c r="F389" s="122">
        <f t="shared" si="73"/>
        <v>6.1358775695817496</v>
      </c>
      <c r="G389" s="123">
        <f t="shared" si="74"/>
        <v>48.539025956491223</v>
      </c>
      <c r="H389" s="123">
        <f t="shared" si="75"/>
        <v>0</v>
      </c>
      <c r="I389" s="123">
        <f t="shared" si="76"/>
        <v>81.96097404350877</v>
      </c>
      <c r="J389" s="123">
        <f t="shared" si="77"/>
        <v>43.117103182998306</v>
      </c>
      <c r="K389" s="123">
        <f t="shared" si="78"/>
        <v>5.4219227734929163</v>
      </c>
      <c r="L389" s="123">
        <f t="shared" si="79"/>
        <v>14.61431834242072</v>
      </c>
      <c r="M389" s="123">
        <f t="shared" si="80"/>
        <v>40.073779108672639</v>
      </c>
      <c r="N389" s="123">
        <f t="shared" si="81"/>
        <v>45.495701882165555</v>
      </c>
      <c r="O389" s="123">
        <f t="shared" si="82"/>
        <v>1.1965369595009541</v>
      </c>
    </row>
    <row r="390" spans="1:15" x14ac:dyDescent="0.25">
      <c r="A390" s="45">
        <v>2012</v>
      </c>
      <c r="B390" s="32">
        <v>1</v>
      </c>
      <c r="C390" s="117">
        <f t="shared" si="71"/>
        <v>190.06799999999998</v>
      </c>
      <c r="D390" s="117">
        <f>+HLOOKUP('Ingreso Datos'!$I$7,'Precip 1981-2012'!$D$5:$AL$397,382,FALSE)</f>
        <v>41.6</v>
      </c>
      <c r="E390" s="122">
        <f t="shared" si="72"/>
        <v>210.52092523193915</v>
      </c>
      <c r="F390" s="122">
        <f t="shared" si="73"/>
        <v>6.1358775695817496</v>
      </c>
      <c r="G390" s="123">
        <f t="shared" si="74"/>
        <v>5.2437287119784681</v>
      </c>
      <c r="H390" s="123">
        <f t="shared" si="75"/>
        <v>0</v>
      </c>
      <c r="I390" s="123">
        <f t="shared" si="76"/>
        <v>36.356271288021532</v>
      </c>
      <c r="J390" s="123">
        <f t="shared" si="77"/>
        <v>5.1734485035381956</v>
      </c>
      <c r="K390" s="123">
        <f t="shared" si="78"/>
        <v>7.0280208440272496E-2</v>
      </c>
      <c r="L390" s="123">
        <f t="shared" si="79"/>
        <v>3.0467935457369215</v>
      </c>
      <c r="M390" s="123">
        <f t="shared" si="80"/>
        <v>16.740973300221995</v>
      </c>
      <c r="N390" s="123">
        <f t="shared" si="81"/>
        <v>16.811253508662269</v>
      </c>
      <c r="O390" s="123">
        <f t="shared" si="82"/>
        <v>0.44213596727781768</v>
      </c>
    </row>
    <row r="391" spans="1:15" x14ac:dyDescent="0.25">
      <c r="A391" s="45">
        <v>2012</v>
      </c>
      <c r="B391" s="32">
        <v>2</v>
      </c>
      <c r="C391" s="117">
        <f t="shared" si="71"/>
        <v>146.595</v>
      </c>
      <c r="D391" s="117">
        <f>+HLOOKUP('Ingreso Datos'!$I$7,'Precip 1981-2012'!$D$5:$AL$397,383,FALSE)</f>
        <v>125.2</v>
      </c>
      <c r="E391" s="122">
        <f t="shared" si="72"/>
        <v>167.04792523193916</v>
      </c>
      <c r="F391" s="122">
        <f t="shared" si="73"/>
        <v>6.1358775695817496</v>
      </c>
      <c r="G391" s="123">
        <f t="shared" si="74"/>
        <v>50.633828034107466</v>
      </c>
      <c r="H391" s="123">
        <f t="shared" si="75"/>
        <v>0</v>
      </c>
      <c r="I391" s="123">
        <f t="shared" si="76"/>
        <v>74.566171965892536</v>
      </c>
      <c r="J391" s="123">
        <f t="shared" si="77"/>
        <v>44.762124155984452</v>
      </c>
      <c r="K391" s="123">
        <f t="shared" si="78"/>
        <v>5.8717038781230144</v>
      </c>
      <c r="L391" s="123">
        <f t="shared" si="79"/>
        <v>14.295196362134355</v>
      </c>
      <c r="M391" s="123">
        <f t="shared" si="80"/>
        <v>33.513721339587022</v>
      </c>
      <c r="N391" s="123">
        <f t="shared" si="81"/>
        <v>39.385425217710036</v>
      </c>
      <c r="O391" s="123">
        <f t="shared" si="82"/>
        <v>1.0358366832257739</v>
      </c>
    </row>
    <row r="392" spans="1:15" x14ac:dyDescent="0.25">
      <c r="A392" s="45">
        <v>2012</v>
      </c>
      <c r="B392" s="32">
        <v>3</v>
      </c>
      <c r="C392" s="117">
        <f t="shared" si="71"/>
        <v>120.30899999999998</v>
      </c>
      <c r="D392" s="117">
        <f>+HLOOKUP('Ingreso Datos'!$I$7,'Precip 1981-2012'!$D$5:$AL$397,384,FALSE)</f>
        <v>50</v>
      </c>
      <c r="E392" s="122">
        <f t="shared" si="72"/>
        <v>140.76192523193916</v>
      </c>
      <c r="F392" s="122">
        <f t="shared" si="73"/>
        <v>6.1358775695817496</v>
      </c>
      <c r="G392" s="123">
        <f t="shared" si="74"/>
        <v>10.77964817665103</v>
      </c>
      <c r="H392" s="123">
        <f t="shared" si="75"/>
        <v>0</v>
      </c>
      <c r="I392" s="123">
        <f t="shared" si="76"/>
        <v>39.22035182334897</v>
      </c>
      <c r="J392" s="123">
        <f t="shared" si="77"/>
        <v>10.486788360512874</v>
      </c>
      <c r="K392" s="123">
        <f t="shared" si="78"/>
        <v>0.29285981613815615</v>
      </c>
      <c r="L392" s="123">
        <f t="shared" si="79"/>
        <v>4.6770883732258612</v>
      </c>
      <c r="M392" s="123">
        <f t="shared" si="80"/>
        <v>20.104896349421367</v>
      </c>
      <c r="N392" s="123">
        <f t="shared" si="81"/>
        <v>20.397756165559521</v>
      </c>
      <c r="O392" s="123">
        <f t="shared" si="82"/>
        <v>0.53646098715421542</v>
      </c>
    </row>
    <row r="393" spans="1:15" x14ac:dyDescent="0.25">
      <c r="A393" s="45">
        <v>2012</v>
      </c>
      <c r="B393" s="32">
        <v>4</v>
      </c>
      <c r="C393" s="117">
        <f t="shared" si="71"/>
        <v>73.802999999999997</v>
      </c>
      <c r="D393" s="117">
        <f>+HLOOKUP('Ingreso Datos'!$I$7,'Precip 1981-2012'!$D$5:$AL$397,385,FALSE)</f>
        <v>151.1</v>
      </c>
      <c r="E393" s="122">
        <f t="shared" si="72"/>
        <v>94.255925231939159</v>
      </c>
      <c r="F393" s="122">
        <f t="shared" si="73"/>
        <v>6.1358775695817496</v>
      </c>
      <c r="G393" s="123">
        <f t="shared" si="74"/>
        <v>90.158833110188255</v>
      </c>
      <c r="H393" s="123">
        <f t="shared" si="75"/>
        <v>0</v>
      </c>
      <c r="I393" s="123">
        <f t="shared" si="76"/>
        <v>60.94116688981174</v>
      </c>
      <c r="J393" s="123">
        <f t="shared" si="77"/>
        <v>73.087606824841302</v>
      </c>
      <c r="K393" s="123">
        <f t="shared" si="78"/>
        <v>17.071226285346953</v>
      </c>
      <c r="L393" s="123">
        <f t="shared" si="79"/>
        <v>23.312088196031329</v>
      </c>
      <c r="M393" s="123">
        <f t="shared" si="80"/>
        <v>54.452607002035833</v>
      </c>
      <c r="N393" s="123">
        <f t="shared" si="81"/>
        <v>71.523833287382786</v>
      </c>
      <c r="O393" s="123">
        <f t="shared" si="82"/>
        <v>1.8810768154581674</v>
      </c>
    </row>
    <row r="394" spans="1:15" x14ac:dyDescent="0.25">
      <c r="A394" s="45">
        <v>2012</v>
      </c>
      <c r="B394" s="32">
        <v>5</v>
      </c>
      <c r="C394" s="117">
        <f t="shared" si="71"/>
        <v>44.483999999999995</v>
      </c>
      <c r="D394" s="117">
        <f>+HLOOKUP('Ingreso Datos'!$I$7,'Precip 1981-2012'!$D$5:$AL$397,386,FALSE)</f>
        <v>33.299999999999997</v>
      </c>
      <c r="E394" s="122">
        <f t="shared" si="72"/>
        <v>64.936925231939156</v>
      </c>
      <c r="F394" s="122">
        <f t="shared" si="73"/>
        <v>6.1358775695817496</v>
      </c>
      <c r="G394" s="123">
        <f t="shared" si="74"/>
        <v>8.5835873600715704</v>
      </c>
      <c r="H394" s="123">
        <f t="shared" si="75"/>
        <v>0</v>
      </c>
      <c r="I394" s="123">
        <f t="shared" si="76"/>
        <v>24.716412639928429</v>
      </c>
      <c r="J394" s="123">
        <f t="shared" si="77"/>
        <v>8.3968640032768374</v>
      </c>
      <c r="K394" s="123">
        <f t="shared" si="78"/>
        <v>0.18672335679473306</v>
      </c>
      <c r="L394" s="123">
        <f t="shared" si="79"/>
        <v>4.9052645666346208</v>
      </c>
      <c r="M394" s="123">
        <f t="shared" si="80"/>
        <v>26.803687632673544</v>
      </c>
      <c r="N394" s="123">
        <f t="shared" si="81"/>
        <v>26.990410989468277</v>
      </c>
      <c r="O394" s="123">
        <f t="shared" si="82"/>
        <v>0.7098478090230157</v>
      </c>
    </row>
    <row r="395" spans="1:15" x14ac:dyDescent="0.25">
      <c r="A395" s="45">
        <v>2012</v>
      </c>
      <c r="B395" s="32">
        <v>6</v>
      </c>
      <c r="C395" s="117">
        <f t="shared" si="71"/>
        <v>29.318999999999996</v>
      </c>
      <c r="D395" s="117">
        <f>+HLOOKUP('Ingreso Datos'!$I$7,'Precip 1981-2012'!$D$5:$AL$397,387,FALSE)</f>
        <v>73.400000000000006</v>
      </c>
      <c r="E395" s="122">
        <f t="shared" si="72"/>
        <v>49.771925231939164</v>
      </c>
      <c r="F395" s="122">
        <f t="shared" si="73"/>
        <v>6.1358775695817496</v>
      </c>
      <c r="G395" s="123">
        <f t="shared" si="74"/>
        <v>40.797612506358377</v>
      </c>
      <c r="H395" s="123">
        <f t="shared" si="75"/>
        <v>3.2833874936416336</v>
      </c>
      <c r="I395" s="123">
        <f t="shared" si="76"/>
        <v>29.318999999999996</v>
      </c>
      <c r="J395" s="123">
        <f t="shared" si="77"/>
        <v>36.897765980871611</v>
      </c>
      <c r="K395" s="123">
        <f t="shared" si="78"/>
        <v>3.8998465254867654</v>
      </c>
      <c r="L395" s="123">
        <f t="shared" si="79"/>
        <v>12.0177121709843</v>
      </c>
      <c r="M395" s="123">
        <f t="shared" si="80"/>
        <v>29.785318376521932</v>
      </c>
      <c r="N395" s="123">
        <f t="shared" si="81"/>
        <v>33.685164902008694</v>
      </c>
      <c r="O395" s="123">
        <f t="shared" si="82"/>
        <v>0.88591983692282872</v>
      </c>
    </row>
    <row r="396" spans="1:15" x14ac:dyDescent="0.25">
      <c r="A396" s="45">
        <v>2012</v>
      </c>
      <c r="B396" s="32">
        <v>7</v>
      </c>
      <c r="C396" s="117">
        <f t="shared" si="71"/>
        <v>35.384999999999998</v>
      </c>
      <c r="D396" s="117">
        <f>+HLOOKUP('Ingreso Datos'!$I$7,'Precip 1981-2012'!$D$5:$AL$397,388,FALSE)</f>
        <v>14.9</v>
      </c>
      <c r="E396" s="122">
        <f t="shared" si="72"/>
        <v>52.554537738297526</v>
      </c>
      <c r="F396" s="122">
        <f t="shared" si="73"/>
        <v>5.1508613214892591</v>
      </c>
      <c r="G396" s="123">
        <f t="shared" si="74"/>
        <v>1.6630100339645157</v>
      </c>
      <c r="H396" s="123">
        <f t="shared" si="75"/>
        <v>0</v>
      </c>
      <c r="I396" s="123">
        <f t="shared" si="76"/>
        <v>16.520377459677118</v>
      </c>
      <c r="J396" s="123">
        <f t="shared" si="77"/>
        <v>1.6558759966654082</v>
      </c>
      <c r="K396" s="123">
        <f t="shared" si="78"/>
        <v>7.134037299107554E-3</v>
      </c>
      <c r="L396" s="123">
        <f t="shared" si="79"/>
        <v>1.6929314131195072</v>
      </c>
      <c r="M396" s="123">
        <f t="shared" si="80"/>
        <v>11.980656754530202</v>
      </c>
      <c r="N396" s="123">
        <f t="shared" si="81"/>
        <v>11.987790791829308</v>
      </c>
      <c r="O396" s="123">
        <f t="shared" si="82"/>
        <v>0.31527889782511082</v>
      </c>
    </row>
    <row r="397" spans="1:15" x14ac:dyDescent="0.25">
      <c r="A397" s="45">
        <v>2012</v>
      </c>
      <c r="B397" s="32">
        <v>8</v>
      </c>
      <c r="C397" s="117">
        <f t="shared" si="71"/>
        <v>55.605000000000004</v>
      </c>
      <c r="D397" s="117">
        <f>+HLOOKUP('Ingreso Datos'!$I$7,'Precip 1981-2012'!$D$5:$AL$397,389,FALSE)</f>
        <v>114.4</v>
      </c>
      <c r="E397" s="122">
        <f t="shared" si="72"/>
        <v>76.057925231939166</v>
      </c>
      <c r="F397" s="122">
        <f t="shared" si="73"/>
        <v>6.1358775695817496</v>
      </c>
      <c r="G397" s="123">
        <f t="shared" si="74"/>
        <v>65.780190457686999</v>
      </c>
      <c r="H397" s="123">
        <f t="shared" si="75"/>
        <v>0</v>
      </c>
      <c r="I397" s="123">
        <f t="shared" si="76"/>
        <v>48.619809542313007</v>
      </c>
      <c r="J397" s="123">
        <f t="shared" si="77"/>
        <v>56.202449892599432</v>
      </c>
      <c r="K397" s="123">
        <f t="shared" si="78"/>
        <v>9.5777405650875664</v>
      </c>
      <c r="L397" s="123">
        <f t="shared" si="79"/>
        <v>17.740240321319028</v>
      </c>
      <c r="M397" s="123">
        <f t="shared" si="80"/>
        <v>40.155140984399907</v>
      </c>
      <c r="N397" s="123">
        <f t="shared" si="81"/>
        <v>49.732881549487473</v>
      </c>
      <c r="O397" s="123">
        <f t="shared" si="82"/>
        <v>1.3079747847515204</v>
      </c>
    </row>
    <row r="398" spans="1:15" x14ac:dyDescent="0.25">
      <c r="A398" s="45">
        <v>2012</v>
      </c>
      <c r="B398" s="32">
        <v>9</v>
      </c>
      <c r="C398" s="117">
        <f t="shared" si="71"/>
        <v>78.858000000000004</v>
      </c>
      <c r="D398" s="117">
        <f>+HLOOKUP('Ingreso Datos'!$I$7,'Precip 1981-2012'!$D$5:$AL$397,390,FALSE)</f>
        <v>95.9</v>
      </c>
      <c r="E398" s="122">
        <f t="shared" si="72"/>
        <v>99.310925231939166</v>
      </c>
      <c r="F398" s="122">
        <f t="shared" si="73"/>
        <v>6.1358775695817496</v>
      </c>
      <c r="G398" s="123">
        <f t="shared" si="74"/>
        <v>44.045229196222941</v>
      </c>
      <c r="H398" s="123">
        <f t="shared" si="75"/>
        <v>0</v>
      </c>
      <c r="I398" s="123">
        <f t="shared" si="76"/>
        <v>51.854770803777065</v>
      </c>
      <c r="J398" s="123">
        <f t="shared" si="77"/>
        <v>39.534117147442075</v>
      </c>
      <c r="K398" s="123">
        <f t="shared" si="78"/>
        <v>4.5111120487808662</v>
      </c>
      <c r="L398" s="123">
        <f t="shared" si="79"/>
        <v>14.097156394655348</v>
      </c>
      <c r="M398" s="123">
        <f t="shared" si="80"/>
        <v>43.177201074105753</v>
      </c>
      <c r="N398" s="123">
        <f t="shared" si="81"/>
        <v>47.688313122886619</v>
      </c>
      <c r="O398" s="123">
        <f t="shared" si="82"/>
        <v>1.254202635131918</v>
      </c>
    </row>
    <row r="399" spans="1:15" x14ac:dyDescent="0.25">
      <c r="A399" s="45">
        <v>2012</v>
      </c>
      <c r="B399" s="32">
        <v>10</v>
      </c>
      <c r="C399" s="117">
        <f t="shared" si="71"/>
        <v>113.232</v>
      </c>
      <c r="D399" s="117">
        <f>+HLOOKUP('Ingreso Datos'!$I$7,'Precip 1981-2012'!$D$5:$AL$397,391,FALSE)</f>
        <v>369.1</v>
      </c>
      <c r="E399" s="122">
        <f t="shared" si="72"/>
        <v>133.68492523193916</v>
      </c>
      <c r="F399" s="122">
        <f t="shared" si="73"/>
        <v>6.1358775695817496</v>
      </c>
      <c r="G399" s="123">
        <f t="shared" si="74"/>
        <v>268.58188975184049</v>
      </c>
      <c r="H399" s="123">
        <f t="shared" si="75"/>
        <v>0</v>
      </c>
      <c r="I399" s="123">
        <f t="shared" si="76"/>
        <v>100.51811024815953</v>
      </c>
      <c r="J399" s="123">
        <f t="shared" si="77"/>
        <v>158.37989267242625</v>
      </c>
      <c r="K399" s="123">
        <f t="shared" si="78"/>
        <v>110.20199707941424</v>
      </c>
      <c r="L399" s="123">
        <f t="shared" si="79"/>
        <v>50.904406443615187</v>
      </c>
      <c r="M399" s="123">
        <f t="shared" si="80"/>
        <v>121.57264262346641</v>
      </c>
      <c r="N399" s="123">
        <f t="shared" si="81"/>
        <v>231.77463970288065</v>
      </c>
      <c r="O399" s="123">
        <f t="shared" si="82"/>
        <v>6.0956730241857606</v>
      </c>
    </row>
    <row r="400" spans="1:15" x14ac:dyDescent="0.25">
      <c r="A400" s="45">
        <v>2012</v>
      </c>
      <c r="B400" s="32">
        <v>11</v>
      </c>
      <c r="C400" s="117">
        <f t="shared" si="71"/>
        <v>148.61699999999999</v>
      </c>
      <c r="D400" s="117">
        <f>+HLOOKUP('Ingreso Datos'!$I$7,'Precip 1981-2012'!$D$5:$AL$397,392,FALSE)</f>
        <v>24.7</v>
      </c>
      <c r="E400" s="122">
        <f t="shared" si="72"/>
        <v>169.06992523193915</v>
      </c>
      <c r="F400" s="122">
        <f t="shared" si="73"/>
        <v>6.1358775695817496</v>
      </c>
      <c r="G400" s="123">
        <f t="shared" si="74"/>
        <v>1.8987885191095686</v>
      </c>
      <c r="H400" s="123">
        <f t="shared" si="75"/>
        <v>0</v>
      </c>
      <c r="I400" s="123">
        <f t="shared" si="76"/>
        <v>22.80121148089043</v>
      </c>
      <c r="J400" s="123">
        <f t="shared" si="77"/>
        <v>1.8894938320751831</v>
      </c>
      <c r="K400" s="123">
        <f t="shared" si="78"/>
        <v>9.2946870343855181E-3</v>
      </c>
      <c r="L400" s="123">
        <f t="shared" si="79"/>
        <v>5.5684594086421981</v>
      </c>
      <c r="M400" s="123">
        <f t="shared" si="80"/>
        <v>47.225440867048171</v>
      </c>
      <c r="N400" s="123">
        <f t="shared" si="81"/>
        <v>47.234735554082555</v>
      </c>
      <c r="O400" s="123">
        <f t="shared" si="82"/>
        <v>1.2422735450723712</v>
      </c>
    </row>
    <row r="401" spans="1:15" x14ac:dyDescent="0.25">
      <c r="A401" s="45">
        <v>2012</v>
      </c>
      <c r="B401" s="32">
        <v>12</v>
      </c>
      <c r="C401" s="117">
        <f t="shared" si="71"/>
        <v>179.958</v>
      </c>
      <c r="D401" s="117">
        <f>+HLOOKUP('Ingreso Datos'!$I$7,'Precip 1981-2012'!$D$5:$AL$397,393,FALSE)</f>
        <v>299</v>
      </c>
      <c r="E401" s="122">
        <f t="shared" si="72"/>
        <v>200.41092523193916</v>
      </c>
      <c r="F401" s="122">
        <f t="shared" si="73"/>
        <v>6.1358775695817496</v>
      </c>
      <c r="G401" s="123">
        <f t="shared" si="74"/>
        <v>176.06753772357135</v>
      </c>
      <c r="H401" s="123">
        <f t="shared" si="75"/>
        <v>0</v>
      </c>
      <c r="I401" s="123">
        <f t="shared" si="76"/>
        <v>122.93246227642865</v>
      </c>
      <c r="J401" s="123">
        <f t="shared" si="77"/>
        <v>120.91441864184434</v>
      </c>
      <c r="K401" s="123">
        <f t="shared" si="78"/>
        <v>55.153119081727013</v>
      </c>
      <c r="L401" s="123">
        <f t="shared" si="79"/>
        <v>38.354858308898848</v>
      </c>
      <c r="M401" s="123">
        <f t="shared" si="80"/>
        <v>88.128019741587678</v>
      </c>
      <c r="N401" s="123">
        <f t="shared" si="81"/>
        <v>143.28113882331468</v>
      </c>
      <c r="O401" s="123">
        <f t="shared" si="82"/>
        <v>3.7682939510531757</v>
      </c>
    </row>
    <row r="402" spans="1:15" x14ac:dyDescent="0.25">
      <c r="A402" s="45">
        <v>2013</v>
      </c>
      <c r="B402" s="32">
        <v>1</v>
      </c>
    </row>
    <row r="403" spans="1:15" x14ac:dyDescent="0.25">
      <c r="A403" s="45">
        <v>2013</v>
      </c>
      <c r="B403" s="32">
        <v>2</v>
      </c>
    </row>
    <row r="404" spans="1:15" x14ac:dyDescent="0.25">
      <c r="A404" s="45">
        <v>2013</v>
      </c>
      <c r="B404" s="32">
        <v>3</v>
      </c>
    </row>
    <row r="405" spans="1:15" x14ac:dyDescent="0.25">
      <c r="A405" s="45">
        <v>2013</v>
      </c>
      <c r="B405" s="32">
        <v>4</v>
      </c>
    </row>
    <row r="406" spans="1:15" x14ac:dyDescent="0.25">
      <c r="A406" s="45">
        <v>2013</v>
      </c>
      <c r="B406" s="32">
        <v>5</v>
      </c>
    </row>
    <row r="407" spans="1:15" x14ac:dyDescent="0.25">
      <c r="A407" s="45">
        <v>2013</v>
      </c>
      <c r="B407" s="32">
        <v>6</v>
      </c>
    </row>
    <row r="408" spans="1:15" x14ac:dyDescent="0.25">
      <c r="A408" s="45">
        <v>2013</v>
      </c>
      <c r="B408" s="32">
        <v>7</v>
      </c>
    </row>
    <row r="409" spans="1:15" x14ac:dyDescent="0.25">
      <c r="A409" s="45">
        <v>2013</v>
      </c>
      <c r="B409" s="32">
        <v>8</v>
      </c>
    </row>
    <row r="410" spans="1:15" x14ac:dyDescent="0.25">
      <c r="A410" s="45">
        <v>2013</v>
      </c>
      <c r="B410" s="32">
        <v>9</v>
      </c>
    </row>
    <row r="411" spans="1:15" x14ac:dyDescent="0.25">
      <c r="A411" s="45">
        <v>2013</v>
      </c>
      <c r="B411" s="32">
        <v>10</v>
      </c>
    </row>
    <row r="412" spans="1:15" x14ac:dyDescent="0.25">
      <c r="A412" s="45">
        <v>2013</v>
      </c>
      <c r="B412" s="32">
        <v>11</v>
      </c>
    </row>
    <row r="413" spans="1:15" x14ac:dyDescent="0.25">
      <c r="A413" s="45">
        <v>2013</v>
      </c>
      <c r="B413" s="32">
        <v>12</v>
      </c>
    </row>
    <row r="414" spans="1:15" x14ac:dyDescent="0.25">
      <c r="A414" s="45">
        <v>2014</v>
      </c>
      <c r="B414" s="32">
        <v>1</v>
      </c>
    </row>
    <row r="415" spans="1:15" x14ac:dyDescent="0.25">
      <c r="A415" s="45">
        <v>2014</v>
      </c>
      <c r="B415" s="32">
        <v>2</v>
      </c>
    </row>
    <row r="416" spans="1:15" x14ac:dyDescent="0.25">
      <c r="A416" s="45">
        <v>2014</v>
      </c>
      <c r="B416" s="32">
        <v>3</v>
      </c>
    </row>
    <row r="417" spans="1:2" x14ac:dyDescent="0.25">
      <c r="A417" s="45">
        <v>2014</v>
      </c>
      <c r="B417" s="32">
        <v>4</v>
      </c>
    </row>
    <row r="418" spans="1:2" x14ac:dyDescent="0.25">
      <c r="A418" s="45">
        <v>2014</v>
      </c>
      <c r="B418" s="32">
        <v>5</v>
      </c>
    </row>
    <row r="419" spans="1:2" x14ac:dyDescent="0.25">
      <c r="A419" s="45">
        <v>2014</v>
      </c>
      <c r="B419" s="32">
        <v>6</v>
      </c>
    </row>
    <row r="420" spans="1:2" x14ac:dyDescent="0.25">
      <c r="A420" s="45">
        <v>2014</v>
      </c>
      <c r="B420" s="32">
        <v>7</v>
      </c>
    </row>
    <row r="421" spans="1:2" x14ac:dyDescent="0.25">
      <c r="A421" s="45">
        <v>2014</v>
      </c>
      <c r="B421" s="32">
        <v>8</v>
      </c>
    </row>
    <row r="422" spans="1:2" x14ac:dyDescent="0.25">
      <c r="A422" s="45">
        <v>2014</v>
      </c>
      <c r="B422" s="32">
        <v>9</v>
      </c>
    </row>
    <row r="423" spans="1:2" x14ac:dyDescent="0.25">
      <c r="A423" s="45">
        <v>2014</v>
      </c>
      <c r="B423" s="32">
        <v>10</v>
      </c>
    </row>
    <row r="424" spans="1:2" x14ac:dyDescent="0.25">
      <c r="A424" s="45">
        <v>2014</v>
      </c>
      <c r="B424" s="32">
        <v>11</v>
      </c>
    </row>
    <row r="425" spans="1:2" x14ac:dyDescent="0.25">
      <c r="A425" s="45">
        <v>2014</v>
      </c>
      <c r="B425" s="32">
        <v>12</v>
      </c>
    </row>
    <row r="426" spans="1:2" x14ac:dyDescent="0.25">
      <c r="A426" s="45">
        <v>2015</v>
      </c>
      <c r="B426" s="32">
        <v>1</v>
      </c>
    </row>
    <row r="427" spans="1:2" x14ac:dyDescent="0.25">
      <c r="A427" s="45">
        <v>2015</v>
      </c>
      <c r="B427" s="32">
        <v>2</v>
      </c>
    </row>
    <row r="428" spans="1:2" x14ac:dyDescent="0.25">
      <c r="A428" s="45">
        <v>2015</v>
      </c>
      <c r="B428" s="32">
        <v>3</v>
      </c>
    </row>
    <row r="429" spans="1:2" x14ac:dyDescent="0.25">
      <c r="A429" s="45">
        <v>2015</v>
      </c>
      <c r="B429" s="32">
        <v>4</v>
      </c>
    </row>
    <row r="430" spans="1:2" x14ac:dyDescent="0.25">
      <c r="A430" s="45">
        <v>2015</v>
      </c>
      <c r="B430" s="32">
        <v>5</v>
      </c>
    </row>
    <row r="431" spans="1:2" x14ac:dyDescent="0.25">
      <c r="A431" s="45">
        <v>2015</v>
      </c>
      <c r="B431" s="32">
        <v>6</v>
      </c>
    </row>
    <row r="432" spans="1:2" x14ac:dyDescent="0.25">
      <c r="A432" s="45">
        <v>2015</v>
      </c>
      <c r="B432" s="32">
        <v>7</v>
      </c>
    </row>
    <row r="433" spans="1:2" x14ac:dyDescent="0.25">
      <c r="A433" s="45">
        <v>2015</v>
      </c>
      <c r="B433" s="32">
        <v>8</v>
      </c>
    </row>
    <row r="434" spans="1:2" x14ac:dyDescent="0.25">
      <c r="A434" s="45">
        <v>2015</v>
      </c>
      <c r="B434" s="32">
        <v>9</v>
      </c>
    </row>
    <row r="435" spans="1:2" x14ac:dyDescent="0.25">
      <c r="A435" s="45">
        <v>2015</v>
      </c>
      <c r="B435" s="32">
        <v>10</v>
      </c>
    </row>
    <row r="436" spans="1:2" x14ac:dyDescent="0.25">
      <c r="A436" s="45">
        <v>2015</v>
      </c>
      <c r="B436" s="32">
        <v>11</v>
      </c>
    </row>
    <row r="437" spans="1:2" x14ac:dyDescent="0.25">
      <c r="A437" s="45">
        <v>2015</v>
      </c>
      <c r="B437" s="32">
        <v>12</v>
      </c>
    </row>
  </sheetData>
  <sheetProtection sheet="1"/>
  <mergeCells count="13">
    <mergeCell ref="Q4:S4"/>
    <mergeCell ref="Q5:S5"/>
    <mergeCell ref="Q1:AE1"/>
    <mergeCell ref="C6:K6"/>
    <mergeCell ref="M6:N6"/>
    <mergeCell ref="A1:O1"/>
    <mergeCell ref="A15:B15"/>
    <mergeCell ref="A14:B14"/>
    <mergeCell ref="C7:K7"/>
    <mergeCell ref="C8:K8"/>
    <mergeCell ref="C9:K9"/>
    <mergeCell ref="C10:K10"/>
    <mergeCell ref="C11:K11"/>
  </mergeCells>
  <phoneticPr fontId="15" type="noConversion"/>
  <pageMargins left="0.3" right="0.17" top="0.87" bottom="0.59" header="0.31496062992125984" footer="0.61"/>
  <pageSetup paperSize="9" pageOrder="overThenDown" orientation="portrait" horizontalDpi="300" verticalDpi="300" r:id="rId1"/>
  <headerFooter alignWithMargins="0">
    <oddFooter xml:space="preserve">&amp;Lpág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AO428"/>
  <sheetViews>
    <sheetView zoomScaleNormal="100" workbookViewId="0">
      <pane ySplit="8" topLeftCell="A9" activePane="bottomLeft" state="frozen"/>
      <selection pane="bottomLeft"/>
    </sheetView>
  </sheetViews>
  <sheetFormatPr baseColWidth="10" defaultRowHeight="15" x14ac:dyDescent="0.25"/>
  <cols>
    <col min="1" max="1" width="8.5703125" customWidth="1"/>
    <col min="2" max="2" width="5" style="2" customWidth="1"/>
    <col min="3" max="3" width="6.140625" customWidth="1"/>
    <col min="4" max="4" width="11.140625" customWidth="1"/>
    <col min="5" max="5" width="5.5703125" customWidth="1"/>
    <col min="6" max="6" width="9.140625" customWidth="1"/>
    <col min="7" max="41" width="5.85546875" customWidth="1"/>
  </cols>
  <sheetData>
    <row r="1" spans="1:41" ht="23.25" x14ac:dyDescent="0.35">
      <c r="A1" t="str">
        <f>+'Ingreso Datos'!G2</f>
        <v>Presa del Ejemplo del Manual</v>
      </c>
      <c r="L1" s="309" t="s">
        <v>115</v>
      </c>
    </row>
    <row r="2" spans="1:41" x14ac:dyDescent="0.25">
      <c r="A2" t="str">
        <f>+CONCATENATE("Cota de toma: ",Ht," m")</f>
        <v>Cota de toma: 100,5 m</v>
      </c>
      <c r="AB2" s="2"/>
      <c r="AD2" s="36" t="s">
        <v>90</v>
      </c>
    </row>
    <row r="3" spans="1:41" x14ac:dyDescent="0.25">
      <c r="A3" t="str">
        <f>+CONCATENATE("Cota de vertedero: ",Hv," m")</f>
        <v>Cota de vertedero: 106 m</v>
      </c>
      <c r="AA3" s="36" t="s">
        <v>91</v>
      </c>
      <c r="AB3" s="398"/>
    </row>
    <row r="4" spans="1:41" x14ac:dyDescent="0.25">
      <c r="A4" t="str">
        <f>+CONCATENATE("Área a regar: ",Ar," Hás")</f>
        <v>Área a regar: 1100 Hás</v>
      </c>
      <c r="I4" s="282"/>
      <c r="J4" s="282"/>
      <c r="K4" s="282"/>
      <c r="L4" s="282"/>
      <c r="M4" s="282"/>
      <c r="N4" s="282"/>
      <c r="O4" s="282"/>
      <c r="P4" s="282"/>
      <c r="Q4" s="282"/>
      <c r="AA4" s="36" t="s">
        <v>92</v>
      </c>
    </row>
    <row r="5" spans="1:41" x14ac:dyDescent="0.25">
      <c r="A5" t="str">
        <f ca="1">+CONCATENATE("Volumen máx: ",+ROUND(VolHv-VolHt,2)," Hm3")</f>
        <v>Volumen máx: 7,49 Hm3</v>
      </c>
      <c r="H5" s="282"/>
    </row>
    <row r="6" spans="1:41" x14ac:dyDescent="0.25">
      <c r="A6" t="s">
        <v>108</v>
      </c>
    </row>
    <row r="7" spans="1:41" x14ac:dyDescent="0.25">
      <c r="A7" s="106" t="str">
        <f>+CONCATENATE("Esc.Medio Anual: ",G22," Hm3")</f>
        <v>Esc.Medio Anual: 22,01 Hm3</v>
      </c>
      <c r="G7" t="s">
        <v>111</v>
      </c>
      <c r="H7" s="106"/>
    </row>
    <row r="8" spans="1:41" s="233" customFormat="1" ht="45" x14ac:dyDescent="0.25">
      <c r="A8" s="279" t="str">
        <f>+'Esc 2'!A16</f>
        <v>Año</v>
      </c>
      <c r="B8" s="279" t="str">
        <f>+'Esc 2'!B16</f>
        <v>mes</v>
      </c>
      <c r="C8" s="279" t="s">
        <v>109</v>
      </c>
      <c r="D8" s="279" t="s">
        <v>110</v>
      </c>
      <c r="G8" s="589" t="s">
        <v>117</v>
      </c>
      <c r="H8" s="589" t="s">
        <v>118</v>
      </c>
      <c r="I8" s="590" t="s">
        <v>119</v>
      </c>
      <c r="J8" s="590" t="s">
        <v>120</v>
      </c>
      <c r="K8" s="590" t="s">
        <v>121</v>
      </c>
      <c r="L8" s="590" t="s">
        <v>122</v>
      </c>
      <c r="M8" s="590" t="s">
        <v>123</v>
      </c>
      <c r="N8" s="590" t="s">
        <v>124</v>
      </c>
      <c r="O8" s="590" t="s">
        <v>125</v>
      </c>
      <c r="P8" s="590" t="s">
        <v>126</v>
      </c>
      <c r="Q8" s="590" t="s">
        <v>127</v>
      </c>
      <c r="R8" s="590" t="s">
        <v>128</v>
      </c>
      <c r="S8" s="590" t="s">
        <v>129</v>
      </c>
      <c r="T8" s="590" t="s">
        <v>130</v>
      </c>
      <c r="U8" s="590" t="s">
        <v>131</v>
      </c>
      <c r="V8" s="590" t="s">
        <v>132</v>
      </c>
      <c r="W8" s="590" t="s">
        <v>133</v>
      </c>
      <c r="X8" s="590" t="s">
        <v>134</v>
      </c>
      <c r="Y8" s="590" t="s">
        <v>135</v>
      </c>
      <c r="Z8" s="590" t="s">
        <v>136</v>
      </c>
      <c r="AA8" s="590" t="s">
        <v>137</v>
      </c>
      <c r="AB8" s="590" t="s">
        <v>138</v>
      </c>
      <c r="AC8" s="590" t="s">
        <v>139</v>
      </c>
      <c r="AD8" s="590" t="s">
        <v>140</v>
      </c>
      <c r="AE8" s="590" t="s">
        <v>141</v>
      </c>
      <c r="AF8" s="590" t="s">
        <v>142</v>
      </c>
      <c r="AG8" s="590" t="s">
        <v>143</v>
      </c>
      <c r="AH8" s="590" t="s">
        <v>144</v>
      </c>
      <c r="AI8" s="591" t="s">
        <v>145</v>
      </c>
      <c r="AJ8" s="591" t="s">
        <v>49</v>
      </c>
      <c r="AK8" s="591" t="s">
        <v>50</v>
      </c>
      <c r="AL8" s="591" t="s">
        <v>51</v>
      </c>
      <c r="AM8" s="591" t="s">
        <v>52</v>
      </c>
      <c r="AN8" s="591" t="s">
        <v>53</v>
      </c>
      <c r="AO8" s="591" t="s">
        <v>54</v>
      </c>
    </row>
    <row r="9" spans="1:41" x14ac:dyDescent="0.25">
      <c r="A9">
        <f>+'Esc 2'!A18</f>
        <v>1981</v>
      </c>
      <c r="B9" s="2">
        <f>+'Esc 2'!B18</f>
        <v>1</v>
      </c>
      <c r="C9">
        <f>+IF($AB$3="",'Esc 2'!O18,'Bal Híd'!R8)</f>
        <v>0.97746626122915181</v>
      </c>
      <c r="D9">
        <f ca="1">+'Bal Híd'!N8</f>
        <v>1.2589820171383641</v>
      </c>
      <c r="F9" t="s">
        <v>116</v>
      </c>
      <c r="G9" s="104">
        <f>+ROUND(SUM(G10:G21),1)</f>
        <v>20</v>
      </c>
      <c r="H9" s="104">
        <f t="shared" ref="H9:AO9" si="0">+ROUND(SUM(H10:H21),1)</f>
        <v>31.1</v>
      </c>
      <c r="I9" s="104">
        <f t="shared" si="0"/>
        <v>28.2</v>
      </c>
      <c r="J9" s="104">
        <f t="shared" si="0"/>
        <v>22.1</v>
      </c>
      <c r="K9" s="104">
        <f t="shared" si="0"/>
        <v>20.8</v>
      </c>
      <c r="L9" s="104">
        <f t="shared" si="0"/>
        <v>31.9</v>
      </c>
      <c r="M9" s="104">
        <f t="shared" si="0"/>
        <v>22.6</v>
      </c>
      <c r="N9" s="104">
        <f t="shared" si="0"/>
        <v>8.1999999999999993</v>
      </c>
      <c r="O9" s="104">
        <f t="shared" si="0"/>
        <v>17.399999999999999</v>
      </c>
      <c r="P9" s="104">
        <f t="shared" si="0"/>
        <v>18.5</v>
      </c>
      <c r="Q9" s="104">
        <f t="shared" si="0"/>
        <v>33.1</v>
      </c>
      <c r="R9" s="104">
        <f t="shared" si="0"/>
        <v>30.7</v>
      </c>
      <c r="S9" s="104">
        <f t="shared" si="0"/>
        <v>25.5</v>
      </c>
      <c r="T9" s="104">
        <f t="shared" si="0"/>
        <v>15</v>
      </c>
      <c r="U9" s="104">
        <f t="shared" si="0"/>
        <v>16.2</v>
      </c>
      <c r="V9" s="104">
        <f t="shared" si="0"/>
        <v>15.1</v>
      </c>
      <c r="W9" s="104">
        <f t="shared" si="0"/>
        <v>36</v>
      </c>
      <c r="X9" s="104">
        <f t="shared" si="0"/>
        <v>24.6</v>
      </c>
      <c r="Y9" s="104">
        <f t="shared" si="0"/>
        <v>10.9</v>
      </c>
      <c r="Z9" s="104">
        <f t="shared" si="0"/>
        <v>22.9</v>
      </c>
      <c r="AA9" s="104">
        <f t="shared" si="0"/>
        <v>35.1</v>
      </c>
      <c r="AB9" s="104">
        <f t="shared" si="0"/>
        <v>45.3</v>
      </c>
      <c r="AC9" s="104">
        <f t="shared" si="0"/>
        <v>18.7</v>
      </c>
      <c r="AD9" s="104">
        <f t="shared" si="0"/>
        <v>12.3</v>
      </c>
      <c r="AE9" s="104">
        <f t="shared" si="0"/>
        <v>16</v>
      </c>
      <c r="AF9" s="104">
        <f t="shared" si="0"/>
        <v>21.2</v>
      </c>
      <c r="AG9" s="104">
        <f t="shared" si="0"/>
        <v>13.1</v>
      </c>
      <c r="AH9" s="104">
        <f t="shared" si="0"/>
        <v>16.7</v>
      </c>
      <c r="AI9" s="104">
        <f t="shared" si="0"/>
        <v>31.7</v>
      </c>
      <c r="AJ9" s="104">
        <f t="shared" si="0"/>
        <v>11</v>
      </c>
      <c r="AK9" s="104">
        <f t="shared" si="0"/>
        <v>11.1</v>
      </c>
      <c r="AL9" s="104">
        <f t="shared" si="0"/>
        <v>17.5</v>
      </c>
      <c r="AM9" s="104">
        <f t="shared" si="0"/>
        <v>0</v>
      </c>
      <c r="AN9" s="104">
        <f t="shared" si="0"/>
        <v>0</v>
      </c>
      <c r="AO9" s="104">
        <f t="shared" si="0"/>
        <v>0</v>
      </c>
    </row>
    <row r="10" spans="1:41" x14ac:dyDescent="0.25">
      <c r="A10">
        <f>+'Esc 2'!A19</f>
        <v>1981</v>
      </c>
      <c r="B10" s="2">
        <f>+'Esc 2'!B19</f>
        <v>2</v>
      </c>
      <c r="C10">
        <f>+IF($AB$3="",'Esc 2'!O19,'Bal Híd'!R9)</f>
        <v>2.2079423550386661</v>
      </c>
      <c r="D10">
        <f ca="1">+'Bal Híd'!N9</f>
        <v>1.7531196127254747</v>
      </c>
      <c r="F10" s="314" t="s">
        <v>292</v>
      </c>
      <c r="G10" s="3">
        <f t="shared" ref="G10:G21" si="1">+C12</f>
        <v>0.43648873501418523</v>
      </c>
      <c r="H10" s="3">
        <f t="shared" ref="H10:H21" si="2">+C24</f>
        <v>0.17531614809473417</v>
      </c>
      <c r="I10" s="3">
        <f t="shared" ref="I10:I21" si="3">+C36</f>
        <v>0.98816565637740317</v>
      </c>
      <c r="J10" s="3">
        <f t="shared" ref="J10:J21" si="4">+C48</f>
        <v>2.0764758018993188</v>
      </c>
      <c r="K10" s="3">
        <f t="shared" ref="K10:K21" si="5">+C60</f>
        <v>2.0569547254924045</v>
      </c>
      <c r="L10" s="3">
        <f t="shared" ref="L10:L21" si="6">+C72</f>
        <v>6.0688689174704793</v>
      </c>
      <c r="M10" s="3">
        <f t="shared" ref="M10:M21" si="7">+C84</f>
        <v>3.7131579275384499</v>
      </c>
      <c r="N10" s="3">
        <f t="shared" ref="N10:N21" si="8">+C96</f>
        <v>0.24883947992380465</v>
      </c>
      <c r="O10" s="3">
        <f t="shared" ref="O10:O21" si="9">+C108</f>
        <v>2.0675106188007719</v>
      </c>
      <c r="P10" s="3">
        <f t="shared" ref="P10:P21" si="10">+C120</f>
        <v>5.1031988500854801</v>
      </c>
      <c r="Q10" s="3">
        <f t="shared" ref="Q10:Q21" si="11">+C132</f>
        <v>10.055145195650462</v>
      </c>
      <c r="R10" s="3">
        <f t="shared" ref="R10:R21" si="12">+C144</f>
        <v>7.4961555014323569</v>
      </c>
      <c r="S10" s="3">
        <f t="shared" ref="S10:S21" si="13">+C156</f>
        <v>1.380005780457698</v>
      </c>
      <c r="T10" s="3">
        <f t="shared" ref="T10:T21" si="14">+C168</f>
        <v>0.8450054134208721</v>
      </c>
      <c r="U10" s="3">
        <f t="shared" ref="U10:U21" si="15">+C180</f>
        <v>0.86305963052308188</v>
      </c>
      <c r="V10" s="3">
        <f t="shared" ref="V10:V21" si="16">+C192</f>
        <v>5.0738029597072147</v>
      </c>
      <c r="W10" s="3">
        <f t="shared" ref="W10:W21" si="17">+C204</f>
        <v>1.0063512731512976</v>
      </c>
      <c r="X10" s="3">
        <f t="shared" ref="X10:X21" si="18">+C216</f>
        <v>5.8550879681411914</v>
      </c>
      <c r="Y10" s="3">
        <f t="shared" ref="Y10:Y21" si="19">+C228</f>
        <v>1.9126080506193481</v>
      </c>
      <c r="Z10" s="3">
        <f t="shared" ref="Z10:Z21" si="20">+C240</f>
        <v>1.7267055424284801</v>
      </c>
      <c r="AA10" s="3">
        <f t="shared" ref="AA10:AA21" si="21">+C252</f>
        <v>7.7064382341868178</v>
      </c>
      <c r="AB10" s="3">
        <f t="shared" ref="AB10:AB21" si="22">+C264</f>
        <v>7.8119582626253585</v>
      </c>
      <c r="AC10" s="3">
        <f t="shared" ref="AC10:AC21" si="23">+C276</f>
        <v>2.8329230836080459</v>
      </c>
      <c r="AD10" s="3">
        <f t="shared" ref="AD10:AD21" si="24">+C288</f>
        <v>1.4170673181873239</v>
      </c>
      <c r="AE10" s="3">
        <f t="shared" ref="AE10:AE21" si="25">+C300</f>
        <v>1.4326718560647225</v>
      </c>
      <c r="AF10" s="3">
        <f t="shared" ref="AF10:AF21" si="26">+C312</f>
        <v>1.4712788458162485</v>
      </c>
      <c r="AG10" s="3">
        <f t="shared" ref="AG10:AG21" si="27">+C324</f>
        <v>2.1559300385696734</v>
      </c>
      <c r="AH10" s="3">
        <f t="shared" ref="AH10:AH21" si="28">+C336</f>
        <v>1.5521319418630715</v>
      </c>
      <c r="AI10" s="3">
        <f t="shared" ref="AI10:AI21" si="29">+C348</f>
        <v>0.16498180994988842</v>
      </c>
      <c r="AJ10" s="3">
        <f t="shared" ref="AJ10:AJ21" si="30">+C360</f>
        <v>0.53890348851404068</v>
      </c>
      <c r="AK10" s="3">
        <f t="shared" ref="AK10:AK21" si="31">+C372</f>
        <v>0.94454743775202044</v>
      </c>
      <c r="AL10" s="3">
        <f>+C384</f>
        <v>1.8810768154581674</v>
      </c>
      <c r="AM10" s="3">
        <f>+C396</f>
        <v>0</v>
      </c>
      <c r="AN10" s="3">
        <f>+C408</f>
        <v>0</v>
      </c>
      <c r="AO10" s="3">
        <f>+C420</f>
        <v>0</v>
      </c>
    </row>
    <row r="11" spans="1:41" x14ac:dyDescent="0.25">
      <c r="A11">
        <f>+'Esc 2'!A20</f>
        <v>1981</v>
      </c>
      <c r="B11" s="2">
        <f>+'Esc 2'!B20</f>
        <v>3</v>
      </c>
      <c r="C11">
        <f>+IF($AB$3="",'Esc 2'!O20,'Bal Híd'!R10)</f>
        <v>0.93857414317624599</v>
      </c>
      <c r="D11">
        <f ca="1">+'Bal Híd'!N10</f>
        <v>2.0660640566982478</v>
      </c>
      <c r="F11" s="314" t="s">
        <v>293</v>
      </c>
      <c r="G11" s="3">
        <f t="shared" si="1"/>
        <v>4.3519900633041679</v>
      </c>
      <c r="H11" s="3">
        <f t="shared" si="2"/>
        <v>2.6169070571409283</v>
      </c>
      <c r="I11" s="3">
        <f t="shared" si="3"/>
        <v>5.4548732982233084</v>
      </c>
      <c r="J11" s="3">
        <f t="shared" si="4"/>
        <v>3.0635796809425657</v>
      </c>
      <c r="K11" s="3">
        <f t="shared" si="5"/>
        <v>2.5117525475714375</v>
      </c>
      <c r="L11" s="3">
        <f t="shared" si="6"/>
        <v>5.1492603601121818</v>
      </c>
      <c r="M11" s="3">
        <f t="shared" si="7"/>
        <v>1.4424435022225457</v>
      </c>
      <c r="N11" s="3">
        <f t="shared" si="8"/>
        <v>7.0021648194232414E-2</v>
      </c>
      <c r="O11" s="3">
        <f t="shared" si="9"/>
        <v>0.58445778420664352</v>
      </c>
      <c r="P11" s="3">
        <f t="shared" si="10"/>
        <v>1.7273007222502474</v>
      </c>
      <c r="Q11" s="3">
        <f t="shared" si="11"/>
        <v>2.845310997850055</v>
      </c>
      <c r="R11" s="3">
        <f t="shared" si="12"/>
        <v>6.3437471900394513</v>
      </c>
      <c r="S11" s="3">
        <f t="shared" si="13"/>
        <v>7.1774993841081658</v>
      </c>
      <c r="T11" s="3">
        <f t="shared" si="14"/>
        <v>0.8745357486316041</v>
      </c>
      <c r="U11" s="3">
        <f t="shared" si="15"/>
        <v>0.65727743455393761</v>
      </c>
      <c r="V11" s="3">
        <f t="shared" si="16"/>
        <v>1.0938720677932481</v>
      </c>
      <c r="W11" s="3">
        <f t="shared" si="17"/>
        <v>1.8250709270352528</v>
      </c>
      <c r="X11" s="3">
        <f t="shared" si="18"/>
        <v>2.7954028888846847</v>
      </c>
      <c r="Y11" s="3">
        <f t="shared" si="19"/>
        <v>1.0319578447879716</v>
      </c>
      <c r="Z11" s="3">
        <f t="shared" si="20"/>
        <v>4.6014840132756394</v>
      </c>
      <c r="AA11" s="3">
        <f t="shared" si="21"/>
        <v>4.8932754855399851</v>
      </c>
      <c r="AB11" s="3">
        <f t="shared" si="22"/>
        <v>3.0426337210146976</v>
      </c>
      <c r="AC11" s="3">
        <f t="shared" si="23"/>
        <v>3.3266863252435415</v>
      </c>
      <c r="AD11" s="3">
        <f t="shared" si="24"/>
        <v>0.55838175188018624</v>
      </c>
      <c r="AE11" s="3">
        <f t="shared" si="25"/>
        <v>2.8320706384508068</v>
      </c>
      <c r="AF11" s="3">
        <f t="shared" si="26"/>
        <v>1.2551147038154353</v>
      </c>
      <c r="AG11" s="3">
        <f t="shared" si="27"/>
        <v>0.56471327673362115</v>
      </c>
      <c r="AH11" s="3">
        <f t="shared" si="28"/>
        <v>0.83967172951887992</v>
      </c>
      <c r="AI11" s="3">
        <f t="shared" si="29"/>
        <v>1.9679056611099606</v>
      </c>
      <c r="AJ11" s="3">
        <f t="shared" si="30"/>
        <v>1.7507974781102629</v>
      </c>
      <c r="AK11" s="3">
        <f t="shared" si="31"/>
        <v>1.6754256000882841</v>
      </c>
      <c r="AL11" s="3">
        <f t="shared" ref="AL11:AL21" si="32">+C385</f>
        <v>0.7098478090230157</v>
      </c>
      <c r="AM11" s="3">
        <f t="shared" ref="AM11:AM21" si="33">+C397</f>
        <v>0</v>
      </c>
      <c r="AN11" s="3">
        <f t="shared" ref="AN11:AN21" si="34">+C409</f>
        <v>0</v>
      </c>
      <c r="AO11" s="3">
        <f t="shared" ref="AO11:AO18" si="35">+C421</f>
        <v>0</v>
      </c>
    </row>
    <row r="12" spans="1:41" x14ac:dyDescent="0.25">
      <c r="A12">
        <f>+'Esc 2'!A21</f>
        <v>1981</v>
      </c>
      <c r="B12" s="2">
        <f>+'Esc 2'!B21</f>
        <v>4</v>
      </c>
      <c r="C12">
        <f>+IF($AB$3="",'Esc 2'!O21,'Bal Híd'!R11)</f>
        <v>0.43648873501418523</v>
      </c>
      <c r="D12">
        <f ca="1">+'Bal Híd'!N11</f>
        <v>2.4459494507539867</v>
      </c>
      <c r="F12" s="314" t="s">
        <v>294</v>
      </c>
      <c r="G12" s="3">
        <f t="shared" si="1"/>
        <v>2.2870331470868153</v>
      </c>
      <c r="H12" s="3">
        <f t="shared" si="2"/>
        <v>2.538916221622558</v>
      </c>
      <c r="I12" s="3">
        <f t="shared" si="3"/>
        <v>2.1381846530826674</v>
      </c>
      <c r="J12" s="3">
        <f t="shared" si="4"/>
        <v>2.6675315267237472</v>
      </c>
      <c r="K12" s="3">
        <f t="shared" si="5"/>
        <v>1.4856496946109377</v>
      </c>
      <c r="L12" s="3">
        <f t="shared" si="6"/>
        <v>2.6658623830909933</v>
      </c>
      <c r="M12" s="3">
        <f t="shared" si="7"/>
        <v>0.776170677251249</v>
      </c>
      <c r="N12" s="3">
        <f t="shared" si="8"/>
        <v>0.69257865966307652</v>
      </c>
      <c r="O12" s="3">
        <f t="shared" si="9"/>
        <v>0.13060266637193654</v>
      </c>
      <c r="P12" s="3">
        <f t="shared" si="10"/>
        <v>0.43089573194331665</v>
      </c>
      <c r="Q12" s="3">
        <f t="shared" si="11"/>
        <v>3.1772496412462048</v>
      </c>
      <c r="R12" s="3">
        <f t="shared" si="12"/>
        <v>5.7114258684301751</v>
      </c>
      <c r="S12" s="3">
        <f t="shared" si="13"/>
        <v>2.2085488624040517</v>
      </c>
      <c r="T12" s="3">
        <f t="shared" si="14"/>
        <v>2.0541116506810591</v>
      </c>
      <c r="U12" s="3">
        <f t="shared" si="15"/>
        <v>0.98094142699067477</v>
      </c>
      <c r="V12" s="3">
        <f t="shared" si="16"/>
        <v>0.17107481196927027</v>
      </c>
      <c r="W12" s="3">
        <f t="shared" si="17"/>
        <v>1.1501441087750466</v>
      </c>
      <c r="X12" s="3">
        <f t="shared" si="18"/>
        <v>4.3011689228409962</v>
      </c>
      <c r="Y12" s="3">
        <f t="shared" si="19"/>
        <v>0.9691423471695223</v>
      </c>
      <c r="Z12" s="3">
        <f t="shared" si="20"/>
        <v>2.5703306721492472</v>
      </c>
      <c r="AA12" s="3">
        <f t="shared" si="21"/>
        <v>2.2364626505745342</v>
      </c>
      <c r="AB12" s="3">
        <f t="shared" si="22"/>
        <v>1.4222617364225363</v>
      </c>
      <c r="AC12" s="3">
        <f t="shared" si="23"/>
        <v>1.97932387868501</v>
      </c>
      <c r="AD12" s="3">
        <f t="shared" si="24"/>
        <v>1.0066705492833965</v>
      </c>
      <c r="AE12" s="3">
        <f t="shared" si="25"/>
        <v>3.5164101058204804</v>
      </c>
      <c r="AF12" s="3">
        <f t="shared" si="26"/>
        <v>2.3143495379603469</v>
      </c>
      <c r="AG12" s="3">
        <f t="shared" si="27"/>
        <v>0.75375936521567566</v>
      </c>
      <c r="AH12" s="3">
        <f t="shared" si="28"/>
        <v>1.5530036263473679</v>
      </c>
      <c r="AI12" s="3">
        <f t="shared" si="29"/>
        <v>0.61216802526258307</v>
      </c>
      <c r="AJ12" s="3">
        <f t="shared" si="30"/>
        <v>0.59837205000656934</v>
      </c>
      <c r="AK12" s="3">
        <f t="shared" si="31"/>
        <v>1.0058686506208585</v>
      </c>
      <c r="AL12" s="3">
        <f t="shared" si="32"/>
        <v>0.88591983692282872</v>
      </c>
      <c r="AM12" s="3">
        <f t="shared" si="33"/>
        <v>0</v>
      </c>
      <c r="AN12" s="3">
        <f t="shared" si="34"/>
        <v>0</v>
      </c>
      <c r="AO12" s="3">
        <f t="shared" si="35"/>
        <v>0</v>
      </c>
    </row>
    <row r="13" spans="1:41" x14ac:dyDescent="0.25">
      <c r="A13">
        <f>+'Esc 2'!A22</f>
        <v>1981</v>
      </c>
      <c r="B13" s="2">
        <f>+'Esc 2'!B22</f>
        <v>5</v>
      </c>
      <c r="C13">
        <f>+IF($AB$3="",'Esc 2'!O22,'Bal Híd'!R12)</f>
        <v>4.3519900633041679</v>
      </c>
      <c r="D13">
        <f ca="1">+'Bal Híd'!N12</f>
        <v>6.8804721422138755</v>
      </c>
      <c r="F13" s="314" t="s">
        <v>295</v>
      </c>
      <c r="G13" s="3">
        <f t="shared" si="1"/>
        <v>1.2247821853808032</v>
      </c>
      <c r="H13" s="3">
        <f t="shared" si="2"/>
        <v>1.4227751663943491</v>
      </c>
      <c r="I13" s="3">
        <f t="shared" si="3"/>
        <v>2.1434527721558672</v>
      </c>
      <c r="J13" s="3">
        <f t="shared" si="4"/>
        <v>1.9793418827716363</v>
      </c>
      <c r="K13" s="3">
        <f t="shared" si="5"/>
        <v>2.2938728831925346</v>
      </c>
      <c r="L13" s="3">
        <f t="shared" si="6"/>
        <v>0.80857784733267313</v>
      </c>
      <c r="M13" s="3">
        <f t="shared" si="7"/>
        <v>2.4351401581393484</v>
      </c>
      <c r="N13" s="3">
        <f t="shared" si="8"/>
        <v>0.44208096174249184</v>
      </c>
      <c r="O13" s="3">
        <f t="shared" si="9"/>
        <v>0.12612396158848768</v>
      </c>
      <c r="P13" s="3">
        <f t="shared" si="10"/>
        <v>0.31522565825328502</v>
      </c>
      <c r="Q13" s="3">
        <f t="shared" si="11"/>
        <v>2.6732909213366023</v>
      </c>
      <c r="R13" s="3">
        <f t="shared" si="12"/>
        <v>2.5595847651183505</v>
      </c>
      <c r="S13" s="3">
        <f t="shared" si="13"/>
        <v>0.8995147004337436</v>
      </c>
      <c r="T13" s="3">
        <f t="shared" si="14"/>
        <v>1.1870659107322468</v>
      </c>
      <c r="U13" s="3">
        <f t="shared" si="15"/>
        <v>1.7330227172185215</v>
      </c>
      <c r="V13" s="3">
        <f t="shared" si="16"/>
        <v>0.11672546968216982</v>
      </c>
      <c r="W13" s="3">
        <f t="shared" si="17"/>
        <v>1.9253908067903287</v>
      </c>
      <c r="X13" s="3">
        <f t="shared" si="18"/>
        <v>2.8647837656870787</v>
      </c>
      <c r="Y13" s="3">
        <f t="shared" si="19"/>
        <v>1.4684905011764331</v>
      </c>
      <c r="Z13" s="3">
        <f t="shared" si="20"/>
        <v>1.5871563469340495</v>
      </c>
      <c r="AA13" s="3">
        <f t="shared" si="21"/>
        <v>0.73884318577829444</v>
      </c>
      <c r="AB13" s="3">
        <f t="shared" si="22"/>
        <v>3.4235609137194132</v>
      </c>
      <c r="AC13" s="3">
        <f t="shared" si="23"/>
        <v>0.74961632468732642</v>
      </c>
      <c r="AD13" s="3">
        <f t="shared" si="24"/>
        <v>0.49435793997549388</v>
      </c>
      <c r="AE13" s="3">
        <f t="shared" si="25"/>
        <v>0.95735409489229106</v>
      </c>
      <c r="AF13" s="3">
        <f t="shared" si="26"/>
        <v>1.1146604626496359</v>
      </c>
      <c r="AG13" s="3">
        <f t="shared" si="27"/>
        <v>0.52477884448659573</v>
      </c>
      <c r="AH13" s="3">
        <f t="shared" si="28"/>
        <v>2.2399470660624541</v>
      </c>
      <c r="AI13" s="3">
        <f t="shared" si="29"/>
        <v>0.13206731052670065</v>
      </c>
      <c r="AJ13" s="3">
        <f t="shared" si="30"/>
        <v>2.5804005844467772</v>
      </c>
      <c r="AK13" s="3">
        <f t="shared" si="31"/>
        <v>0.68657441339423342</v>
      </c>
      <c r="AL13" s="3">
        <f t="shared" si="32"/>
        <v>0.31527889782511082</v>
      </c>
      <c r="AM13" s="3">
        <f t="shared" si="33"/>
        <v>0</v>
      </c>
      <c r="AN13" s="3">
        <f t="shared" si="34"/>
        <v>0</v>
      </c>
      <c r="AO13" s="3">
        <f t="shared" si="35"/>
        <v>0</v>
      </c>
    </row>
    <row r="14" spans="1:41" x14ac:dyDescent="0.25">
      <c r="A14">
        <f>+'Esc 2'!A23</f>
        <v>1981</v>
      </c>
      <c r="B14" s="2">
        <f>+'Esc 2'!B23</f>
        <v>6</v>
      </c>
      <c r="C14">
        <f>+IF($AB$3="",'Esc 2'!O23,'Bal Híd'!R13)</f>
        <v>2.2870331470868153</v>
      </c>
      <c r="D14">
        <f ca="1">+'Bal Híd'!N13</f>
        <v>7.6368477630678893</v>
      </c>
      <c r="F14" s="314" t="s">
        <v>296</v>
      </c>
      <c r="G14" s="3">
        <f t="shared" si="1"/>
        <v>0.61304020420748184</v>
      </c>
      <c r="H14" s="3">
        <f t="shared" si="2"/>
        <v>2.6356080230327152</v>
      </c>
      <c r="I14" s="3">
        <f t="shared" si="3"/>
        <v>0.90236731693755545</v>
      </c>
      <c r="J14" s="3">
        <f t="shared" si="4"/>
        <v>0.59518605992495821</v>
      </c>
      <c r="K14" s="3">
        <f t="shared" si="5"/>
        <v>1.4007951225875015</v>
      </c>
      <c r="L14" s="3">
        <f t="shared" si="6"/>
        <v>0.68750832662350281</v>
      </c>
      <c r="M14" s="3">
        <f t="shared" si="7"/>
        <v>1.626200276731576</v>
      </c>
      <c r="N14" s="3">
        <f t="shared" si="8"/>
        <v>0.60164491853797419</v>
      </c>
      <c r="O14" s="3">
        <f t="shared" si="9"/>
        <v>1.5024548150498713</v>
      </c>
      <c r="P14" s="3">
        <f t="shared" si="10"/>
        <v>0.14954038095261399</v>
      </c>
      <c r="Q14" s="3">
        <f t="shared" si="11"/>
        <v>0.85434156071895118</v>
      </c>
      <c r="R14" s="3">
        <f t="shared" si="12"/>
        <v>0.60839622693770046</v>
      </c>
      <c r="S14" s="3">
        <f t="shared" si="13"/>
        <v>0.21850563953958732</v>
      </c>
      <c r="T14" s="3">
        <f t="shared" si="14"/>
        <v>0.76644238197810455</v>
      </c>
      <c r="U14" s="3">
        <f t="shared" si="15"/>
        <v>0.48965447857490396</v>
      </c>
      <c r="V14" s="3">
        <f t="shared" si="16"/>
        <v>0.1984378821467927</v>
      </c>
      <c r="W14" s="3">
        <f t="shared" si="17"/>
        <v>0.84492966231634103</v>
      </c>
      <c r="X14" s="3">
        <f t="shared" si="18"/>
        <v>0.99571820744324291</v>
      </c>
      <c r="Y14" s="3">
        <f t="shared" si="19"/>
        <v>0.46056974024328939</v>
      </c>
      <c r="Z14" s="3">
        <f t="shared" si="20"/>
        <v>1.4603550544234074</v>
      </c>
      <c r="AA14" s="3">
        <f t="shared" si="21"/>
        <v>2.7279597133596929</v>
      </c>
      <c r="AB14" s="3">
        <f t="shared" si="22"/>
        <v>1.5680062211930974</v>
      </c>
      <c r="AC14" s="3">
        <f t="shared" si="23"/>
        <v>1.8848015806315648</v>
      </c>
      <c r="AD14" s="3">
        <f t="shared" si="24"/>
        <v>0.13151231060719321</v>
      </c>
      <c r="AE14" s="3">
        <f t="shared" si="25"/>
        <v>1.0204335546783734</v>
      </c>
      <c r="AF14" s="3">
        <f t="shared" si="26"/>
        <v>0.33147355403424439</v>
      </c>
      <c r="AG14" s="3">
        <f t="shared" si="27"/>
        <v>1.3117120342468203</v>
      </c>
      <c r="AH14" s="3">
        <f t="shared" si="28"/>
        <v>1.4351137448071876</v>
      </c>
      <c r="AI14" s="3">
        <f t="shared" si="29"/>
        <v>8.4454796819812369E-2</v>
      </c>
      <c r="AJ14" s="3">
        <f t="shared" si="30"/>
        <v>0.73096378480596391</v>
      </c>
      <c r="AK14" s="3">
        <f t="shared" si="31"/>
        <v>0.37203752568884041</v>
      </c>
      <c r="AL14" s="3">
        <f t="shared" si="32"/>
        <v>1.3079747847515204</v>
      </c>
      <c r="AM14" s="3">
        <f t="shared" si="33"/>
        <v>0</v>
      </c>
      <c r="AN14" s="3">
        <f t="shared" si="34"/>
        <v>0</v>
      </c>
      <c r="AO14" s="3">
        <f t="shared" si="35"/>
        <v>0</v>
      </c>
    </row>
    <row r="15" spans="1:41" x14ac:dyDescent="0.25">
      <c r="A15">
        <f>+'Esc 2'!A24</f>
        <v>1981</v>
      </c>
      <c r="B15" s="2">
        <f>+'Esc 2'!B24</f>
        <v>7</v>
      </c>
      <c r="C15">
        <f>+IF($AB$3="",'Esc 2'!O24,'Bal Híd'!R14)</f>
        <v>1.2247821853808032</v>
      </c>
      <c r="D15">
        <f ca="1">+'Bal Híd'!N14</f>
        <v>7.6368477630678893</v>
      </c>
      <c r="F15" s="314" t="s">
        <v>297</v>
      </c>
      <c r="G15" s="3">
        <f t="shared" si="1"/>
        <v>0.97204477325863348</v>
      </c>
      <c r="H15" s="3">
        <f t="shared" si="2"/>
        <v>3.7204742959877279</v>
      </c>
      <c r="I15" s="3">
        <f t="shared" si="3"/>
        <v>0.41927041498801532</v>
      </c>
      <c r="J15" s="3">
        <f t="shared" si="4"/>
        <v>2.8662339145583076</v>
      </c>
      <c r="K15" s="3">
        <f t="shared" si="5"/>
        <v>1.3351291835576042</v>
      </c>
      <c r="L15" s="3">
        <f t="shared" si="6"/>
        <v>1.3150027866349794</v>
      </c>
      <c r="M15" s="3">
        <f t="shared" si="7"/>
        <v>2.9664817526222409</v>
      </c>
      <c r="N15" s="3">
        <f t="shared" si="8"/>
        <v>2.1288756423945916</v>
      </c>
      <c r="O15" s="3">
        <f t="shared" si="9"/>
        <v>0.51029773958707625</v>
      </c>
      <c r="P15" s="3">
        <f t="shared" si="10"/>
        <v>0.72726937618778598</v>
      </c>
      <c r="Q15" s="3">
        <f t="shared" si="11"/>
        <v>0.31559661562587105</v>
      </c>
      <c r="R15" s="3">
        <f t="shared" si="12"/>
        <v>0.94481338279087956</v>
      </c>
      <c r="S15" s="3">
        <f t="shared" si="13"/>
        <v>0.20359504800048703</v>
      </c>
      <c r="T15" s="3">
        <f t="shared" si="14"/>
        <v>0.73081880291737267</v>
      </c>
      <c r="U15" s="3">
        <f t="shared" si="15"/>
        <v>0.89281672080141983</v>
      </c>
      <c r="V15" s="3">
        <f t="shared" si="16"/>
        <v>0.67536493750691695</v>
      </c>
      <c r="W15" s="3">
        <f t="shared" si="17"/>
        <v>0.39525669827797</v>
      </c>
      <c r="X15" s="3">
        <f t="shared" si="18"/>
        <v>2.7384022710393836</v>
      </c>
      <c r="Y15" s="3">
        <f t="shared" si="19"/>
        <v>0.22787781037732352</v>
      </c>
      <c r="Z15" s="3">
        <f t="shared" si="20"/>
        <v>2.6733544071468862</v>
      </c>
      <c r="AA15" s="3">
        <f t="shared" si="21"/>
        <v>3.9710575915946498</v>
      </c>
      <c r="AB15" s="3">
        <f t="shared" si="22"/>
        <v>4.6909854094333454</v>
      </c>
      <c r="AC15" s="3">
        <f t="shared" si="23"/>
        <v>1.0497665829548883</v>
      </c>
      <c r="AD15" s="3">
        <f t="shared" si="24"/>
        <v>1.0563098211392361</v>
      </c>
      <c r="AE15" s="3">
        <f t="shared" si="25"/>
        <v>1.411841737303356</v>
      </c>
      <c r="AF15" s="3">
        <f t="shared" si="26"/>
        <v>0.34027186275459198</v>
      </c>
      <c r="AG15" s="3">
        <f t="shared" si="27"/>
        <v>1.5556878831701981</v>
      </c>
      <c r="AH15" s="3">
        <f t="shared" si="28"/>
        <v>0.84634856841611517</v>
      </c>
      <c r="AI15" s="3">
        <f t="shared" si="29"/>
        <v>2.5805411963110343</v>
      </c>
      <c r="AJ15" s="3">
        <f t="shared" si="30"/>
        <v>1.6833945615019299</v>
      </c>
      <c r="AK15" s="3">
        <f t="shared" si="31"/>
        <v>0.83617929611427866</v>
      </c>
      <c r="AL15" s="3">
        <f t="shared" si="32"/>
        <v>1.254202635131918</v>
      </c>
      <c r="AM15" s="3">
        <f t="shared" si="33"/>
        <v>0</v>
      </c>
      <c r="AN15" s="3">
        <f t="shared" si="34"/>
        <v>0</v>
      </c>
      <c r="AO15" s="3">
        <f t="shared" si="35"/>
        <v>0</v>
      </c>
    </row>
    <row r="16" spans="1:41" x14ac:dyDescent="0.25">
      <c r="A16">
        <f>+'Esc 2'!A25</f>
        <v>1981</v>
      </c>
      <c r="B16" s="2">
        <f>+'Esc 2'!B25</f>
        <v>8</v>
      </c>
      <c r="C16">
        <f>+IF($AB$3="",'Esc 2'!O25,'Bal Híd'!R15)</f>
        <v>0.61304020420748184</v>
      </c>
      <c r="D16">
        <f ca="1">+'Bal Híd'!N15</f>
        <v>7.6368477630678893</v>
      </c>
      <c r="F16" s="314" t="s">
        <v>298</v>
      </c>
      <c r="G16" s="3">
        <f t="shared" si="1"/>
        <v>0.5576900814448178</v>
      </c>
      <c r="H16" s="3">
        <f t="shared" si="2"/>
        <v>1.8504732619204203</v>
      </c>
      <c r="I16" s="3">
        <f t="shared" si="3"/>
        <v>0.69661277982757164</v>
      </c>
      <c r="J16" s="3">
        <f t="shared" si="4"/>
        <v>1.8619081223909717</v>
      </c>
      <c r="K16" s="3">
        <f t="shared" si="5"/>
        <v>1.2669774209845777</v>
      </c>
      <c r="L16" s="3">
        <f t="shared" si="6"/>
        <v>1.8402389541538222</v>
      </c>
      <c r="M16" s="3">
        <f t="shared" si="7"/>
        <v>0.96385127403454618</v>
      </c>
      <c r="N16" s="3">
        <f t="shared" si="8"/>
        <v>0.90151391774496881</v>
      </c>
      <c r="O16" s="3">
        <f t="shared" si="9"/>
        <v>0.77296632702223811</v>
      </c>
      <c r="P16" s="3">
        <f t="shared" si="10"/>
        <v>1.502943783055201</v>
      </c>
      <c r="Q16" s="3">
        <f t="shared" si="11"/>
        <v>2.0995902407617644</v>
      </c>
      <c r="R16" s="3">
        <f t="shared" si="12"/>
        <v>0.92435160460304922</v>
      </c>
      <c r="S16" s="3">
        <f t="shared" si="13"/>
        <v>4.0399405482483672</v>
      </c>
      <c r="T16" s="3">
        <f t="shared" si="14"/>
        <v>2.2283668943362724</v>
      </c>
      <c r="U16" s="3">
        <f t="shared" si="15"/>
        <v>2.272372124129153</v>
      </c>
      <c r="V16" s="3">
        <f t="shared" si="16"/>
        <v>1.2664734520006768</v>
      </c>
      <c r="W16" s="3">
        <f t="shared" si="17"/>
        <v>2.7392752632538877</v>
      </c>
      <c r="X16" s="3">
        <f t="shared" si="18"/>
        <v>0.81418534234094764</v>
      </c>
      <c r="Y16" s="3">
        <f t="shared" si="19"/>
        <v>0.61115697884345166</v>
      </c>
      <c r="Z16" s="3">
        <f t="shared" si="20"/>
        <v>2.3695310803039562</v>
      </c>
      <c r="AA16" s="3">
        <f t="shared" si="21"/>
        <v>2.0240927628522014</v>
      </c>
      <c r="AB16" s="3">
        <f t="shared" si="22"/>
        <v>3.5897027212132468</v>
      </c>
      <c r="AC16" s="3">
        <f t="shared" si="23"/>
        <v>1.6602444759439636</v>
      </c>
      <c r="AD16" s="3">
        <f t="shared" si="24"/>
        <v>2.5393492522562786</v>
      </c>
      <c r="AE16" s="3">
        <f t="shared" si="25"/>
        <v>1.2630754926784467</v>
      </c>
      <c r="AF16" s="3">
        <f t="shared" si="26"/>
        <v>1.0586241636233671</v>
      </c>
      <c r="AG16" s="3">
        <f t="shared" si="27"/>
        <v>3.4835128703473868</v>
      </c>
      <c r="AH16" s="3">
        <f t="shared" si="28"/>
        <v>2.6498952698780021</v>
      </c>
      <c r="AI16" s="3">
        <f t="shared" si="29"/>
        <v>1.2287162213699232</v>
      </c>
      <c r="AJ16" s="3">
        <f t="shared" si="30"/>
        <v>0.55195651306105964</v>
      </c>
      <c r="AK16" s="3">
        <f t="shared" si="31"/>
        <v>1.3201349788235048</v>
      </c>
      <c r="AL16" s="3">
        <f t="shared" si="32"/>
        <v>6.0956730241857606</v>
      </c>
      <c r="AM16" s="3">
        <f t="shared" si="33"/>
        <v>0</v>
      </c>
      <c r="AN16" s="3">
        <f t="shared" si="34"/>
        <v>0</v>
      </c>
      <c r="AO16" s="3">
        <f t="shared" si="35"/>
        <v>0</v>
      </c>
    </row>
    <row r="17" spans="1:41" x14ac:dyDescent="0.25">
      <c r="A17">
        <f>+'Esc 2'!A26</f>
        <v>1981</v>
      </c>
      <c r="B17" s="2">
        <f>+'Esc 2'!B26</f>
        <v>9</v>
      </c>
      <c r="C17">
        <f>+IF($AB$3="",'Esc 2'!O26,'Bal Híd'!R16)</f>
        <v>0.97204477325863348</v>
      </c>
      <c r="D17">
        <f ca="1">+'Bal Híd'!N16</f>
        <v>7.6368477630678893</v>
      </c>
      <c r="F17" s="314" t="s">
        <v>299</v>
      </c>
      <c r="G17" s="3">
        <f t="shared" si="1"/>
        <v>1.0336739415844816</v>
      </c>
      <c r="H17" s="3">
        <f t="shared" si="2"/>
        <v>4.6537826754236651</v>
      </c>
      <c r="I17" s="3">
        <f t="shared" si="3"/>
        <v>1.5353281145551652</v>
      </c>
      <c r="J17" s="3">
        <f t="shared" si="4"/>
        <v>1.659807013965793</v>
      </c>
      <c r="K17" s="3">
        <f t="shared" si="5"/>
        <v>0.34773476772142126</v>
      </c>
      <c r="L17" s="3">
        <f t="shared" si="6"/>
        <v>4.6768426349767269</v>
      </c>
      <c r="M17" s="3">
        <f t="shared" si="7"/>
        <v>0.77396578129949178</v>
      </c>
      <c r="N17" s="3">
        <f t="shared" si="8"/>
        <v>0.82924490992781763</v>
      </c>
      <c r="O17" s="3">
        <f t="shared" si="9"/>
        <v>1.0190348154765727</v>
      </c>
      <c r="P17" s="3">
        <f t="shared" si="10"/>
        <v>2.1142006927963881</v>
      </c>
      <c r="Q17" s="3">
        <f t="shared" si="11"/>
        <v>0.85112764119659046</v>
      </c>
      <c r="R17" s="3">
        <f t="shared" si="12"/>
        <v>0.49495101196294117</v>
      </c>
      <c r="S17" s="3">
        <f t="shared" si="13"/>
        <v>3.5196205700245167</v>
      </c>
      <c r="T17" s="3">
        <f t="shared" si="14"/>
        <v>0.77002237604564638</v>
      </c>
      <c r="U17" s="3">
        <f t="shared" si="15"/>
        <v>0.8178666112538413</v>
      </c>
      <c r="V17" s="3">
        <f t="shared" si="16"/>
        <v>1.1212041818026688</v>
      </c>
      <c r="W17" s="3">
        <f t="shared" si="17"/>
        <v>2.588228913195707</v>
      </c>
      <c r="X17" s="3">
        <f t="shared" si="18"/>
        <v>0.92347090854610969</v>
      </c>
      <c r="Y17" s="3">
        <f t="shared" si="19"/>
        <v>0.20629452361074468</v>
      </c>
      <c r="Z17" s="3">
        <f t="shared" si="20"/>
        <v>1.7948076770134282</v>
      </c>
      <c r="AA17" s="3">
        <f t="shared" si="21"/>
        <v>2.0906795842913977</v>
      </c>
      <c r="AB17" s="3">
        <f t="shared" si="22"/>
        <v>7.5571920762610061</v>
      </c>
      <c r="AC17" s="3">
        <f t="shared" si="23"/>
        <v>1.8796665758614439</v>
      </c>
      <c r="AD17" s="3">
        <f t="shared" si="24"/>
        <v>2.632156243209034</v>
      </c>
      <c r="AE17" s="3">
        <f t="shared" si="25"/>
        <v>1.1014993875748462</v>
      </c>
      <c r="AF17" s="3">
        <f t="shared" si="26"/>
        <v>3.3528384742299466</v>
      </c>
      <c r="AG17" s="3">
        <f t="shared" si="27"/>
        <v>0.89744338873678209</v>
      </c>
      <c r="AH17" s="3">
        <f t="shared" si="28"/>
        <v>0.72084582568108946</v>
      </c>
      <c r="AI17" s="3">
        <f t="shared" si="29"/>
        <v>11.094163374253856</v>
      </c>
      <c r="AJ17" s="3">
        <f t="shared" si="30"/>
        <v>0.13439598683121523</v>
      </c>
      <c r="AK17" s="3">
        <f t="shared" si="31"/>
        <v>1.036135347863435</v>
      </c>
      <c r="AL17" s="3">
        <f t="shared" si="32"/>
        <v>1.2422735450723712</v>
      </c>
      <c r="AM17" s="3">
        <f t="shared" si="33"/>
        <v>0</v>
      </c>
      <c r="AN17" s="3">
        <f t="shared" si="34"/>
        <v>0</v>
      </c>
      <c r="AO17" s="3">
        <f t="shared" si="35"/>
        <v>0</v>
      </c>
    </row>
    <row r="18" spans="1:41" x14ac:dyDescent="0.25">
      <c r="A18">
        <f>+'Esc 2'!A27</f>
        <v>1981</v>
      </c>
      <c r="B18" s="2">
        <f>+'Esc 2'!B27</f>
        <v>10</v>
      </c>
      <c r="C18">
        <f>+IF($AB$3="",'Esc 2'!O27,'Bal Híd'!R17)</f>
        <v>0.5576900814448178</v>
      </c>
      <c r="D18">
        <f ca="1">+'Bal Híd'!N17</f>
        <v>7.3084079721174247</v>
      </c>
      <c r="F18" s="314" t="s">
        <v>301</v>
      </c>
      <c r="G18" s="3">
        <f t="shared" si="1"/>
        <v>1.3111676374592658</v>
      </c>
      <c r="H18" s="3">
        <f t="shared" si="2"/>
        <v>1.0929693897472346</v>
      </c>
      <c r="I18" s="3">
        <f t="shared" si="3"/>
        <v>0.46523814881150954</v>
      </c>
      <c r="J18" s="3">
        <f t="shared" si="4"/>
        <v>0.48689531028964028</v>
      </c>
      <c r="K18" s="3">
        <f t="shared" si="5"/>
        <v>7.5138381570113835E-2</v>
      </c>
      <c r="L18" s="3">
        <f t="shared" si="6"/>
        <v>1.0932403688626386</v>
      </c>
      <c r="M18" s="3">
        <f t="shared" si="7"/>
        <v>0.57210372625474881</v>
      </c>
      <c r="N18" s="3">
        <f t="shared" si="8"/>
        <v>0.62513822946527597</v>
      </c>
      <c r="O18" s="3">
        <f t="shared" si="9"/>
        <v>2.169429384334451</v>
      </c>
      <c r="P18" s="3">
        <f t="shared" si="10"/>
        <v>4.3775984045470135</v>
      </c>
      <c r="Q18" s="3">
        <f t="shared" si="11"/>
        <v>3.6672163746130648</v>
      </c>
      <c r="R18" s="3">
        <f t="shared" si="12"/>
        <v>0.87608838647687404</v>
      </c>
      <c r="S18" s="3">
        <f t="shared" si="13"/>
        <v>1.7754616934199599</v>
      </c>
      <c r="T18" s="3">
        <f t="shared" si="14"/>
        <v>1.2067068538325647</v>
      </c>
      <c r="U18" s="3">
        <f t="shared" si="15"/>
        <v>0.14152461496823857</v>
      </c>
      <c r="V18" s="3">
        <f t="shared" si="16"/>
        <v>0.80347538058367485</v>
      </c>
      <c r="W18" s="3">
        <f t="shared" si="17"/>
        <v>7.0610983456772765</v>
      </c>
      <c r="X18" s="3">
        <f t="shared" si="18"/>
        <v>0.78043345449184931</v>
      </c>
      <c r="Y18" s="3">
        <f t="shared" si="19"/>
        <v>0.1007997047968858</v>
      </c>
      <c r="Z18" s="3">
        <f t="shared" si="20"/>
        <v>0.95755534284969701</v>
      </c>
      <c r="AA18" s="3">
        <f t="shared" si="21"/>
        <v>0.85148496556440167</v>
      </c>
      <c r="AB18" s="3">
        <f t="shared" si="22"/>
        <v>4.7914892713351875</v>
      </c>
      <c r="AC18" s="3">
        <f t="shared" si="23"/>
        <v>2.0108562422320593</v>
      </c>
      <c r="AD18" s="3">
        <f t="shared" si="24"/>
        <v>1.0774930703727055</v>
      </c>
      <c r="AE18" s="3">
        <f t="shared" si="25"/>
        <v>1.4125770619008062</v>
      </c>
      <c r="AF18" s="3">
        <f t="shared" si="26"/>
        <v>2.3338028063745155</v>
      </c>
      <c r="AG18" s="3">
        <f t="shared" si="27"/>
        <v>0.38543698511258301</v>
      </c>
      <c r="AH18" s="3">
        <f t="shared" si="28"/>
        <v>0.32783713033537853</v>
      </c>
      <c r="AI18" s="3">
        <f t="shared" si="29"/>
        <v>4.7547699096318947</v>
      </c>
      <c r="AJ18" s="3">
        <f t="shared" si="30"/>
        <v>0.39671249245561202</v>
      </c>
      <c r="AK18" s="3">
        <f t="shared" si="31"/>
        <v>1.1965369595009541</v>
      </c>
      <c r="AL18" s="3">
        <f t="shared" si="32"/>
        <v>3.7682939510531757</v>
      </c>
      <c r="AM18" s="3">
        <f t="shared" si="33"/>
        <v>0</v>
      </c>
      <c r="AN18" s="3">
        <f t="shared" si="34"/>
        <v>0</v>
      </c>
      <c r="AO18" s="3">
        <f t="shared" si="35"/>
        <v>0</v>
      </c>
    </row>
    <row r="19" spans="1:41" x14ac:dyDescent="0.25">
      <c r="A19">
        <f>+'Esc 2'!A28</f>
        <v>1981</v>
      </c>
      <c r="B19" s="2">
        <f>+'Esc 2'!B28</f>
        <v>11</v>
      </c>
      <c r="C19">
        <f>+IF($AB$3="",'Esc 2'!O28,'Bal Híd'!R18)</f>
        <v>1.0336739415844816</v>
      </c>
      <c r="D19">
        <f ca="1">+'Bal Híd'!N18</f>
        <v>5.8423989681416293</v>
      </c>
      <c r="F19" s="314" t="s">
        <v>289</v>
      </c>
      <c r="G19" s="3">
        <f t="shared" si="1"/>
        <v>0.65272604576960713</v>
      </c>
      <c r="H19" s="3">
        <f t="shared" si="2"/>
        <v>1.4301066889817158</v>
      </c>
      <c r="I19" s="3">
        <f t="shared" si="3"/>
        <v>4.4488209077702319</v>
      </c>
      <c r="J19" s="3">
        <f t="shared" si="4"/>
        <v>0.31215159541990339</v>
      </c>
      <c r="K19" s="3">
        <f t="shared" si="5"/>
        <v>2.1435958332752723</v>
      </c>
      <c r="L19" s="3">
        <f t="shared" si="6"/>
        <v>1.2563953167350537</v>
      </c>
      <c r="M19" s="3">
        <f t="shared" si="7"/>
        <v>5.3243723446951083</v>
      </c>
      <c r="N19" s="3">
        <f t="shared" si="8"/>
        <v>0.33036872686975627</v>
      </c>
      <c r="O19" s="3">
        <f t="shared" si="9"/>
        <v>1.9117418686128513</v>
      </c>
      <c r="P19" s="3">
        <f t="shared" si="10"/>
        <v>1.064710329664095</v>
      </c>
      <c r="Q19" s="3">
        <f t="shared" si="11"/>
        <v>1.123995307352069</v>
      </c>
      <c r="R19" s="3">
        <f t="shared" si="12"/>
        <v>3.0157966842199424</v>
      </c>
      <c r="S19" s="3">
        <f t="shared" si="13"/>
        <v>0.41876719818921965</v>
      </c>
      <c r="T19" s="3">
        <f t="shared" si="14"/>
        <v>0.52572956517308989</v>
      </c>
      <c r="U19" s="3">
        <f t="shared" si="15"/>
        <v>4.721192703338625</v>
      </c>
      <c r="V19" s="3">
        <f t="shared" si="16"/>
        <v>0.5637495369989024</v>
      </c>
      <c r="W19" s="3">
        <f t="shared" si="17"/>
        <v>7.8953274343088387</v>
      </c>
      <c r="X19" s="3">
        <f t="shared" si="18"/>
        <v>0.21872461701640933</v>
      </c>
      <c r="Y19" s="3">
        <f t="shared" si="19"/>
        <v>0.92575102317146174</v>
      </c>
      <c r="Z19" s="3">
        <f t="shared" si="20"/>
        <v>1.2819754554387026</v>
      </c>
      <c r="AA19" s="3">
        <f t="shared" si="21"/>
        <v>0.88443721663617714</v>
      </c>
      <c r="AB19" s="3">
        <f t="shared" si="22"/>
        <v>1.7467861542629939</v>
      </c>
      <c r="AC19" s="3">
        <f t="shared" si="23"/>
        <v>0.65972203852961264</v>
      </c>
      <c r="AD19" s="3">
        <f t="shared" si="24"/>
        <v>0.5981599177187934</v>
      </c>
      <c r="AE19" s="3">
        <f t="shared" si="25"/>
        <v>0.57293643675309658</v>
      </c>
      <c r="AF19" s="3">
        <f t="shared" si="26"/>
        <v>0.70150070953023813</v>
      </c>
      <c r="AG19" s="3">
        <f t="shared" si="27"/>
        <v>0.33759697609359379</v>
      </c>
      <c r="AH19" s="3">
        <f t="shared" si="28"/>
        <v>0.2776216617604737</v>
      </c>
      <c r="AI19" s="3">
        <f t="shared" si="29"/>
        <v>5.6569382009131388</v>
      </c>
      <c r="AJ19" s="3">
        <f t="shared" si="30"/>
        <v>0.48701005294308175</v>
      </c>
      <c r="AK19" s="3">
        <f t="shared" si="31"/>
        <v>0.44213596727781768</v>
      </c>
      <c r="AL19" s="3">
        <f t="shared" si="32"/>
        <v>0</v>
      </c>
      <c r="AM19" s="3">
        <f t="shared" si="33"/>
        <v>0</v>
      </c>
      <c r="AN19" s="3">
        <f t="shared" si="34"/>
        <v>0</v>
      </c>
      <c r="AO19" s="3"/>
    </row>
    <row r="20" spans="1:41" x14ac:dyDescent="0.25">
      <c r="A20">
        <f>+'Esc 2'!A29</f>
        <v>1981</v>
      </c>
      <c r="B20" s="2">
        <f>+'Esc 2'!B29</f>
        <v>12</v>
      </c>
      <c r="C20">
        <f>+IF($AB$3="",'Esc 2'!O29,'Bal Híd'!R19)</f>
        <v>1.3111676374592658</v>
      </c>
      <c r="D20">
        <f ca="1">+'Bal Híd'!N19</f>
        <v>2.6944129989189269</v>
      </c>
      <c r="F20" s="314" t="s">
        <v>290</v>
      </c>
      <c r="G20" s="3">
        <f t="shared" si="1"/>
        <v>5.3329586211753686</v>
      </c>
      <c r="H20" s="3">
        <f t="shared" si="2"/>
        <v>7.0593676713086255</v>
      </c>
      <c r="I20" s="3">
        <f t="shared" si="3"/>
        <v>5.6164811013013276</v>
      </c>
      <c r="J20" s="3">
        <f t="shared" si="4"/>
        <v>0.78676040790645008</v>
      </c>
      <c r="K20" s="3">
        <f t="shared" si="5"/>
        <v>1.016533595050382</v>
      </c>
      <c r="L20" s="3">
        <f t="shared" si="6"/>
        <v>0.71544185007040983</v>
      </c>
      <c r="M20" s="3">
        <f t="shared" si="7"/>
        <v>1.5362369544855854</v>
      </c>
      <c r="N20" s="3">
        <f t="shared" si="8"/>
        <v>8.4743039245574456E-2</v>
      </c>
      <c r="O20" s="3">
        <f t="shared" si="9"/>
        <v>3.2987880374625029</v>
      </c>
      <c r="P20" s="3">
        <f t="shared" si="10"/>
        <v>0.35954223353442671</v>
      </c>
      <c r="Q20" s="3">
        <f t="shared" si="11"/>
        <v>2.9485198087141691</v>
      </c>
      <c r="R20" s="3">
        <f t="shared" si="12"/>
        <v>1.1391347941772403</v>
      </c>
      <c r="S20" s="3">
        <f t="shared" si="13"/>
        <v>2.2368779178405997</v>
      </c>
      <c r="T20" s="3">
        <f t="shared" si="14"/>
        <v>2.0082099557297304</v>
      </c>
      <c r="U20" s="3">
        <f t="shared" si="15"/>
        <v>1.5984929857180759</v>
      </c>
      <c r="V20" s="3">
        <f t="shared" si="16"/>
        <v>3.0546624997943197</v>
      </c>
      <c r="W20" s="3">
        <f t="shared" si="17"/>
        <v>3.5880927394766715</v>
      </c>
      <c r="X20" s="3">
        <f t="shared" si="18"/>
        <v>1.6106490957828623</v>
      </c>
      <c r="Y20" s="3">
        <f t="shared" si="19"/>
        <v>0.95798863748833207</v>
      </c>
      <c r="Z20" s="3">
        <f t="shared" si="20"/>
        <v>0.90588117406010116</v>
      </c>
      <c r="AA20" s="3">
        <f t="shared" si="21"/>
        <v>1.1068274845559511</v>
      </c>
      <c r="AB20" s="3">
        <f t="shared" si="22"/>
        <v>2.7716894386007231</v>
      </c>
      <c r="AC20" s="3">
        <f t="shared" si="23"/>
        <v>0.36265994539276752</v>
      </c>
      <c r="AD20" s="3">
        <f t="shared" si="24"/>
        <v>0.20669116545306121</v>
      </c>
      <c r="AE20" s="3">
        <f t="shared" si="25"/>
        <v>0.10776980916110269</v>
      </c>
      <c r="AF20" s="3">
        <f t="shared" si="26"/>
        <v>2.4448663837919011</v>
      </c>
      <c r="AG20" s="3">
        <f t="shared" si="27"/>
        <v>0.55685887798099354</v>
      </c>
      <c r="AH20" s="3">
        <f t="shared" si="28"/>
        <v>3.3026918419001565</v>
      </c>
      <c r="AI20" s="3">
        <f t="shared" si="29"/>
        <v>2.6967714196430803</v>
      </c>
      <c r="AJ20" s="3">
        <f t="shared" si="30"/>
        <v>1.0938049301948733</v>
      </c>
      <c r="AK20" s="3">
        <f t="shared" si="31"/>
        <v>1.0358366832257739</v>
      </c>
      <c r="AL20" s="3">
        <f t="shared" si="32"/>
        <v>0</v>
      </c>
      <c r="AM20" s="3">
        <f t="shared" si="33"/>
        <v>0</v>
      </c>
      <c r="AN20" s="3">
        <f t="shared" si="34"/>
        <v>0</v>
      </c>
      <c r="AO20" s="3"/>
    </row>
    <row r="21" spans="1:41" x14ac:dyDescent="0.25">
      <c r="A21">
        <f>+'Esc 2'!A30</f>
        <v>1982</v>
      </c>
      <c r="B21" s="2">
        <f>+'Esc 2'!B30</f>
        <v>1</v>
      </c>
      <c r="C21">
        <f>+IF($AB$3="",'Esc 2'!O30,'Bal Híd'!R20)</f>
        <v>0.65272604576960713</v>
      </c>
      <c r="D21">
        <f ca="1">+'Bal Híd'!N20</f>
        <v>0.14364725252241328</v>
      </c>
      <c r="F21" s="314" t="s">
        <v>291</v>
      </c>
      <c r="G21" s="3">
        <f t="shared" si="1"/>
        <v>1.1841798878829288</v>
      </c>
      <c r="H21" s="3">
        <f t="shared" si="2"/>
        <v>1.932234558992534</v>
      </c>
      <c r="I21" s="3">
        <f t="shared" si="3"/>
        <v>3.3736832357075297</v>
      </c>
      <c r="J21" s="3">
        <f t="shared" si="4"/>
        <v>3.6986915685198305</v>
      </c>
      <c r="K21" s="3">
        <f t="shared" si="5"/>
        <v>4.8191979634840951</v>
      </c>
      <c r="L21" s="3">
        <f t="shared" si="6"/>
        <v>5.6076797468613622</v>
      </c>
      <c r="M21" s="3">
        <f t="shared" si="7"/>
        <v>0.47828727925989312</v>
      </c>
      <c r="N21" s="3">
        <f t="shared" si="8"/>
        <v>1.2452626862407248</v>
      </c>
      <c r="O21" s="3">
        <f t="shared" si="9"/>
        <v>3.2755427124288121</v>
      </c>
      <c r="P21" s="3">
        <f t="shared" si="10"/>
        <v>0.59268656891053217</v>
      </c>
      <c r="Q21" s="3">
        <f t="shared" si="11"/>
        <v>2.450702405132164</v>
      </c>
      <c r="R21" s="3">
        <f t="shared" si="12"/>
        <v>0.54525131074230671</v>
      </c>
      <c r="S21" s="3">
        <f t="shared" si="13"/>
        <v>1.3738967012974468</v>
      </c>
      <c r="T21" s="3">
        <f t="shared" si="14"/>
        <v>1.7798740888773319</v>
      </c>
      <c r="U21" s="3">
        <f t="shared" si="15"/>
        <v>1.0094538423990449</v>
      </c>
      <c r="V21" s="3">
        <f t="shared" si="16"/>
        <v>0.93413372951097884</v>
      </c>
      <c r="W21" s="3">
        <f t="shared" si="17"/>
        <v>4.9682294139700245</v>
      </c>
      <c r="X21" s="3">
        <f t="shared" si="18"/>
        <v>0.74465444644105538</v>
      </c>
      <c r="Y21" s="3">
        <f t="shared" si="19"/>
        <v>2.0740148780578176</v>
      </c>
      <c r="Z21" s="3">
        <f t="shared" si="20"/>
        <v>0.95682222337675293</v>
      </c>
      <c r="AA21" s="3">
        <f t="shared" si="21"/>
        <v>5.8749144704805207</v>
      </c>
      <c r="AB21" s="3">
        <f t="shared" si="22"/>
        <v>2.9173207721659389</v>
      </c>
      <c r="AC21" s="3">
        <f t="shared" si="23"/>
        <v>0.33526557877816465</v>
      </c>
      <c r="AD21" s="3">
        <f t="shared" si="24"/>
        <v>0.54578093018758311</v>
      </c>
      <c r="AE21" s="3">
        <f t="shared" si="25"/>
        <v>0.37363712454445791</v>
      </c>
      <c r="AF21" s="3">
        <f t="shared" si="26"/>
        <v>4.4355083714632766</v>
      </c>
      <c r="AG21" s="3">
        <f t="shared" si="27"/>
        <v>0.61740377875672092</v>
      </c>
      <c r="AH21" s="3">
        <f t="shared" si="28"/>
        <v>0.98750866282925387</v>
      </c>
      <c r="AI21" s="3">
        <f t="shared" si="29"/>
        <v>0.77400116822994414</v>
      </c>
      <c r="AJ21" s="3">
        <f t="shared" si="30"/>
        <v>0.49417112334495794</v>
      </c>
      <c r="AK21" s="3">
        <f t="shared" si="31"/>
        <v>0.53646098715421542</v>
      </c>
      <c r="AL21" s="3">
        <f t="shared" si="32"/>
        <v>0</v>
      </c>
      <c r="AM21" s="3">
        <f t="shared" si="33"/>
        <v>0</v>
      </c>
      <c r="AN21" s="3">
        <f t="shared" si="34"/>
        <v>0</v>
      </c>
      <c r="AO21" s="3"/>
    </row>
    <row r="22" spans="1:41" x14ac:dyDescent="0.25">
      <c r="A22">
        <f>+'Esc 2'!A31</f>
        <v>1982</v>
      </c>
      <c r="B22" s="2">
        <f>+'Esc 2'!B31</f>
        <v>2</v>
      </c>
      <c r="C22">
        <f>+IF($AB$3="",'Esc 2'!O31,'Bal Híd'!R21)</f>
        <v>5.3329586211753686</v>
      </c>
      <c r="D22">
        <f ca="1">+'Bal Híd'!N21</f>
        <v>3.8213422708397502</v>
      </c>
      <c r="F22" s="313" t="s">
        <v>114</v>
      </c>
      <c r="G22">
        <f>+ROUND(12*AVERAGE(C9:C428),2)</f>
        <v>22.01</v>
      </c>
      <c r="H22">
        <f>+G22</f>
        <v>22.01</v>
      </c>
      <c r="I22">
        <f t="shared" ref="I22:AJ22" si="36">+H22</f>
        <v>22.01</v>
      </c>
      <c r="J22">
        <f t="shared" si="36"/>
        <v>22.01</v>
      </c>
      <c r="K22">
        <f t="shared" si="36"/>
        <v>22.01</v>
      </c>
      <c r="L22">
        <f t="shared" si="36"/>
        <v>22.01</v>
      </c>
      <c r="M22">
        <f t="shared" si="36"/>
        <v>22.01</v>
      </c>
      <c r="N22">
        <f t="shared" si="36"/>
        <v>22.01</v>
      </c>
      <c r="O22">
        <f t="shared" si="36"/>
        <v>22.01</v>
      </c>
      <c r="P22">
        <f t="shared" si="36"/>
        <v>22.01</v>
      </c>
      <c r="Q22">
        <f t="shared" si="36"/>
        <v>22.01</v>
      </c>
      <c r="R22">
        <f t="shared" si="36"/>
        <v>22.01</v>
      </c>
      <c r="S22">
        <f t="shared" si="36"/>
        <v>22.01</v>
      </c>
      <c r="T22">
        <f t="shared" si="36"/>
        <v>22.01</v>
      </c>
      <c r="U22">
        <f t="shared" si="36"/>
        <v>22.01</v>
      </c>
      <c r="V22">
        <f t="shared" si="36"/>
        <v>22.01</v>
      </c>
      <c r="W22">
        <f t="shared" si="36"/>
        <v>22.01</v>
      </c>
      <c r="X22">
        <f t="shared" si="36"/>
        <v>22.01</v>
      </c>
      <c r="Y22">
        <f t="shared" si="36"/>
        <v>22.01</v>
      </c>
      <c r="Z22">
        <f t="shared" si="36"/>
        <v>22.01</v>
      </c>
      <c r="AA22">
        <f t="shared" si="36"/>
        <v>22.01</v>
      </c>
      <c r="AB22">
        <f t="shared" si="36"/>
        <v>22.01</v>
      </c>
      <c r="AC22">
        <f t="shared" si="36"/>
        <v>22.01</v>
      </c>
      <c r="AD22">
        <f t="shared" si="36"/>
        <v>22.01</v>
      </c>
      <c r="AE22">
        <f t="shared" si="36"/>
        <v>22.01</v>
      </c>
      <c r="AF22">
        <f t="shared" si="36"/>
        <v>22.01</v>
      </c>
      <c r="AG22">
        <f t="shared" si="36"/>
        <v>22.01</v>
      </c>
      <c r="AH22">
        <f t="shared" si="36"/>
        <v>22.01</v>
      </c>
      <c r="AI22">
        <f t="shared" si="36"/>
        <v>22.01</v>
      </c>
      <c r="AJ22">
        <f t="shared" si="36"/>
        <v>22.01</v>
      </c>
      <c r="AK22">
        <f>+AJ22</f>
        <v>22.01</v>
      </c>
      <c r="AL22">
        <f>+AK22</f>
        <v>22.01</v>
      </c>
      <c r="AM22">
        <f>+AL22</f>
        <v>22.01</v>
      </c>
      <c r="AN22">
        <f>+AM22</f>
        <v>22.01</v>
      </c>
      <c r="AO22">
        <f>+AN22</f>
        <v>22.01</v>
      </c>
    </row>
    <row r="23" spans="1:41" x14ac:dyDescent="0.25">
      <c r="A23">
        <f>+'Esc 2'!A32</f>
        <v>1982</v>
      </c>
      <c r="B23" s="2">
        <f>+'Esc 2'!B32</f>
        <v>3</v>
      </c>
      <c r="C23">
        <f>+IF($AB$3="",'Esc 2'!O32,'Bal Híd'!R22)</f>
        <v>1.1841798878829288</v>
      </c>
      <c r="D23">
        <f ca="1">+'Bal Híd'!N22</f>
        <v>4.2201396207523549</v>
      </c>
      <c r="F23" s="313" t="s">
        <v>146</v>
      </c>
      <c r="G23">
        <f t="shared" ref="G23:AO23" ca="1" si="37">+ROUND(VolHv-VolHt,2)</f>
        <v>7.49</v>
      </c>
      <c r="H23">
        <f t="shared" ca="1" si="37"/>
        <v>7.49</v>
      </c>
      <c r="I23">
        <f t="shared" ca="1" si="37"/>
        <v>7.49</v>
      </c>
      <c r="J23">
        <f t="shared" ca="1" si="37"/>
        <v>7.49</v>
      </c>
      <c r="K23">
        <f t="shared" ca="1" si="37"/>
        <v>7.49</v>
      </c>
      <c r="L23">
        <f t="shared" ca="1" si="37"/>
        <v>7.49</v>
      </c>
      <c r="M23">
        <f t="shared" ca="1" si="37"/>
        <v>7.49</v>
      </c>
      <c r="N23">
        <f t="shared" ca="1" si="37"/>
        <v>7.49</v>
      </c>
      <c r="O23">
        <f t="shared" ca="1" si="37"/>
        <v>7.49</v>
      </c>
      <c r="P23">
        <f t="shared" ca="1" si="37"/>
        <v>7.49</v>
      </c>
      <c r="Q23">
        <f t="shared" ca="1" si="37"/>
        <v>7.49</v>
      </c>
      <c r="R23">
        <f t="shared" ca="1" si="37"/>
        <v>7.49</v>
      </c>
      <c r="S23">
        <f t="shared" ca="1" si="37"/>
        <v>7.49</v>
      </c>
      <c r="T23">
        <f t="shared" ca="1" si="37"/>
        <v>7.49</v>
      </c>
      <c r="U23">
        <f t="shared" ca="1" si="37"/>
        <v>7.49</v>
      </c>
      <c r="V23">
        <f t="shared" ca="1" si="37"/>
        <v>7.49</v>
      </c>
      <c r="W23">
        <f t="shared" ca="1" si="37"/>
        <v>7.49</v>
      </c>
      <c r="X23">
        <f t="shared" ca="1" si="37"/>
        <v>7.49</v>
      </c>
      <c r="Y23">
        <f t="shared" ca="1" si="37"/>
        <v>7.49</v>
      </c>
      <c r="Z23">
        <f t="shared" ca="1" si="37"/>
        <v>7.49</v>
      </c>
      <c r="AA23">
        <f t="shared" ca="1" si="37"/>
        <v>7.49</v>
      </c>
      <c r="AB23">
        <f t="shared" ca="1" si="37"/>
        <v>7.49</v>
      </c>
      <c r="AC23">
        <f t="shared" ca="1" si="37"/>
        <v>7.49</v>
      </c>
      <c r="AD23">
        <f t="shared" ca="1" si="37"/>
        <v>7.49</v>
      </c>
      <c r="AE23">
        <f t="shared" ca="1" si="37"/>
        <v>7.49</v>
      </c>
      <c r="AF23">
        <f t="shared" ca="1" si="37"/>
        <v>7.49</v>
      </c>
      <c r="AG23">
        <f t="shared" ca="1" si="37"/>
        <v>7.49</v>
      </c>
      <c r="AH23">
        <f t="shared" ca="1" si="37"/>
        <v>7.49</v>
      </c>
      <c r="AI23">
        <f t="shared" ca="1" si="37"/>
        <v>7.49</v>
      </c>
      <c r="AJ23">
        <f t="shared" ca="1" si="37"/>
        <v>7.49</v>
      </c>
      <c r="AK23">
        <f t="shared" ca="1" si="37"/>
        <v>7.49</v>
      </c>
      <c r="AL23">
        <f t="shared" ca="1" si="37"/>
        <v>7.49</v>
      </c>
      <c r="AM23">
        <f t="shared" ca="1" si="37"/>
        <v>7.49</v>
      </c>
      <c r="AN23">
        <f t="shared" ca="1" si="37"/>
        <v>7.49</v>
      </c>
      <c r="AO23">
        <f t="shared" ca="1" si="37"/>
        <v>7.49</v>
      </c>
    </row>
    <row r="24" spans="1:41" x14ac:dyDescent="0.25">
      <c r="A24">
        <f>+'Esc 2'!A33</f>
        <v>1982</v>
      </c>
      <c r="B24" s="2">
        <f>+'Esc 2'!B33</f>
        <v>4</v>
      </c>
      <c r="C24">
        <f>+IF($AB$3="",'Esc 2'!O33,'Bal Híd'!R23)</f>
        <v>0.17531614809473417</v>
      </c>
      <c r="D24">
        <f ca="1">+'Bal Híd'!N23</f>
        <v>4.2761306252260178</v>
      </c>
      <c r="F24" s="313" t="s">
        <v>148</v>
      </c>
      <c r="G24" s="3">
        <f>+SUM(G10:G15)</f>
        <v>9.8853791082520885</v>
      </c>
      <c r="H24" s="3">
        <f t="shared" ref="H24:AJ24" si="38">+SUM(H10:H15)</f>
        <v>13.109996912273012</v>
      </c>
      <c r="I24" s="3">
        <f t="shared" si="38"/>
        <v>12.046314111764815</v>
      </c>
      <c r="J24" s="3">
        <f t="shared" si="38"/>
        <v>13.248348866820534</v>
      </c>
      <c r="K24" s="3">
        <f t="shared" si="38"/>
        <v>11.084154157012421</v>
      </c>
      <c r="L24" s="3">
        <f t="shared" si="38"/>
        <v>16.695080621264811</v>
      </c>
      <c r="M24" s="3">
        <f t="shared" si="38"/>
        <v>12.959594294505411</v>
      </c>
      <c r="N24" s="3">
        <f t="shared" si="38"/>
        <v>4.1840413104561716</v>
      </c>
      <c r="O24" s="3">
        <f t="shared" si="38"/>
        <v>4.9214475856047875</v>
      </c>
      <c r="P24" s="3">
        <f t="shared" si="38"/>
        <v>8.4534307196727294</v>
      </c>
      <c r="Q24" s="3">
        <f t="shared" si="38"/>
        <v>19.920934932428146</v>
      </c>
      <c r="R24" s="3">
        <f t="shared" si="38"/>
        <v>23.664122934748914</v>
      </c>
      <c r="S24" s="3">
        <f t="shared" si="38"/>
        <v>12.087669414943733</v>
      </c>
      <c r="T24" s="3">
        <f t="shared" si="38"/>
        <v>6.4579799083612599</v>
      </c>
      <c r="U24" s="3">
        <f t="shared" si="38"/>
        <v>5.6167724086625395</v>
      </c>
      <c r="V24" s="3">
        <f t="shared" si="38"/>
        <v>7.3292781288056137</v>
      </c>
      <c r="W24" s="3">
        <f t="shared" si="38"/>
        <v>7.1471434763462369</v>
      </c>
      <c r="X24" s="3">
        <f t="shared" si="38"/>
        <v>19.550564024036579</v>
      </c>
      <c r="Y24" s="3">
        <f t="shared" si="38"/>
        <v>6.0706462943738879</v>
      </c>
      <c r="Z24" s="3">
        <f t="shared" si="38"/>
        <v>14.61938603635771</v>
      </c>
      <c r="AA24" s="3">
        <f t="shared" si="38"/>
        <v>22.274036861033977</v>
      </c>
      <c r="AB24" s="3">
        <f t="shared" si="38"/>
        <v>21.959406264408447</v>
      </c>
      <c r="AC24" s="3">
        <f t="shared" si="38"/>
        <v>11.823117775810376</v>
      </c>
      <c r="AD24" s="3">
        <f t="shared" si="38"/>
        <v>4.6642996910728298</v>
      </c>
      <c r="AE24" s="3">
        <f t="shared" si="38"/>
        <v>11.170781987210031</v>
      </c>
      <c r="AF24" s="3">
        <f t="shared" si="38"/>
        <v>6.8271489670305021</v>
      </c>
      <c r="AG24" s="3">
        <f t="shared" si="38"/>
        <v>6.8665814424225839</v>
      </c>
      <c r="AH24" s="3">
        <f t="shared" si="38"/>
        <v>8.4662166770150762</v>
      </c>
      <c r="AI24" s="3">
        <f t="shared" si="38"/>
        <v>5.5421187999799795</v>
      </c>
      <c r="AJ24" s="3">
        <f t="shared" si="38"/>
        <v>7.8828319473855446</v>
      </c>
      <c r="AK24" s="3">
        <f>+SUM(AK10:AK15)</f>
        <v>5.5206329236585159</v>
      </c>
      <c r="AL24" s="3">
        <f>+SUM(AL10:AL15)</f>
        <v>6.3543007791125614</v>
      </c>
      <c r="AM24" s="3">
        <f>+SUM(AM10:AM15)</f>
        <v>0</v>
      </c>
      <c r="AN24" s="3">
        <f>+SUM(AN10:AN15)</f>
        <v>0</v>
      </c>
      <c r="AO24" s="3">
        <f>+SUM(AO10:AO15)</f>
        <v>0</v>
      </c>
    </row>
    <row r="25" spans="1:41" x14ac:dyDescent="0.25">
      <c r="A25">
        <f>+'Esc 2'!A34</f>
        <v>1982</v>
      </c>
      <c r="B25" s="2">
        <f>+'Esc 2'!B34</f>
        <v>5</v>
      </c>
      <c r="C25">
        <f>+IF($AB$3="",'Esc 2'!O34,'Bal Híd'!R24)</f>
        <v>2.6169070571409283</v>
      </c>
      <c r="D25">
        <f ca="1">+'Bal Híd'!N24</f>
        <v>6.959637973532498</v>
      </c>
      <c r="F25" s="313" t="s">
        <v>149</v>
      </c>
      <c r="G25" s="3">
        <f>+SUM(G16:G21)</f>
        <v>10.072396215316468</v>
      </c>
      <c r="H25" s="3">
        <f t="shared" ref="H25:AJ25" si="39">+SUM(H16:H21)</f>
        <v>18.018934246374194</v>
      </c>
      <c r="I25" s="3">
        <f t="shared" si="39"/>
        <v>16.136164287973337</v>
      </c>
      <c r="J25" s="3">
        <f t="shared" si="39"/>
        <v>8.8062140184925894</v>
      </c>
      <c r="K25" s="3">
        <f t="shared" si="39"/>
        <v>9.6691779620858611</v>
      </c>
      <c r="L25" s="3">
        <f t="shared" si="39"/>
        <v>15.189838871660012</v>
      </c>
      <c r="M25" s="3">
        <f t="shared" si="39"/>
        <v>9.6488173600293745</v>
      </c>
      <c r="N25" s="3">
        <f t="shared" si="39"/>
        <v>4.0162715094941177</v>
      </c>
      <c r="O25" s="3">
        <f t="shared" si="39"/>
        <v>12.447503145337429</v>
      </c>
      <c r="P25" s="3">
        <f t="shared" si="39"/>
        <v>10.011682012507656</v>
      </c>
      <c r="Q25" s="3">
        <f t="shared" si="39"/>
        <v>13.141151777769823</v>
      </c>
      <c r="R25" s="3">
        <f t="shared" si="39"/>
        <v>6.9955737921823538</v>
      </c>
      <c r="S25" s="3">
        <f t="shared" si="39"/>
        <v>13.36456462902011</v>
      </c>
      <c r="T25" s="3">
        <f t="shared" si="39"/>
        <v>8.5189097339946347</v>
      </c>
      <c r="U25" s="3">
        <f t="shared" si="39"/>
        <v>10.56090288180698</v>
      </c>
      <c r="V25" s="3">
        <f t="shared" si="39"/>
        <v>7.7436987806912221</v>
      </c>
      <c r="W25" s="3">
        <f t="shared" si="39"/>
        <v>28.840252109882407</v>
      </c>
      <c r="X25" s="3">
        <f t="shared" si="39"/>
        <v>5.092117864619234</v>
      </c>
      <c r="Y25" s="3">
        <f t="shared" si="39"/>
        <v>4.8760057459686941</v>
      </c>
      <c r="Z25" s="3">
        <f t="shared" si="39"/>
        <v>8.2665729530426386</v>
      </c>
      <c r="AA25" s="3">
        <f t="shared" si="39"/>
        <v>12.832436484380651</v>
      </c>
      <c r="AB25" s="3">
        <f t="shared" si="39"/>
        <v>23.374180433839101</v>
      </c>
      <c r="AC25" s="3">
        <f t="shared" si="39"/>
        <v>6.9084148567380117</v>
      </c>
      <c r="AD25" s="3">
        <f t="shared" si="39"/>
        <v>7.5996305791974557</v>
      </c>
      <c r="AE25" s="3">
        <f t="shared" si="39"/>
        <v>4.8314953126127556</v>
      </c>
      <c r="AF25" s="3">
        <f t="shared" si="39"/>
        <v>14.327140909013245</v>
      </c>
      <c r="AG25" s="3">
        <f t="shared" si="39"/>
        <v>6.2782528770280601</v>
      </c>
      <c r="AH25" s="3">
        <f t="shared" si="39"/>
        <v>8.2664003923843552</v>
      </c>
      <c r="AI25" s="3">
        <f t="shared" si="39"/>
        <v>26.205360294041839</v>
      </c>
      <c r="AJ25" s="3">
        <f t="shared" si="39"/>
        <v>3.1580510988307999</v>
      </c>
      <c r="AK25" s="3">
        <f>+SUM(AK16:AK21)</f>
        <v>5.5672409238457012</v>
      </c>
      <c r="AL25" s="3">
        <f>+SUM(AL16:AL21)</f>
        <v>11.106240520311307</v>
      </c>
      <c r="AM25" s="3">
        <f>+SUM(AM16:AM21)</f>
        <v>0</v>
      </c>
      <c r="AN25" s="3">
        <f>+SUM(AN16:AN21)</f>
        <v>0</v>
      </c>
      <c r="AO25" s="3">
        <f>+SUM(AO16:AO21)</f>
        <v>0</v>
      </c>
    </row>
    <row r="26" spans="1:41" x14ac:dyDescent="0.25">
      <c r="A26">
        <f>+'Esc 2'!A35</f>
        <v>1982</v>
      </c>
      <c r="B26" s="2">
        <f>+'Esc 2'!B35</f>
        <v>6</v>
      </c>
      <c r="C26">
        <f>+IF($AB$3="",'Esc 2'!O35,'Bal Híd'!R25)</f>
        <v>2.538916221622558</v>
      </c>
      <c r="D26">
        <f ca="1">+'Bal Híd'!N25</f>
        <v>7.6368477630678893</v>
      </c>
      <c r="F26" s="313" t="s">
        <v>113</v>
      </c>
      <c r="G26">
        <f>+G25+G24</f>
        <v>19.957775323568555</v>
      </c>
      <c r="H26">
        <f t="shared" ref="H26:AJ26" si="40">+H25+H24</f>
        <v>31.128931158647205</v>
      </c>
      <c r="I26">
        <f t="shared" si="40"/>
        <v>28.182478399738152</v>
      </c>
      <c r="J26">
        <f t="shared" si="40"/>
        <v>22.054562885313125</v>
      </c>
      <c r="K26">
        <f t="shared" si="40"/>
        <v>20.753332119098282</v>
      </c>
      <c r="L26">
        <f t="shared" si="40"/>
        <v>31.884919492924823</v>
      </c>
      <c r="M26">
        <f t="shared" si="40"/>
        <v>22.608411654534784</v>
      </c>
      <c r="N26">
        <f t="shared" si="40"/>
        <v>8.2003128199502893</v>
      </c>
      <c r="O26">
        <f t="shared" si="40"/>
        <v>17.368950730942217</v>
      </c>
      <c r="P26">
        <f t="shared" si="40"/>
        <v>18.465112732180387</v>
      </c>
      <c r="Q26">
        <f t="shared" si="40"/>
        <v>33.062086710197967</v>
      </c>
      <c r="R26">
        <f t="shared" si="40"/>
        <v>30.659696726931266</v>
      </c>
      <c r="S26">
        <f t="shared" si="40"/>
        <v>25.452234043963841</v>
      </c>
      <c r="T26">
        <f t="shared" si="40"/>
        <v>14.976889642355895</v>
      </c>
      <c r="U26">
        <f t="shared" si="40"/>
        <v>16.177675290469519</v>
      </c>
      <c r="V26">
        <f t="shared" si="40"/>
        <v>15.072976909496836</v>
      </c>
      <c r="W26">
        <f t="shared" si="40"/>
        <v>35.987395586228644</v>
      </c>
      <c r="X26">
        <f t="shared" si="40"/>
        <v>24.642681888655812</v>
      </c>
      <c r="Y26">
        <f t="shared" si="40"/>
        <v>10.946652040342581</v>
      </c>
      <c r="Z26">
        <f t="shared" si="40"/>
        <v>22.885958989400351</v>
      </c>
      <c r="AA26">
        <f t="shared" si="40"/>
        <v>35.106473345414628</v>
      </c>
      <c r="AB26">
        <f t="shared" si="40"/>
        <v>45.333586698247544</v>
      </c>
      <c r="AC26">
        <f t="shared" si="40"/>
        <v>18.731532632548387</v>
      </c>
      <c r="AD26">
        <f t="shared" si="40"/>
        <v>12.263930270270286</v>
      </c>
      <c r="AE26">
        <f t="shared" si="40"/>
        <v>16.002277299822786</v>
      </c>
      <c r="AF26">
        <f t="shared" si="40"/>
        <v>21.154289876043748</v>
      </c>
      <c r="AG26">
        <f t="shared" si="40"/>
        <v>13.144834319450645</v>
      </c>
      <c r="AH26">
        <f t="shared" si="40"/>
        <v>16.732617069399431</v>
      </c>
      <c r="AI26">
        <f t="shared" si="40"/>
        <v>31.74747909402182</v>
      </c>
      <c r="AJ26">
        <f t="shared" si="40"/>
        <v>11.040883046216344</v>
      </c>
      <c r="AK26">
        <f>+AK25+AK24</f>
        <v>11.087873847504216</v>
      </c>
      <c r="AL26">
        <f>+AL25+AL24</f>
        <v>17.460541299423866</v>
      </c>
      <c r="AM26">
        <f>+AM25+AM24</f>
        <v>0</v>
      </c>
      <c r="AN26">
        <f>+AN25+AN24</f>
        <v>0</v>
      </c>
      <c r="AO26">
        <f>+AO25+AO24</f>
        <v>0</v>
      </c>
    </row>
    <row r="27" spans="1:41" x14ac:dyDescent="0.25">
      <c r="A27">
        <f>+'Esc 2'!A36</f>
        <v>1982</v>
      </c>
      <c r="B27" s="2">
        <f>+'Esc 2'!B36</f>
        <v>7</v>
      </c>
      <c r="C27">
        <f>+IF($AB$3="",'Esc 2'!O36,'Bal Híd'!R26)</f>
        <v>1.4227751663943491</v>
      </c>
      <c r="D27">
        <f ca="1">+'Bal Híd'!N26</f>
        <v>7.6368477630678893</v>
      </c>
    </row>
    <row r="28" spans="1:41" x14ac:dyDescent="0.25">
      <c r="A28">
        <f>+'Esc 2'!A37</f>
        <v>1982</v>
      </c>
      <c r="B28" s="2">
        <f>+'Esc 2'!B37</f>
        <v>8</v>
      </c>
      <c r="C28">
        <f>+IF($AB$3="",'Esc 2'!O37,'Bal Híd'!R27)</f>
        <v>2.6356080230327152</v>
      </c>
      <c r="D28">
        <f ca="1">+'Bal Híd'!N27</f>
        <v>7.6368477630678893</v>
      </c>
      <c r="G28" t="s">
        <v>112</v>
      </c>
    </row>
    <row r="29" spans="1:41" x14ac:dyDescent="0.25">
      <c r="A29">
        <f>+'Esc 2'!A38</f>
        <v>1982</v>
      </c>
      <c r="B29" s="2">
        <f>+'Esc 2'!B38</f>
        <v>9</v>
      </c>
      <c r="C29">
        <f>+IF($AB$3="",'Esc 2'!O38,'Bal Híd'!R28)</f>
        <v>3.7204742959877279</v>
      </c>
      <c r="D29">
        <f ca="1">+'Bal Híd'!N28</f>
        <v>7.6368477630678893</v>
      </c>
      <c r="F29" s="313"/>
      <c r="G29" s="315" t="s">
        <v>117</v>
      </c>
      <c r="H29" s="315" t="s">
        <v>118</v>
      </c>
      <c r="I29" s="316" t="s">
        <v>119</v>
      </c>
      <c r="J29" s="316" t="s">
        <v>120</v>
      </c>
      <c r="K29" s="316" t="s">
        <v>121</v>
      </c>
      <c r="L29" s="316" t="s">
        <v>122</v>
      </c>
      <c r="M29" s="316" t="s">
        <v>123</v>
      </c>
      <c r="N29" s="316" t="s">
        <v>124</v>
      </c>
      <c r="O29" s="316" t="s">
        <v>125</v>
      </c>
      <c r="P29" s="316" t="s">
        <v>126</v>
      </c>
      <c r="Q29" s="316" t="s">
        <v>127</v>
      </c>
      <c r="R29" s="316" t="s">
        <v>128</v>
      </c>
      <c r="S29" s="316" t="s">
        <v>129</v>
      </c>
      <c r="T29" s="316" t="s">
        <v>130</v>
      </c>
      <c r="U29" s="316" t="s">
        <v>131</v>
      </c>
      <c r="V29" s="316" t="s">
        <v>132</v>
      </c>
      <c r="W29" s="316" t="s">
        <v>133</v>
      </c>
      <c r="X29" s="316" t="s">
        <v>134</v>
      </c>
      <c r="Y29" s="316" t="s">
        <v>135</v>
      </c>
      <c r="Z29" s="316" t="s">
        <v>136</v>
      </c>
      <c r="AA29" s="316" t="s">
        <v>137</v>
      </c>
      <c r="AB29" s="316" t="s">
        <v>138</v>
      </c>
      <c r="AC29" s="316" t="s">
        <v>139</v>
      </c>
      <c r="AD29" s="316" t="s">
        <v>140</v>
      </c>
      <c r="AE29" s="316" t="s">
        <v>141</v>
      </c>
      <c r="AF29" s="316" t="s">
        <v>142</v>
      </c>
      <c r="AG29" s="316" t="s">
        <v>143</v>
      </c>
      <c r="AH29" s="316" t="s">
        <v>144</v>
      </c>
      <c r="AI29" s="316" t="s">
        <v>145</v>
      </c>
      <c r="AJ29" s="582" t="s">
        <v>49</v>
      </c>
      <c r="AK29" s="582" t="s">
        <v>50</v>
      </c>
      <c r="AL29" s="582" t="s">
        <v>51</v>
      </c>
      <c r="AM29" s="582" t="s">
        <v>52</v>
      </c>
      <c r="AN29" s="582" t="s">
        <v>53</v>
      </c>
      <c r="AO29" s="582" t="s">
        <v>54</v>
      </c>
    </row>
    <row r="30" spans="1:41" x14ac:dyDescent="0.25">
      <c r="A30">
        <f>+'Esc 2'!A39</f>
        <v>1982</v>
      </c>
      <c r="B30" s="2">
        <f>+'Esc 2'!B39</f>
        <v>10</v>
      </c>
      <c r="C30">
        <f>+IF($AB$3="",'Esc 2'!O39,'Bal Híd'!R29)</f>
        <v>1.8504732619204203</v>
      </c>
      <c r="D30">
        <f ca="1">+'Bal Híd'!N29</f>
        <v>7.6368477630678893</v>
      </c>
      <c r="F30" s="314" t="s">
        <v>291</v>
      </c>
      <c r="G30" s="3">
        <f ca="1">+D11</f>
        <v>2.0660640566982478</v>
      </c>
      <c r="H30" s="3">
        <f ca="1">+D23</f>
        <v>4.2201396207523549</v>
      </c>
      <c r="I30" s="3">
        <f ca="1">+D35</f>
        <v>7.6368477630678893</v>
      </c>
      <c r="J30" s="3">
        <f ca="1">+D47</f>
        <v>7.6368477630678893</v>
      </c>
      <c r="K30" s="3">
        <f ca="1">+D59</f>
        <v>3.3277024276279379</v>
      </c>
      <c r="L30" s="3">
        <f ca="1">+D71</f>
        <v>4.4658646344009769</v>
      </c>
      <c r="M30" s="3">
        <f ca="1">+D83</f>
        <v>5.7202658454524151</v>
      </c>
      <c r="N30" s="3">
        <f ca="1">+D95</f>
        <v>3.2226600357842772</v>
      </c>
      <c r="O30" s="3">
        <f ca="1">+D107</f>
        <v>0.85782947096594631</v>
      </c>
      <c r="P30" s="3">
        <f ca="1">+D119</f>
        <v>4.4531632911371437</v>
      </c>
      <c r="Q30" s="3">
        <f ca="1">+D131</f>
        <v>2.883112594947332</v>
      </c>
      <c r="R30" s="3">
        <f ca="1">+D143</f>
        <v>5.584210753992898</v>
      </c>
      <c r="S30" s="3">
        <f ca="1">+D155</f>
        <v>0.76901956816126227</v>
      </c>
      <c r="T30" s="3">
        <f ca="1">+D167</f>
        <v>2.7687249802438743</v>
      </c>
      <c r="U30" s="3">
        <f ca="1">+D179</f>
        <v>1.6823512766697797</v>
      </c>
      <c r="V30" s="3">
        <f ca="1">+D191</f>
        <v>2.7517013171519289</v>
      </c>
      <c r="W30" s="3">
        <f ca="1">+D203</f>
        <v>1.8052858054991003</v>
      </c>
      <c r="X30" s="3">
        <f ca="1">+D215</f>
        <v>7.6368477630678893</v>
      </c>
      <c r="Y30" s="3">
        <f ca="1">+D227</f>
        <v>0.34164650153816345</v>
      </c>
      <c r="Z30" s="3">
        <f ca="1">+D239</f>
        <v>1.6838413727915333</v>
      </c>
      <c r="AA30" s="3">
        <f ca="1">+D251</f>
        <v>0.58465326088255309</v>
      </c>
      <c r="AB30" s="3">
        <f ca="1">+D263</f>
        <v>5.5410993136366695</v>
      </c>
      <c r="AC30" s="3">
        <f ca="1">+D275</f>
        <v>7.6368477630678893</v>
      </c>
      <c r="AD30" s="3">
        <f ca="1">+D287</f>
        <v>0.14364725252241328</v>
      </c>
      <c r="AE30" s="3">
        <f ca="1">+D299</f>
        <v>0.15858073093484892</v>
      </c>
      <c r="AF30" s="3">
        <f ca="1">+D311</f>
        <v>0.14364725252241328</v>
      </c>
      <c r="AG30" s="3">
        <f ca="1">+D323</f>
        <v>6.9950058263149586</v>
      </c>
      <c r="AH30" s="3">
        <f ca="1">+D335</f>
        <v>0.22569305506177451</v>
      </c>
      <c r="AI30" s="3">
        <f ca="1">+D347</f>
        <v>2.0974475334164007</v>
      </c>
      <c r="AJ30" s="3">
        <f ca="1">+D359</f>
        <v>7.5911061814169445</v>
      </c>
      <c r="AK30" s="3">
        <f ca="1">+D371</f>
        <v>0.14364725252241328</v>
      </c>
      <c r="AL30" s="3">
        <f ca="1">+D383</f>
        <v>0.14364725252241328</v>
      </c>
      <c r="AM30" s="3">
        <f>+D395</f>
        <v>0</v>
      </c>
      <c r="AN30" s="3">
        <f>+D407</f>
        <v>0</v>
      </c>
      <c r="AO30" s="3">
        <f>+D419</f>
        <v>0</v>
      </c>
    </row>
    <row r="31" spans="1:41" x14ac:dyDescent="0.25">
      <c r="A31">
        <f>+'Esc 2'!A40</f>
        <v>1982</v>
      </c>
      <c r="B31" s="2">
        <f>+'Esc 2'!B40</f>
        <v>11</v>
      </c>
      <c r="C31">
        <f>+IF($AB$3="",'Esc 2'!O40,'Bal Híd'!R30)</f>
        <v>4.6537826754236651</v>
      </c>
      <c r="D31">
        <f ca="1">+'Bal Híd'!N30</f>
        <v>7.6368477630678893</v>
      </c>
      <c r="F31" s="314" t="s">
        <v>292</v>
      </c>
      <c r="G31" s="3">
        <f t="shared" ref="G31:G42" ca="1" si="41">+D12</f>
        <v>2.4459494507539867</v>
      </c>
      <c r="H31" s="3">
        <f t="shared" ref="H31:H42" ca="1" si="42">+D24</f>
        <v>4.2761306252260178</v>
      </c>
      <c r="I31" s="3">
        <f t="shared" ref="I31:I42" ca="1" si="43">+D36</f>
        <v>7.6368477630678893</v>
      </c>
      <c r="J31" s="3">
        <f t="shared" ref="J31:J42" ca="1" si="44">+D48</f>
        <v>7.6368477630678893</v>
      </c>
      <c r="K31" s="3">
        <f t="shared" ref="K31:K42" ca="1" si="45">+D60</f>
        <v>5.3117588232381996</v>
      </c>
      <c r="L31" s="3">
        <f t="shared" ref="L31:L42" ca="1" si="46">+D72</f>
        <v>7.6368477630678893</v>
      </c>
      <c r="M31" s="3">
        <f t="shared" ref="M31:M42" ca="1" si="47">+D84</f>
        <v>7.6368477630678893</v>
      </c>
      <c r="N31" s="3">
        <f t="shared" ref="N31:N42" ca="1" si="48">+D96</f>
        <v>3.3909330030648825</v>
      </c>
      <c r="O31" s="3">
        <f t="shared" ref="O31:O42" ca="1" si="49">+D108</f>
        <v>2.9172847481808062</v>
      </c>
      <c r="P31" s="3">
        <f t="shared" ref="P31:P42" ca="1" si="50">+D120</f>
        <v>7.6368477630678893</v>
      </c>
      <c r="Q31" s="3">
        <f t="shared" ref="Q31:Q42" ca="1" si="51">+D132</f>
        <v>7.6368477630678893</v>
      </c>
      <c r="R31" s="3">
        <f t="shared" ref="R31:R42" ca="1" si="52">+D144</f>
        <v>7.6368477630678893</v>
      </c>
      <c r="S31" s="3">
        <f t="shared" ref="S31:S42" ca="1" si="53">+D156</f>
        <v>2.143268035453842</v>
      </c>
      <c r="T31" s="3">
        <f t="shared" ref="T31:T42" ca="1" si="54">+D168</f>
        <v>3.5571403443345742</v>
      </c>
      <c r="U31" s="3">
        <f t="shared" ref="U31:U42" ca="1" si="55">+D180</f>
        <v>2.4896893722532845</v>
      </c>
      <c r="V31" s="3">
        <f t="shared" ref="V31:V42" ca="1" si="56">+D192</f>
        <v>7.6368477630678893</v>
      </c>
      <c r="W31" s="3">
        <f t="shared" ref="W31:W42" ca="1" si="57">+D204</f>
        <v>2.7917762229961109</v>
      </c>
      <c r="X31" s="3">
        <f t="shared" ref="X31:X42" ca="1" si="58">+D216</f>
        <v>7.6368477630678893</v>
      </c>
      <c r="Y31" s="3">
        <f t="shared" ref="Y31:Y42" ca="1" si="59">+D228</f>
        <v>2.2587273232240133</v>
      </c>
      <c r="Z31" s="3">
        <f t="shared" ref="Z31:Z42" ca="1" si="60">+D240</f>
        <v>3.3759278903610968</v>
      </c>
      <c r="AA31" s="3">
        <f t="shared" ref="AA31:AA42" ca="1" si="61">+D252</f>
        <v>7.6368477630678893</v>
      </c>
      <c r="AB31" s="3">
        <f t="shared" ref="AB31:AB42" ca="1" si="62">+D264</f>
        <v>7.6368477630678893</v>
      </c>
      <c r="AC31" s="3">
        <f t="shared" ref="AC31:AC42" ca="1" si="63">+D276</f>
        <v>7.6368477630678893</v>
      </c>
      <c r="AD31" s="3">
        <f t="shared" ref="AD31:AD42" ca="1" si="64">+D288</f>
        <v>1.5594045384709692</v>
      </c>
      <c r="AE31" s="3">
        <f t="shared" ref="AE31:AE42" ca="1" si="65">+D300</f>
        <v>1.5863582708675503</v>
      </c>
      <c r="AF31" s="3">
        <f t="shared" ref="AF31:AF42" ca="1" si="66">+D312</f>
        <v>1.6127635869479926</v>
      </c>
      <c r="AG31" s="3">
        <f t="shared" ref="AG31:AG42" ca="1" si="67">+D324</f>
        <v>7.6368477630678893</v>
      </c>
      <c r="AH31" s="3">
        <f t="shared" ref="AH31:AH42" ca="1" si="68">+D336</f>
        <v>1.7748560389899501</v>
      </c>
      <c r="AI31" s="3">
        <f t="shared" ref="AI31:AI42" ca="1" si="69">+D348</f>
        <v>2.1808895643057093</v>
      </c>
      <c r="AJ31" s="3">
        <f t="shared" ref="AJ31:AJ42" ca="1" si="70">+D360</f>
        <v>7.6368477630678893</v>
      </c>
      <c r="AK31" s="3">
        <f ca="1">+D372</f>
        <v>1.0808848783555871</v>
      </c>
      <c r="AL31" s="3">
        <f ca="1">+D384</f>
        <v>2.0294923999027317</v>
      </c>
      <c r="AM31" s="3">
        <f>+D396</f>
        <v>0</v>
      </c>
      <c r="AN31" s="3">
        <f>+D408</f>
        <v>0</v>
      </c>
      <c r="AO31" s="3">
        <f>+D420</f>
        <v>0</v>
      </c>
    </row>
    <row r="32" spans="1:41" x14ac:dyDescent="0.25">
      <c r="A32">
        <f>+'Esc 2'!A41</f>
        <v>1982</v>
      </c>
      <c r="B32" s="2">
        <f>+'Esc 2'!B41</f>
        <v>12</v>
      </c>
      <c r="C32">
        <f>+IF($AB$3="",'Esc 2'!O41,'Bal Híd'!R31)</f>
        <v>1.0929693897472346</v>
      </c>
      <c r="D32">
        <f ca="1">+'Bal Híd'!N31</f>
        <v>3.9915269222051437</v>
      </c>
      <c r="F32" s="314" t="s">
        <v>293</v>
      </c>
      <c r="G32" s="3">
        <f t="shared" ca="1" si="41"/>
        <v>6.8804721422138755</v>
      </c>
      <c r="H32" s="3">
        <f t="shared" ca="1" si="42"/>
        <v>6.959637973532498</v>
      </c>
      <c r="I32" s="3">
        <f t="shared" ca="1" si="43"/>
        <v>7.6368477630678893</v>
      </c>
      <c r="J32" s="3">
        <f t="shared" ca="1" si="44"/>
        <v>7.6368477630678893</v>
      </c>
      <c r="K32" s="3">
        <f t="shared" ca="1" si="45"/>
        <v>7.6368477630678893</v>
      </c>
      <c r="L32" s="3">
        <f t="shared" ca="1" si="46"/>
        <v>7.6368477630678893</v>
      </c>
      <c r="M32" s="3">
        <f t="shared" ca="1" si="47"/>
        <v>7.6368477630678893</v>
      </c>
      <c r="N32" s="3">
        <f t="shared" ca="1" si="48"/>
        <v>3.383051352574113</v>
      </c>
      <c r="O32" s="3">
        <f t="shared" ca="1" si="49"/>
        <v>3.4057439045017737</v>
      </c>
      <c r="P32" s="3">
        <f t="shared" ca="1" si="50"/>
        <v>7.6368477630678893</v>
      </c>
      <c r="Q32" s="3">
        <f t="shared" ca="1" si="51"/>
        <v>7.6368477630678893</v>
      </c>
      <c r="R32" s="3">
        <f t="shared" ca="1" si="52"/>
        <v>7.6368477630678893</v>
      </c>
      <c r="S32" s="3">
        <f t="shared" ca="1" si="53"/>
        <v>7.6368477630678893</v>
      </c>
      <c r="T32" s="3">
        <f t="shared" ca="1" si="54"/>
        <v>4.4070143778542565</v>
      </c>
      <c r="U32" s="3">
        <f t="shared" ca="1" si="55"/>
        <v>3.1194536352950193</v>
      </c>
      <c r="V32" s="3">
        <f t="shared" ca="1" si="56"/>
        <v>7.6368477630678893</v>
      </c>
      <c r="W32" s="3">
        <f t="shared" ca="1" si="57"/>
        <v>4.6206486849615063</v>
      </c>
      <c r="X32" s="3">
        <f t="shared" ca="1" si="58"/>
        <v>7.6368477630678893</v>
      </c>
      <c r="Y32" s="3">
        <f t="shared" ca="1" si="59"/>
        <v>3.2436747562867607</v>
      </c>
      <c r="Z32" s="3">
        <f t="shared" ca="1" si="60"/>
        <v>7.6368477630678893</v>
      </c>
      <c r="AA32" s="3">
        <f t="shared" ca="1" si="61"/>
        <v>7.6368477630678893</v>
      </c>
      <c r="AB32" s="3">
        <f t="shared" ca="1" si="62"/>
        <v>7.6368477630678893</v>
      </c>
      <c r="AC32" s="3">
        <f t="shared" ca="1" si="63"/>
        <v>7.6368477630678893</v>
      </c>
      <c r="AD32" s="3">
        <f t="shared" ca="1" si="64"/>
        <v>2.0668566923180456</v>
      </c>
      <c r="AE32" s="3">
        <f t="shared" ca="1" si="65"/>
        <v>4.4349271082592212</v>
      </c>
      <c r="AF32" s="3">
        <f t="shared" ca="1" si="66"/>
        <v>2.8453498960342487</v>
      </c>
      <c r="AG32" s="3">
        <f t="shared" ca="1" si="67"/>
        <v>7.6368477630678893</v>
      </c>
      <c r="AH32" s="3">
        <f t="shared" ca="1" si="68"/>
        <v>2.5741353254619974</v>
      </c>
      <c r="AI32" s="3">
        <f t="shared" ca="1" si="69"/>
        <v>4.1817994841083364</v>
      </c>
      <c r="AJ32" s="3">
        <f t="shared" ca="1" si="70"/>
        <v>7.6368477630678893</v>
      </c>
      <c r="AK32" s="3">
        <f t="shared" ref="AK32:AK42" ca="1" si="71">+D373</f>
        <v>2.7563763689632572</v>
      </c>
      <c r="AL32" s="3">
        <f t="shared" ref="AL32:AL42" ca="1" si="72">+D385</f>
        <v>2.6768069066272138</v>
      </c>
      <c r="AM32" s="3">
        <f t="shared" ref="AM32:AM42" si="73">+D397</f>
        <v>0</v>
      </c>
      <c r="AN32" s="3">
        <f t="shared" ref="AN32:AN42" si="74">+D409</f>
        <v>0</v>
      </c>
      <c r="AO32" s="3">
        <f t="shared" ref="AO32:AO39" si="75">+D421</f>
        <v>0</v>
      </c>
    </row>
    <row r="33" spans="1:41" x14ac:dyDescent="0.25">
      <c r="A33">
        <f>+'Esc 2'!A42</f>
        <v>1983</v>
      </c>
      <c r="B33" s="2">
        <f>+'Esc 2'!B42</f>
        <v>1</v>
      </c>
      <c r="C33">
        <f>+IF($AB$3="",'Esc 2'!O42,'Bal Híd'!R32)</f>
        <v>1.4301066889817158</v>
      </c>
      <c r="D33">
        <f ca="1">+'Bal Híd'!N32</f>
        <v>1.8143560356579815</v>
      </c>
      <c r="F33" s="314" t="s">
        <v>294</v>
      </c>
      <c r="G33" s="3">
        <f t="shared" ca="1" si="41"/>
        <v>7.6368477630678893</v>
      </c>
      <c r="H33" s="3">
        <f t="shared" ca="1" si="42"/>
        <v>7.6368477630678893</v>
      </c>
      <c r="I33" s="3">
        <f t="shared" ca="1" si="43"/>
        <v>7.6368477630678893</v>
      </c>
      <c r="J33" s="3">
        <f t="shared" ca="1" si="44"/>
        <v>7.6368477630678893</v>
      </c>
      <c r="K33" s="3">
        <f t="shared" ca="1" si="45"/>
        <v>7.6368477630678893</v>
      </c>
      <c r="L33" s="3">
        <f t="shared" ca="1" si="46"/>
        <v>7.6368477630678893</v>
      </c>
      <c r="M33" s="3">
        <f t="shared" ca="1" si="47"/>
        <v>7.6368477630678893</v>
      </c>
      <c r="N33" s="3">
        <f t="shared" ca="1" si="48"/>
        <v>4.0772036763813428</v>
      </c>
      <c r="O33" s="3">
        <f t="shared" ca="1" si="49"/>
        <v>3.4910508191230161</v>
      </c>
      <c r="P33" s="3">
        <f t="shared" ca="1" si="50"/>
        <v>7.6368477630678893</v>
      </c>
      <c r="Q33" s="3">
        <f t="shared" ca="1" si="51"/>
        <v>7.6368477630678893</v>
      </c>
      <c r="R33" s="3">
        <f t="shared" ca="1" si="52"/>
        <v>7.6368477630678893</v>
      </c>
      <c r="S33" s="3">
        <f t="shared" ca="1" si="53"/>
        <v>7.6368477630678893</v>
      </c>
      <c r="T33" s="3">
        <f t="shared" ca="1" si="54"/>
        <v>6.4863533941344604</v>
      </c>
      <c r="U33" s="3">
        <f t="shared" ca="1" si="55"/>
        <v>4.0936317643581424</v>
      </c>
      <c r="V33" s="3">
        <f t="shared" ca="1" si="56"/>
        <v>7.6368477630678893</v>
      </c>
      <c r="W33" s="3">
        <f t="shared" ca="1" si="57"/>
        <v>5.7253290960055638</v>
      </c>
      <c r="X33" s="3">
        <f t="shared" ca="1" si="58"/>
        <v>7.6368477630678893</v>
      </c>
      <c r="Y33" s="3">
        <f t="shared" ca="1" si="59"/>
        <v>4.2007997616133235</v>
      </c>
      <c r="Z33" s="3">
        <f t="shared" ca="1" si="60"/>
        <v>7.6368477630678893</v>
      </c>
      <c r="AA33" s="3">
        <f t="shared" ca="1" si="61"/>
        <v>7.6368477630678893</v>
      </c>
      <c r="AB33" s="3">
        <f t="shared" ca="1" si="62"/>
        <v>7.6368477630678893</v>
      </c>
      <c r="AC33" s="3">
        <f t="shared" ca="1" si="63"/>
        <v>7.6368477630678893</v>
      </c>
      <c r="AD33" s="3">
        <f t="shared" ca="1" si="64"/>
        <v>3.0776147241932583</v>
      </c>
      <c r="AE33" s="3">
        <f t="shared" ca="1" si="65"/>
        <v>7.6368477630678893</v>
      </c>
      <c r="AF33" s="3">
        <f t="shared" ca="1" si="66"/>
        <v>5.1797280332632711</v>
      </c>
      <c r="AG33" s="3">
        <f t="shared" ca="1" si="67"/>
        <v>7.6368477630678893</v>
      </c>
      <c r="AH33" s="3">
        <f t="shared" ca="1" si="68"/>
        <v>4.1392772100873092</v>
      </c>
      <c r="AI33" s="3">
        <f t="shared" ca="1" si="69"/>
        <v>4.6885318501964219</v>
      </c>
      <c r="AJ33" s="3">
        <f t="shared" ca="1" si="70"/>
        <v>7.6368477630678893</v>
      </c>
      <c r="AK33" s="3">
        <f t="shared" ca="1" si="71"/>
        <v>3.7269008352876014</v>
      </c>
      <c r="AL33" s="3">
        <f t="shared" ca="1" si="72"/>
        <v>3.5605661702237978</v>
      </c>
      <c r="AM33" s="3">
        <f t="shared" si="73"/>
        <v>0</v>
      </c>
      <c r="AN33" s="3">
        <f t="shared" si="74"/>
        <v>0</v>
      </c>
      <c r="AO33" s="3">
        <f t="shared" si="75"/>
        <v>0</v>
      </c>
    </row>
    <row r="34" spans="1:41" x14ac:dyDescent="0.25">
      <c r="A34">
        <f>+'Esc 2'!A43</f>
        <v>1983</v>
      </c>
      <c r="B34" s="2">
        <f>+'Esc 2'!B43</f>
        <v>2</v>
      </c>
      <c r="C34">
        <f>+IF($AB$3="",'Esc 2'!O43,'Bal Híd'!R33)</f>
        <v>7.0593676713086255</v>
      </c>
      <c r="D34">
        <f ca="1">+'Bal Híd'!N33</f>
        <v>7.2457749040840653</v>
      </c>
      <c r="F34" s="314" t="s">
        <v>295</v>
      </c>
      <c r="G34" s="3">
        <f t="shared" ca="1" si="41"/>
        <v>7.6368477630678893</v>
      </c>
      <c r="H34" s="3">
        <f t="shared" ca="1" si="42"/>
        <v>7.6368477630678893</v>
      </c>
      <c r="I34" s="3">
        <f t="shared" ca="1" si="43"/>
        <v>7.6368477630678893</v>
      </c>
      <c r="J34" s="3">
        <f t="shared" ca="1" si="44"/>
        <v>7.6368477630678893</v>
      </c>
      <c r="K34" s="3">
        <f t="shared" ca="1" si="45"/>
        <v>7.6368477630678893</v>
      </c>
      <c r="L34" s="3">
        <f t="shared" ca="1" si="46"/>
        <v>7.6368477630678893</v>
      </c>
      <c r="M34" s="3">
        <f t="shared" ca="1" si="47"/>
        <v>7.6368477630678893</v>
      </c>
      <c r="N34" s="3">
        <f t="shared" ca="1" si="48"/>
        <v>4.4505029026450043</v>
      </c>
      <c r="O34" s="3">
        <f t="shared" ca="1" si="49"/>
        <v>3.5617457100473429</v>
      </c>
      <c r="P34" s="3">
        <f t="shared" ca="1" si="50"/>
        <v>7.6368477630678893</v>
      </c>
      <c r="Q34" s="3">
        <f t="shared" ca="1" si="51"/>
        <v>7.6368477630678893</v>
      </c>
      <c r="R34" s="3">
        <f t="shared" ca="1" si="52"/>
        <v>7.6368477630678893</v>
      </c>
      <c r="S34" s="3">
        <f t="shared" ca="1" si="53"/>
        <v>7.6368477630678893</v>
      </c>
      <c r="T34" s="3">
        <f t="shared" ca="1" si="54"/>
        <v>7.5748642854333603</v>
      </c>
      <c r="U34" s="3">
        <f t="shared" ca="1" si="55"/>
        <v>5.8156992334978206</v>
      </c>
      <c r="V34" s="3">
        <f t="shared" ca="1" si="56"/>
        <v>7.6368477630678893</v>
      </c>
      <c r="W34" s="3">
        <f t="shared" ca="1" si="57"/>
        <v>7.6368477630678893</v>
      </c>
      <c r="X34" s="3">
        <f t="shared" ca="1" si="58"/>
        <v>7.6368477630678893</v>
      </c>
      <c r="Y34" s="3">
        <f t="shared" ca="1" si="59"/>
        <v>5.6507052856847499</v>
      </c>
      <c r="Z34" s="3">
        <f t="shared" ca="1" si="60"/>
        <v>7.6368477630678893</v>
      </c>
      <c r="AA34" s="3">
        <f t="shared" ca="1" si="61"/>
        <v>7.6368477630678893</v>
      </c>
      <c r="AB34" s="3">
        <f t="shared" ca="1" si="62"/>
        <v>7.6368477630678893</v>
      </c>
      <c r="AC34" s="3">
        <f t="shared" ca="1" si="63"/>
        <v>7.6368477630678893</v>
      </c>
      <c r="AD34" s="3">
        <f t="shared" ca="1" si="64"/>
        <v>3.5043930081185879</v>
      </c>
      <c r="AE34" s="3">
        <f t="shared" ca="1" si="65"/>
        <v>7.6368477630678893</v>
      </c>
      <c r="AF34" s="3">
        <f t="shared" ca="1" si="66"/>
        <v>6.1947349221469228</v>
      </c>
      <c r="AG34" s="3">
        <f t="shared" ca="1" si="67"/>
        <v>7.6368477630678893</v>
      </c>
      <c r="AH34" s="3">
        <f t="shared" ca="1" si="68"/>
        <v>6.3591445713587875</v>
      </c>
      <c r="AI34" s="3">
        <f t="shared" ca="1" si="69"/>
        <v>4.7451895957011594</v>
      </c>
      <c r="AJ34" s="3">
        <f t="shared" ca="1" si="70"/>
        <v>7.6368477630678893</v>
      </c>
      <c r="AK34" s="3">
        <f t="shared" ca="1" si="71"/>
        <v>4.3687554697271249</v>
      </c>
      <c r="AL34" s="3">
        <f t="shared" ca="1" si="72"/>
        <v>3.7868545946435681</v>
      </c>
      <c r="AM34" s="3">
        <f t="shared" si="73"/>
        <v>0</v>
      </c>
      <c r="AN34" s="3">
        <f t="shared" si="74"/>
        <v>0</v>
      </c>
      <c r="AO34" s="3">
        <f t="shared" si="75"/>
        <v>0</v>
      </c>
    </row>
    <row r="35" spans="1:41" x14ac:dyDescent="0.25">
      <c r="A35">
        <f>+'Esc 2'!A44</f>
        <v>1983</v>
      </c>
      <c r="B35" s="2">
        <f>+'Esc 2'!B44</f>
        <v>3</v>
      </c>
      <c r="C35">
        <f>+IF($AB$3="",'Esc 2'!O44,'Bal Híd'!R34)</f>
        <v>1.932234558992534</v>
      </c>
      <c r="D35">
        <f ca="1">+'Bal Híd'!N34</f>
        <v>7.6368477630678893</v>
      </c>
      <c r="F35" s="314" t="s">
        <v>296</v>
      </c>
      <c r="G35" s="3">
        <f t="shared" ca="1" si="41"/>
        <v>7.6368477630678893</v>
      </c>
      <c r="H35" s="3">
        <f t="shared" ca="1" si="42"/>
        <v>7.6368477630678893</v>
      </c>
      <c r="I35" s="3">
        <f t="shared" ca="1" si="43"/>
        <v>7.6368477630678893</v>
      </c>
      <c r="J35" s="3">
        <f t="shared" ca="1" si="44"/>
        <v>7.6368477630678893</v>
      </c>
      <c r="K35" s="3">
        <f t="shared" ca="1" si="45"/>
        <v>7.6368477630678893</v>
      </c>
      <c r="L35" s="3">
        <f t="shared" ca="1" si="46"/>
        <v>7.6368477630678893</v>
      </c>
      <c r="M35" s="3">
        <f t="shared" ca="1" si="47"/>
        <v>7.6368477630678893</v>
      </c>
      <c r="N35" s="3">
        <f t="shared" ca="1" si="48"/>
        <v>4.9861899830471099</v>
      </c>
      <c r="O35" s="3">
        <f t="shared" ca="1" si="49"/>
        <v>5.0558937501342847</v>
      </c>
      <c r="P35" s="3">
        <f t="shared" ca="1" si="50"/>
        <v>7.6162282181439442</v>
      </c>
      <c r="Q35" s="3">
        <f t="shared" ca="1" si="51"/>
        <v>7.6368477630678893</v>
      </c>
      <c r="R35" s="3">
        <f t="shared" ca="1" si="52"/>
        <v>7.6368477630678893</v>
      </c>
      <c r="S35" s="3">
        <f t="shared" ca="1" si="53"/>
        <v>7.6368477630678893</v>
      </c>
      <c r="T35" s="3">
        <f t="shared" ca="1" si="54"/>
        <v>7.6368477630678893</v>
      </c>
      <c r="U35" s="3">
        <f t="shared" ca="1" si="55"/>
        <v>6.0812241376063234</v>
      </c>
      <c r="V35" s="3">
        <f t="shared" ca="1" si="56"/>
        <v>7.6368477630678893</v>
      </c>
      <c r="W35" s="3">
        <f t="shared" ca="1" si="57"/>
        <v>7.6368477630678893</v>
      </c>
      <c r="X35" s="3">
        <f t="shared" ca="1" si="58"/>
        <v>7.6368477630678893</v>
      </c>
      <c r="Y35" s="3">
        <f t="shared" ca="1" si="59"/>
        <v>5.9313975907782828</v>
      </c>
      <c r="Z35" s="3">
        <f t="shared" ca="1" si="60"/>
        <v>7.6368477630678893</v>
      </c>
      <c r="AA35" s="3">
        <f t="shared" ca="1" si="61"/>
        <v>7.6368477630678893</v>
      </c>
      <c r="AB35" s="3">
        <f t="shared" ca="1" si="62"/>
        <v>7.6368477630678893</v>
      </c>
      <c r="AC35" s="3">
        <f t="shared" ca="1" si="63"/>
        <v>7.6368477630678893</v>
      </c>
      <c r="AD35" s="3">
        <f t="shared" ca="1" si="64"/>
        <v>3.5290340725032037</v>
      </c>
      <c r="AE35" s="3">
        <f t="shared" ca="1" si="65"/>
        <v>7.6368477630678893</v>
      </c>
      <c r="AF35" s="3">
        <f t="shared" ca="1" si="66"/>
        <v>6.3732511054591292</v>
      </c>
      <c r="AG35" s="3">
        <f t="shared" ca="1" si="67"/>
        <v>7.6368477630678893</v>
      </c>
      <c r="AH35" s="3">
        <f t="shared" ca="1" si="68"/>
        <v>7.6368477630678893</v>
      </c>
      <c r="AI35" s="3">
        <f t="shared" ca="1" si="69"/>
        <v>4.711873536864525</v>
      </c>
      <c r="AJ35" s="3">
        <f t="shared" ca="1" si="70"/>
        <v>7.6368477630678893</v>
      </c>
      <c r="AK35" s="3">
        <f t="shared" ca="1" si="71"/>
        <v>4.6376990827891662</v>
      </c>
      <c r="AL35" s="3">
        <f t="shared" ca="1" si="72"/>
        <v>5.0786564982842339</v>
      </c>
      <c r="AM35" s="3">
        <f t="shared" si="73"/>
        <v>0</v>
      </c>
      <c r="AN35" s="3">
        <f t="shared" si="74"/>
        <v>0</v>
      </c>
      <c r="AO35" s="3">
        <f t="shared" si="75"/>
        <v>0</v>
      </c>
    </row>
    <row r="36" spans="1:41" x14ac:dyDescent="0.25">
      <c r="A36">
        <f>+'Esc 2'!A45</f>
        <v>1983</v>
      </c>
      <c r="B36" s="2">
        <f>+'Esc 2'!B45</f>
        <v>4</v>
      </c>
      <c r="C36">
        <f>+IF($AB$3="",'Esc 2'!O45,'Bal Híd'!R35)</f>
        <v>0.98816565637740317</v>
      </c>
      <c r="D36">
        <f ca="1">+'Bal Híd'!N35</f>
        <v>7.6368477630678893</v>
      </c>
      <c r="F36" s="314" t="s">
        <v>297</v>
      </c>
      <c r="G36" s="3">
        <f t="shared" ca="1" si="41"/>
        <v>7.6368477630678893</v>
      </c>
      <c r="H36" s="3">
        <f t="shared" ca="1" si="42"/>
        <v>7.6368477630678893</v>
      </c>
      <c r="I36" s="3">
        <f t="shared" ca="1" si="43"/>
        <v>7.6368477630678893</v>
      </c>
      <c r="J36" s="3">
        <f t="shared" ca="1" si="44"/>
        <v>7.6368477630678893</v>
      </c>
      <c r="K36" s="3">
        <f t="shared" ca="1" si="45"/>
        <v>7.6368477630678893</v>
      </c>
      <c r="L36" s="3">
        <f t="shared" ca="1" si="46"/>
        <v>7.6368477630678893</v>
      </c>
      <c r="M36" s="3">
        <f t="shared" ca="1" si="47"/>
        <v>7.6368477630678893</v>
      </c>
      <c r="N36" s="3">
        <f t="shared" ca="1" si="48"/>
        <v>7.1038266923057973</v>
      </c>
      <c r="O36" s="3">
        <f t="shared" ca="1" si="49"/>
        <v>5.3701145298695927</v>
      </c>
      <c r="P36" s="3">
        <f t="shared" ca="1" si="50"/>
        <v>7.6368477630678893</v>
      </c>
      <c r="Q36" s="3">
        <f t="shared" ca="1" si="51"/>
        <v>7.6368477630678893</v>
      </c>
      <c r="R36" s="3">
        <f t="shared" ca="1" si="52"/>
        <v>7.6368477630678893</v>
      </c>
      <c r="S36" s="3">
        <f t="shared" ca="1" si="53"/>
        <v>7.6368477630678893</v>
      </c>
      <c r="T36" s="3">
        <f t="shared" ca="1" si="54"/>
        <v>7.6368477630678893</v>
      </c>
      <c r="U36" s="3">
        <f t="shared" ca="1" si="55"/>
        <v>6.9122927275492518</v>
      </c>
      <c r="V36" s="3">
        <f t="shared" ca="1" si="56"/>
        <v>7.6368477630678893</v>
      </c>
      <c r="W36" s="3">
        <f t="shared" ca="1" si="57"/>
        <v>7.6368477630678893</v>
      </c>
      <c r="X36" s="3">
        <f t="shared" ca="1" si="58"/>
        <v>7.6368477630678893</v>
      </c>
      <c r="Y36" s="3">
        <f t="shared" ca="1" si="59"/>
        <v>6.0224191989534637</v>
      </c>
      <c r="Z36" s="3">
        <f t="shared" ca="1" si="60"/>
        <v>7.6368477630678893</v>
      </c>
      <c r="AA36" s="3">
        <f t="shared" ca="1" si="61"/>
        <v>7.6368477630678893</v>
      </c>
      <c r="AB36" s="3">
        <f t="shared" ca="1" si="62"/>
        <v>7.6368477630678893</v>
      </c>
      <c r="AC36" s="3">
        <f t="shared" ca="1" si="63"/>
        <v>7.6368477630678893</v>
      </c>
      <c r="AD36" s="3">
        <f t="shared" ca="1" si="64"/>
        <v>4.5522842862912727</v>
      </c>
      <c r="AE36" s="3">
        <f t="shared" ca="1" si="65"/>
        <v>7.6368477630678893</v>
      </c>
      <c r="AF36" s="3">
        <f t="shared" ca="1" si="66"/>
        <v>6.5891005806110226</v>
      </c>
      <c r="AG36" s="3">
        <f t="shared" ca="1" si="67"/>
        <v>7.6368477630678893</v>
      </c>
      <c r="AH36" s="3">
        <f t="shared" ca="1" si="68"/>
        <v>7.6368477630678893</v>
      </c>
      <c r="AI36" s="3">
        <f t="shared" ca="1" si="69"/>
        <v>7.3218287140751528</v>
      </c>
      <c r="AJ36" s="3">
        <f t="shared" ca="1" si="70"/>
        <v>7.6368477630678893</v>
      </c>
      <c r="AK36" s="3">
        <f t="shared" ca="1" si="71"/>
        <v>5.4107763667894293</v>
      </c>
      <c r="AL36" s="3">
        <f t="shared" ca="1" si="72"/>
        <v>6.2407362053926825</v>
      </c>
      <c r="AM36" s="3">
        <f t="shared" si="73"/>
        <v>0</v>
      </c>
      <c r="AN36" s="3">
        <f t="shared" si="74"/>
        <v>0</v>
      </c>
      <c r="AO36" s="3">
        <f t="shared" si="75"/>
        <v>0</v>
      </c>
    </row>
    <row r="37" spans="1:41" x14ac:dyDescent="0.25">
      <c r="A37">
        <f>+'Esc 2'!A46</f>
        <v>1983</v>
      </c>
      <c r="B37" s="2">
        <f>+'Esc 2'!B46</f>
        <v>5</v>
      </c>
      <c r="C37">
        <f>+IF($AB$3="",'Esc 2'!O46,'Bal Híd'!R36)</f>
        <v>5.4548732982233084</v>
      </c>
      <c r="D37">
        <f ca="1">+'Bal Híd'!N36</f>
        <v>7.6368477630678893</v>
      </c>
      <c r="F37" s="314" t="s">
        <v>298</v>
      </c>
      <c r="G37" s="3">
        <f t="shared" ca="1" si="41"/>
        <v>7.3084079721174247</v>
      </c>
      <c r="H37" s="3">
        <f t="shared" ca="1" si="42"/>
        <v>7.6368477630678893</v>
      </c>
      <c r="I37" s="3">
        <f t="shared" ca="1" si="43"/>
        <v>7.5235465688294214</v>
      </c>
      <c r="J37" s="3">
        <f t="shared" ca="1" si="44"/>
        <v>7.6368477630678893</v>
      </c>
      <c r="K37" s="3">
        <f t="shared" ca="1" si="45"/>
        <v>7.6368477630678893</v>
      </c>
      <c r="L37" s="3">
        <f t="shared" ca="1" si="46"/>
        <v>7.6368477630678893</v>
      </c>
      <c r="M37" s="3">
        <f t="shared" ca="1" si="47"/>
        <v>7.6368477630678893</v>
      </c>
      <c r="N37" s="3">
        <f t="shared" ca="1" si="48"/>
        <v>7.1046670722190726</v>
      </c>
      <c r="O37" s="3">
        <f t="shared" ca="1" si="49"/>
        <v>5.381978660146105</v>
      </c>
      <c r="P37" s="3">
        <f t="shared" ca="1" si="50"/>
        <v>7.6368477630678893</v>
      </c>
      <c r="Q37" s="3">
        <f t="shared" ca="1" si="51"/>
        <v>7.6368477630678893</v>
      </c>
      <c r="R37" s="3">
        <f t="shared" ca="1" si="52"/>
        <v>7.6368477630678893</v>
      </c>
      <c r="S37" s="3">
        <f t="shared" ca="1" si="53"/>
        <v>7.6368477630678893</v>
      </c>
      <c r="T37" s="3">
        <f t="shared" ca="1" si="54"/>
        <v>7.6368477630678893</v>
      </c>
      <c r="U37" s="3">
        <f t="shared" ca="1" si="55"/>
        <v>7.6368477630678893</v>
      </c>
      <c r="V37" s="3">
        <f t="shared" ca="1" si="56"/>
        <v>7.6368477630678893</v>
      </c>
      <c r="W37" s="3">
        <f t="shared" ca="1" si="57"/>
        <v>7.6368477630678893</v>
      </c>
      <c r="X37" s="3">
        <f t="shared" ca="1" si="58"/>
        <v>7.4678706083143842</v>
      </c>
      <c r="Y37" s="3">
        <f t="shared" ca="1" si="59"/>
        <v>5.8449017836359562</v>
      </c>
      <c r="Z37" s="3">
        <f t="shared" ca="1" si="60"/>
        <v>7.6368477630678893</v>
      </c>
      <c r="AA37" s="3">
        <f t="shared" ca="1" si="61"/>
        <v>7.6368477630678893</v>
      </c>
      <c r="AB37" s="3">
        <f t="shared" ca="1" si="62"/>
        <v>7.6368477630678893</v>
      </c>
      <c r="AC37" s="3">
        <f t="shared" ca="1" si="63"/>
        <v>7.6368477630678893</v>
      </c>
      <c r="AD37" s="3">
        <f t="shared" ca="1" si="64"/>
        <v>6.3951716272045269</v>
      </c>
      <c r="AE37" s="3">
        <f t="shared" ca="1" si="65"/>
        <v>7.6368477630678893</v>
      </c>
      <c r="AF37" s="3">
        <f t="shared" ca="1" si="66"/>
        <v>6.8868891320710279</v>
      </c>
      <c r="AG37" s="3">
        <f t="shared" ca="1" si="67"/>
        <v>7.6368477630678893</v>
      </c>
      <c r="AH37" s="3">
        <f t="shared" ca="1" si="68"/>
        <v>7.6368477630678893</v>
      </c>
      <c r="AI37" s="3">
        <f t="shared" ca="1" si="69"/>
        <v>7.6368477630678893</v>
      </c>
      <c r="AJ37" s="3">
        <f t="shared" ca="1" si="70"/>
        <v>7.2118695489345965</v>
      </c>
      <c r="AK37" s="3">
        <f t="shared" ca="1" si="71"/>
        <v>5.9745545624714618</v>
      </c>
      <c r="AL37" s="3">
        <f t="shared" ca="1" si="72"/>
        <v>7.6368477630678893</v>
      </c>
      <c r="AM37" s="3">
        <f t="shared" si="73"/>
        <v>0</v>
      </c>
      <c r="AN37" s="3">
        <f t="shared" si="74"/>
        <v>0</v>
      </c>
      <c r="AO37" s="3">
        <f t="shared" si="75"/>
        <v>0</v>
      </c>
    </row>
    <row r="38" spans="1:41" x14ac:dyDescent="0.25">
      <c r="A38">
        <f>+'Esc 2'!A47</f>
        <v>1983</v>
      </c>
      <c r="B38" s="2">
        <f>+'Esc 2'!B47</f>
        <v>6</v>
      </c>
      <c r="C38">
        <f>+IF($AB$3="",'Esc 2'!O47,'Bal Híd'!R37)</f>
        <v>2.1381846530826674</v>
      </c>
      <c r="D38">
        <f ca="1">+'Bal Híd'!N37</f>
        <v>7.6368477630678893</v>
      </c>
      <c r="F38" s="314" t="s">
        <v>299</v>
      </c>
      <c r="G38" s="3">
        <f t="shared" ca="1" si="41"/>
        <v>5.8423989681416293</v>
      </c>
      <c r="H38" s="3">
        <f t="shared" ca="1" si="42"/>
        <v>7.6368477630678893</v>
      </c>
      <c r="I38" s="3">
        <f t="shared" ca="1" si="43"/>
        <v>6.5801904777740861</v>
      </c>
      <c r="J38" s="3">
        <f t="shared" ca="1" si="44"/>
        <v>6.7831175832796147</v>
      </c>
      <c r="K38" s="3">
        <f t="shared" ca="1" si="45"/>
        <v>5.2385609434035318</v>
      </c>
      <c r="L38" s="3">
        <f t="shared" ca="1" si="46"/>
        <v>7.6368477630678893</v>
      </c>
      <c r="M38" s="3">
        <f t="shared" ca="1" si="47"/>
        <v>5.8702151269530871</v>
      </c>
      <c r="N38" s="3">
        <f t="shared" ca="1" si="48"/>
        <v>5.4062392996531443</v>
      </c>
      <c r="O38" s="3">
        <f t="shared" ca="1" si="49"/>
        <v>3.9106314975969925</v>
      </c>
      <c r="P38" s="3">
        <f t="shared" ca="1" si="50"/>
        <v>7.2734319800689908</v>
      </c>
      <c r="Q38" s="3">
        <f t="shared" ca="1" si="51"/>
        <v>5.8340489929650934</v>
      </c>
      <c r="R38" s="3">
        <f t="shared" ca="1" si="52"/>
        <v>5.5189196997404917</v>
      </c>
      <c r="S38" s="3">
        <f t="shared" ca="1" si="53"/>
        <v>7.6368477630678893</v>
      </c>
      <c r="T38" s="3">
        <f t="shared" ca="1" si="54"/>
        <v>5.7280316189398972</v>
      </c>
      <c r="U38" s="3">
        <f t="shared" ca="1" si="55"/>
        <v>5.7890760781344772</v>
      </c>
      <c r="V38" s="3">
        <f t="shared" ca="1" si="56"/>
        <v>6.2074853401884686</v>
      </c>
      <c r="W38" s="3">
        <f t="shared" ca="1" si="57"/>
        <v>7.6368477630678893</v>
      </c>
      <c r="X38" s="3">
        <f t="shared" ca="1" si="58"/>
        <v>5.8826020361994056</v>
      </c>
      <c r="Y38" s="3">
        <f t="shared" ca="1" si="59"/>
        <v>3.3967935716260467</v>
      </c>
      <c r="Z38" s="3">
        <f t="shared" ca="1" si="60"/>
        <v>6.9007615649754763</v>
      </c>
      <c r="AA38" s="3">
        <f t="shared" ca="1" si="61"/>
        <v>7.2430238656968955</v>
      </c>
      <c r="AB38" s="3">
        <f t="shared" ca="1" si="62"/>
        <v>7.6368477630678893</v>
      </c>
      <c r="AC38" s="3">
        <f t="shared" ca="1" si="63"/>
        <v>7.0137708810859367</v>
      </c>
      <c r="AD38" s="3">
        <f t="shared" ca="1" si="64"/>
        <v>6.5569350650628602</v>
      </c>
      <c r="AE38" s="3">
        <f t="shared" ca="1" si="65"/>
        <v>6.1934351428571626</v>
      </c>
      <c r="AF38" s="3">
        <f t="shared" ca="1" si="66"/>
        <v>7.6368477630678893</v>
      </c>
      <c r="AG38" s="3">
        <f t="shared" ca="1" si="67"/>
        <v>5.7911387864144901</v>
      </c>
      <c r="AH38" s="3">
        <f t="shared" ca="1" si="68"/>
        <v>5.604393404519497</v>
      </c>
      <c r="AI38" s="3">
        <f t="shared" ca="1" si="69"/>
        <v>7.6368477630678893</v>
      </c>
      <c r="AJ38" s="3">
        <f t="shared" ca="1" si="70"/>
        <v>4.7172577573998593</v>
      </c>
      <c r="AK38" s="3">
        <f t="shared" ca="1" si="71"/>
        <v>4.4856492586123657</v>
      </c>
      <c r="AL38" s="3">
        <f t="shared" ca="1" si="72"/>
        <v>6.0781817426451203</v>
      </c>
      <c r="AM38" s="3">
        <f t="shared" si="73"/>
        <v>0</v>
      </c>
      <c r="AN38" s="3">
        <f t="shared" si="74"/>
        <v>0</v>
      </c>
      <c r="AO38" s="3">
        <f t="shared" si="75"/>
        <v>0</v>
      </c>
    </row>
    <row r="39" spans="1:41" x14ac:dyDescent="0.25">
      <c r="A39">
        <f>+'Esc 2'!A48</f>
        <v>1983</v>
      </c>
      <c r="B39" s="2">
        <f>+'Esc 2'!B48</f>
        <v>7</v>
      </c>
      <c r="C39">
        <f>+IF($AB$3="",'Esc 2'!O48,'Bal Híd'!R38)</f>
        <v>2.1434527721558672</v>
      </c>
      <c r="D39">
        <f ca="1">+'Bal Híd'!N38</f>
        <v>7.6368477630678893</v>
      </c>
      <c r="F39" s="314" t="s">
        <v>301</v>
      </c>
      <c r="G39" s="3">
        <f t="shared" ca="1" si="41"/>
        <v>2.6944129989189269</v>
      </c>
      <c r="H39" s="3">
        <f t="shared" ca="1" si="42"/>
        <v>3.9915269222051437</v>
      </c>
      <c r="I39" s="3">
        <f t="shared" ca="1" si="43"/>
        <v>2.4015135416376188</v>
      </c>
      <c r="J39" s="3">
        <f t="shared" ca="1" si="44"/>
        <v>2.6319240448566843</v>
      </c>
      <c r="K39" s="3">
        <f t="shared" ca="1" si="45"/>
        <v>0.80382926058428428</v>
      </c>
      <c r="L39" s="3">
        <f t="shared" ca="1" si="46"/>
        <v>3.9920164914175347</v>
      </c>
      <c r="M39" s="3">
        <f t="shared" ca="1" si="47"/>
        <v>1.9334857174081153</v>
      </c>
      <c r="N39" s="3">
        <f t="shared" ca="1" si="48"/>
        <v>1.5455562272395973</v>
      </c>
      <c r="O39" s="3">
        <f t="shared" ca="1" si="49"/>
        <v>1.7126009317799182</v>
      </c>
      <c r="P39" s="3">
        <f t="shared" ca="1" si="50"/>
        <v>7.2746631687221699</v>
      </c>
      <c r="Q39" s="3">
        <f t="shared" ca="1" si="51"/>
        <v>5.1692938194448539</v>
      </c>
      <c r="R39" s="3">
        <f t="shared" ca="1" si="52"/>
        <v>1.9495149001521366</v>
      </c>
      <c r="S39" s="3">
        <f t="shared" ca="1" si="53"/>
        <v>4.8486993028369669</v>
      </c>
      <c r="T39" s="3">
        <f t="shared" ca="1" si="54"/>
        <v>2.5042150923959552</v>
      </c>
      <c r="U39" s="3">
        <f t="shared" ca="1" si="55"/>
        <v>1.3513653919413331</v>
      </c>
      <c r="V39" s="3">
        <f t="shared" ca="1" si="56"/>
        <v>2.5022515259567868</v>
      </c>
      <c r="W39" s="3">
        <f t="shared" ca="1" si="57"/>
        <v>7.6368477630678893</v>
      </c>
      <c r="X39" s="3">
        <f t="shared" ca="1" si="58"/>
        <v>2.164966086557345</v>
      </c>
      <c r="Y39" s="3">
        <f t="shared" ca="1" si="59"/>
        <v>0.14364725252241328</v>
      </c>
      <c r="Z39" s="3">
        <f t="shared" ca="1" si="60"/>
        <v>3.3083308971738727</v>
      </c>
      <c r="AA39" s="3">
        <f t="shared" ca="1" si="61"/>
        <v>3.4915549814402294</v>
      </c>
      <c r="AB39" s="3">
        <f t="shared" ca="1" si="62"/>
        <v>7.6368477630678893</v>
      </c>
      <c r="AC39" s="3">
        <f t="shared" ca="1" si="63"/>
        <v>4.5522408012120303</v>
      </c>
      <c r="AD39" s="3">
        <f t="shared" ca="1" si="64"/>
        <v>3.0676219441752748</v>
      </c>
      <c r="AE39" s="3">
        <f t="shared" ca="1" si="65"/>
        <v>3.147465209804861</v>
      </c>
      <c r="AF39" s="3">
        <f t="shared" ca="1" si="66"/>
        <v>5.4464443100069113</v>
      </c>
      <c r="AG39" s="3">
        <f t="shared" ca="1" si="67"/>
        <v>1.6776502802181055</v>
      </c>
      <c r="AH39" s="3">
        <f t="shared" ca="1" si="68"/>
        <v>1.4404688927074947</v>
      </c>
      <c r="AI39" s="3">
        <f t="shared" ca="1" si="69"/>
        <v>7.6368477630678893</v>
      </c>
      <c r="AJ39" s="3">
        <f t="shared" ca="1" si="70"/>
        <v>0.67855091650389721</v>
      </c>
      <c r="AK39" s="3">
        <f t="shared" ca="1" si="71"/>
        <v>1.2678523071069456</v>
      </c>
      <c r="AL39" s="3">
        <f t="shared" ca="1" si="72"/>
        <v>5.5191619399781837</v>
      </c>
      <c r="AM39" s="3">
        <f t="shared" si="73"/>
        <v>0</v>
      </c>
      <c r="AN39" s="3">
        <f t="shared" si="74"/>
        <v>0</v>
      </c>
      <c r="AO39" s="3">
        <f t="shared" si="75"/>
        <v>0</v>
      </c>
    </row>
    <row r="40" spans="1:41" x14ac:dyDescent="0.25">
      <c r="A40">
        <f>+'Esc 2'!A49</f>
        <v>1983</v>
      </c>
      <c r="B40" s="2">
        <f>+'Esc 2'!B49</f>
        <v>8</v>
      </c>
      <c r="C40">
        <f>+IF($AB$3="",'Esc 2'!O49,'Bal Híd'!R39)</f>
        <v>0.90236731693755545</v>
      </c>
      <c r="D40">
        <f ca="1">+'Bal Híd'!N39</f>
        <v>7.6368477630678893</v>
      </c>
      <c r="F40" s="314" t="s">
        <v>289</v>
      </c>
      <c r="G40" s="3">
        <f t="shared" ca="1" si="41"/>
        <v>0.14364725252241328</v>
      </c>
      <c r="H40" s="3">
        <f t="shared" ca="1" si="42"/>
        <v>1.8143560356579815</v>
      </c>
      <c r="I40" s="3">
        <f t="shared" ca="1" si="43"/>
        <v>3.3477085476349151</v>
      </c>
      <c r="J40" s="3">
        <f t="shared" ca="1" si="44"/>
        <v>0.14364725252241328</v>
      </c>
      <c r="K40" s="3">
        <f t="shared" ca="1" si="45"/>
        <v>0.14364725252241328</v>
      </c>
      <c r="L40" s="3">
        <f t="shared" ca="1" si="46"/>
        <v>1.6338876289688553</v>
      </c>
      <c r="M40" s="3">
        <f t="shared" ca="1" si="47"/>
        <v>3.7638173601048841</v>
      </c>
      <c r="N40" s="3">
        <f t="shared" ca="1" si="48"/>
        <v>0.14364725252241328</v>
      </c>
      <c r="O40" s="3">
        <f t="shared" ca="1" si="49"/>
        <v>0.14364725252241328</v>
      </c>
      <c r="P40" s="3">
        <f t="shared" ca="1" si="50"/>
        <v>4.3908438686505189</v>
      </c>
      <c r="Q40" s="3">
        <f t="shared" ca="1" si="51"/>
        <v>2.4954569524192687</v>
      </c>
      <c r="R40" s="3">
        <f t="shared" ca="1" si="52"/>
        <v>1.4243470018153355</v>
      </c>
      <c r="S40" s="3">
        <f t="shared" ca="1" si="53"/>
        <v>1.4700979283129421</v>
      </c>
      <c r="T40" s="3">
        <f t="shared" ca="1" si="54"/>
        <v>0.14364725252241328</v>
      </c>
      <c r="U40" s="3">
        <f t="shared" ca="1" si="55"/>
        <v>2.5773532829200372</v>
      </c>
      <c r="V40" s="3">
        <f t="shared" ca="1" si="56"/>
        <v>0.14364725252241328</v>
      </c>
      <c r="W40" s="3">
        <f t="shared" ca="1" si="57"/>
        <v>7.6368477630678893</v>
      </c>
      <c r="X40" s="3">
        <f t="shared" ca="1" si="58"/>
        <v>0.14364725252241328</v>
      </c>
      <c r="Y40" s="3">
        <f t="shared" ca="1" si="59"/>
        <v>0.14364725252241328</v>
      </c>
      <c r="Z40" s="3">
        <f t="shared" ca="1" si="60"/>
        <v>0.98650532248058376</v>
      </c>
      <c r="AA40" s="3">
        <f t="shared" ca="1" si="61"/>
        <v>0.75815674988426451</v>
      </c>
      <c r="AB40" s="3">
        <f t="shared" ca="1" si="62"/>
        <v>5.5448484229949004</v>
      </c>
      <c r="AC40" s="3">
        <f t="shared" ca="1" si="63"/>
        <v>1.4644891733698913</v>
      </c>
      <c r="AD40" s="3">
        <f t="shared" ca="1" si="64"/>
        <v>0.14364725252241328</v>
      </c>
      <c r="AE40" s="3">
        <f t="shared" ca="1" si="65"/>
        <v>0.14364725252241328</v>
      </c>
      <c r="AF40" s="3">
        <f t="shared" ca="1" si="66"/>
        <v>2.3530188844030278</v>
      </c>
      <c r="AG40" s="3">
        <f t="shared" ca="1" si="67"/>
        <v>0.14364725252241328</v>
      </c>
      <c r="AH40" s="3">
        <f t="shared" ca="1" si="68"/>
        <v>0.14364725252241328</v>
      </c>
      <c r="AI40" s="3">
        <f t="shared" ca="1" si="69"/>
        <v>7.6368477630678893</v>
      </c>
      <c r="AJ40" s="3">
        <f ca="1">+D369</f>
        <v>0.14364725252241328</v>
      </c>
      <c r="AK40" s="3">
        <f t="shared" ca="1" si="71"/>
        <v>0.14364725252241328</v>
      </c>
      <c r="AL40" s="3">
        <f t="shared" si="72"/>
        <v>0</v>
      </c>
      <c r="AM40" s="3">
        <f t="shared" si="73"/>
        <v>0</v>
      </c>
      <c r="AN40" s="3">
        <f t="shared" si="74"/>
        <v>0</v>
      </c>
    </row>
    <row r="41" spans="1:41" x14ac:dyDescent="0.25">
      <c r="A41">
        <f>+'Esc 2'!A50</f>
        <v>1983</v>
      </c>
      <c r="B41" s="2">
        <f>+'Esc 2'!B50</f>
        <v>9</v>
      </c>
      <c r="C41">
        <f>+IF($AB$3="",'Esc 2'!O50,'Bal Híd'!R40)</f>
        <v>0.41927041498801532</v>
      </c>
      <c r="D41">
        <f ca="1">+'Bal Híd'!N40</f>
        <v>7.6368477630678893</v>
      </c>
      <c r="F41" s="314" t="s">
        <v>290</v>
      </c>
      <c r="G41" s="3">
        <f t="shared" ca="1" si="41"/>
        <v>3.8213422708397502</v>
      </c>
      <c r="H41" s="3">
        <f t="shared" ca="1" si="42"/>
        <v>7.2457749040840653</v>
      </c>
      <c r="I41" s="3">
        <f t="shared" ca="1" si="43"/>
        <v>7.2519838606021594</v>
      </c>
      <c r="J41" s="3">
        <f t="shared" ca="1" si="44"/>
        <v>0.14364725252241328</v>
      </c>
      <c r="K41" s="3">
        <f t="shared" ca="1" si="45"/>
        <v>0.14364725252241328</v>
      </c>
      <c r="L41" s="3">
        <f t="shared" ca="1" si="46"/>
        <v>0.58938134389632202</v>
      </c>
      <c r="M41" s="3">
        <f t="shared" ca="1" si="47"/>
        <v>3.4102531360289658</v>
      </c>
      <c r="N41" s="3">
        <f t="shared" ca="1" si="48"/>
        <v>0.14364725252241328</v>
      </c>
      <c r="O41" s="3">
        <f t="shared" ca="1" si="49"/>
        <v>1.7478345735897656</v>
      </c>
      <c r="P41" s="3">
        <f t="shared" ca="1" si="50"/>
        <v>2.9047125402527332</v>
      </c>
      <c r="Q41" s="3">
        <f t="shared" ca="1" si="51"/>
        <v>3.7514630083036185</v>
      </c>
      <c r="R41" s="3">
        <f t="shared" ca="1" si="52"/>
        <v>0.79245232769775908</v>
      </c>
      <c r="S41" s="3">
        <f t="shared" ca="1" si="53"/>
        <v>2.0110045059095234</v>
      </c>
      <c r="T41" s="3">
        <f t="shared" ca="1" si="54"/>
        <v>0.46186285707904684</v>
      </c>
      <c r="U41" s="3">
        <f t="shared" ca="1" si="55"/>
        <v>2.3456359616590028</v>
      </c>
      <c r="V41" s="3">
        <f t="shared" ca="1" si="56"/>
        <v>1.5136034647925425</v>
      </c>
      <c r="W41" s="3">
        <f t="shared" ca="1" si="57"/>
        <v>7.6368477630678893</v>
      </c>
      <c r="X41" s="3">
        <f t="shared" ca="1" si="58"/>
        <v>0.14364725252241328</v>
      </c>
      <c r="Y41" s="3">
        <f t="shared" ca="1" si="59"/>
        <v>0.14364725252241328</v>
      </c>
      <c r="Z41" s="3">
        <f t="shared" ca="1" si="60"/>
        <v>0.1677193702927755</v>
      </c>
      <c r="AA41" s="3">
        <f t="shared" ca="1" si="61"/>
        <v>0.15464650572618166</v>
      </c>
      <c r="AB41" s="3">
        <f t="shared" ca="1" si="62"/>
        <v>6.583981489943568</v>
      </c>
      <c r="AC41" s="3">
        <f t="shared" ca="1" si="63"/>
        <v>0.14364725252241328</v>
      </c>
      <c r="AD41" s="3">
        <f t="shared" ca="1" si="64"/>
        <v>0.14364725252241328</v>
      </c>
      <c r="AE41" s="3">
        <f t="shared" ca="1" si="65"/>
        <v>0.14364725252241328</v>
      </c>
      <c r="AF41" s="3">
        <f t="shared" ca="1" si="66"/>
        <v>3.0978542811007248</v>
      </c>
      <c r="AG41" s="3">
        <f t="shared" ca="1" si="67"/>
        <v>0.14364725252241328</v>
      </c>
      <c r="AH41" s="3">
        <f t="shared" ca="1" si="68"/>
        <v>1.7669760327865531</v>
      </c>
      <c r="AI41" s="3">
        <f t="shared" ca="1" si="69"/>
        <v>7.6368477630678893</v>
      </c>
      <c r="AJ41" s="3">
        <f t="shared" ca="1" si="70"/>
        <v>0.14364725252241328</v>
      </c>
      <c r="AK41" s="3">
        <f t="shared" ca="1" si="71"/>
        <v>0.14364725252241328</v>
      </c>
      <c r="AL41" s="3">
        <f t="shared" si="72"/>
        <v>0</v>
      </c>
      <c r="AM41" s="3">
        <f t="shared" si="73"/>
        <v>0</v>
      </c>
      <c r="AN41" s="3">
        <f t="shared" si="74"/>
        <v>0</v>
      </c>
    </row>
    <row r="42" spans="1:41" x14ac:dyDescent="0.25">
      <c r="A42">
        <f>+'Esc 2'!A51</f>
        <v>1983</v>
      </c>
      <c r="B42" s="2">
        <f>+'Esc 2'!B51</f>
        <v>10</v>
      </c>
      <c r="C42">
        <f>+IF($AB$3="",'Esc 2'!O51,'Bal Híd'!R41)</f>
        <v>0.69661277982757164</v>
      </c>
      <c r="D42">
        <f ca="1">+'Bal Híd'!N41</f>
        <v>7.5235465688294214</v>
      </c>
      <c r="F42" s="314" t="s">
        <v>291</v>
      </c>
      <c r="G42" s="3">
        <f t="shared" ca="1" si="41"/>
        <v>4.2201396207523549</v>
      </c>
      <c r="H42" s="3">
        <f t="shared" ca="1" si="42"/>
        <v>7.6368477630678893</v>
      </c>
      <c r="I42" s="3">
        <f t="shared" ca="1" si="43"/>
        <v>7.6368477630678893</v>
      </c>
      <c r="J42" s="3">
        <f t="shared" ca="1" si="44"/>
        <v>3.3277024276279379</v>
      </c>
      <c r="K42" s="3">
        <f t="shared" ca="1" si="45"/>
        <v>4.4658646344009769</v>
      </c>
      <c r="L42" s="3">
        <f t="shared" ca="1" si="46"/>
        <v>5.7202658454524151</v>
      </c>
      <c r="M42" s="3">
        <f t="shared" ca="1" si="47"/>
        <v>3.2226600357842772</v>
      </c>
      <c r="N42" s="3">
        <f t="shared" ca="1" si="48"/>
        <v>0.85782947096594631</v>
      </c>
      <c r="O42" s="3">
        <f t="shared" ca="1" si="49"/>
        <v>4.4531632911371437</v>
      </c>
      <c r="P42" s="3">
        <f t="shared" ca="1" si="50"/>
        <v>2.883112594947332</v>
      </c>
      <c r="Q42" s="3">
        <f t="shared" ca="1" si="51"/>
        <v>5.584210753992898</v>
      </c>
      <c r="R42" s="3">
        <f t="shared" ca="1" si="52"/>
        <v>0.76901956816126227</v>
      </c>
      <c r="S42" s="3">
        <f t="shared" ca="1" si="53"/>
        <v>2.7687249802438743</v>
      </c>
      <c r="T42" s="3">
        <f t="shared" ca="1" si="54"/>
        <v>1.6823512766697797</v>
      </c>
      <c r="U42" s="3">
        <f t="shared" ca="1" si="55"/>
        <v>2.7517013171519289</v>
      </c>
      <c r="V42" s="3">
        <f t="shared" ca="1" si="56"/>
        <v>1.8052858054991003</v>
      </c>
      <c r="W42" s="3">
        <f t="shared" ca="1" si="57"/>
        <v>7.6368477630678893</v>
      </c>
      <c r="X42" s="3">
        <f t="shared" ca="1" si="58"/>
        <v>0.34164650153816345</v>
      </c>
      <c r="Y42" s="3">
        <f t="shared" ca="1" si="59"/>
        <v>1.6838413727915333</v>
      </c>
      <c r="Z42" s="3">
        <f t="shared" ca="1" si="60"/>
        <v>0.58465326088255309</v>
      </c>
      <c r="AA42" s="3">
        <f t="shared" ca="1" si="61"/>
        <v>5.5410993136366695</v>
      </c>
      <c r="AB42" s="3">
        <f t="shared" ca="1" si="62"/>
        <v>7.6368477630678893</v>
      </c>
      <c r="AC42" s="3">
        <f t="shared" ca="1" si="63"/>
        <v>0.14364725252241328</v>
      </c>
      <c r="AD42" s="3">
        <f t="shared" ca="1" si="64"/>
        <v>0.15858073093484892</v>
      </c>
      <c r="AE42" s="3">
        <f t="shared" ca="1" si="65"/>
        <v>0.14364725252241328</v>
      </c>
      <c r="AF42" s="3">
        <f t="shared" ca="1" si="66"/>
        <v>6.9950058263149586</v>
      </c>
      <c r="AG42" s="3">
        <f t="shared" ca="1" si="67"/>
        <v>0.22569305506177451</v>
      </c>
      <c r="AH42" s="3">
        <f t="shared" ca="1" si="68"/>
        <v>2.0974475334164007</v>
      </c>
      <c r="AI42" s="3">
        <f t="shared" ca="1" si="69"/>
        <v>7.5911061814169445</v>
      </c>
      <c r="AJ42" s="3">
        <f t="shared" ca="1" si="70"/>
        <v>0.14364725252241328</v>
      </c>
      <c r="AK42" s="3">
        <f t="shared" ca="1" si="71"/>
        <v>0.14364725252241328</v>
      </c>
      <c r="AL42" s="3">
        <f t="shared" si="72"/>
        <v>0</v>
      </c>
      <c r="AM42" s="3">
        <f t="shared" si="73"/>
        <v>0</v>
      </c>
      <c r="AN42" s="3">
        <f t="shared" si="74"/>
        <v>0</v>
      </c>
    </row>
    <row r="43" spans="1:41" x14ac:dyDescent="0.25">
      <c r="A43">
        <f>+'Esc 2'!A52</f>
        <v>1983</v>
      </c>
      <c r="B43" s="2">
        <f>+'Esc 2'!B52</f>
        <v>11</v>
      </c>
      <c r="C43">
        <f>+IF($AB$3="",'Esc 2'!O52,'Bal Híd'!R42)</f>
        <v>1.5353281145551652</v>
      </c>
      <c r="D43">
        <f ca="1">+'Bal Híd'!N42</f>
        <v>6.5801904777740861</v>
      </c>
      <c r="F43" s="312"/>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41" x14ac:dyDescent="0.25">
      <c r="A44">
        <f>+'Esc 2'!A53</f>
        <v>1983</v>
      </c>
      <c r="B44" s="2">
        <f>+'Esc 2'!B53</f>
        <v>12</v>
      </c>
      <c r="C44">
        <f>+IF($AB$3="",'Esc 2'!O53,'Bal Híd'!R43)</f>
        <v>0.46523814881150954</v>
      </c>
      <c r="D44">
        <f ca="1">+'Bal Híd'!N43</f>
        <v>2.4015135416376188</v>
      </c>
    </row>
    <row r="45" spans="1:41" x14ac:dyDescent="0.25">
      <c r="A45">
        <f>+'Esc 2'!A54</f>
        <v>1984</v>
      </c>
      <c r="B45" s="2">
        <f>+'Esc 2'!B54</f>
        <v>1</v>
      </c>
      <c r="C45">
        <f>+IF($AB$3="",'Esc 2'!O54,'Bal Híd'!R44)</f>
        <v>4.4488209077702319</v>
      </c>
      <c r="D45">
        <f ca="1">+'Bal Híd'!N44</f>
        <v>3.3477085476349151</v>
      </c>
    </row>
    <row r="46" spans="1:41" x14ac:dyDescent="0.25">
      <c r="A46">
        <f>+'Esc 2'!A55</f>
        <v>1984</v>
      </c>
      <c r="B46" s="2">
        <f>+'Esc 2'!B55</f>
        <v>2</v>
      </c>
      <c r="C46">
        <f>+IF($AB$3="",'Esc 2'!O55,'Bal Híd'!R45)</f>
        <v>5.6164811013013276</v>
      </c>
      <c r="D46">
        <f ca="1">+'Bal Híd'!N45</f>
        <v>7.2519838606021594</v>
      </c>
    </row>
    <row r="47" spans="1:41" x14ac:dyDescent="0.25">
      <c r="A47">
        <f>+'Esc 2'!A56</f>
        <v>1984</v>
      </c>
      <c r="B47" s="2">
        <f>+'Esc 2'!B56</f>
        <v>3</v>
      </c>
      <c r="C47">
        <f>+IF($AB$3="",'Esc 2'!O56,'Bal Híd'!R46)</f>
        <v>3.3736832357075297</v>
      </c>
      <c r="D47">
        <f ca="1">+'Bal Híd'!N46</f>
        <v>7.6368477630678893</v>
      </c>
    </row>
    <row r="48" spans="1:41" x14ac:dyDescent="0.25">
      <c r="A48">
        <f>+'Esc 2'!A57</f>
        <v>1984</v>
      </c>
      <c r="B48" s="2">
        <f>+'Esc 2'!B57</f>
        <v>4</v>
      </c>
      <c r="C48">
        <f>+IF($AB$3="",'Esc 2'!O57,'Bal Híd'!R47)</f>
        <v>2.0764758018993188</v>
      </c>
      <c r="D48">
        <f ca="1">+'Bal Híd'!N47</f>
        <v>7.6368477630678893</v>
      </c>
    </row>
    <row r="49" spans="1:4" x14ac:dyDescent="0.25">
      <c r="A49">
        <f>+'Esc 2'!A58</f>
        <v>1984</v>
      </c>
      <c r="B49" s="2">
        <f>+'Esc 2'!B58</f>
        <v>5</v>
      </c>
      <c r="C49">
        <f>+IF($AB$3="",'Esc 2'!O58,'Bal Híd'!R48)</f>
        <v>3.0635796809425657</v>
      </c>
      <c r="D49">
        <f ca="1">+'Bal Híd'!N48</f>
        <v>7.6368477630678893</v>
      </c>
    </row>
    <row r="50" spans="1:4" x14ac:dyDescent="0.25">
      <c r="A50">
        <f>+'Esc 2'!A59</f>
        <v>1984</v>
      </c>
      <c r="B50" s="2">
        <f>+'Esc 2'!B59</f>
        <v>6</v>
      </c>
      <c r="C50">
        <f>+IF($AB$3="",'Esc 2'!O59,'Bal Híd'!R49)</f>
        <v>2.6675315267237472</v>
      </c>
      <c r="D50">
        <f ca="1">+'Bal Híd'!N49</f>
        <v>7.6368477630678893</v>
      </c>
    </row>
    <row r="51" spans="1:4" x14ac:dyDescent="0.25">
      <c r="A51">
        <f>+'Esc 2'!A60</f>
        <v>1984</v>
      </c>
      <c r="B51" s="2">
        <f>+'Esc 2'!B60</f>
        <v>7</v>
      </c>
      <c r="C51">
        <f>+IF($AB$3="",'Esc 2'!O60,'Bal Híd'!R50)</f>
        <v>1.9793418827716363</v>
      </c>
      <c r="D51">
        <f ca="1">+'Bal Híd'!N50</f>
        <v>7.6368477630678893</v>
      </c>
    </row>
    <row r="52" spans="1:4" x14ac:dyDescent="0.25">
      <c r="A52">
        <f>+'Esc 2'!A61</f>
        <v>1984</v>
      </c>
      <c r="B52" s="2">
        <f>+'Esc 2'!B61</f>
        <v>8</v>
      </c>
      <c r="C52">
        <f>+IF($AB$3="",'Esc 2'!O61,'Bal Híd'!R51)</f>
        <v>0.59518605992495821</v>
      </c>
      <c r="D52">
        <f ca="1">+'Bal Híd'!N51</f>
        <v>7.6368477630678893</v>
      </c>
    </row>
    <row r="53" spans="1:4" x14ac:dyDescent="0.25">
      <c r="A53">
        <f>+'Esc 2'!A62</f>
        <v>1984</v>
      </c>
      <c r="B53" s="2">
        <f>+'Esc 2'!B62</f>
        <v>9</v>
      </c>
      <c r="C53">
        <f>+IF($AB$3="",'Esc 2'!O62,'Bal Híd'!R52)</f>
        <v>2.8662339145583076</v>
      </c>
      <c r="D53">
        <f ca="1">+'Bal Híd'!N52</f>
        <v>7.6368477630678893</v>
      </c>
    </row>
    <row r="54" spans="1:4" x14ac:dyDescent="0.25">
      <c r="A54">
        <f>+'Esc 2'!A63</f>
        <v>1984</v>
      </c>
      <c r="B54" s="2">
        <f>+'Esc 2'!B63</f>
        <v>10</v>
      </c>
      <c r="C54">
        <f>+IF($AB$3="",'Esc 2'!O63,'Bal Híd'!R53)</f>
        <v>1.8619081223909717</v>
      </c>
      <c r="D54">
        <f ca="1">+'Bal Híd'!N53</f>
        <v>7.6368477630678893</v>
      </c>
    </row>
    <row r="55" spans="1:4" x14ac:dyDescent="0.25">
      <c r="A55">
        <f>+'Esc 2'!A64</f>
        <v>1984</v>
      </c>
      <c r="B55" s="2">
        <f>+'Esc 2'!B64</f>
        <v>11</v>
      </c>
      <c r="C55">
        <f>+IF($AB$3="",'Esc 2'!O64,'Bal Híd'!R54)</f>
        <v>1.659807013965793</v>
      </c>
      <c r="D55">
        <f ca="1">+'Bal Híd'!N54</f>
        <v>6.7831175832796147</v>
      </c>
    </row>
    <row r="56" spans="1:4" x14ac:dyDescent="0.25">
      <c r="A56">
        <f>+'Esc 2'!A65</f>
        <v>1984</v>
      </c>
      <c r="B56" s="2">
        <f>+'Esc 2'!B65</f>
        <v>12</v>
      </c>
      <c r="C56">
        <f>+IF($AB$3="",'Esc 2'!O65,'Bal Híd'!R55)</f>
        <v>0.48689531028964028</v>
      </c>
      <c r="D56">
        <f ca="1">+'Bal Híd'!N55</f>
        <v>2.6319240448566843</v>
      </c>
    </row>
    <row r="57" spans="1:4" x14ac:dyDescent="0.25">
      <c r="A57">
        <f>+'Esc 2'!A66</f>
        <v>1985</v>
      </c>
      <c r="B57" s="2">
        <f>+'Esc 2'!B66</f>
        <v>1</v>
      </c>
      <c r="C57">
        <f>+IF($AB$3="",'Esc 2'!O66,'Bal Híd'!R56)</f>
        <v>0.31215159541990339</v>
      </c>
      <c r="D57">
        <f ca="1">+'Bal Híd'!N56</f>
        <v>0.14364725252241328</v>
      </c>
    </row>
    <row r="58" spans="1:4" x14ac:dyDescent="0.25">
      <c r="A58">
        <f>+'Esc 2'!A67</f>
        <v>1985</v>
      </c>
      <c r="B58" s="2">
        <f>+'Esc 2'!B67</f>
        <v>2</v>
      </c>
      <c r="C58">
        <f>+IF($AB$3="",'Esc 2'!O67,'Bal Híd'!R57)</f>
        <v>0.78676040790645008</v>
      </c>
      <c r="D58">
        <f ca="1">+'Bal Híd'!N57</f>
        <v>0.14364725252241328</v>
      </c>
    </row>
    <row r="59" spans="1:4" x14ac:dyDescent="0.25">
      <c r="A59">
        <f>+'Esc 2'!A68</f>
        <v>1985</v>
      </c>
      <c r="B59" s="2">
        <f>+'Esc 2'!B68</f>
        <v>3</v>
      </c>
      <c r="C59">
        <f>+IF($AB$3="",'Esc 2'!O68,'Bal Híd'!R58)</f>
        <v>3.6986915685198305</v>
      </c>
      <c r="D59">
        <f ca="1">+'Bal Híd'!N58</f>
        <v>3.3277024276279379</v>
      </c>
    </row>
    <row r="60" spans="1:4" x14ac:dyDescent="0.25">
      <c r="A60">
        <f>+'Esc 2'!A69</f>
        <v>1985</v>
      </c>
      <c r="B60" s="2">
        <f>+'Esc 2'!B69</f>
        <v>4</v>
      </c>
      <c r="C60">
        <f>+IF($AB$3="",'Esc 2'!O69,'Bal Híd'!R59)</f>
        <v>2.0569547254924045</v>
      </c>
      <c r="D60">
        <f ca="1">+'Bal Híd'!N59</f>
        <v>5.3117588232381996</v>
      </c>
    </row>
    <row r="61" spans="1:4" x14ac:dyDescent="0.25">
      <c r="A61">
        <f>+'Esc 2'!A70</f>
        <v>1985</v>
      </c>
      <c r="B61" s="2">
        <f>+'Esc 2'!B70</f>
        <v>5</v>
      </c>
      <c r="C61">
        <f>+IF($AB$3="",'Esc 2'!O70,'Bal Híd'!R60)</f>
        <v>2.5117525475714375</v>
      </c>
      <c r="D61">
        <f ca="1">+'Bal Híd'!N60</f>
        <v>7.6368477630678893</v>
      </c>
    </row>
    <row r="62" spans="1:4" x14ac:dyDescent="0.25">
      <c r="A62">
        <f>+'Esc 2'!A71</f>
        <v>1985</v>
      </c>
      <c r="B62" s="2">
        <f>+'Esc 2'!B71</f>
        <v>6</v>
      </c>
      <c r="C62">
        <f>+IF($AB$3="",'Esc 2'!O71,'Bal Híd'!R61)</f>
        <v>1.4856496946109377</v>
      </c>
      <c r="D62">
        <f ca="1">+'Bal Híd'!N61</f>
        <v>7.6368477630678893</v>
      </c>
    </row>
    <row r="63" spans="1:4" x14ac:dyDescent="0.25">
      <c r="A63">
        <f>+'Esc 2'!A72</f>
        <v>1985</v>
      </c>
      <c r="B63" s="2">
        <f>+'Esc 2'!B72</f>
        <v>7</v>
      </c>
      <c r="C63">
        <f>+IF($AB$3="",'Esc 2'!O72,'Bal Híd'!R62)</f>
        <v>2.2938728831925346</v>
      </c>
      <c r="D63">
        <f ca="1">+'Bal Híd'!N62</f>
        <v>7.6368477630678893</v>
      </c>
    </row>
    <row r="64" spans="1:4" x14ac:dyDescent="0.25">
      <c r="A64">
        <f>+'Esc 2'!A73</f>
        <v>1985</v>
      </c>
      <c r="B64" s="2">
        <f>+'Esc 2'!B73</f>
        <v>8</v>
      </c>
      <c r="C64">
        <f>+IF($AB$3="",'Esc 2'!O73,'Bal Híd'!R63)</f>
        <v>1.4007951225875015</v>
      </c>
      <c r="D64">
        <f ca="1">+'Bal Híd'!N63</f>
        <v>7.6368477630678893</v>
      </c>
    </row>
    <row r="65" spans="1:4" x14ac:dyDescent="0.25">
      <c r="A65">
        <f>+'Esc 2'!A74</f>
        <v>1985</v>
      </c>
      <c r="B65" s="2">
        <f>+'Esc 2'!B74</f>
        <v>9</v>
      </c>
      <c r="C65">
        <f>+IF($AB$3="",'Esc 2'!O74,'Bal Híd'!R64)</f>
        <v>1.3351291835576042</v>
      </c>
      <c r="D65">
        <f ca="1">+'Bal Híd'!N64</f>
        <v>7.6368477630678893</v>
      </c>
    </row>
    <row r="66" spans="1:4" x14ac:dyDescent="0.25">
      <c r="A66">
        <f>+'Esc 2'!A75</f>
        <v>1985</v>
      </c>
      <c r="B66" s="2">
        <f>+'Esc 2'!B75</f>
        <v>10</v>
      </c>
      <c r="C66">
        <f>+IF($AB$3="",'Esc 2'!O75,'Bal Híd'!R65)</f>
        <v>1.2669774209845777</v>
      </c>
      <c r="D66">
        <f ca="1">+'Bal Híd'!N65</f>
        <v>7.6368477630678893</v>
      </c>
    </row>
    <row r="67" spans="1:4" x14ac:dyDescent="0.25">
      <c r="A67">
        <f>+'Esc 2'!A76</f>
        <v>1985</v>
      </c>
      <c r="B67" s="2">
        <f>+'Esc 2'!B76</f>
        <v>11</v>
      </c>
      <c r="C67">
        <f>+IF($AB$3="",'Esc 2'!O76,'Bal Híd'!R66)</f>
        <v>0.34773476772142126</v>
      </c>
      <c r="D67">
        <f ca="1">+'Bal Híd'!N66</f>
        <v>5.2385609434035318</v>
      </c>
    </row>
    <row r="68" spans="1:4" x14ac:dyDescent="0.25">
      <c r="A68">
        <f>+'Esc 2'!A77</f>
        <v>1985</v>
      </c>
      <c r="B68" s="2">
        <f>+'Esc 2'!B77</f>
        <v>12</v>
      </c>
      <c r="C68">
        <f>+IF($AB$3="",'Esc 2'!O77,'Bal Híd'!R67)</f>
        <v>7.5138381570113835E-2</v>
      </c>
      <c r="D68">
        <f ca="1">+'Bal Híd'!N67</f>
        <v>0.80382926058428428</v>
      </c>
    </row>
    <row r="69" spans="1:4" x14ac:dyDescent="0.25">
      <c r="A69">
        <f>+'Esc 2'!A78</f>
        <v>1986</v>
      </c>
      <c r="B69" s="2">
        <f>+'Esc 2'!B78</f>
        <v>1</v>
      </c>
      <c r="C69">
        <f>+IF($AB$3="",'Esc 2'!O78,'Bal Híd'!R68)</f>
        <v>2.1435958332752723</v>
      </c>
      <c r="D69">
        <f ca="1">+'Bal Híd'!N68</f>
        <v>0.14364725252241328</v>
      </c>
    </row>
    <row r="70" spans="1:4" x14ac:dyDescent="0.25">
      <c r="A70">
        <f>+'Esc 2'!A79</f>
        <v>1986</v>
      </c>
      <c r="B70" s="2">
        <f>+'Esc 2'!B79</f>
        <v>2</v>
      </c>
      <c r="C70">
        <f>+IF($AB$3="",'Esc 2'!O79,'Bal Híd'!R69)</f>
        <v>1.016533595050382</v>
      </c>
      <c r="D70">
        <f ca="1">+'Bal Híd'!N69</f>
        <v>0.14364725252241328</v>
      </c>
    </row>
    <row r="71" spans="1:4" x14ac:dyDescent="0.25">
      <c r="A71">
        <f>+'Esc 2'!A80</f>
        <v>1986</v>
      </c>
      <c r="B71" s="2">
        <f>+'Esc 2'!B80</f>
        <v>3</v>
      </c>
      <c r="C71">
        <f>+IF($AB$3="",'Esc 2'!O80,'Bal Híd'!R70)</f>
        <v>4.8191979634840951</v>
      </c>
      <c r="D71">
        <f ca="1">+'Bal Híd'!N70</f>
        <v>4.4658646344009769</v>
      </c>
    </row>
    <row r="72" spans="1:4" x14ac:dyDescent="0.25">
      <c r="A72">
        <f>+'Esc 2'!A81</f>
        <v>1986</v>
      </c>
      <c r="B72" s="2">
        <f>+'Esc 2'!B81</f>
        <v>4</v>
      </c>
      <c r="C72">
        <f>+IF($AB$3="",'Esc 2'!O81,'Bal Híd'!R71)</f>
        <v>6.0688689174704793</v>
      </c>
      <c r="D72">
        <f ca="1">+'Bal Híd'!N71</f>
        <v>7.6368477630678893</v>
      </c>
    </row>
    <row r="73" spans="1:4" x14ac:dyDescent="0.25">
      <c r="A73">
        <f>+'Esc 2'!A82</f>
        <v>1986</v>
      </c>
      <c r="B73" s="2">
        <f>+'Esc 2'!B82</f>
        <v>5</v>
      </c>
      <c r="C73">
        <f>+IF($AB$3="",'Esc 2'!O82,'Bal Híd'!R72)</f>
        <v>5.1492603601121818</v>
      </c>
      <c r="D73">
        <f ca="1">+'Bal Híd'!N72</f>
        <v>7.6368477630678893</v>
      </c>
    </row>
    <row r="74" spans="1:4" x14ac:dyDescent="0.25">
      <c r="A74">
        <f>+'Esc 2'!A83</f>
        <v>1986</v>
      </c>
      <c r="B74" s="2">
        <f>+'Esc 2'!B83</f>
        <v>6</v>
      </c>
      <c r="C74">
        <f>+IF($AB$3="",'Esc 2'!O83,'Bal Híd'!R73)</f>
        <v>2.6658623830909933</v>
      </c>
      <c r="D74">
        <f ca="1">+'Bal Híd'!N73</f>
        <v>7.6368477630678893</v>
      </c>
    </row>
    <row r="75" spans="1:4" x14ac:dyDescent="0.25">
      <c r="A75">
        <f>+'Esc 2'!A84</f>
        <v>1986</v>
      </c>
      <c r="B75" s="2">
        <f>+'Esc 2'!B84</f>
        <v>7</v>
      </c>
      <c r="C75">
        <f>+IF($AB$3="",'Esc 2'!O84,'Bal Híd'!R74)</f>
        <v>0.80857784733267313</v>
      </c>
      <c r="D75">
        <f ca="1">+'Bal Híd'!N74</f>
        <v>7.6368477630678893</v>
      </c>
    </row>
    <row r="76" spans="1:4" x14ac:dyDescent="0.25">
      <c r="A76">
        <f>+'Esc 2'!A85</f>
        <v>1986</v>
      </c>
      <c r="B76" s="2">
        <f>+'Esc 2'!B85</f>
        <v>8</v>
      </c>
      <c r="C76">
        <f>+IF($AB$3="",'Esc 2'!O85,'Bal Híd'!R75)</f>
        <v>0.68750832662350281</v>
      </c>
      <c r="D76">
        <f ca="1">+'Bal Híd'!N75</f>
        <v>7.6368477630678893</v>
      </c>
    </row>
    <row r="77" spans="1:4" x14ac:dyDescent="0.25">
      <c r="A77">
        <f>+'Esc 2'!A86</f>
        <v>1986</v>
      </c>
      <c r="B77" s="2">
        <f>+'Esc 2'!B86</f>
        <v>9</v>
      </c>
      <c r="C77">
        <f>+IF($AB$3="",'Esc 2'!O86,'Bal Híd'!R76)</f>
        <v>1.3150027866349794</v>
      </c>
      <c r="D77">
        <f ca="1">+'Bal Híd'!N76</f>
        <v>7.6368477630678893</v>
      </c>
    </row>
    <row r="78" spans="1:4" x14ac:dyDescent="0.25">
      <c r="A78">
        <f>+'Esc 2'!A87</f>
        <v>1986</v>
      </c>
      <c r="B78" s="2">
        <f>+'Esc 2'!B87</f>
        <v>10</v>
      </c>
      <c r="C78">
        <f>+IF($AB$3="",'Esc 2'!O87,'Bal Híd'!R77)</f>
        <v>1.8402389541538222</v>
      </c>
      <c r="D78">
        <f ca="1">+'Bal Híd'!N77</f>
        <v>7.6368477630678893</v>
      </c>
    </row>
    <row r="79" spans="1:4" x14ac:dyDescent="0.25">
      <c r="A79">
        <f>+'Esc 2'!A88</f>
        <v>1986</v>
      </c>
      <c r="B79" s="2">
        <f>+'Esc 2'!B88</f>
        <v>11</v>
      </c>
      <c r="C79">
        <f>+IF($AB$3="",'Esc 2'!O88,'Bal Híd'!R78)</f>
        <v>4.6768426349767269</v>
      </c>
      <c r="D79">
        <f ca="1">+'Bal Híd'!N78</f>
        <v>7.6368477630678893</v>
      </c>
    </row>
    <row r="80" spans="1:4" x14ac:dyDescent="0.25">
      <c r="A80">
        <f>+'Esc 2'!A89</f>
        <v>1986</v>
      </c>
      <c r="B80" s="2">
        <f>+'Esc 2'!B89</f>
        <v>12</v>
      </c>
      <c r="C80">
        <f>+IF($AB$3="",'Esc 2'!O89,'Bal Híd'!R79)</f>
        <v>1.0932403688626386</v>
      </c>
      <c r="D80">
        <f ca="1">+'Bal Híd'!N79</f>
        <v>3.9920164914175347</v>
      </c>
    </row>
    <row r="81" spans="1:4" x14ac:dyDescent="0.25">
      <c r="A81">
        <f>+'Esc 2'!A90</f>
        <v>1987</v>
      </c>
      <c r="B81" s="2">
        <f>+'Esc 2'!B90</f>
        <v>1</v>
      </c>
      <c r="C81">
        <f>+IF($AB$3="",'Esc 2'!O90,'Bal Híd'!R80)</f>
        <v>1.2563953167350537</v>
      </c>
      <c r="D81">
        <f ca="1">+'Bal Híd'!N80</f>
        <v>1.6338876289688553</v>
      </c>
    </row>
    <row r="82" spans="1:4" x14ac:dyDescent="0.25">
      <c r="A82">
        <f>+'Esc 2'!A91</f>
        <v>1987</v>
      </c>
      <c r="B82" s="2">
        <f>+'Esc 2'!B91</f>
        <v>2</v>
      </c>
      <c r="C82">
        <f>+IF($AB$3="",'Esc 2'!O91,'Bal Híd'!R81)</f>
        <v>0.71544185007040983</v>
      </c>
      <c r="D82">
        <f ca="1">+'Bal Híd'!N81</f>
        <v>0.58938134389632202</v>
      </c>
    </row>
    <row r="83" spans="1:4" x14ac:dyDescent="0.25">
      <c r="A83">
        <f>+'Esc 2'!A92</f>
        <v>1987</v>
      </c>
      <c r="B83" s="2">
        <f>+'Esc 2'!B92</f>
        <v>3</v>
      </c>
      <c r="C83">
        <f>+IF($AB$3="",'Esc 2'!O92,'Bal Híd'!R82)</f>
        <v>5.6076797468613622</v>
      </c>
      <c r="D83">
        <f ca="1">+'Bal Híd'!N82</f>
        <v>5.7202658454524151</v>
      </c>
    </row>
    <row r="84" spans="1:4" x14ac:dyDescent="0.25">
      <c r="A84">
        <f>+'Esc 2'!A93</f>
        <v>1987</v>
      </c>
      <c r="B84" s="2">
        <f>+'Esc 2'!B93</f>
        <v>4</v>
      </c>
      <c r="C84">
        <f>+IF($AB$3="",'Esc 2'!O93,'Bal Híd'!R83)</f>
        <v>3.7131579275384499</v>
      </c>
      <c r="D84">
        <f ca="1">+'Bal Híd'!N83</f>
        <v>7.6368477630678893</v>
      </c>
    </row>
    <row r="85" spans="1:4" x14ac:dyDescent="0.25">
      <c r="A85">
        <f>+'Esc 2'!A94</f>
        <v>1987</v>
      </c>
      <c r="B85" s="2">
        <f>+'Esc 2'!B94</f>
        <v>5</v>
      </c>
      <c r="C85">
        <f>+IF($AB$3="",'Esc 2'!O94,'Bal Híd'!R84)</f>
        <v>1.4424435022225457</v>
      </c>
      <c r="D85">
        <f ca="1">+'Bal Híd'!N84</f>
        <v>7.6368477630678893</v>
      </c>
    </row>
    <row r="86" spans="1:4" x14ac:dyDescent="0.25">
      <c r="A86">
        <f>+'Esc 2'!A95</f>
        <v>1987</v>
      </c>
      <c r="B86" s="2">
        <f>+'Esc 2'!B95</f>
        <v>6</v>
      </c>
      <c r="C86">
        <f>+IF($AB$3="",'Esc 2'!O95,'Bal Híd'!R85)</f>
        <v>0.776170677251249</v>
      </c>
      <c r="D86">
        <f ca="1">+'Bal Híd'!N85</f>
        <v>7.6368477630678893</v>
      </c>
    </row>
    <row r="87" spans="1:4" x14ac:dyDescent="0.25">
      <c r="A87">
        <f>+'Esc 2'!A96</f>
        <v>1987</v>
      </c>
      <c r="B87" s="2">
        <f>+'Esc 2'!B96</f>
        <v>7</v>
      </c>
      <c r="C87">
        <f>+IF($AB$3="",'Esc 2'!O96,'Bal Híd'!R86)</f>
        <v>2.4351401581393484</v>
      </c>
      <c r="D87">
        <f ca="1">+'Bal Híd'!N86</f>
        <v>7.6368477630678893</v>
      </c>
    </row>
    <row r="88" spans="1:4" x14ac:dyDescent="0.25">
      <c r="A88">
        <f>+'Esc 2'!A97</f>
        <v>1987</v>
      </c>
      <c r="B88" s="2">
        <f>+'Esc 2'!B97</f>
        <v>8</v>
      </c>
      <c r="C88">
        <f>+IF($AB$3="",'Esc 2'!O97,'Bal Híd'!R87)</f>
        <v>1.626200276731576</v>
      </c>
      <c r="D88">
        <f ca="1">+'Bal Híd'!N87</f>
        <v>7.6368477630678893</v>
      </c>
    </row>
    <row r="89" spans="1:4" x14ac:dyDescent="0.25">
      <c r="A89">
        <f>+'Esc 2'!A98</f>
        <v>1987</v>
      </c>
      <c r="B89" s="2">
        <f>+'Esc 2'!B98</f>
        <v>9</v>
      </c>
      <c r="C89">
        <f>+IF($AB$3="",'Esc 2'!O98,'Bal Híd'!R88)</f>
        <v>2.9664817526222409</v>
      </c>
      <c r="D89">
        <f ca="1">+'Bal Híd'!N88</f>
        <v>7.6368477630678893</v>
      </c>
    </row>
    <row r="90" spans="1:4" x14ac:dyDescent="0.25">
      <c r="A90">
        <f>+'Esc 2'!A99</f>
        <v>1987</v>
      </c>
      <c r="B90" s="2">
        <f>+'Esc 2'!B99</f>
        <v>10</v>
      </c>
      <c r="C90">
        <f>+IF($AB$3="",'Esc 2'!O99,'Bal Híd'!R89)</f>
        <v>0.96385127403454618</v>
      </c>
      <c r="D90">
        <f ca="1">+'Bal Híd'!N89</f>
        <v>7.6368477630678893</v>
      </c>
    </row>
    <row r="91" spans="1:4" x14ac:dyDescent="0.25">
      <c r="A91">
        <f>+'Esc 2'!A100</f>
        <v>1987</v>
      </c>
      <c r="B91" s="2">
        <f>+'Esc 2'!B100</f>
        <v>11</v>
      </c>
      <c r="C91">
        <f>+IF($AB$3="",'Esc 2'!O100,'Bal Híd'!R90)</f>
        <v>0.77396578129949178</v>
      </c>
      <c r="D91">
        <f ca="1">+'Bal Híd'!N90</f>
        <v>5.8702151269530871</v>
      </c>
    </row>
    <row r="92" spans="1:4" x14ac:dyDescent="0.25">
      <c r="A92">
        <f>+'Esc 2'!A101</f>
        <v>1987</v>
      </c>
      <c r="B92" s="2">
        <f>+'Esc 2'!B101</f>
        <v>12</v>
      </c>
      <c r="C92">
        <f>+IF($AB$3="",'Esc 2'!O101,'Bal Híd'!R91)</f>
        <v>0.57210372625474881</v>
      </c>
      <c r="D92">
        <f ca="1">+'Bal Híd'!N91</f>
        <v>1.9334857174081153</v>
      </c>
    </row>
    <row r="93" spans="1:4" x14ac:dyDescent="0.25">
      <c r="A93">
        <f>+'Esc 2'!A102</f>
        <v>1988</v>
      </c>
      <c r="B93" s="2">
        <f>+'Esc 2'!B102</f>
        <v>1</v>
      </c>
      <c r="C93">
        <f>+IF($AB$3="",'Esc 2'!O102,'Bal Híd'!R92)</f>
        <v>5.3243723446951083</v>
      </c>
      <c r="D93">
        <f ca="1">+'Bal Híd'!N92</f>
        <v>3.7638173601048841</v>
      </c>
    </row>
    <row r="94" spans="1:4" x14ac:dyDescent="0.25">
      <c r="A94">
        <f>+'Esc 2'!A103</f>
        <v>1988</v>
      </c>
      <c r="B94" s="2">
        <f>+'Esc 2'!B103</f>
        <v>2</v>
      </c>
      <c r="C94">
        <f>+IF($AB$3="",'Esc 2'!O103,'Bal Híd'!R93)</f>
        <v>1.5362369544855854</v>
      </c>
      <c r="D94">
        <f ca="1">+'Bal Híd'!N93</f>
        <v>3.4102531360289658</v>
      </c>
    </row>
    <row r="95" spans="1:4" x14ac:dyDescent="0.25">
      <c r="A95">
        <f>+'Esc 2'!A104</f>
        <v>1988</v>
      </c>
      <c r="B95" s="2">
        <f>+'Esc 2'!B104</f>
        <v>3</v>
      </c>
      <c r="C95">
        <f>+IF($AB$3="",'Esc 2'!O104,'Bal Híd'!R94)</f>
        <v>0.47828727925989312</v>
      </c>
      <c r="D95">
        <f ca="1">+'Bal Híd'!N94</f>
        <v>3.2226600357842772</v>
      </c>
    </row>
    <row r="96" spans="1:4" x14ac:dyDescent="0.25">
      <c r="A96">
        <f>+'Esc 2'!A105</f>
        <v>1988</v>
      </c>
      <c r="B96" s="2">
        <f>+'Esc 2'!B105</f>
        <v>4</v>
      </c>
      <c r="C96">
        <f>+IF($AB$3="",'Esc 2'!O105,'Bal Híd'!R95)</f>
        <v>0.24883947992380465</v>
      </c>
      <c r="D96">
        <f ca="1">+'Bal Híd'!N95</f>
        <v>3.3909330030648825</v>
      </c>
    </row>
    <row r="97" spans="1:4" x14ac:dyDescent="0.25">
      <c r="A97">
        <f>+'Esc 2'!A106</f>
        <v>1988</v>
      </c>
      <c r="B97" s="2">
        <f>+'Esc 2'!B106</f>
        <v>5</v>
      </c>
      <c r="C97">
        <f>+IF($AB$3="",'Esc 2'!O106,'Bal Híd'!R96)</f>
        <v>7.0021648194232414E-2</v>
      </c>
      <c r="D97">
        <f ca="1">+'Bal Híd'!N96</f>
        <v>3.383051352574113</v>
      </c>
    </row>
    <row r="98" spans="1:4" x14ac:dyDescent="0.25">
      <c r="A98">
        <f>+'Esc 2'!A107</f>
        <v>1988</v>
      </c>
      <c r="B98" s="2">
        <f>+'Esc 2'!B107</f>
        <v>6</v>
      </c>
      <c r="C98">
        <f>+IF($AB$3="",'Esc 2'!O107,'Bal Híd'!R97)</f>
        <v>0.69257865966307652</v>
      </c>
      <c r="D98">
        <f ca="1">+'Bal Híd'!N97</f>
        <v>4.0772036763813428</v>
      </c>
    </row>
    <row r="99" spans="1:4" x14ac:dyDescent="0.25">
      <c r="A99">
        <f>+'Esc 2'!A108</f>
        <v>1988</v>
      </c>
      <c r="B99" s="2">
        <f>+'Esc 2'!B108</f>
        <v>7</v>
      </c>
      <c r="C99">
        <f>+IF($AB$3="",'Esc 2'!O108,'Bal Híd'!R98)</f>
        <v>0.44208096174249184</v>
      </c>
      <c r="D99">
        <f ca="1">+'Bal Híd'!N98</f>
        <v>4.4505029026450043</v>
      </c>
    </row>
    <row r="100" spans="1:4" x14ac:dyDescent="0.25">
      <c r="A100">
        <f>+'Esc 2'!A109</f>
        <v>1988</v>
      </c>
      <c r="B100" s="2">
        <f>+'Esc 2'!B109</f>
        <v>8</v>
      </c>
      <c r="C100">
        <f>+IF($AB$3="",'Esc 2'!O109,'Bal Híd'!R99)</f>
        <v>0.60164491853797419</v>
      </c>
      <c r="D100">
        <f ca="1">+'Bal Híd'!N99</f>
        <v>4.9861899830471099</v>
      </c>
    </row>
    <row r="101" spans="1:4" x14ac:dyDescent="0.25">
      <c r="A101">
        <f>+'Esc 2'!A110</f>
        <v>1988</v>
      </c>
      <c r="B101" s="2">
        <f>+'Esc 2'!B110</f>
        <v>9</v>
      </c>
      <c r="C101">
        <f>+IF($AB$3="",'Esc 2'!O110,'Bal Híd'!R100)</f>
        <v>2.1288756423945916</v>
      </c>
      <c r="D101">
        <f ca="1">+'Bal Híd'!N100</f>
        <v>7.1038266923057973</v>
      </c>
    </row>
    <row r="102" spans="1:4" x14ac:dyDescent="0.25">
      <c r="A102">
        <f>+'Esc 2'!A111</f>
        <v>1988</v>
      </c>
      <c r="B102" s="2">
        <f>+'Esc 2'!B111</f>
        <v>10</v>
      </c>
      <c r="C102">
        <f>+IF($AB$3="",'Esc 2'!O111,'Bal Híd'!R101)</f>
        <v>0.90151391774496881</v>
      </c>
      <c r="D102">
        <f ca="1">+'Bal Híd'!N101</f>
        <v>7.1046670722190726</v>
      </c>
    </row>
    <row r="103" spans="1:4" x14ac:dyDescent="0.25">
      <c r="A103">
        <f>+'Esc 2'!A112</f>
        <v>1988</v>
      </c>
      <c r="B103" s="2">
        <f>+'Esc 2'!B112</f>
        <v>11</v>
      </c>
      <c r="C103">
        <f>+IF($AB$3="",'Esc 2'!O112,'Bal Híd'!R102)</f>
        <v>0.82924490992781763</v>
      </c>
      <c r="D103">
        <f ca="1">+'Bal Híd'!N102</f>
        <v>5.4062392996531443</v>
      </c>
    </row>
    <row r="104" spans="1:4" x14ac:dyDescent="0.25">
      <c r="A104">
        <f>+'Esc 2'!A113</f>
        <v>1988</v>
      </c>
      <c r="B104" s="2">
        <f>+'Esc 2'!B113</f>
        <v>12</v>
      </c>
      <c r="C104">
        <f>+IF($AB$3="",'Esc 2'!O113,'Bal Híd'!R103)</f>
        <v>0.62513822946527597</v>
      </c>
      <c r="D104">
        <f ca="1">+'Bal Híd'!N103</f>
        <v>1.5455562272395973</v>
      </c>
    </row>
    <row r="105" spans="1:4" x14ac:dyDescent="0.25">
      <c r="A105">
        <f>+'Esc 2'!A114</f>
        <v>1989</v>
      </c>
      <c r="B105" s="2">
        <f>+'Esc 2'!B114</f>
        <v>1</v>
      </c>
      <c r="C105">
        <f>+IF($AB$3="",'Esc 2'!O114,'Bal Híd'!R104)</f>
        <v>0.33036872686975627</v>
      </c>
      <c r="D105">
        <f ca="1">+'Bal Híd'!N104</f>
        <v>0.14364725252241328</v>
      </c>
    </row>
    <row r="106" spans="1:4" x14ac:dyDescent="0.25">
      <c r="A106">
        <f>+'Esc 2'!A115</f>
        <v>1989</v>
      </c>
      <c r="B106" s="2">
        <f>+'Esc 2'!B115</f>
        <v>2</v>
      </c>
      <c r="C106">
        <f>+IF($AB$3="",'Esc 2'!O115,'Bal Híd'!R105)</f>
        <v>8.4743039245574456E-2</v>
      </c>
      <c r="D106">
        <f ca="1">+'Bal Híd'!N105</f>
        <v>0.14364725252241328</v>
      </c>
    </row>
    <row r="107" spans="1:4" x14ac:dyDescent="0.25">
      <c r="A107">
        <f>+'Esc 2'!A116</f>
        <v>1989</v>
      </c>
      <c r="B107" s="2">
        <f>+'Esc 2'!B116</f>
        <v>3</v>
      </c>
      <c r="C107">
        <f>+IF($AB$3="",'Esc 2'!O116,'Bal Híd'!R106)</f>
        <v>1.2452626862407248</v>
      </c>
      <c r="D107">
        <f ca="1">+'Bal Híd'!N106</f>
        <v>0.85782947096594631</v>
      </c>
    </row>
    <row r="108" spans="1:4" x14ac:dyDescent="0.25">
      <c r="A108">
        <f>+'Esc 2'!A117</f>
        <v>1989</v>
      </c>
      <c r="B108" s="2">
        <f>+'Esc 2'!B117</f>
        <v>4</v>
      </c>
      <c r="C108">
        <f>+IF($AB$3="",'Esc 2'!O117,'Bal Híd'!R107)</f>
        <v>2.0675106188007719</v>
      </c>
      <c r="D108">
        <f ca="1">+'Bal Híd'!N107</f>
        <v>2.9172847481808062</v>
      </c>
    </row>
    <row r="109" spans="1:4" x14ac:dyDescent="0.25">
      <c r="A109">
        <f>+'Esc 2'!A118</f>
        <v>1989</v>
      </c>
      <c r="B109" s="2">
        <f>+'Esc 2'!B118</f>
        <v>5</v>
      </c>
      <c r="C109">
        <f>+IF($AB$3="",'Esc 2'!O118,'Bal Híd'!R108)</f>
        <v>0.58445778420664352</v>
      </c>
      <c r="D109">
        <f ca="1">+'Bal Híd'!N108</f>
        <v>3.4057439045017737</v>
      </c>
    </row>
    <row r="110" spans="1:4" x14ac:dyDescent="0.25">
      <c r="A110">
        <f>+'Esc 2'!A119</f>
        <v>1989</v>
      </c>
      <c r="B110" s="2">
        <f>+'Esc 2'!B119</f>
        <v>6</v>
      </c>
      <c r="C110">
        <f>+IF($AB$3="",'Esc 2'!O119,'Bal Híd'!R109)</f>
        <v>0.13060266637193654</v>
      </c>
      <c r="D110">
        <f ca="1">+'Bal Híd'!N109</f>
        <v>3.4910508191230161</v>
      </c>
    </row>
    <row r="111" spans="1:4" x14ac:dyDescent="0.25">
      <c r="A111">
        <f>+'Esc 2'!A120</f>
        <v>1989</v>
      </c>
      <c r="B111" s="2">
        <f>+'Esc 2'!B120</f>
        <v>7</v>
      </c>
      <c r="C111">
        <f>+IF($AB$3="",'Esc 2'!O120,'Bal Híd'!R110)</f>
        <v>0.12612396158848768</v>
      </c>
      <c r="D111">
        <f ca="1">+'Bal Híd'!N110</f>
        <v>3.5617457100473429</v>
      </c>
    </row>
    <row r="112" spans="1:4" x14ac:dyDescent="0.25">
      <c r="A112">
        <f>+'Esc 2'!A121</f>
        <v>1989</v>
      </c>
      <c r="B112" s="2">
        <f>+'Esc 2'!B121</f>
        <v>8</v>
      </c>
      <c r="C112">
        <f>+IF($AB$3="",'Esc 2'!O121,'Bal Híd'!R111)</f>
        <v>1.5024548150498713</v>
      </c>
      <c r="D112">
        <f ca="1">+'Bal Híd'!N111</f>
        <v>5.0558937501342847</v>
      </c>
    </row>
    <row r="113" spans="1:4" x14ac:dyDescent="0.25">
      <c r="A113">
        <f>+'Esc 2'!A122</f>
        <v>1989</v>
      </c>
      <c r="B113" s="2">
        <f>+'Esc 2'!B122</f>
        <v>9</v>
      </c>
      <c r="C113">
        <f>+IF($AB$3="",'Esc 2'!O122,'Bal Híd'!R112)</f>
        <v>0.51029773958707625</v>
      </c>
      <c r="D113">
        <f ca="1">+'Bal Híd'!N112</f>
        <v>5.3701145298695927</v>
      </c>
    </row>
    <row r="114" spans="1:4" x14ac:dyDescent="0.25">
      <c r="A114">
        <f>+'Esc 2'!A123</f>
        <v>1989</v>
      </c>
      <c r="B114" s="2">
        <f>+'Esc 2'!B123</f>
        <v>10</v>
      </c>
      <c r="C114">
        <f>+IF($AB$3="",'Esc 2'!O123,'Bal Híd'!R113)</f>
        <v>0.77296632702223811</v>
      </c>
      <c r="D114">
        <f ca="1">+'Bal Híd'!N113</f>
        <v>5.381978660146105</v>
      </c>
    </row>
    <row r="115" spans="1:4" x14ac:dyDescent="0.25">
      <c r="A115">
        <f>+'Esc 2'!A124</f>
        <v>1989</v>
      </c>
      <c r="B115" s="2">
        <f>+'Esc 2'!B124</f>
        <v>11</v>
      </c>
      <c r="C115">
        <f>+IF($AB$3="",'Esc 2'!O124,'Bal Híd'!R114)</f>
        <v>1.0190348154765727</v>
      </c>
      <c r="D115">
        <f ca="1">+'Bal Híd'!N114</f>
        <v>3.9106314975969925</v>
      </c>
    </row>
    <row r="116" spans="1:4" x14ac:dyDescent="0.25">
      <c r="A116">
        <f>+'Esc 2'!A125</f>
        <v>1989</v>
      </c>
      <c r="B116" s="2">
        <f>+'Esc 2'!B125</f>
        <v>12</v>
      </c>
      <c r="C116">
        <f>+IF($AB$3="",'Esc 2'!O125,'Bal Híd'!R115)</f>
        <v>2.169429384334451</v>
      </c>
      <c r="D116">
        <f ca="1">+'Bal Híd'!N115</f>
        <v>1.7126009317799182</v>
      </c>
    </row>
    <row r="117" spans="1:4" x14ac:dyDescent="0.25">
      <c r="A117">
        <f>+'Esc 2'!A126</f>
        <v>1990</v>
      </c>
      <c r="B117" s="2">
        <f>+'Esc 2'!B126</f>
        <v>1</v>
      </c>
      <c r="C117">
        <f>+IF($AB$3="",'Esc 2'!O126,'Bal Híd'!R116)</f>
        <v>1.9117418686128513</v>
      </c>
      <c r="D117">
        <f ca="1">+'Bal Híd'!N116</f>
        <v>0.14364725252241328</v>
      </c>
    </row>
    <row r="118" spans="1:4" x14ac:dyDescent="0.25">
      <c r="A118">
        <f>+'Esc 2'!A127</f>
        <v>1990</v>
      </c>
      <c r="B118" s="2">
        <f>+'Esc 2'!B127</f>
        <v>2</v>
      </c>
      <c r="C118">
        <f>+IF($AB$3="",'Esc 2'!O127,'Bal Híd'!R117)</f>
        <v>3.2987880374625029</v>
      </c>
      <c r="D118">
        <f ca="1">+'Bal Híd'!N117</f>
        <v>1.7478345735897656</v>
      </c>
    </row>
    <row r="119" spans="1:4" x14ac:dyDescent="0.25">
      <c r="A119">
        <f>+'Esc 2'!A128</f>
        <v>1990</v>
      </c>
      <c r="B119" s="2">
        <f>+'Esc 2'!B128</f>
        <v>3</v>
      </c>
      <c r="C119">
        <f>+IF($AB$3="",'Esc 2'!O128,'Bal Híd'!R118)</f>
        <v>3.2755427124288121</v>
      </c>
      <c r="D119">
        <f ca="1">+'Bal Híd'!N118</f>
        <v>4.4531632911371437</v>
      </c>
    </row>
    <row r="120" spans="1:4" x14ac:dyDescent="0.25">
      <c r="A120">
        <f>+'Esc 2'!A129</f>
        <v>1990</v>
      </c>
      <c r="B120" s="2">
        <f>+'Esc 2'!B129</f>
        <v>4</v>
      </c>
      <c r="C120">
        <f>+IF($AB$3="",'Esc 2'!O129,'Bal Híd'!R119)</f>
        <v>5.1031988500854801</v>
      </c>
      <c r="D120">
        <f ca="1">+'Bal Híd'!N119</f>
        <v>7.6368477630678893</v>
      </c>
    </row>
    <row r="121" spans="1:4" x14ac:dyDescent="0.25">
      <c r="A121">
        <f>+'Esc 2'!A130</f>
        <v>1990</v>
      </c>
      <c r="B121" s="2">
        <f>+'Esc 2'!B130</f>
        <v>5</v>
      </c>
      <c r="C121">
        <f>+IF($AB$3="",'Esc 2'!O130,'Bal Híd'!R120)</f>
        <v>1.7273007222502474</v>
      </c>
      <c r="D121">
        <f ca="1">+'Bal Híd'!N120</f>
        <v>7.6368477630678893</v>
      </c>
    </row>
    <row r="122" spans="1:4" x14ac:dyDescent="0.25">
      <c r="A122">
        <f>+'Esc 2'!A131</f>
        <v>1990</v>
      </c>
      <c r="B122" s="2">
        <f>+'Esc 2'!B131</f>
        <v>6</v>
      </c>
      <c r="C122">
        <f>+IF($AB$3="",'Esc 2'!O131,'Bal Híd'!R121)</f>
        <v>0.43089573194331665</v>
      </c>
      <c r="D122">
        <f ca="1">+'Bal Híd'!N121</f>
        <v>7.6368477630678893</v>
      </c>
    </row>
    <row r="123" spans="1:4" x14ac:dyDescent="0.25">
      <c r="A123">
        <f>+'Esc 2'!A132</f>
        <v>1990</v>
      </c>
      <c r="B123" s="2">
        <f>+'Esc 2'!B132</f>
        <v>7</v>
      </c>
      <c r="C123">
        <f>+IF($AB$3="",'Esc 2'!O132,'Bal Híd'!R122)</f>
        <v>0.31522565825328502</v>
      </c>
      <c r="D123">
        <f ca="1">+'Bal Híd'!N122</f>
        <v>7.6368477630678893</v>
      </c>
    </row>
    <row r="124" spans="1:4" x14ac:dyDescent="0.25">
      <c r="A124">
        <f>+'Esc 2'!A133</f>
        <v>1990</v>
      </c>
      <c r="B124" s="2">
        <f>+'Esc 2'!B133</f>
        <v>8</v>
      </c>
      <c r="C124">
        <f>+IF($AB$3="",'Esc 2'!O133,'Bal Híd'!R123)</f>
        <v>0.14954038095261399</v>
      </c>
      <c r="D124">
        <f ca="1">+'Bal Híd'!N123</f>
        <v>7.6162282181439442</v>
      </c>
    </row>
    <row r="125" spans="1:4" x14ac:dyDescent="0.25">
      <c r="A125">
        <f>+'Esc 2'!A134</f>
        <v>1990</v>
      </c>
      <c r="B125" s="2">
        <f>+'Esc 2'!B134</f>
        <v>9</v>
      </c>
      <c r="C125">
        <f>+IF($AB$3="",'Esc 2'!O134,'Bal Híd'!R124)</f>
        <v>0.72726937618778598</v>
      </c>
      <c r="D125">
        <f ca="1">+'Bal Híd'!N124</f>
        <v>7.6368477630678893</v>
      </c>
    </row>
    <row r="126" spans="1:4" x14ac:dyDescent="0.25">
      <c r="A126">
        <f>+'Esc 2'!A135</f>
        <v>1990</v>
      </c>
      <c r="B126" s="2">
        <f>+'Esc 2'!B135</f>
        <v>10</v>
      </c>
      <c r="C126">
        <f>+IF($AB$3="",'Esc 2'!O135,'Bal Híd'!R125)</f>
        <v>1.502943783055201</v>
      </c>
      <c r="D126">
        <f ca="1">+'Bal Híd'!N125</f>
        <v>7.6368477630678893</v>
      </c>
    </row>
    <row r="127" spans="1:4" x14ac:dyDescent="0.25">
      <c r="A127">
        <f>+'Esc 2'!A136</f>
        <v>1990</v>
      </c>
      <c r="B127" s="2">
        <f>+'Esc 2'!B136</f>
        <v>11</v>
      </c>
      <c r="C127">
        <f>+IF($AB$3="",'Esc 2'!O136,'Bal Híd'!R126)</f>
        <v>2.1142006927963881</v>
      </c>
      <c r="D127">
        <f ca="1">+'Bal Híd'!N126</f>
        <v>7.2734319800689908</v>
      </c>
    </row>
    <row r="128" spans="1:4" x14ac:dyDescent="0.25">
      <c r="A128">
        <f>+'Esc 2'!A137</f>
        <v>1990</v>
      </c>
      <c r="B128" s="2">
        <f>+'Esc 2'!B137</f>
        <v>12</v>
      </c>
      <c r="C128">
        <f>+IF($AB$3="",'Esc 2'!O137,'Bal Híd'!R127)</f>
        <v>4.3775984045470135</v>
      </c>
      <c r="D128">
        <f ca="1">+'Bal Híd'!N127</f>
        <v>7.2746631687221699</v>
      </c>
    </row>
    <row r="129" spans="1:4" x14ac:dyDescent="0.25">
      <c r="A129">
        <f>+'Esc 2'!A138</f>
        <v>1991</v>
      </c>
      <c r="B129" s="2">
        <f>+'Esc 2'!B138</f>
        <v>1</v>
      </c>
      <c r="C129">
        <f>+IF($AB$3="",'Esc 2'!O138,'Bal Híd'!R128)</f>
        <v>1.064710329664095</v>
      </c>
      <c r="D129">
        <f ca="1">+'Bal Híd'!N128</f>
        <v>4.3908438686505189</v>
      </c>
    </row>
    <row r="130" spans="1:4" x14ac:dyDescent="0.25">
      <c r="A130">
        <f>+'Esc 2'!A139</f>
        <v>1991</v>
      </c>
      <c r="B130" s="2">
        <f>+'Esc 2'!B139</f>
        <v>2</v>
      </c>
      <c r="C130">
        <f>+IF($AB$3="",'Esc 2'!O139,'Bal Híd'!R129)</f>
        <v>0.35954223353442671</v>
      </c>
      <c r="D130">
        <f ca="1">+'Bal Híd'!N129</f>
        <v>2.9047125402527332</v>
      </c>
    </row>
    <row r="131" spans="1:4" x14ac:dyDescent="0.25">
      <c r="A131">
        <f>+'Esc 2'!A140</f>
        <v>1991</v>
      </c>
      <c r="B131" s="2">
        <f>+'Esc 2'!B140</f>
        <v>3</v>
      </c>
      <c r="C131">
        <f>+IF($AB$3="",'Esc 2'!O140,'Bal Híd'!R130)</f>
        <v>0.59268656891053217</v>
      </c>
      <c r="D131">
        <f ca="1">+'Bal Híd'!N130</f>
        <v>2.883112594947332</v>
      </c>
    </row>
    <row r="132" spans="1:4" x14ac:dyDescent="0.25">
      <c r="A132">
        <f>+'Esc 2'!A141</f>
        <v>1991</v>
      </c>
      <c r="B132" s="2">
        <f>+'Esc 2'!B141</f>
        <v>4</v>
      </c>
      <c r="C132">
        <f>+IF($AB$3="",'Esc 2'!O141,'Bal Híd'!R131)</f>
        <v>10.055145195650462</v>
      </c>
      <c r="D132">
        <f ca="1">+'Bal Híd'!N131</f>
        <v>7.6368477630678893</v>
      </c>
    </row>
    <row r="133" spans="1:4" x14ac:dyDescent="0.25">
      <c r="A133">
        <f>+'Esc 2'!A142</f>
        <v>1991</v>
      </c>
      <c r="B133" s="2">
        <f>+'Esc 2'!B142</f>
        <v>5</v>
      </c>
      <c r="C133">
        <f>+IF($AB$3="",'Esc 2'!O142,'Bal Híd'!R132)</f>
        <v>2.845310997850055</v>
      </c>
      <c r="D133">
        <f ca="1">+'Bal Híd'!N132</f>
        <v>7.6368477630678893</v>
      </c>
    </row>
    <row r="134" spans="1:4" x14ac:dyDescent="0.25">
      <c r="A134">
        <f>+'Esc 2'!A143</f>
        <v>1991</v>
      </c>
      <c r="B134" s="2">
        <f>+'Esc 2'!B143</f>
        <v>6</v>
      </c>
      <c r="C134">
        <f>+IF($AB$3="",'Esc 2'!O143,'Bal Híd'!R133)</f>
        <v>3.1772496412462048</v>
      </c>
      <c r="D134">
        <f ca="1">+'Bal Híd'!N133</f>
        <v>7.6368477630678893</v>
      </c>
    </row>
    <row r="135" spans="1:4" x14ac:dyDescent="0.25">
      <c r="A135">
        <f>+'Esc 2'!A144</f>
        <v>1991</v>
      </c>
      <c r="B135" s="2">
        <f>+'Esc 2'!B144</f>
        <v>7</v>
      </c>
      <c r="C135">
        <f>+IF($AB$3="",'Esc 2'!O144,'Bal Híd'!R134)</f>
        <v>2.6732909213366023</v>
      </c>
      <c r="D135">
        <f ca="1">+'Bal Híd'!N134</f>
        <v>7.6368477630678893</v>
      </c>
    </row>
    <row r="136" spans="1:4" x14ac:dyDescent="0.25">
      <c r="A136">
        <f>+'Esc 2'!A145</f>
        <v>1991</v>
      </c>
      <c r="B136" s="2">
        <f>+'Esc 2'!B145</f>
        <v>8</v>
      </c>
      <c r="C136">
        <f>+IF($AB$3="",'Esc 2'!O145,'Bal Híd'!R135)</f>
        <v>0.85434156071895118</v>
      </c>
      <c r="D136">
        <f ca="1">+'Bal Híd'!N135</f>
        <v>7.6368477630678893</v>
      </c>
    </row>
    <row r="137" spans="1:4" x14ac:dyDescent="0.25">
      <c r="A137">
        <f>+'Esc 2'!A146</f>
        <v>1991</v>
      </c>
      <c r="B137" s="2">
        <f>+'Esc 2'!B146</f>
        <v>9</v>
      </c>
      <c r="C137">
        <f>+IF($AB$3="",'Esc 2'!O146,'Bal Híd'!R136)</f>
        <v>0.31559661562587105</v>
      </c>
      <c r="D137">
        <f ca="1">+'Bal Híd'!N136</f>
        <v>7.6368477630678893</v>
      </c>
    </row>
    <row r="138" spans="1:4" x14ac:dyDescent="0.25">
      <c r="A138">
        <f>+'Esc 2'!A147</f>
        <v>1991</v>
      </c>
      <c r="B138" s="2">
        <f>+'Esc 2'!B147</f>
        <v>10</v>
      </c>
      <c r="C138">
        <f>+IF($AB$3="",'Esc 2'!O147,'Bal Híd'!R137)</f>
        <v>2.0995902407617644</v>
      </c>
      <c r="D138">
        <f ca="1">+'Bal Híd'!N137</f>
        <v>7.6368477630678893</v>
      </c>
    </row>
    <row r="139" spans="1:4" x14ac:dyDescent="0.25">
      <c r="A139">
        <f>+'Esc 2'!A148</f>
        <v>1991</v>
      </c>
      <c r="B139" s="2">
        <f>+'Esc 2'!B148</f>
        <v>11</v>
      </c>
      <c r="C139">
        <f>+IF($AB$3="",'Esc 2'!O148,'Bal Híd'!R138)</f>
        <v>0.85112764119659046</v>
      </c>
      <c r="D139">
        <f ca="1">+'Bal Híd'!N138</f>
        <v>5.8340489929650934</v>
      </c>
    </row>
    <row r="140" spans="1:4" x14ac:dyDescent="0.25">
      <c r="A140">
        <f>+'Esc 2'!A149</f>
        <v>1991</v>
      </c>
      <c r="B140" s="2">
        <f>+'Esc 2'!B149</f>
        <v>12</v>
      </c>
      <c r="C140">
        <f>+IF($AB$3="",'Esc 2'!O149,'Bal Híd'!R139)</f>
        <v>3.6672163746130648</v>
      </c>
      <c r="D140">
        <f ca="1">+'Bal Híd'!N139</f>
        <v>5.1692938194448539</v>
      </c>
    </row>
    <row r="141" spans="1:4" x14ac:dyDescent="0.25">
      <c r="A141">
        <f>+'Esc 2'!A150</f>
        <v>1992</v>
      </c>
      <c r="B141" s="2">
        <f>+'Esc 2'!B150</f>
        <v>1</v>
      </c>
      <c r="C141">
        <f>+IF($AB$3="",'Esc 2'!O150,'Bal Híd'!R140)</f>
        <v>1.123995307352069</v>
      </c>
      <c r="D141">
        <f ca="1">+'Bal Híd'!N140</f>
        <v>2.4954569524192687</v>
      </c>
    </row>
    <row r="142" spans="1:4" x14ac:dyDescent="0.25">
      <c r="A142">
        <f>+'Esc 2'!A151</f>
        <v>1992</v>
      </c>
      <c r="B142" s="2">
        <f>+'Esc 2'!B151</f>
        <v>2</v>
      </c>
      <c r="C142">
        <f>+IF($AB$3="",'Esc 2'!O151,'Bal Híd'!R141)</f>
        <v>2.9485198087141691</v>
      </c>
      <c r="D142">
        <f ca="1">+'Bal Híd'!N141</f>
        <v>3.7514630083036185</v>
      </c>
    </row>
    <row r="143" spans="1:4" x14ac:dyDescent="0.25">
      <c r="A143">
        <f>+'Esc 2'!A152</f>
        <v>1992</v>
      </c>
      <c r="B143" s="2">
        <f>+'Esc 2'!B152</f>
        <v>3</v>
      </c>
      <c r="C143">
        <f>+IF($AB$3="",'Esc 2'!O152,'Bal Híd'!R142)</f>
        <v>2.450702405132164</v>
      </c>
      <c r="D143">
        <f ca="1">+'Bal Híd'!N142</f>
        <v>5.584210753992898</v>
      </c>
    </row>
    <row r="144" spans="1:4" x14ac:dyDescent="0.25">
      <c r="A144">
        <f>+'Esc 2'!A153</f>
        <v>1992</v>
      </c>
      <c r="B144" s="2">
        <f>+'Esc 2'!B153</f>
        <v>4</v>
      </c>
      <c r="C144">
        <f>+IF($AB$3="",'Esc 2'!O153,'Bal Híd'!R143)</f>
        <v>7.4961555014323569</v>
      </c>
      <c r="D144">
        <f ca="1">+'Bal Híd'!N143</f>
        <v>7.6368477630678893</v>
      </c>
    </row>
    <row r="145" spans="1:4" x14ac:dyDescent="0.25">
      <c r="A145">
        <f>+'Esc 2'!A154</f>
        <v>1992</v>
      </c>
      <c r="B145" s="2">
        <f>+'Esc 2'!B154</f>
        <v>5</v>
      </c>
      <c r="C145">
        <f>+IF($AB$3="",'Esc 2'!O154,'Bal Híd'!R144)</f>
        <v>6.3437471900394513</v>
      </c>
      <c r="D145">
        <f ca="1">+'Bal Híd'!N144</f>
        <v>7.6368477630678893</v>
      </c>
    </row>
    <row r="146" spans="1:4" x14ac:dyDescent="0.25">
      <c r="A146">
        <f>+'Esc 2'!A155</f>
        <v>1992</v>
      </c>
      <c r="B146" s="2">
        <f>+'Esc 2'!B155</f>
        <v>6</v>
      </c>
      <c r="C146">
        <f>+IF($AB$3="",'Esc 2'!O155,'Bal Híd'!R145)</f>
        <v>5.7114258684301751</v>
      </c>
      <c r="D146">
        <f ca="1">+'Bal Híd'!N145</f>
        <v>7.6368477630678893</v>
      </c>
    </row>
    <row r="147" spans="1:4" x14ac:dyDescent="0.25">
      <c r="A147">
        <f>+'Esc 2'!A156</f>
        <v>1992</v>
      </c>
      <c r="B147" s="2">
        <f>+'Esc 2'!B156</f>
        <v>7</v>
      </c>
      <c r="C147">
        <f>+IF($AB$3="",'Esc 2'!O156,'Bal Híd'!R146)</f>
        <v>2.5595847651183505</v>
      </c>
      <c r="D147">
        <f ca="1">+'Bal Híd'!N146</f>
        <v>7.6368477630678893</v>
      </c>
    </row>
    <row r="148" spans="1:4" x14ac:dyDescent="0.25">
      <c r="A148">
        <f>+'Esc 2'!A157</f>
        <v>1992</v>
      </c>
      <c r="B148" s="2">
        <f>+'Esc 2'!B157</f>
        <v>8</v>
      </c>
      <c r="C148">
        <f>+IF($AB$3="",'Esc 2'!O157,'Bal Híd'!R147)</f>
        <v>0.60839622693770046</v>
      </c>
      <c r="D148">
        <f ca="1">+'Bal Híd'!N147</f>
        <v>7.6368477630678893</v>
      </c>
    </row>
    <row r="149" spans="1:4" x14ac:dyDescent="0.25">
      <c r="A149">
        <f>+'Esc 2'!A158</f>
        <v>1992</v>
      </c>
      <c r="B149" s="2">
        <f>+'Esc 2'!B158</f>
        <v>9</v>
      </c>
      <c r="C149">
        <f>+IF($AB$3="",'Esc 2'!O158,'Bal Híd'!R148)</f>
        <v>0.94481338279087956</v>
      </c>
      <c r="D149">
        <f ca="1">+'Bal Híd'!N148</f>
        <v>7.6368477630678893</v>
      </c>
    </row>
    <row r="150" spans="1:4" x14ac:dyDescent="0.25">
      <c r="A150">
        <f>+'Esc 2'!A159</f>
        <v>1992</v>
      </c>
      <c r="B150" s="2">
        <f>+'Esc 2'!B159</f>
        <v>10</v>
      </c>
      <c r="C150">
        <f>+IF($AB$3="",'Esc 2'!O159,'Bal Híd'!R149)</f>
        <v>0.92435160460304922</v>
      </c>
      <c r="D150">
        <f ca="1">+'Bal Híd'!N149</f>
        <v>7.6368477630678893</v>
      </c>
    </row>
    <row r="151" spans="1:4" x14ac:dyDescent="0.25">
      <c r="A151">
        <f>+'Esc 2'!A160</f>
        <v>1992</v>
      </c>
      <c r="B151" s="2">
        <f>+'Esc 2'!B160</f>
        <v>11</v>
      </c>
      <c r="C151">
        <f>+IF($AB$3="",'Esc 2'!O160,'Bal Híd'!R150)</f>
        <v>0.49495101196294117</v>
      </c>
      <c r="D151">
        <f ca="1">+'Bal Híd'!N150</f>
        <v>5.5189196997404917</v>
      </c>
    </row>
    <row r="152" spans="1:4" x14ac:dyDescent="0.25">
      <c r="A152">
        <f>+'Esc 2'!A161</f>
        <v>1992</v>
      </c>
      <c r="B152" s="2">
        <f>+'Esc 2'!B161</f>
        <v>12</v>
      </c>
      <c r="C152">
        <f>+IF($AB$3="",'Esc 2'!O161,'Bal Híd'!R151)</f>
        <v>0.87608838647687404</v>
      </c>
      <c r="D152">
        <f ca="1">+'Bal Híd'!N151</f>
        <v>1.9495149001521366</v>
      </c>
    </row>
    <row r="153" spans="1:4" x14ac:dyDescent="0.25">
      <c r="A153">
        <f>+'Esc 2'!A162</f>
        <v>1993</v>
      </c>
      <c r="B153" s="2">
        <f>+'Esc 2'!B162</f>
        <v>1</v>
      </c>
      <c r="C153">
        <f>+IF($AB$3="",'Esc 2'!O162,'Bal Híd'!R152)</f>
        <v>3.0157966842199424</v>
      </c>
      <c r="D153">
        <f ca="1">+'Bal Híd'!N152</f>
        <v>1.4243470018153355</v>
      </c>
    </row>
    <row r="154" spans="1:4" x14ac:dyDescent="0.25">
      <c r="A154">
        <f>+'Esc 2'!A163</f>
        <v>1993</v>
      </c>
      <c r="B154" s="2">
        <f>+'Esc 2'!B163</f>
        <v>2</v>
      </c>
      <c r="C154">
        <f>+IF($AB$3="",'Esc 2'!O163,'Bal Híd'!R153)</f>
        <v>1.1391347941772403</v>
      </c>
      <c r="D154">
        <f ca="1">+'Bal Híd'!N153</f>
        <v>0.79245232769775908</v>
      </c>
    </row>
    <row r="155" spans="1:4" x14ac:dyDescent="0.25">
      <c r="A155">
        <f>+'Esc 2'!A164</f>
        <v>1993</v>
      </c>
      <c r="B155" s="2">
        <f>+'Esc 2'!B164</f>
        <v>3</v>
      </c>
      <c r="C155">
        <f>+IF($AB$3="",'Esc 2'!O164,'Bal Híd'!R154)</f>
        <v>0.54525131074230671</v>
      </c>
      <c r="D155">
        <f ca="1">+'Bal Híd'!N154</f>
        <v>0.76901956816126227</v>
      </c>
    </row>
    <row r="156" spans="1:4" x14ac:dyDescent="0.25">
      <c r="A156">
        <f>+'Esc 2'!A165</f>
        <v>1993</v>
      </c>
      <c r="B156" s="2">
        <f>+'Esc 2'!B165</f>
        <v>4</v>
      </c>
      <c r="C156">
        <f>+IF($AB$3="",'Esc 2'!O165,'Bal Híd'!R155)</f>
        <v>1.380005780457698</v>
      </c>
      <c r="D156">
        <f ca="1">+'Bal Híd'!N155</f>
        <v>2.143268035453842</v>
      </c>
    </row>
    <row r="157" spans="1:4" x14ac:dyDescent="0.25">
      <c r="A157">
        <f>+'Esc 2'!A166</f>
        <v>1993</v>
      </c>
      <c r="B157" s="2">
        <f>+'Esc 2'!B166</f>
        <v>5</v>
      </c>
      <c r="C157">
        <f>+IF($AB$3="",'Esc 2'!O166,'Bal Híd'!R156)</f>
        <v>7.1774993841081658</v>
      </c>
      <c r="D157">
        <f ca="1">+'Bal Híd'!N156</f>
        <v>7.6368477630678893</v>
      </c>
    </row>
    <row r="158" spans="1:4" x14ac:dyDescent="0.25">
      <c r="A158">
        <f>+'Esc 2'!A167</f>
        <v>1993</v>
      </c>
      <c r="B158" s="2">
        <f>+'Esc 2'!B167</f>
        <v>6</v>
      </c>
      <c r="C158">
        <f>+IF($AB$3="",'Esc 2'!O167,'Bal Híd'!R157)</f>
        <v>2.2085488624040517</v>
      </c>
      <c r="D158">
        <f ca="1">+'Bal Híd'!N157</f>
        <v>7.6368477630678893</v>
      </c>
    </row>
    <row r="159" spans="1:4" x14ac:dyDescent="0.25">
      <c r="A159">
        <f>+'Esc 2'!A168</f>
        <v>1993</v>
      </c>
      <c r="B159" s="2">
        <f>+'Esc 2'!B168</f>
        <v>7</v>
      </c>
      <c r="C159">
        <f>+IF($AB$3="",'Esc 2'!O168,'Bal Híd'!R158)</f>
        <v>0.8995147004337436</v>
      </c>
      <c r="D159">
        <f ca="1">+'Bal Híd'!N158</f>
        <v>7.6368477630678893</v>
      </c>
    </row>
    <row r="160" spans="1:4" x14ac:dyDescent="0.25">
      <c r="A160">
        <f>+'Esc 2'!A169</f>
        <v>1993</v>
      </c>
      <c r="B160" s="2">
        <f>+'Esc 2'!B169</f>
        <v>8</v>
      </c>
      <c r="C160">
        <f>+IF($AB$3="",'Esc 2'!O169,'Bal Híd'!R159)</f>
        <v>0.21850563953958732</v>
      </c>
      <c r="D160">
        <f ca="1">+'Bal Híd'!N159</f>
        <v>7.6368477630678893</v>
      </c>
    </row>
    <row r="161" spans="1:4" x14ac:dyDescent="0.25">
      <c r="A161">
        <f>+'Esc 2'!A170</f>
        <v>1993</v>
      </c>
      <c r="B161" s="2">
        <f>+'Esc 2'!B170</f>
        <v>9</v>
      </c>
      <c r="C161">
        <f>+IF($AB$3="",'Esc 2'!O170,'Bal Híd'!R160)</f>
        <v>0.20359504800048703</v>
      </c>
      <c r="D161">
        <f ca="1">+'Bal Híd'!N160</f>
        <v>7.6368477630678893</v>
      </c>
    </row>
    <row r="162" spans="1:4" x14ac:dyDescent="0.25">
      <c r="A162">
        <f>+'Esc 2'!A171</f>
        <v>1993</v>
      </c>
      <c r="B162" s="2">
        <f>+'Esc 2'!B171</f>
        <v>10</v>
      </c>
      <c r="C162">
        <f>+IF($AB$3="",'Esc 2'!O171,'Bal Híd'!R161)</f>
        <v>4.0399405482483672</v>
      </c>
      <c r="D162">
        <f ca="1">+'Bal Híd'!N161</f>
        <v>7.6368477630678893</v>
      </c>
    </row>
    <row r="163" spans="1:4" x14ac:dyDescent="0.25">
      <c r="A163">
        <f>+'Esc 2'!A172</f>
        <v>1993</v>
      </c>
      <c r="B163" s="2">
        <f>+'Esc 2'!B172</f>
        <v>11</v>
      </c>
      <c r="C163">
        <f>+IF($AB$3="",'Esc 2'!O172,'Bal Híd'!R162)</f>
        <v>3.5196205700245167</v>
      </c>
      <c r="D163">
        <f ca="1">+'Bal Híd'!N162</f>
        <v>7.6368477630678893</v>
      </c>
    </row>
    <row r="164" spans="1:4" x14ac:dyDescent="0.25">
      <c r="A164">
        <f>+'Esc 2'!A173</f>
        <v>1993</v>
      </c>
      <c r="B164" s="2">
        <f>+'Esc 2'!B173</f>
        <v>12</v>
      </c>
      <c r="C164">
        <f>+IF($AB$3="",'Esc 2'!O173,'Bal Híd'!R163)</f>
        <v>1.7754616934199599</v>
      </c>
      <c r="D164">
        <f ca="1">+'Bal Híd'!N163</f>
        <v>4.8486993028369669</v>
      </c>
    </row>
    <row r="165" spans="1:4" x14ac:dyDescent="0.25">
      <c r="A165">
        <f>+'Esc 2'!A174</f>
        <v>1994</v>
      </c>
      <c r="B165" s="2">
        <f>+'Esc 2'!B174</f>
        <v>1</v>
      </c>
      <c r="C165">
        <f>+IF($AB$3="",'Esc 2'!O174,'Bal Híd'!R164)</f>
        <v>0.41876719818921965</v>
      </c>
      <c r="D165">
        <f ca="1">+'Bal Híd'!N164</f>
        <v>1.4700979283129421</v>
      </c>
    </row>
    <row r="166" spans="1:4" x14ac:dyDescent="0.25">
      <c r="A166">
        <f>+'Esc 2'!A175</f>
        <v>1994</v>
      </c>
      <c r="B166" s="2">
        <f>+'Esc 2'!B175</f>
        <v>2</v>
      </c>
      <c r="C166">
        <f>+IF($AB$3="",'Esc 2'!O175,'Bal Híd'!R165)</f>
        <v>2.2368779178405997</v>
      </c>
      <c r="D166">
        <f ca="1">+'Bal Híd'!N165</f>
        <v>2.0110045059095234</v>
      </c>
    </row>
    <row r="167" spans="1:4" x14ac:dyDescent="0.25">
      <c r="A167">
        <f>+'Esc 2'!A176</f>
        <v>1994</v>
      </c>
      <c r="B167" s="2">
        <f>+'Esc 2'!B176</f>
        <v>3</v>
      </c>
      <c r="C167">
        <f>+IF($AB$3="",'Esc 2'!O176,'Bal Híd'!R166)</f>
        <v>1.3738967012974468</v>
      </c>
      <c r="D167">
        <f ca="1">+'Bal Híd'!N166</f>
        <v>2.7687249802438743</v>
      </c>
    </row>
    <row r="168" spans="1:4" x14ac:dyDescent="0.25">
      <c r="A168">
        <f>+'Esc 2'!A177</f>
        <v>1994</v>
      </c>
      <c r="B168" s="2">
        <f>+'Esc 2'!B177</f>
        <v>4</v>
      </c>
      <c r="C168">
        <f>+IF($AB$3="",'Esc 2'!O177,'Bal Híd'!R167)</f>
        <v>0.8450054134208721</v>
      </c>
      <c r="D168">
        <f ca="1">+'Bal Híd'!N167</f>
        <v>3.5571403443345742</v>
      </c>
    </row>
    <row r="169" spans="1:4" x14ac:dyDescent="0.25">
      <c r="A169">
        <f>+'Esc 2'!A178</f>
        <v>1994</v>
      </c>
      <c r="B169" s="2">
        <f>+'Esc 2'!B178</f>
        <v>5</v>
      </c>
      <c r="C169">
        <f>+IF($AB$3="",'Esc 2'!O178,'Bal Híd'!R168)</f>
        <v>0.8745357486316041</v>
      </c>
      <c r="D169">
        <f ca="1">+'Bal Híd'!N168</f>
        <v>4.4070143778542565</v>
      </c>
    </row>
    <row r="170" spans="1:4" x14ac:dyDescent="0.25">
      <c r="A170">
        <f>+'Esc 2'!A179</f>
        <v>1994</v>
      </c>
      <c r="B170" s="2">
        <f>+'Esc 2'!B179</f>
        <v>6</v>
      </c>
      <c r="C170">
        <f>+IF($AB$3="",'Esc 2'!O179,'Bal Híd'!R169)</f>
        <v>2.0541116506810591</v>
      </c>
      <c r="D170">
        <f ca="1">+'Bal Híd'!N169</f>
        <v>6.4863533941344604</v>
      </c>
    </row>
    <row r="171" spans="1:4" x14ac:dyDescent="0.25">
      <c r="A171">
        <f>+'Esc 2'!A180</f>
        <v>1994</v>
      </c>
      <c r="B171" s="2">
        <f>+'Esc 2'!B180</f>
        <v>7</v>
      </c>
      <c r="C171">
        <f>+IF($AB$3="",'Esc 2'!O180,'Bal Híd'!R170)</f>
        <v>1.1870659107322468</v>
      </c>
      <c r="D171">
        <f ca="1">+'Bal Híd'!N170</f>
        <v>7.5748642854333603</v>
      </c>
    </row>
    <row r="172" spans="1:4" x14ac:dyDescent="0.25">
      <c r="A172">
        <f>+'Esc 2'!A181</f>
        <v>1994</v>
      </c>
      <c r="B172" s="2">
        <f>+'Esc 2'!B181</f>
        <v>8</v>
      </c>
      <c r="C172">
        <f>+IF($AB$3="",'Esc 2'!O181,'Bal Híd'!R171)</f>
        <v>0.76644238197810455</v>
      </c>
      <c r="D172">
        <f ca="1">+'Bal Híd'!N171</f>
        <v>7.6368477630678893</v>
      </c>
    </row>
    <row r="173" spans="1:4" x14ac:dyDescent="0.25">
      <c r="A173">
        <f>+'Esc 2'!A182</f>
        <v>1994</v>
      </c>
      <c r="B173" s="2">
        <f>+'Esc 2'!B182</f>
        <v>9</v>
      </c>
      <c r="C173">
        <f>+IF($AB$3="",'Esc 2'!O182,'Bal Híd'!R172)</f>
        <v>0.73081880291737267</v>
      </c>
      <c r="D173">
        <f ca="1">+'Bal Híd'!N172</f>
        <v>7.6368477630678893</v>
      </c>
    </row>
    <row r="174" spans="1:4" x14ac:dyDescent="0.25">
      <c r="A174">
        <f>+'Esc 2'!A183</f>
        <v>1994</v>
      </c>
      <c r="B174" s="2">
        <f>+'Esc 2'!B183</f>
        <v>10</v>
      </c>
      <c r="C174">
        <f>+IF($AB$3="",'Esc 2'!O183,'Bal Híd'!R173)</f>
        <v>2.2283668943362724</v>
      </c>
      <c r="D174">
        <f ca="1">+'Bal Híd'!N173</f>
        <v>7.6368477630678893</v>
      </c>
    </row>
    <row r="175" spans="1:4" x14ac:dyDescent="0.25">
      <c r="A175">
        <f>+'Esc 2'!A184</f>
        <v>1994</v>
      </c>
      <c r="B175" s="2">
        <f>+'Esc 2'!B184</f>
        <v>11</v>
      </c>
      <c r="C175">
        <f>+IF($AB$3="",'Esc 2'!O184,'Bal Híd'!R174)</f>
        <v>0.77002237604564638</v>
      </c>
      <c r="D175">
        <f ca="1">+'Bal Híd'!N174</f>
        <v>5.7280316189398972</v>
      </c>
    </row>
    <row r="176" spans="1:4" x14ac:dyDescent="0.25">
      <c r="A176">
        <f>+'Esc 2'!A185</f>
        <v>1994</v>
      </c>
      <c r="B176" s="2">
        <f>+'Esc 2'!B185</f>
        <v>12</v>
      </c>
      <c r="C176">
        <f>+IF($AB$3="",'Esc 2'!O185,'Bal Híd'!R175)</f>
        <v>1.2067068538325647</v>
      </c>
      <c r="D176">
        <f ca="1">+'Bal Híd'!N175</f>
        <v>2.5042150923959552</v>
      </c>
    </row>
    <row r="177" spans="1:4" x14ac:dyDescent="0.25">
      <c r="A177">
        <f>+'Esc 2'!A186</f>
        <v>1995</v>
      </c>
      <c r="B177" s="2">
        <f>+'Esc 2'!B186</f>
        <v>1</v>
      </c>
      <c r="C177">
        <f>+IF($AB$3="",'Esc 2'!O186,'Bal Híd'!R176)</f>
        <v>0.52572956517308989</v>
      </c>
      <c r="D177">
        <f ca="1">+'Bal Híd'!N176</f>
        <v>0.14364725252241328</v>
      </c>
    </row>
    <row r="178" spans="1:4" x14ac:dyDescent="0.25">
      <c r="A178">
        <f>+'Esc 2'!A187</f>
        <v>1995</v>
      </c>
      <c r="B178" s="2">
        <f>+'Esc 2'!B187</f>
        <v>2</v>
      </c>
      <c r="C178">
        <f>+IF($AB$3="",'Esc 2'!O187,'Bal Híd'!R177)</f>
        <v>2.0082099557297304</v>
      </c>
      <c r="D178">
        <f ca="1">+'Bal Híd'!N177</f>
        <v>0.46186285707904684</v>
      </c>
    </row>
    <row r="179" spans="1:4" x14ac:dyDescent="0.25">
      <c r="A179">
        <f>+'Esc 2'!A188</f>
        <v>1995</v>
      </c>
      <c r="B179" s="2">
        <f>+'Esc 2'!B188</f>
        <v>3</v>
      </c>
      <c r="C179">
        <f>+IF($AB$3="",'Esc 2'!O188,'Bal Híd'!R178)</f>
        <v>1.7798740888773319</v>
      </c>
      <c r="D179">
        <f ca="1">+'Bal Híd'!N178</f>
        <v>1.6823512766697797</v>
      </c>
    </row>
    <row r="180" spans="1:4" x14ac:dyDescent="0.25">
      <c r="A180">
        <f>+'Esc 2'!A189</f>
        <v>1995</v>
      </c>
      <c r="B180" s="2">
        <f>+'Esc 2'!B189</f>
        <v>4</v>
      </c>
      <c r="C180">
        <f>+IF($AB$3="",'Esc 2'!O189,'Bal Híd'!R179)</f>
        <v>0.86305963052308188</v>
      </c>
      <c r="D180">
        <f ca="1">+'Bal Híd'!N179</f>
        <v>2.4896893722532845</v>
      </c>
    </row>
    <row r="181" spans="1:4" x14ac:dyDescent="0.25">
      <c r="A181">
        <f>+'Esc 2'!A190</f>
        <v>1995</v>
      </c>
      <c r="B181" s="2">
        <f>+'Esc 2'!B190</f>
        <v>5</v>
      </c>
      <c r="C181">
        <f>+IF($AB$3="",'Esc 2'!O190,'Bal Híd'!R180)</f>
        <v>0.65727743455393761</v>
      </c>
      <c r="D181">
        <f ca="1">+'Bal Híd'!N180</f>
        <v>3.1194536352950193</v>
      </c>
    </row>
    <row r="182" spans="1:4" x14ac:dyDescent="0.25">
      <c r="A182">
        <f>+'Esc 2'!A191</f>
        <v>1995</v>
      </c>
      <c r="B182" s="2">
        <f>+'Esc 2'!B191</f>
        <v>6</v>
      </c>
      <c r="C182">
        <f>+IF($AB$3="",'Esc 2'!O191,'Bal Híd'!R181)</f>
        <v>0.98094142699067477</v>
      </c>
      <c r="D182">
        <f ca="1">+'Bal Híd'!N181</f>
        <v>4.0936317643581424</v>
      </c>
    </row>
    <row r="183" spans="1:4" x14ac:dyDescent="0.25">
      <c r="A183">
        <f>+'Esc 2'!A192</f>
        <v>1995</v>
      </c>
      <c r="B183" s="2">
        <f>+'Esc 2'!B192</f>
        <v>7</v>
      </c>
      <c r="C183">
        <f>+IF($AB$3="",'Esc 2'!O192,'Bal Híd'!R182)</f>
        <v>1.7330227172185215</v>
      </c>
      <c r="D183">
        <f ca="1">+'Bal Híd'!N182</f>
        <v>5.8156992334978206</v>
      </c>
    </row>
    <row r="184" spans="1:4" x14ac:dyDescent="0.25">
      <c r="A184">
        <f>+'Esc 2'!A193</f>
        <v>1995</v>
      </c>
      <c r="B184" s="2">
        <f>+'Esc 2'!B193</f>
        <v>8</v>
      </c>
      <c r="C184">
        <f>+IF($AB$3="",'Esc 2'!O193,'Bal Híd'!R183)</f>
        <v>0.48965447857490396</v>
      </c>
      <c r="D184">
        <f ca="1">+'Bal Híd'!N183</f>
        <v>6.0812241376063234</v>
      </c>
    </row>
    <row r="185" spans="1:4" x14ac:dyDescent="0.25">
      <c r="A185">
        <f>+'Esc 2'!A194</f>
        <v>1995</v>
      </c>
      <c r="B185" s="2">
        <f>+'Esc 2'!B194</f>
        <v>9</v>
      </c>
      <c r="C185">
        <f>+IF($AB$3="",'Esc 2'!O194,'Bal Híd'!R184)</f>
        <v>0.89281672080141983</v>
      </c>
      <c r="D185">
        <f ca="1">+'Bal Híd'!N184</f>
        <v>6.9122927275492518</v>
      </c>
    </row>
    <row r="186" spans="1:4" x14ac:dyDescent="0.25">
      <c r="A186">
        <f>+'Esc 2'!A195</f>
        <v>1995</v>
      </c>
      <c r="B186" s="2">
        <f>+'Esc 2'!B195</f>
        <v>10</v>
      </c>
      <c r="C186">
        <f>+IF($AB$3="",'Esc 2'!O195,'Bal Híd'!R185)</f>
        <v>2.272372124129153</v>
      </c>
      <c r="D186">
        <f ca="1">+'Bal Híd'!N185</f>
        <v>7.6368477630678893</v>
      </c>
    </row>
    <row r="187" spans="1:4" x14ac:dyDescent="0.25">
      <c r="A187">
        <f>+'Esc 2'!A196</f>
        <v>1995</v>
      </c>
      <c r="B187" s="2">
        <f>+'Esc 2'!B196</f>
        <v>11</v>
      </c>
      <c r="C187">
        <f>+IF($AB$3="",'Esc 2'!O196,'Bal Híd'!R186)</f>
        <v>0.8178666112538413</v>
      </c>
      <c r="D187">
        <f ca="1">+'Bal Híd'!N186</f>
        <v>5.7890760781344772</v>
      </c>
    </row>
    <row r="188" spans="1:4" x14ac:dyDescent="0.25">
      <c r="A188">
        <f>+'Esc 2'!A197</f>
        <v>1995</v>
      </c>
      <c r="B188" s="2">
        <f>+'Esc 2'!B197</f>
        <v>12</v>
      </c>
      <c r="C188">
        <f>+IF($AB$3="",'Esc 2'!O197,'Bal Híd'!R187)</f>
        <v>0.14152461496823857</v>
      </c>
      <c r="D188">
        <f ca="1">+'Bal Híd'!N187</f>
        <v>1.3513653919413331</v>
      </c>
    </row>
    <row r="189" spans="1:4" x14ac:dyDescent="0.25">
      <c r="A189">
        <f>+'Esc 2'!A198</f>
        <v>1996</v>
      </c>
      <c r="B189" s="2">
        <f>+'Esc 2'!B198</f>
        <v>1</v>
      </c>
      <c r="C189">
        <f>+IF($AB$3="",'Esc 2'!O198,'Bal Híd'!R188)</f>
        <v>4.721192703338625</v>
      </c>
      <c r="D189">
        <f ca="1">+'Bal Híd'!N188</f>
        <v>2.5773532829200372</v>
      </c>
    </row>
    <row r="190" spans="1:4" x14ac:dyDescent="0.25">
      <c r="A190">
        <f>+'Esc 2'!A199</f>
        <v>1996</v>
      </c>
      <c r="B190" s="2">
        <f>+'Esc 2'!B199</f>
        <v>2</v>
      </c>
      <c r="C190">
        <f>+IF($AB$3="",'Esc 2'!O199,'Bal Híd'!R189)</f>
        <v>1.5984929857180759</v>
      </c>
      <c r="D190">
        <f ca="1">+'Bal Híd'!N189</f>
        <v>2.3456359616590028</v>
      </c>
    </row>
    <row r="191" spans="1:4" x14ac:dyDescent="0.25">
      <c r="A191">
        <f>+'Esc 2'!A200</f>
        <v>1996</v>
      </c>
      <c r="B191" s="2">
        <f>+'Esc 2'!B200</f>
        <v>3</v>
      </c>
      <c r="C191">
        <f>+IF($AB$3="",'Esc 2'!O200,'Bal Híd'!R190)</f>
        <v>1.0094538423990449</v>
      </c>
      <c r="D191">
        <f ca="1">+'Bal Híd'!N190</f>
        <v>2.7517013171519289</v>
      </c>
    </row>
    <row r="192" spans="1:4" x14ac:dyDescent="0.25">
      <c r="A192">
        <f>+'Esc 2'!A201</f>
        <v>1996</v>
      </c>
      <c r="B192" s="2">
        <f>+'Esc 2'!B201</f>
        <v>4</v>
      </c>
      <c r="C192">
        <f>+IF($AB$3="",'Esc 2'!O201,'Bal Híd'!R191)</f>
        <v>5.0738029597072147</v>
      </c>
      <c r="D192">
        <f ca="1">+'Bal Híd'!N191</f>
        <v>7.6368477630678893</v>
      </c>
    </row>
    <row r="193" spans="1:4" x14ac:dyDescent="0.25">
      <c r="A193">
        <f>+'Esc 2'!A202</f>
        <v>1996</v>
      </c>
      <c r="B193" s="2">
        <f>+'Esc 2'!B202</f>
        <v>5</v>
      </c>
      <c r="C193">
        <f>+IF($AB$3="",'Esc 2'!O202,'Bal Híd'!R192)</f>
        <v>1.0938720677932481</v>
      </c>
      <c r="D193">
        <f ca="1">+'Bal Híd'!N192</f>
        <v>7.6368477630678893</v>
      </c>
    </row>
    <row r="194" spans="1:4" x14ac:dyDescent="0.25">
      <c r="A194">
        <f>+'Esc 2'!A203</f>
        <v>1996</v>
      </c>
      <c r="B194" s="2">
        <f>+'Esc 2'!B203</f>
        <v>6</v>
      </c>
      <c r="C194">
        <f>+IF($AB$3="",'Esc 2'!O203,'Bal Híd'!R193)</f>
        <v>0.17107481196927027</v>
      </c>
      <c r="D194">
        <f ca="1">+'Bal Híd'!N193</f>
        <v>7.6368477630678893</v>
      </c>
    </row>
    <row r="195" spans="1:4" x14ac:dyDescent="0.25">
      <c r="A195">
        <f>+'Esc 2'!A204</f>
        <v>1996</v>
      </c>
      <c r="B195" s="2">
        <f>+'Esc 2'!B204</f>
        <v>7</v>
      </c>
      <c r="C195">
        <f>+IF($AB$3="",'Esc 2'!O204,'Bal Híd'!R194)</f>
        <v>0.11672546968216982</v>
      </c>
      <c r="D195">
        <f ca="1">+'Bal Híd'!N194</f>
        <v>7.6368477630678893</v>
      </c>
    </row>
    <row r="196" spans="1:4" x14ac:dyDescent="0.25">
      <c r="A196">
        <f>+'Esc 2'!A205</f>
        <v>1996</v>
      </c>
      <c r="B196" s="2">
        <f>+'Esc 2'!B205</f>
        <v>8</v>
      </c>
      <c r="C196">
        <f>+IF($AB$3="",'Esc 2'!O205,'Bal Híd'!R195)</f>
        <v>0.1984378821467927</v>
      </c>
      <c r="D196">
        <f ca="1">+'Bal Híd'!N195</f>
        <v>7.6368477630678893</v>
      </c>
    </row>
    <row r="197" spans="1:4" x14ac:dyDescent="0.25">
      <c r="A197">
        <f>+'Esc 2'!A206</f>
        <v>1996</v>
      </c>
      <c r="B197" s="2">
        <f>+'Esc 2'!B206</f>
        <v>9</v>
      </c>
      <c r="C197">
        <f>+IF($AB$3="",'Esc 2'!O206,'Bal Híd'!R196)</f>
        <v>0.67536493750691695</v>
      </c>
      <c r="D197">
        <f ca="1">+'Bal Híd'!N196</f>
        <v>7.6368477630678893</v>
      </c>
    </row>
    <row r="198" spans="1:4" x14ac:dyDescent="0.25">
      <c r="A198">
        <f>+'Esc 2'!A207</f>
        <v>1996</v>
      </c>
      <c r="B198" s="2">
        <f>+'Esc 2'!B207</f>
        <v>10</v>
      </c>
      <c r="C198">
        <f>+IF($AB$3="",'Esc 2'!O207,'Bal Híd'!R197)</f>
        <v>1.2664734520006768</v>
      </c>
      <c r="D198">
        <f ca="1">+'Bal Híd'!N197</f>
        <v>7.6368477630678893</v>
      </c>
    </row>
    <row r="199" spans="1:4" x14ac:dyDescent="0.25">
      <c r="A199">
        <f>+'Esc 2'!A208</f>
        <v>1996</v>
      </c>
      <c r="B199" s="2">
        <f>+'Esc 2'!B208</f>
        <v>11</v>
      </c>
      <c r="C199">
        <f>+IF($AB$3="",'Esc 2'!O208,'Bal Híd'!R198)</f>
        <v>1.1212041818026688</v>
      </c>
      <c r="D199">
        <f ca="1">+'Bal Híd'!N198</f>
        <v>6.2074853401884686</v>
      </c>
    </row>
    <row r="200" spans="1:4" x14ac:dyDescent="0.25">
      <c r="A200">
        <f>+'Esc 2'!A209</f>
        <v>1996</v>
      </c>
      <c r="B200" s="2">
        <f>+'Esc 2'!B209</f>
        <v>12</v>
      </c>
      <c r="C200">
        <f>+IF($AB$3="",'Esc 2'!O209,'Bal Híd'!R199)</f>
        <v>0.80347538058367485</v>
      </c>
      <c r="D200">
        <f ca="1">+'Bal Híd'!N199</f>
        <v>2.5022515259567868</v>
      </c>
    </row>
    <row r="201" spans="1:4" x14ac:dyDescent="0.25">
      <c r="A201">
        <f>+'Esc 2'!A210</f>
        <v>1997</v>
      </c>
      <c r="B201" s="2">
        <f>+'Esc 2'!B210</f>
        <v>1</v>
      </c>
      <c r="C201">
        <f>+IF($AB$3="",'Esc 2'!O210,'Bal Híd'!R200)</f>
        <v>0.5637495369989024</v>
      </c>
      <c r="D201">
        <f ca="1">+'Bal Híd'!N200</f>
        <v>0.14364725252241328</v>
      </c>
    </row>
    <row r="202" spans="1:4" x14ac:dyDescent="0.25">
      <c r="A202">
        <f>+'Esc 2'!A211</f>
        <v>1997</v>
      </c>
      <c r="B202" s="2">
        <f>+'Esc 2'!B211</f>
        <v>2</v>
      </c>
      <c r="C202">
        <f>+IF($AB$3="",'Esc 2'!O211,'Bal Híd'!R201)</f>
        <v>3.0546624997943197</v>
      </c>
      <c r="D202">
        <f ca="1">+'Bal Híd'!N201</f>
        <v>1.5136034647925425</v>
      </c>
    </row>
    <row r="203" spans="1:4" x14ac:dyDescent="0.25">
      <c r="A203">
        <f>+'Esc 2'!A212</f>
        <v>1997</v>
      </c>
      <c r="B203" s="2">
        <f>+'Esc 2'!B212</f>
        <v>3</v>
      </c>
      <c r="C203">
        <f>+IF($AB$3="",'Esc 2'!O212,'Bal Híd'!R202)</f>
        <v>0.93413372951097884</v>
      </c>
      <c r="D203">
        <f ca="1">+'Bal Híd'!N202</f>
        <v>1.8052858054991003</v>
      </c>
    </row>
    <row r="204" spans="1:4" x14ac:dyDescent="0.25">
      <c r="A204">
        <f>+'Esc 2'!A213</f>
        <v>1997</v>
      </c>
      <c r="B204" s="2">
        <f>+'Esc 2'!B213</f>
        <v>4</v>
      </c>
      <c r="C204">
        <f>+IF($AB$3="",'Esc 2'!O213,'Bal Híd'!R203)</f>
        <v>1.0063512731512976</v>
      </c>
      <c r="D204">
        <f ca="1">+'Bal Híd'!N203</f>
        <v>2.7917762229961109</v>
      </c>
    </row>
    <row r="205" spans="1:4" x14ac:dyDescent="0.25">
      <c r="A205">
        <f>+'Esc 2'!A214</f>
        <v>1997</v>
      </c>
      <c r="B205" s="2">
        <f>+'Esc 2'!B214</f>
        <v>5</v>
      </c>
      <c r="C205">
        <f>+IF($AB$3="",'Esc 2'!O214,'Bal Híd'!R204)</f>
        <v>1.8250709270352528</v>
      </c>
      <c r="D205">
        <f ca="1">+'Bal Híd'!N204</f>
        <v>4.6206486849615063</v>
      </c>
    </row>
    <row r="206" spans="1:4" x14ac:dyDescent="0.25">
      <c r="A206">
        <f>+'Esc 2'!A215</f>
        <v>1997</v>
      </c>
      <c r="B206" s="2">
        <f>+'Esc 2'!B215</f>
        <v>6</v>
      </c>
      <c r="C206">
        <f>+IF($AB$3="",'Esc 2'!O215,'Bal Híd'!R205)</f>
        <v>1.1501441087750466</v>
      </c>
      <c r="D206">
        <f ca="1">+'Bal Híd'!N205</f>
        <v>5.7253290960055638</v>
      </c>
    </row>
    <row r="207" spans="1:4" x14ac:dyDescent="0.25">
      <c r="A207">
        <f>+'Esc 2'!A216</f>
        <v>1997</v>
      </c>
      <c r="B207" s="2">
        <f>+'Esc 2'!B216</f>
        <v>7</v>
      </c>
      <c r="C207">
        <f>+IF($AB$3="",'Esc 2'!O216,'Bal Híd'!R206)</f>
        <v>1.9253908067903287</v>
      </c>
      <c r="D207">
        <f ca="1">+'Bal Híd'!N206</f>
        <v>7.6368477630678893</v>
      </c>
    </row>
    <row r="208" spans="1:4" x14ac:dyDescent="0.25">
      <c r="A208">
        <f>+'Esc 2'!A217</f>
        <v>1997</v>
      </c>
      <c r="B208" s="2">
        <f>+'Esc 2'!B217</f>
        <v>8</v>
      </c>
      <c r="C208">
        <f>+IF($AB$3="",'Esc 2'!O217,'Bal Híd'!R207)</f>
        <v>0.84492966231634103</v>
      </c>
      <c r="D208">
        <f ca="1">+'Bal Híd'!N207</f>
        <v>7.6368477630678893</v>
      </c>
    </row>
    <row r="209" spans="1:4" x14ac:dyDescent="0.25">
      <c r="A209">
        <f>+'Esc 2'!A218</f>
        <v>1997</v>
      </c>
      <c r="B209" s="2">
        <f>+'Esc 2'!B218</f>
        <v>9</v>
      </c>
      <c r="C209">
        <f>+IF($AB$3="",'Esc 2'!O218,'Bal Híd'!R208)</f>
        <v>0.39525669827797</v>
      </c>
      <c r="D209">
        <f ca="1">+'Bal Híd'!N208</f>
        <v>7.6368477630678893</v>
      </c>
    </row>
    <row r="210" spans="1:4" x14ac:dyDescent="0.25">
      <c r="A210">
        <f>+'Esc 2'!A219</f>
        <v>1997</v>
      </c>
      <c r="B210" s="2">
        <f>+'Esc 2'!B219</f>
        <v>10</v>
      </c>
      <c r="C210">
        <f>+IF($AB$3="",'Esc 2'!O219,'Bal Híd'!R209)</f>
        <v>2.7392752632538877</v>
      </c>
      <c r="D210">
        <f ca="1">+'Bal Híd'!N209</f>
        <v>7.6368477630678893</v>
      </c>
    </row>
    <row r="211" spans="1:4" x14ac:dyDescent="0.25">
      <c r="A211">
        <f>+'Esc 2'!A220</f>
        <v>1997</v>
      </c>
      <c r="B211" s="2">
        <f>+'Esc 2'!B220</f>
        <v>11</v>
      </c>
      <c r="C211">
        <f>+IF($AB$3="",'Esc 2'!O220,'Bal Híd'!R210)</f>
        <v>2.588228913195707</v>
      </c>
      <c r="D211">
        <f ca="1">+'Bal Híd'!N210</f>
        <v>7.6368477630678893</v>
      </c>
    </row>
    <row r="212" spans="1:4" x14ac:dyDescent="0.25">
      <c r="A212">
        <f>+'Esc 2'!A221</f>
        <v>1997</v>
      </c>
      <c r="B212" s="2">
        <f>+'Esc 2'!B221</f>
        <v>12</v>
      </c>
      <c r="C212">
        <f>+IF($AB$3="",'Esc 2'!O221,'Bal Híd'!R211)</f>
        <v>7.0610983456772765</v>
      </c>
      <c r="D212">
        <f ca="1">+'Bal Híd'!N211</f>
        <v>7.6368477630678893</v>
      </c>
    </row>
    <row r="213" spans="1:4" x14ac:dyDescent="0.25">
      <c r="A213">
        <f>+'Esc 2'!A222</f>
        <v>1998</v>
      </c>
      <c r="B213" s="2">
        <f>+'Esc 2'!B222</f>
        <v>1</v>
      </c>
      <c r="C213">
        <f>+IF($AB$3="",'Esc 2'!O222,'Bal Híd'!R212)</f>
        <v>7.8953274343088387</v>
      </c>
      <c r="D213">
        <f ca="1">+'Bal Híd'!N212</f>
        <v>7.6368477630678893</v>
      </c>
    </row>
    <row r="214" spans="1:4" x14ac:dyDescent="0.25">
      <c r="A214">
        <f>+'Esc 2'!A223</f>
        <v>1998</v>
      </c>
      <c r="B214" s="2">
        <f>+'Esc 2'!B223</f>
        <v>2</v>
      </c>
      <c r="C214">
        <f>+IF($AB$3="",'Esc 2'!O223,'Bal Híd'!R213)</f>
        <v>3.5880927394766715</v>
      </c>
      <c r="D214">
        <f ca="1">+'Bal Híd'!N213</f>
        <v>7.6368477630678893</v>
      </c>
    </row>
    <row r="215" spans="1:4" x14ac:dyDescent="0.25">
      <c r="A215">
        <f>+'Esc 2'!A224</f>
        <v>1998</v>
      </c>
      <c r="B215" s="2">
        <f>+'Esc 2'!B224</f>
        <v>3</v>
      </c>
      <c r="C215">
        <f>+IF($AB$3="",'Esc 2'!O224,'Bal Híd'!R214)</f>
        <v>4.9682294139700245</v>
      </c>
      <c r="D215">
        <f ca="1">+'Bal Híd'!N214</f>
        <v>7.6368477630678893</v>
      </c>
    </row>
    <row r="216" spans="1:4" x14ac:dyDescent="0.25">
      <c r="A216">
        <f>+'Esc 2'!A225</f>
        <v>1998</v>
      </c>
      <c r="B216" s="2">
        <f>+'Esc 2'!B225</f>
        <v>4</v>
      </c>
      <c r="C216">
        <f>+IF($AB$3="",'Esc 2'!O225,'Bal Híd'!R215)</f>
        <v>5.8550879681411914</v>
      </c>
      <c r="D216">
        <f ca="1">+'Bal Híd'!N215</f>
        <v>7.6368477630678893</v>
      </c>
    </row>
    <row r="217" spans="1:4" x14ac:dyDescent="0.25">
      <c r="A217">
        <f>+'Esc 2'!A226</f>
        <v>1998</v>
      </c>
      <c r="B217" s="2">
        <f>+'Esc 2'!B226</f>
        <v>5</v>
      </c>
      <c r="C217">
        <f>+IF($AB$3="",'Esc 2'!O226,'Bal Híd'!R216)</f>
        <v>2.7954028888846847</v>
      </c>
      <c r="D217">
        <f ca="1">+'Bal Híd'!N216</f>
        <v>7.6368477630678893</v>
      </c>
    </row>
    <row r="218" spans="1:4" x14ac:dyDescent="0.25">
      <c r="A218">
        <f>+'Esc 2'!A227</f>
        <v>1998</v>
      </c>
      <c r="B218" s="2">
        <f>+'Esc 2'!B227</f>
        <v>6</v>
      </c>
      <c r="C218">
        <f>+IF($AB$3="",'Esc 2'!O227,'Bal Híd'!R217)</f>
        <v>4.3011689228409962</v>
      </c>
      <c r="D218">
        <f ca="1">+'Bal Híd'!N217</f>
        <v>7.6368477630678893</v>
      </c>
    </row>
    <row r="219" spans="1:4" x14ac:dyDescent="0.25">
      <c r="A219">
        <f>+'Esc 2'!A228</f>
        <v>1998</v>
      </c>
      <c r="B219" s="2">
        <f>+'Esc 2'!B228</f>
        <v>7</v>
      </c>
      <c r="C219">
        <f>+IF($AB$3="",'Esc 2'!O228,'Bal Híd'!R218)</f>
        <v>2.8647837656870787</v>
      </c>
      <c r="D219">
        <f ca="1">+'Bal Híd'!N218</f>
        <v>7.6368477630678893</v>
      </c>
    </row>
    <row r="220" spans="1:4" x14ac:dyDescent="0.25">
      <c r="A220">
        <f>+'Esc 2'!A229</f>
        <v>1998</v>
      </c>
      <c r="B220" s="2">
        <f>+'Esc 2'!B229</f>
        <v>8</v>
      </c>
      <c r="C220">
        <f>+IF($AB$3="",'Esc 2'!O229,'Bal Híd'!R219)</f>
        <v>0.99571820744324291</v>
      </c>
      <c r="D220">
        <f ca="1">+'Bal Híd'!N219</f>
        <v>7.6368477630678893</v>
      </c>
    </row>
    <row r="221" spans="1:4" x14ac:dyDescent="0.25">
      <c r="A221">
        <f>+'Esc 2'!A230</f>
        <v>1998</v>
      </c>
      <c r="B221" s="2">
        <f>+'Esc 2'!B230</f>
        <v>9</v>
      </c>
      <c r="C221">
        <f>+IF($AB$3="",'Esc 2'!O230,'Bal Híd'!R220)</f>
        <v>2.7384022710393836</v>
      </c>
      <c r="D221">
        <f ca="1">+'Bal Híd'!N220</f>
        <v>7.6368477630678893</v>
      </c>
    </row>
    <row r="222" spans="1:4" x14ac:dyDescent="0.25">
      <c r="A222">
        <f>+'Esc 2'!A231</f>
        <v>1998</v>
      </c>
      <c r="B222" s="2">
        <f>+'Esc 2'!B231</f>
        <v>10</v>
      </c>
      <c r="C222">
        <f>+IF($AB$3="",'Esc 2'!O231,'Bal Híd'!R221)</f>
        <v>0.81418534234094764</v>
      </c>
      <c r="D222">
        <f ca="1">+'Bal Híd'!N221</f>
        <v>7.4678706083143842</v>
      </c>
    </row>
    <row r="223" spans="1:4" x14ac:dyDescent="0.25">
      <c r="A223">
        <f>+'Esc 2'!A232</f>
        <v>1998</v>
      </c>
      <c r="B223" s="2">
        <f>+'Esc 2'!B232</f>
        <v>11</v>
      </c>
      <c r="C223">
        <f>+IF($AB$3="",'Esc 2'!O232,'Bal Híd'!R222)</f>
        <v>0.92347090854610969</v>
      </c>
      <c r="D223">
        <f ca="1">+'Bal Híd'!N222</f>
        <v>5.8826020361994056</v>
      </c>
    </row>
    <row r="224" spans="1:4" x14ac:dyDescent="0.25">
      <c r="A224">
        <f>+'Esc 2'!A233</f>
        <v>1998</v>
      </c>
      <c r="B224" s="2">
        <f>+'Esc 2'!B233</f>
        <v>12</v>
      </c>
      <c r="C224">
        <f>+IF($AB$3="",'Esc 2'!O233,'Bal Híd'!R223)</f>
        <v>0.78043345449184931</v>
      </c>
      <c r="D224">
        <f ca="1">+'Bal Híd'!N223</f>
        <v>2.164966086557345</v>
      </c>
    </row>
    <row r="225" spans="1:4" x14ac:dyDescent="0.25">
      <c r="A225">
        <f>+'Esc 2'!A234</f>
        <v>1999</v>
      </c>
      <c r="B225" s="2">
        <f>+'Esc 2'!B234</f>
        <v>1</v>
      </c>
      <c r="C225">
        <f>+IF($AB$3="",'Esc 2'!O234,'Bal Híd'!R224)</f>
        <v>0.21872461701640933</v>
      </c>
      <c r="D225">
        <f ca="1">+'Bal Híd'!N224</f>
        <v>0.14364725252241328</v>
      </c>
    </row>
    <row r="226" spans="1:4" x14ac:dyDescent="0.25">
      <c r="A226">
        <f>+'Esc 2'!A235</f>
        <v>1999</v>
      </c>
      <c r="B226" s="2">
        <f>+'Esc 2'!B235</f>
        <v>2</v>
      </c>
      <c r="C226">
        <f>+IF($AB$3="",'Esc 2'!O235,'Bal Híd'!R225)</f>
        <v>1.6106490957828623</v>
      </c>
      <c r="D226">
        <f ca="1">+'Bal Híd'!N225</f>
        <v>0.14364725252241328</v>
      </c>
    </row>
    <row r="227" spans="1:4" x14ac:dyDescent="0.25">
      <c r="A227">
        <f>+'Esc 2'!A236</f>
        <v>1999</v>
      </c>
      <c r="B227" s="2">
        <f>+'Esc 2'!B236</f>
        <v>3</v>
      </c>
      <c r="C227">
        <f>+IF($AB$3="",'Esc 2'!O236,'Bal Híd'!R226)</f>
        <v>0.74465444644105538</v>
      </c>
      <c r="D227">
        <f ca="1">+'Bal Híd'!N226</f>
        <v>0.34164650153816345</v>
      </c>
    </row>
    <row r="228" spans="1:4" x14ac:dyDescent="0.25">
      <c r="A228">
        <f>+'Esc 2'!A237</f>
        <v>1999</v>
      </c>
      <c r="B228" s="2">
        <f>+'Esc 2'!B237</f>
        <v>4</v>
      </c>
      <c r="C228">
        <f>+IF($AB$3="",'Esc 2'!O237,'Bal Híd'!R227)</f>
        <v>1.9126080506193481</v>
      </c>
      <c r="D228">
        <f ca="1">+'Bal Híd'!N227</f>
        <v>2.2587273232240133</v>
      </c>
    </row>
    <row r="229" spans="1:4" x14ac:dyDescent="0.25">
      <c r="A229">
        <f>+'Esc 2'!A238</f>
        <v>1999</v>
      </c>
      <c r="B229" s="2">
        <f>+'Esc 2'!B238</f>
        <v>5</v>
      </c>
      <c r="C229">
        <f>+IF($AB$3="",'Esc 2'!O238,'Bal Híd'!R228)</f>
        <v>1.0319578447879716</v>
      </c>
      <c r="D229">
        <f ca="1">+'Bal Híd'!N228</f>
        <v>3.2436747562867607</v>
      </c>
    </row>
    <row r="230" spans="1:4" x14ac:dyDescent="0.25">
      <c r="A230">
        <f>+'Esc 2'!A239</f>
        <v>1999</v>
      </c>
      <c r="B230" s="2">
        <f>+'Esc 2'!B239</f>
        <v>6</v>
      </c>
      <c r="C230">
        <f>+IF($AB$3="",'Esc 2'!O239,'Bal Híd'!R229)</f>
        <v>0.9691423471695223</v>
      </c>
      <c r="D230">
        <f ca="1">+'Bal Híd'!N229</f>
        <v>4.2007997616133235</v>
      </c>
    </row>
    <row r="231" spans="1:4" x14ac:dyDescent="0.25">
      <c r="A231">
        <f>+'Esc 2'!A240</f>
        <v>1999</v>
      </c>
      <c r="B231" s="2">
        <f>+'Esc 2'!B240</f>
        <v>7</v>
      </c>
      <c r="C231">
        <f>+IF($AB$3="",'Esc 2'!O240,'Bal Híd'!R230)</f>
        <v>1.4684905011764331</v>
      </c>
      <c r="D231">
        <f ca="1">+'Bal Híd'!N230</f>
        <v>5.6507052856847499</v>
      </c>
    </row>
    <row r="232" spans="1:4" x14ac:dyDescent="0.25">
      <c r="A232">
        <f>+'Esc 2'!A241</f>
        <v>1999</v>
      </c>
      <c r="B232" s="2">
        <f>+'Esc 2'!B241</f>
        <v>8</v>
      </c>
      <c r="C232">
        <f>+IF($AB$3="",'Esc 2'!O241,'Bal Híd'!R231)</f>
        <v>0.46056974024328939</v>
      </c>
      <c r="D232">
        <f ca="1">+'Bal Híd'!N231</f>
        <v>5.9313975907782828</v>
      </c>
    </row>
    <row r="233" spans="1:4" x14ac:dyDescent="0.25">
      <c r="A233">
        <f>+'Esc 2'!A242</f>
        <v>1999</v>
      </c>
      <c r="B233" s="2">
        <f>+'Esc 2'!B242</f>
        <v>9</v>
      </c>
      <c r="C233">
        <f>+IF($AB$3="",'Esc 2'!O242,'Bal Híd'!R232)</f>
        <v>0.22787781037732352</v>
      </c>
      <c r="D233">
        <f ca="1">+'Bal Híd'!N232</f>
        <v>6.0224191989534637</v>
      </c>
    </row>
    <row r="234" spans="1:4" x14ac:dyDescent="0.25">
      <c r="A234">
        <f>+'Esc 2'!A243</f>
        <v>1999</v>
      </c>
      <c r="B234" s="2">
        <f>+'Esc 2'!B243</f>
        <v>10</v>
      </c>
      <c r="C234">
        <f>+IF($AB$3="",'Esc 2'!O243,'Bal Híd'!R233)</f>
        <v>0.61115697884345166</v>
      </c>
      <c r="D234">
        <f ca="1">+'Bal Híd'!N233</f>
        <v>5.8449017836359562</v>
      </c>
    </row>
    <row r="235" spans="1:4" x14ac:dyDescent="0.25">
      <c r="A235">
        <f>+'Esc 2'!A244</f>
        <v>1999</v>
      </c>
      <c r="B235" s="2">
        <f>+'Esc 2'!B244</f>
        <v>11</v>
      </c>
      <c r="C235">
        <f>+IF($AB$3="",'Esc 2'!O244,'Bal Híd'!R234)</f>
        <v>0.20629452361074468</v>
      </c>
      <c r="D235">
        <f ca="1">+'Bal Híd'!N234</f>
        <v>3.3967935716260467</v>
      </c>
    </row>
    <row r="236" spans="1:4" x14ac:dyDescent="0.25">
      <c r="A236">
        <f>+'Esc 2'!A245</f>
        <v>1999</v>
      </c>
      <c r="B236" s="2">
        <f>+'Esc 2'!B245</f>
        <v>12</v>
      </c>
      <c r="C236">
        <f>+IF($AB$3="",'Esc 2'!O245,'Bal Híd'!R235)</f>
        <v>0.1007997047968858</v>
      </c>
      <c r="D236">
        <f ca="1">+'Bal Híd'!N235</f>
        <v>0.14364725252241328</v>
      </c>
    </row>
    <row r="237" spans="1:4" x14ac:dyDescent="0.25">
      <c r="A237">
        <f>+'Esc 2'!A246</f>
        <v>2000</v>
      </c>
      <c r="B237" s="2">
        <f>+'Esc 2'!B246</f>
        <v>1</v>
      </c>
      <c r="C237">
        <f>+IF($AB$3="",'Esc 2'!O246,'Bal Híd'!R236)</f>
        <v>0.92575102317146174</v>
      </c>
      <c r="D237">
        <f ca="1">+'Bal Híd'!N236</f>
        <v>0.14364725252241328</v>
      </c>
    </row>
    <row r="238" spans="1:4" x14ac:dyDescent="0.25">
      <c r="A238">
        <f>+'Esc 2'!A247</f>
        <v>2000</v>
      </c>
      <c r="B238" s="2">
        <f>+'Esc 2'!B247</f>
        <v>2</v>
      </c>
      <c r="C238">
        <f>+IF($AB$3="",'Esc 2'!O247,'Bal Híd'!R237)</f>
        <v>0.95798863748833207</v>
      </c>
      <c r="D238">
        <f ca="1">+'Bal Híd'!N237</f>
        <v>0.14364725252241328</v>
      </c>
    </row>
    <row r="239" spans="1:4" x14ac:dyDescent="0.25">
      <c r="A239">
        <f>+'Esc 2'!A248</f>
        <v>2000</v>
      </c>
      <c r="B239" s="2">
        <f>+'Esc 2'!B248</f>
        <v>3</v>
      </c>
      <c r="C239">
        <f>+IF($AB$3="",'Esc 2'!O248,'Bal Híd'!R238)</f>
        <v>2.0740148780578176</v>
      </c>
      <c r="D239">
        <f ca="1">+'Bal Híd'!N238</f>
        <v>1.6838413727915333</v>
      </c>
    </row>
    <row r="240" spans="1:4" x14ac:dyDescent="0.25">
      <c r="A240">
        <f>+'Esc 2'!A249</f>
        <v>2000</v>
      </c>
      <c r="B240" s="2">
        <f>+'Esc 2'!B249</f>
        <v>4</v>
      </c>
      <c r="C240">
        <f>+IF($AB$3="",'Esc 2'!O249,'Bal Híd'!R239)</f>
        <v>1.7267055424284801</v>
      </c>
      <c r="D240">
        <f ca="1">+'Bal Híd'!N239</f>
        <v>3.3759278903610968</v>
      </c>
    </row>
    <row r="241" spans="1:4" x14ac:dyDescent="0.25">
      <c r="A241">
        <f>+'Esc 2'!A250</f>
        <v>2000</v>
      </c>
      <c r="B241" s="2">
        <f>+'Esc 2'!B250</f>
        <v>5</v>
      </c>
      <c r="C241">
        <f>+IF($AB$3="",'Esc 2'!O250,'Bal Híd'!R240)</f>
        <v>4.6014840132756394</v>
      </c>
      <c r="D241">
        <f ca="1">+'Bal Híd'!N240</f>
        <v>7.6368477630678893</v>
      </c>
    </row>
    <row r="242" spans="1:4" x14ac:dyDescent="0.25">
      <c r="A242">
        <f>+'Esc 2'!A251</f>
        <v>2000</v>
      </c>
      <c r="B242" s="2">
        <f>+'Esc 2'!B251</f>
        <v>6</v>
      </c>
      <c r="C242">
        <f>+IF($AB$3="",'Esc 2'!O251,'Bal Híd'!R241)</f>
        <v>2.5703306721492472</v>
      </c>
      <c r="D242">
        <f ca="1">+'Bal Híd'!N241</f>
        <v>7.6368477630678893</v>
      </c>
    </row>
    <row r="243" spans="1:4" x14ac:dyDescent="0.25">
      <c r="A243">
        <f>+'Esc 2'!A252</f>
        <v>2000</v>
      </c>
      <c r="B243" s="2">
        <f>+'Esc 2'!B252</f>
        <v>7</v>
      </c>
      <c r="C243">
        <f>+IF($AB$3="",'Esc 2'!O252,'Bal Híd'!R242)</f>
        <v>1.5871563469340495</v>
      </c>
      <c r="D243">
        <f ca="1">+'Bal Híd'!N242</f>
        <v>7.6368477630678893</v>
      </c>
    </row>
    <row r="244" spans="1:4" x14ac:dyDescent="0.25">
      <c r="A244">
        <f>+'Esc 2'!A253</f>
        <v>2000</v>
      </c>
      <c r="B244" s="2">
        <f>+'Esc 2'!B253</f>
        <v>8</v>
      </c>
      <c r="C244">
        <f>+IF($AB$3="",'Esc 2'!O253,'Bal Híd'!R243)</f>
        <v>1.4603550544234074</v>
      </c>
      <c r="D244">
        <f ca="1">+'Bal Híd'!N243</f>
        <v>7.6368477630678893</v>
      </c>
    </row>
    <row r="245" spans="1:4" x14ac:dyDescent="0.25">
      <c r="A245">
        <f>+'Esc 2'!A254</f>
        <v>2000</v>
      </c>
      <c r="B245" s="2">
        <f>+'Esc 2'!B254</f>
        <v>9</v>
      </c>
      <c r="C245">
        <f>+IF($AB$3="",'Esc 2'!O254,'Bal Híd'!R244)</f>
        <v>2.6733544071468862</v>
      </c>
      <c r="D245">
        <f ca="1">+'Bal Híd'!N244</f>
        <v>7.6368477630678893</v>
      </c>
    </row>
    <row r="246" spans="1:4" x14ac:dyDescent="0.25">
      <c r="A246">
        <f>+'Esc 2'!A255</f>
        <v>2000</v>
      </c>
      <c r="B246" s="2">
        <f>+'Esc 2'!B255</f>
        <v>10</v>
      </c>
      <c r="C246">
        <f>+IF($AB$3="",'Esc 2'!O255,'Bal Híd'!R245)</f>
        <v>2.3695310803039562</v>
      </c>
      <c r="D246">
        <f ca="1">+'Bal Híd'!N245</f>
        <v>7.6368477630678893</v>
      </c>
    </row>
    <row r="247" spans="1:4" x14ac:dyDescent="0.25">
      <c r="A247">
        <f>+'Esc 2'!A256</f>
        <v>2000</v>
      </c>
      <c r="B247" s="2">
        <f>+'Esc 2'!B256</f>
        <v>11</v>
      </c>
      <c r="C247">
        <f>+IF($AB$3="",'Esc 2'!O256,'Bal Híd'!R246)</f>
        <v>1.7948076770134282</v>
      </c>
      <c r="D247">
        <f ca="1">+'Bal Híd'!N246</f>
        <v>6.9007615649754763</v>
      </c>
    </row>
    <row r="248" spans="1:4" x14ac:dyDescent="0.25">
      <c r="A248">
        <f>+'Esc 2'!A257</f>
        <v>2000</v>
      </c>
      <c r="B248" s="2">
        <f>+'Esc 2'!B257</f>
        <v>12</v>
      </c>
      <c r="C248">
        <f>+IF($AB$3="",'Esc 2'!O257,'Bal Híd'!R247)</f>
        <v>0.95755534284969701</v>
      </c>
      <c r="D248">
        <f ca="1">+'Bal Híd'!N247</f>
        <v>3.3083308971738727</v>
      </c>
    </row>
    <row r="249" spans="1:4" x14ac:dyDescent="0.25">
      <c r="A249">
        <f>+'Esc 2'!A258</f>
        <v>2001</v>
      </c>
      <c r="B249" s="2">
        <f>+'Esc 2'!B258</f>
        <v>1</v>
      </c>
      <c r="C249">
        <f>+IF($AB$3="",'Esc 2'!O258,'Bal Híd'!R248)</f>
        <v>1.2819754554387026</v>
      </c>
      <c r="D249">
        <f ca="1">+'Bal Híd'!N248</f>
        <v>0.98650532248058376</v>
      </c>
    </row>
    <row r="250" spans="1:4" x14ac:dyDescent="0.25">
      <c r="A250">
        <f>+'Esc 2'!A259</f>
        <v>2001</v>
      </c>
      <c r="B250" s="2">
        <f>+'Esc 2'!B259</f>
        <v>2</v>
      </c>
      <c r="C250">
        <f>+IF($AB$3="",'Esc 2'!O259,'Bal Híd'!R249)</f>
        <v>0.90588117406010116</v>
      </c>
      <c r="D250">
        <f ca="1">+'Bal Híd'!N249</f>
        <v>0.1677193702927755</v>
      </c>
    </row>
    <row r="251" spans="1:4" x14ac:dyDescent="0.25">
      <c r="A251">
        <f>+'Esc 2'!A260</f>
        <v>2001</v>
      </c>
      <c r="B251" s="2">
        <f>+'Esc 2'!B260</f>
        <v>3</v>
      </c>
      <c r="C251">
        <f>+IF($AB$3="",'Esc 2'!O260,'Bal Híd'!R250)</f>
        <v>0.95682222337675293</v>
      </c>
      <c r="D251">
        <f ca="1">+'Bal Híd'!N250</f>
        <v>0.58465326088255309</v>
      </c>
    </row>
    <row r="252" spans="1:4" x14ac:dyDescent="0.25">
      <c r="A252">
        <f>+'Esc 2'!A261</f>
        <v>2001</v>
      </c>
      <c r="B252" s="2">
        <f>+'Esc 2'!B261</f>
        <v>4</v>
      </c>
      <c r="C252">
        <f>+IF($AB$3="",'Esc 2'!O261,'Bal Híd'!R251)</f>
        <v>7.7064382341868178</v>
      </c>
      <c r="D252">
        <f ca="1">+'Bal Híd'!N251</f>
        <v>7.6368477630678893</v>
      </c>
    </row>
    <row r="253" spans="1:4" x14ac:dyDescent="0.25">
      <c r="A253">
        <f>+'Esc 2'!A262</f>
        <v>2001</v>
      </c>
      <c r="B253" s="2">
        <f>+'Esc 2'!B262</f>
        <v>5</v>
      </c>
      <c r="C253">
        <f>+IF($AB$3="",'Esc 2'!O262,'Bal Híd'!R252)</f>
        <v>4.8932754855399851</v>
      </c>
      <c r="D253">
        <f ca="1">+'Bal Híd'!N252</f>
        <v>7.6368477630678893</v>
      </c>
    </row>
    <row r="254" spans="1:4" x14ac:dyDescent="0.25">
      <c r="A254">
        <f>+'Esc 2'!A263</f>
        <v>2001</v>
      </c>
      <c r="B254" s="2">
        <f>+'Esc 2'!B263</f>
        <v>6</v>
      </c>
      <c r="C254">
        <f>+IF($AB$3="",'Esc 2'!O263,'Bal Híd'!R253)</f>
        <v>2.2364626505745342</v>
      </c>
      <c r="D254">
        <f ca="1">+'Bal Híd'!N253</f>
        <v>7.6368477630678893</v>
      </c>
    </row>
    <row r="255" spans="1:4" x14ac:dyDescent="0.25">
      <c r="A255">
        <f>+'Esc 2'!A264</f>
        <v>2001</v>
      </c>
      <c r="B255" s="2">
        <f>+'Esc 2'!B264</f>
        <v>7</v>
      </c>
      <c r="C255">
        <f>+IF($AB$3="",'Esc 2'!O264,'Bal Híd'!R254)</f>
        <v>0.73884318577829444</v>
      </c>
      <c r="D255">
        <f ca="1">+'Bal Híd'!N254</f>
        <v>7.6368477630678893</v>
      </c>
    </row>
    <row r="256" spans="1:4" x14ac:dyDescent="0.25">
      <c r="A256">
        <f>+'Esc 2'!A265</f>
        <v>2001</v>
      </c>
      <c r="B256" s="2">
        <f>+'Esc 2'!B265</f>
        <v>8</v>
      </c>
      <c r="C256">
        <f>+IF($AB$3="",'Esc 2'!O265,'Bal Híd'!R255)</f>
        <v>2.7279597133596929</v>
      </c>
      <c r="D256">
        <f ca="1">+'Bal Híd'!N255</f>
        <v>7.6368477630678893</v>
      </c>
    </row>
    <row r="257" spans="1:4" x14ac:dyDescent="0.25">
      <c r="A257">
        <f>+'Esc 2'!A266</f>
        <v>2001</v>
      </c>
      <c r="B257" s="2">
        <f>+'Esc 2'!B266</f>
        <v>9</v>
      </c>
      <c r="C257">
        <f>+IF($AB$3="",'Esc 2'!O266,'Bal Híd'!R256)</f>
        <v>3.9710575915946498</v>
      </c>
      <c r="D257">
        <f ca="1">+'Bal Híd'!N256</f>
        <v>7.6368477630678893</v>
      </c>
    </row>
    <row r="258" spans="1:4" x14ac:dyDescent="0.25">
      <c r="A258">
        <f>+'Esc 2'!A267</f>
        <v>2001</v>
      </c>
      <c r="B258" s="2">
        <f>+'Esc 2'!B267</f>
        <v>10</v>
      </c>
      <c r="C258">
        <f>+IF($AB$3="",'Esc 2'!O267,'Bal Híd'!R257)</f>
        <v>2.0240927628522014</v>
      </c>
      <c r="D258">
        <f ca="1">+'Bal Híd'!N257</f>
        <v>7.6368477630678893</v>
      </c>
    </row>
    <row r="259" spans="1:4" x14ac:dyDescent="0.25">
      <c r="A259">
        <f>+'Esc 2'!A268</f>
        <v>2001</v>
      </c>
      <c r="B259" s="2">
        <f>+'Esc 2'!B268</f>
        <v>11</v>
      </c>
      <c r="C259">
        <f>+IF($AB$3="",'Esc 2'!O268,'Bal Híd'!R258)</f>
        <v>2.0906795842913977</v>
      </c>
      <c r="D259">
        <f ca="1">+'Bal Híd'!N258</f>
        <v>7.2430238656968955</v>
      </c>
    </row>
    <row r="260" spans="1:4" x14ac:dyDescent="0.25">
      <c r="A260">
        <f>+'Esc 2'!A269</f>
        <v>2001</v>
      </c>
      <c r="B260" s="2">
        <f>+'Esc 2'!B269</f>
        <v>12</v>
      </c>
      <c r="C260">
        <f>+IF($AB$3="",'Esc 2'!O269,'Bal Híd'!R259)</f>
        <v>0.85148496556440167</v>
      </c>
      <c r="D260">
        <f ca="1">+'Bal Híd'!N259</f>
        <v>3.4915549814402294</v>
      </c>
    </row>
    <row r="261" spans="1:4" x14ac:dyDescent="0.25">
      <c r="A261">
        <f>+'Esc 2'!A270</f>
        <v>2002</v>
      </c>
      <c r="B261" s="2">
        <f>+'Esc 2'!B270</f>
        <v>1</v>
      </c>
      <c r="C261">
        <f>+IF($AB$3="",'Esc 2'!O270,'Bal Híd'!R260)</f>
        <v>0.88443721663617714</v>
      </c>
      <c r="D261">
        <f ca="1">+'Bal Híd'!N260</f>
        <v>0.75815674988426451</v>
      </c>
    </row>
    <row r="262" spans="1:4" x14ac:dyDescent="0.25">
      <c r="A262">
        <f>+'Esc 2'!A271</f>
        <v>2002</v>
      </c>
      <c r="B262" s="2">
        <f>+'Esc 2'!B271</f>
        <v>2</v>
      </c>
      <c r="C262">
        <f>+IF($AB$3="",'Esc 2'!O271,'Bal Híd'!R261)</f>
        <v>1.1068274845559511</v>
      </c>
      <c r="D262">
        <f ca="1">+'Bal Híd'!N261</f>
        <v>0.15464650572618166</v>
      </c>
    </row>
    <row r="263" spans="1:4" x14ac:dyDescent="0.25">
      <c r="A263">
        <f>+'Esc 2'!A272</f>
        <v>2002</v>
      </c>
      <c r="B263" s="2">
        <f>+'Esc 2'!B272</f>
        <v>3</v>
      </c>
      <c r="C263">
        <f>+IF($AB$3="",'Esc 2'!O272,'Bal Híd'!R262)</f>
        <v>5.8749144704805207</v>
      </c>
      <c r="D263">
        <f ca="1">+'Bal Híd'!N262</f>
        <v>5.5410993136366695</v>
      </c>
    </row>
    <row r="264" spans="1:4" x14ac:dyDescent="0.25">
      <c r="A264">
        <f>+'Esc 2'!A273</f>
        <v>2002</v>
      </c>
      <c r="B264" s="2">
        <f>+'Esc 2'!B273</f>
        <v>4</v>
      </c>
      <c r="C264">
        <f>+IF($AB$3="",'Esc 2'!O273,'Bal Híd'!R263)</f>
        <v>7.8119582626253585</v>
      </c>
      <c r="D264">
        <f ca="1">+'Bal Híd'!N263</f>
        <v>7.6368477630678893</v>
      </c>
    </row>
    <row r="265" spans="1:4" x14ac:dyDescent="0.25">
      <c r="A265">
        <f>+'Esc 2'!A274</f>
        <v>2002</v>
      </c>
      <c r="B265" s="2">
        <f>+'Esc 2'!B274</f>
        <v>5</v>
      </c>
      <c r="C265">
        <f>+IF($AB$3="",'Esc 2'!O274,'Bal Híd'!R264)</f>
        <v>3.0426337210146976</v>
      </c>
      <c r="D265">
        <f ca="1">+'Bal Híd'!N264</f>
        <v>7.6368477630678893</v>
      </c>
    </row>
    <row r="266" spans="1:4" x14ac:dyDescent="0.25">
      <c r="A266">
        <f>+'Esc 2'!A275</f>
        <v>2002</v>
      </c>
      <c r="B266" s="2">
        <f>+'Esc 2'!B275</f>
        <v>6</v>
      </c>
      <c r="C266">
        <f>+IF($AB$3="",'Esc 2'!O275,'Bal Híd'!R265)</f>
        <v>1.4222617364225363</v>
      </c>
      <c r="D266">
        <f ca="1">+'Bal Híd'!N265</f>
        <v>7.6368477630678893</v>
      </c>
    </row>
    <row r="267" spans="1:4" x14ac:dyDescent="0.25">
      <c r="A267">
        <f>+'Esc 2'!A276</f>
        <v>2002</v>
      </c>
      <c r="B267" s="2">
        <f>+'Esc 2'!B276</f>
        <v>7</v>
      </c>
      <c r="C267">
        <f>+IF($AB$3="",'Esc 2'!O276,'Bal Híd'!R266)</f>
        <v>3.4235609137194132</v>
      </c>
      <c r="D267">
        <f ca="1">+'Bal Híd'!N266</f>
        <v>7.6368477630678893</v>
      </c>
    </row>
    <row r="268" spans="1:4" x14ac:dyDescent="0.25">
      <c r="A268">
        <f>+'Esc 2'!A277</f>
        <v>2002</v>
      </c>
      <c r="B268" s="2">
        <f>+'Esc 2'!B277</f>
        <v>8</v>
      </c>
      <c r="C268">
        <f>+IF($AB$3="",'Esc 2'!O277,'Bal Híd'!R267)</f>
        <v>1.5680062211930974</v>
      </c>
      <c r="D268">
        <f ca="1">+'Bal Híd'!N267</f>
        <v>7.6368477630678893</v>
      </c>
    </row>
    <row r="269" spans="1:4" x14ac:dyDescent="0.25">
      <c r="A269">
        <f>+'Esc 2'!A278</f>
        <v>2002</v>
      </c>
      <c r="B269" s="2">
        <f>+'Esc 2'!B278</f>
        <v>9</v>
      </c>
      <c r="C269">
        <f>+IF($AB$3="",'Esc 2'!O278,'Bal Híd'!R268)</f>
        <v>4.6909854094333454</v>
      </c>
      <c r="D269">
        <f ca="1">+'Bal Híd'!N268</f>
        <v>7.6368477630678893</v>
      </c>
    </row>
    <row r="270" spans="1:4" x14ac:dyDescent="0.25">
      <c r="A270">
        <f>+'Esc 2'!A279</f>
        <v>2002</v>
      </c>
      <c r="B270" s="2">
        <f>+'Esc 2'!B279</f>
        <v>10</v>
      </c>
      <c r="C270">
        <f>+IF($AB$3="",'Esc 2'!O279,'Bal Híd'!R269)</f>
        <v>3.5897027212132468</v>
      </c>
      <c r="D270">
        <f ca="1">+'Bal Híd'!N269</f>
        <v>7.6368477630678893</v>
      </c>
    </row>
    <row r="271" spans="1:4" x14ac:dyDescent="0.25">
      <c r="A271">
        <f>+'Esc 2'!A280</f>
        <v>2002</v>
      </c>
      <c r="B271" s="2">
        <f>+'Esc 2'!B280</f>
        <v>11</v>
      </c>
      <c r="C271">
        <f>+IF($AB$3="",'Esc 2'!O280,'Bal Híd'!R270)</f>
        <v>7.5571920762610061</v>
      </c>
      <c r="D271">
        <f ca="1">+'Bal Híd'!N270</f>
        <v>7.6368477630678893</v>
      </c>
    </row>
    <row r="272" spans="1:4" x14ac:dyDescent="0.25">
      <c r="A272">
        <f>+'Esc 2'!A281</f>
        <v>2002</v>
      </c>
      <c r="B272" s="2">
        <f>+'Esc 2'!B281</f>
        <v>12</v>
      </c>
      <c r="C272">
        <f>+IF($AB$3="",'Esc 2'!O281,'Bal Híd'!R271)</f>
        <v>4.7914892713351875</v>
      </c>
      <c r="D272">
        <f ca="1">+'Bal Híd'!N271</f>
        <v>7.6368477630678893</v>
      </c>
    </row>
    <row r="273" spans="1:4" x14ac:dyDescent="0.25">
      <c r="A273">
        <f>+'Esc 2'!A282</f>
        <v>2003</v>
      </c>
      <c r="B273" s="2">
        <f>+'Esc 2'!B282</f>
        <v>1</v>
      </c>
      <c r="C273">
        <f>+IF($AB$3="",'Esc 2'!O282,'Bal Híd'!R272)</f>
        <v>1.7467861542629939</v>
      </c>
      <c r="D273">
        <f ca="1">+'Bal Híd'!N272</f>
        <v>5.5448484229949004</v>
      </c>
    </row>
    <row r="274" spans="1:4" x14ac:dyDescent="0.25">
      <c r="A274">
        <f>+'Esc 2'!A283</f>
        <v>2003</v>
      </c>
      <c r="B274" s="2">
        <f>+'Esc 2'!B283</f>
        <v>2</v>
      </c>
      <c r="C274">
        <f>+IF($AB$3="",'Esc 2'!O283,'Bal Híd'!R273)</f>
        <v>2.7716894386007231</v>
      </c>
      <c r="D274">
        <f ca="1">+'Bal Híd'!N273</f>
        <v>6.583981489943568</v>
      </c>
    </row>
    <row r="275" spans="1:4" x14ac:dyDescent="0.25">
      <c r="A275">
        <f>+'Esc 2'!A284</f>
        <v>2003</v>
      </c>
      <c r="B275" s="2">
        <f>+'Esc 2'!B284</f>
        <v>3</v>
      </c>
      <c r="C275">
        <f>+IF($AB$3="",'Esc 2'!O284,'Bal Híd'!R274)</f>
        <v>2.9173207721659389</v>
      </c>
      <c r="D275">
        <f ca="1">+'Bal Híd'!N274</f>
        <v>7.6368477630678893</v>
      </c>
    </row>
    <row r="276" spans="1:4" x14ac:dyDescent="0.25">
      <c r="A276">
        <f>+'Esc 2'!A285</f>
        <v>2003</v>
      </c>
      <c r="B276" s="2">
        <f>+'Esc 2'!B285</f>
        <v>4</v>
      </c>
      <c r="C276">
        <f>+IF($AB$3="",'Esc 2'!O285,'Bal Híd'!R275)</f>
        <v>2.8329230836080459</v>
      </c>
      <c r="D276">
        <f ca="1">+'Bal Híd'!N275</f>
        <v>7.6368477630678893</v>
      </c>
    </row>
    <row r="277" spans="1:4" x14ac:dyDescent="0.25">
      <c r="A277">
        <f>+'Esc 2'!A286</f>
        <v>2003</v>
      </c>
      <c r="B277" s="2">
        <f>+'Esc 2'!B286</f>
        <v>5</v>
      </c>
      <c r="C277">
        <f>+IF($AB$3="",'Esc 2'!O286,'Bal Híd'!R276)</f>
        <v>3.3266863252435415</v>
      </c>
      <c r="D277">
        <f ca="1">+'Bal Híd'!N276</f>
        <v>7.6368477630678893</v>
      </c>
    </row>
    <row r="278" spans="1:4" x14ac:dyDescent="0.25">
      <c r="A278">
        <f>+'Esc 2'!A287</f>
        <v>2003</v>
      </c>
      <c r="B278" s="2">
        <f>+'Esc 2'!B287</f>
        <v>6</v>
      </c>
      <c r="C278">
        <f>+IF($AB$3="",'Esc 2'!O287,'Bal Híd'!R277)</f>
        <v>1.97932387868501</v>
      </c>
      <c r="D278">
        <f ca="1">+'Bal Híd'!N277</f>
        <v>7.6368477630678893</v>
      </c>
    </row>
    <row r="279" spans="1:4" x14ac:dyDescent="0.25">
      <c r="A279">
        <f>+'Esc 2'!A288</f>
        <v>2003</v>
      </c>
      <c r="B279" s="2">
        <f>+'Esc 2'!B288</f>
        <v>7</v>
      </c>
      <c r="C279">
        <f>+IF($AB$3="",'Esc 2'!O288,'Bal Híd'!R278)</f>
        <v>0.74961632468732642</v>
      </c>
      <c r="D279">
        <f ca="1">+'Bal Híd'!N278</f>
        <v>7.6368477630678893</v>
      </c>
    </row>
    <row r="280" spans="1:4" x14ac:dyDescent="0.25">
      <c r="A280">
        <f>+'Esc 2'!A289</f>
        <v>2003</v>
      </c>
      <c r="B280" s="2">
        <f>+'Esc 2'!B289</f>
        <v>8</v>
      </c>
      <c r="C280">
        <f>+IF($AB$3="",'Esc 2'!O289,'Bal Híd'!R279)</f>
        <v>1.8848015806315648</v>
      </c>
      <c r="D280">
        <f ca="1">+'Bal Híd'!N279</f>
        <v>7.6368477630678893</v>
      </c>
    </row>
    <row r="281" spans="1:4" x14ac:dyDescent="0.25">
      <c r="A281">
        <f>+'Esc 2'!A290</f>
        <v>2003</v>
      </c>
      <c r="B281" s="2">
        <f>+'Esc 2'!B290</f>
        <v>9</v>
      </c>
      <c r="C281">
        <f>+IF($AB$3="",'Esc 2'!O290,'Bal Híd'!R280)</f>
        <v>1.0497665829548883</v>
      </c>
      <c r="D281">
        <f ca="1">+'Bal Híd'!N280</f>
        <v>7.6368477630678893</v>
      </c>
    </row>
    <row r="282" spans="1:4" x14ac:dyDescent="0.25">
      <c r="A282">
        <f>+'Esc 2'!A291</f>
        <v>2003</v>
      </c>
      <c r="B282" s="2">
        <f>+'Esc 2'!B291</f>
        <v>10</v>
      </c>
      <c r="C282">
        <f>+IF($AB$3="",'Esc 2'!O291,'Bal Híd'!R281)</f>
        <v>1.6602444759439636</v>
      </c>
      <c r="D282">
        <f ca="1">+'Bal Híd'!N281</f>
        <v>7.6368477630678893</v>
      </c>
    </row>
    <row r="283" spans="1:4" x14ac:dyDescent="0.25">
      <c r="A283">
        <f>+'Esc 2'!A292</f>
        <v>2003</v>
      </c>
      <c r="B283" s="2">
        <f>+'Esc 2'!B292</f>
        <v>11</v>
      </c>
      <c r="C283">
        <f>+IF($AB$3="",'Esc 2'!O292,'Bal Híd'!R282)</f>
        <v>1.8796665758614439</v>
      </c>
      <c r="D283">
        <f ca="1">+'Bal Híd'!N282</f>
        <v>7.0137708810859367</v>
      </c>
    </row>
    <row r="284" spans="1:4" x14ac:dyDescent="0.25">
      <c r="A284">
        <f>+'Esc 2'!A293</f>
        <v>2003</v>
      </c>
      <c r="B284" s="2">
        <f>+'Esc 2'!B293</f>
        <v>12</v>
      </c>
      <c r="C284">
        <f>+IF($AB$3="",'Esc 2'!O293,'Bal Híd'!R283)</f>
        <v>2.0108562422320593</v>
      </c>
      <c r="D284">
        <f ca="1">+'Bal Híd'!N283</f>
        <v>4.5522408012120303</v>
      </c>
    </row>
    <row r="285" spans="1:4" x14ac:dyDescent="0.25">
      <c r="A285">
        <f>+'Esc 2'!A294</f>
        <v>2004</v>
      </c>
      <c r="B285" s="2">
        <f>+'Esc 2'!B294</f>
        <v>1</v>
      </c>
      <c r="C285">
        <f>+IF($AB$3="",'Esc 2'!O294,'Bal Híd'!R284)</f>
        <v>0.65972203852961264</v>
      </c>
      <c r="D285">
        <f ca="1">+'Bal Híd'!N284</f>
        <v>1.4644891733698913</v>
      </c>
    </row>
    <row r="286" spans="1:4" x14ac:dyDescent="0.25">
      <c r="A286">
        <f>+'Esc 2'!A295</f>
        <v>2004</v>
      </c>
      <c r="B286" s="2">
        <f>+'Esc 2'!B295</f>
        <v>2</v>
      </c>
      <c r="C286">
        <f>+IF($AB$3="",'Esc 2'!O295,'Bal Híd'!R285)</f>
        <v>0.36265994539276752</v>
      </c>
      <c r="D286">
        <f ca="1">+'Bal Híd'!N285</f>
        <v>0.14364725252241328</v>
      </c>
    </row>
    <row r="287" spans="1:4" x14ac:dyDescent="0.25">
      <c r="A287">
        <f>+'Esc 2'!A296</f>
        <v>2004</v>
      </c>
      <c r="B287" s="2">
        <f>+'Esc 2'!B296</f>
        <v>3</v>
      </c>
      <c r="C287">
        <f>+IF($AB$3="",'Esc 2'!O296,'Bal Híd'!R286)</f>
        <v>0.33526557877816465</v>
      </c>
      <c r="D287">
        <f ca="1">+'Bal Híd'!N286</f>
        <v>0.14364725252241328</v>
      </c>
    </row>
    <row r="288" spans="1:4" x14ac:dyDescent="0.25">
      <c r="A288">
        <f>+'Esc 2'!A297</f>
        <v>2004</v>
      </c>
      <c r="B288" s="2">
        <f>+'Esc 2'!B297</f>
        <v>4</v>
      </c>
      <c r="C288">
        <f>+IF($AB$3="",'Esc 2'!O297,'Bal Híd'!R287)</f>
        <v>1.4170673181873239</v>
      </c>
      <c r="D288">
        <f ca="1">+'Bal Híd'!N287</f>
        <v>1.5594045384709692</v>
      </c>
    </row>
    <row r="289" spans="1:4" x14ac:dyDescent="0.25">
      <c r="A289">
        <f>+'Esc 2'!A298</f>
        <v>2004</v>
      </c>
      <c r="B289" s="2">
        <f>+'Esc 2'!B298</f>
        <v>5</v>
      </c>
      <c r="C289">
        <f>+IF($AB$3="",'Esc 2'!O298,'Bal Híd'!R288)</f>
        <v>0.55838175188018624</v>
      </c>
      <c r="D289">
        <f ca="1">+'Bal Híd'!N288</f>
        <v>2.0668566923180456</v>
      </c>
    </row>
    <row r="290" spans="1:4" x14ac:dyDescent="0.25">
      <c r="A290">
        <f>+'Esc 2'!A299</f>
        <v>2004</v>
      </c>
      <c r="B290" s="2">
        <f>+'Esc 2'!B299</f>
        <v>6</v>
      </c>
      <c r="C290">
        <f>+IF($AB$3="",'Esc 2'!O299,'Bal Híd'!R289)</f>
        <v>1.0066705492833965</v>
      </c>
      <c r="D290">
        <f ca="1">+'Bal Híd'!N289</f>
        <v>3.0776147241932583</v>
      </c>
    </row>
    <row r="291" spans="1:4" x14ac:dyDescent="0.25">
      <c r="A291">
        <f>+'Esc 2'!A300</f>
        <v>2004</v>
      </c>
      <c r="B291" s="2">
        <f>+'Esc 2'!B300</f>
        <v>7</v>
      </c>
      <c r="C291">
        <f>+IF($AB$3="",'Esc 2'!O300,'Bal Híd'!R290)</f>
        <v>0.49435793997549388</v>
      </c>
      <c r="D291">
        <f ca="1">+'Bal Híd'!N290</f>
        <v>3.5043930081185879</v>
      </c>
    </row>
    <row r="292" spans="1:4" x14ac:dyDescent="0.25">
      <c r="A292">
        <f>+'Esc 2'!A301</f>
        <v>2004</v>
      </c>
      <c r="B292" s="2">
        <f>+'Esc 2'!B301</f>
        <v>8</v>
      </c>
      <c r="C292">
        <f>+IF($AB$3="",'Esc 2'!O301,'Bal Híd'!R291)</f>
        <v>0.13151231060719321</v>
      </c>
      <c r="D292">
        <f ca="1">+'Bal Híd'!N291</f>
        <v>3.5290340725032037</v>
      </c>
    </row>
    <row r="293" spans="1:4" x14ac:dyDescent="0.25">
      <c r="A293">
        <f>+'Esc 2'!A302</f>
        <v>2004</v>
      </c>
      <c r="B293" s="2">
        <f>+'Esc 2'!B302</f>
        <v>9</v>
      </c>
      <c r="C293">
        <f>+IF($AB$3="",'Esc 2'!O302,'Bal Híd'!R292)</f>
        <v>1.0563098211392361</v>
      </c>
      <c r="D293">
        <f ca="1">+'Bal Híd'!N292</f>
        <v>4.5522842862912727</v>
      </c>
    </row>
    <row r="294" spans="1:4" x14ac:dyDescent="0.25">
      <c r="A294">
        <f>+'Esc 2'!A303</f>
        <v>2004</v>
      </c>
      <c r="B294" s="2">
        <f>+'Esc 2'!B303</f>
        <v>10</v>
      </c>
      <c r="C294">
        <f>+IF($AB$3="",'Esc 2'!O303,'Bal Híd'!R293)</f>
        <v>2.5393492522562786</v>
      </c>
      <c r="D294">
        <f ca="1">+'Bal Híd'!N293</f>
        <v>6.3951716272045269</v>
      </c>
    </row>
    <row r="295" spans="1:4" x14ac:dyDescent="0.25">
      <c r="A295">
        <f>+'Esc 2'!A304</f>
        <v>2004</v>
      </c>
      <c r="B295" s="2">
        <f>+'Esc 2'!B304</f>
        <v>11</v>
      </c>
      <c r="C295">
        <f>+IF($AB$3="",'Esc 2'!O304,'Bal Híd'!R294)</f>
        <v>2.632156243209034</v>
      </c>
      <c r="D295">
        <f ca="1">+'Bal Híd'!N294</f>
        <v>6.5569350650628602</v>
      </c>
    </row>
    <row r="296" spans="1:4" x14ac:dyDescent="0.25">
      <c r="A296">
        <f>+'Esc 2'!A305</f>
        <v>2004</v>
      </c>
      <c r="B296" s="2">
        <f>+'Esc 2'!B305</f>
        <v>12</v>
      </c>
      <c r="C296">
        <f>+IF($AB$3="",'Esc 2'!O305,'Bal Híd'!R295)</f>
        <v>1.0774930703727055</v>
      </c>
      <c r="D296">
        <f ca="1">+'Bal Híd'!N295</f>
        <v>3.0676219441752748</v>
      </c>
    </row>
    <row r="297" spans="1:4" x14ac:dyDescent="0.25">
      <c r="A297">
        <f>+'Esc 2'!A306</f>
        <v>2005</v>
      </c>
      <c r="B297" s="2">
        <f>+'Esc 2'!B306</f>
        <v>1</v>
      </c>
      <c r="C297">
        <f>+IF($AB$3="",'Esc 2'!O306,'Bal Híd'!R296)</f>
        <v>0.5981599177187934</v>
      </c>
      <c r="D297">
        <f ca="1">+'Bal Híd'!N296</f>
        <v>0.14364725252241328</v>
      </c>
    </row>
    <row r="298" spans="1:4" x14ac:dyDescent="0.25">
      <c r="A298">
        <f>+'Esc 2'!A307</f>
        <v>2005</v>
      </c>
      <c r="B298" s="2">
        <f>+'Esc 2'!B307</f>
        <v>2</v>
      </c>
      <c r="C298">
        <f>+IF($AB$3="",'Esc 2'!O307,'Bal Híd'!R297)</f>
        <v>0.20669116545306121</v>
      </c>
      <c r="D298">
        <f ca="1">+'Bal Híd'!N297</f>
        <v>0.14364725252241328</v>
      </c>
    </row>
    <row r="299" spans="1:4" x14ac:dyDescent="0.25">
      <c r="A299">
        <f>+'Esc 2'!A308</f>
        <v>2005</v>
      </c>
      <c r="B299" s="2">
        <f>+'Esc 2'!B308</f>
        <v>3</v>
      </c>
      <c r="C299">
        <f>+IF($AB$3="",'Esc 2'!O308,'Bal Híd'!R298)</f>
        <v>0.54578093018758311</v>
      </c>
      <c r="D299">
        <f ca="1">+'Bal Híd'!N298</f>
        <v>0.15858073093484892</v>
      </c>
    </row>
    <row r="300" spans="1:4" x14ac:dyDescent="0.25">
      <c r="A300">
        <f>+'Esc 2'!A309</f>
        <v>2005</v>
      </c>
      <c r="B300" s="2">
        <f>+'Esc 2'!B309</f>
        <v>4</v>
      </c>
      <c r="C300">
        <f>+IF($AB$3="",'Esc 2'!O309,'Bal Híd'!R299)</f>
        <v>1.4326718560647225</v>
      </c>
      <c r="D300">
        <f ca="1">+'Bal Híd'!N299</f>
        <v>1.5863582708675503</v>
      </c>
    </row>
    <row r="301" spans="1:4" x14ac:dyDescent="0.25">
      <c r="A301">
        <f>+'Esc 2'!A310</f>
        <v>2005</v>
      </c>
      <c r="B301" s="2">
        <f>+'Esc 2'!B310</f>
        <v>5</v>
      </c>
      <c r="C301">
        <f>+IF($AB$3="",'Esc 2'!O310,'Bal Híd'!R300)</f>
        <v>2.8320706384508068</v>
      </c>
      <c r="D301">
        <f ca="1">+'Bal Híd'!N300</f>
        <v>4.4349271082592212</v>
      </c>
    </row>
    <row r="302" spans="1:4" x14ac:dyDescent="0.25">
      <c r="A302">
        <f>+'Esc 2'!A311</f>
        <v>2005</v>
      </c>
      <c r="B302" s="2">
        <f>+'Esc 2'!B311</f>
        <v>6</v>
      </c>
      <c r="C302">
        <f>+IF($AB$3="",'Esc 2'!O311,'Bal Híd'!R301)</f>
        <v>3.5164101058204804</v>
      </c>
      <c r="D302">
        <f ca="1">+'Bal Híd'!N301</f>
        <v>7.6368477630678893</v>
      </c>
    </row>
    <row r="303" spans="1:4" x14ac:dyDescent="0.25">
      <c r="A303">
        <f>+'Esc 2'!A312</f>
        <v>2005</v>
      </c>
      <c r="B303" s="2">
        <f>+'Esc 2'!B312</f>
        <v>7</v>
      </c>
      <c r="C303">
        <f>+IF($AB$3="",'Esc 2'!O312,'Bal Híd'!R302)</f>
        <v>0.95735409489229106</v>
      </c>
      <c r="D303">
        <f ca="1">+'Bal Híd'!N302</f>
        <v>7.6368477630678893</v>
      </c>
    </row>
    <row r="304" spans="1:4" x14ac:dyDescent="0.25">
      <c r="A304">
        <f>+'Esc 2'!A313</f>
        <v>2005</v>
      </c>
      <c r="B304" s="2">
        <f>+'Esc 2'!B313</f>
        <v>8</v>
      </c>
      <c r="C304">
        <f>+IF($AB$3="",'Esc 2'!O313,'Bal Híd'!R303)</f>
        <v>1.0204335546783734</v>
      </c>
      <c r="D304">
        <f ca="1">+'Bal Híd'!N303</f>
        <v>7.6368477630678893</v>
      </c>
    </row>
    <row r="305" spans="1:4" x14ac:dyDescent="0.25">
      <c r="A305">
        <f>+'Esc 2'!A314</f>
        <v>2005</v>
      </c>
      <c r="B305" s="2">
        <f>+'Esc 2'!B314</f>
        <v>9</v>
      </c>
      <c r="C305">
        <f>+IF($AB$3="",'Esc 2'!O314,'Bal Híd'!R304)</f>
        <v>1.411841737303356</v>
      </c>
      <c r="D305">
        <f ca="1">+'Bal Híd'!N304</f>
        <v>7.6368477630678893</v>
      </c>
    </row>
    <row r="306" spans="1:4" x14ac:dyDescent="0.25">
      <c r="A306">
        <f>+'Esc 2'!A315</f>
        <v>2005</v>
      </c>
      <c r="B306" s="2">
        <f>+'Esc 2'!B315</f>
        <v>10</v>
      </c>
      <c r="C306">
        <f>+IF($AB$3="",'Esc 2'!O315,'Bal Híd'!R305)</f>
        <v>1.2630754926784467</v>
      </c>
      <c r="D306">
        <f ca="1">+'Bal Híd'!N305</f>
        <v>7.6368477630678893</v>
      </c>
    </row>
    <row r="307" spans="1:4" x14ac:dyDescent="0.25">
      <c r="A307">
        <f>+'Esc 2'!A316</f>
        <v>2005</v>
      </c>
      <c r="B307" s="2">
        <f>+'Esc 2'!B316</f>
        <v>11</v>
      </c>
      <c r="C307">
        <f>+IF($AB$3="",'Esc 2'!O316,'Bal Híd'!R306)</f>
        <v>1.1014993875748462</v>
      </c>
      <c r="D307">
        <f ca="1">+'Bal Híd'!N306</f>
        <v>6.1934351428571626</v>
      </c>
    </row>
    <row r="308" spans="1:4" x14ac:dyDescent="0.25">
      <c r="A308">
        <f>+'Esc 2'!A317</f>
        <v>2005</v>
      </c>
      <c r="B308" s="2">
        <f>+'Esc 2'!B317</f>
        <v>12</v>
      </c>
      <c r="C308">
        <f>+IF($AB$3="",'Esc 2'!O317,'Bal Híd'!R307)</f>
        <v>1.4125770619008062</v>
      </c>
      <c r="D308">
        <f ca="1">+'Bal Híd'!N307</f>
        <v>3.147465209804861</v>
      </c>
    </row>
    <row r="309" spans="1:4" x14ac:dyDescent="0.25">
      <c r="A309">
        <f>+'Esc 2'!A318</f>
        <v>2006</v>
      </c>
      <c r="B309" s="2">
        <f>+'Esc 2'!B318</f>
        <v>1</v>
      </c>
      <c r="C309">
        <f>+IF($AB$3="",'Esc 2'!O318,'Bal Híd'!R308)</f>
        <v>0.57293643675309658</v>
      </c>
      <c r="D309">
        <f ca="1">+'Bal Híd'!N308</f>
        <v>0.14364725252241328</v>
      </c>
    </row>
    <row r="310" spans="1:4" x14ac:dyDescent="0.25">
      <c r="A310">
        <f>+'Esc 2'!A319</f>
        <v>2006</v>
      </c>
      <c r="B310" s="2">
        <f>+'Esc 2'!B319</f>
        <v>2</v>
      </c>
      <c r="C310">
        <f>+IF($AB$3="",'Esc 2'!O319,'Bal Híd'!R309)</f>
        <v>0.10776980916110269</v>
      </c>
      <c r="D310">
        <f ca="1">+'Bal Híd'!N309</f>
        <v>0.14364725252241328</v>
      </c>
    </row>
    <row r="311" spans="1:4" x14ac:dyDescent="0.25">
      <c r="A311">
        <f>+'Esc 2'!A320</f>
        <v>2006</v>
      </c>
      <c r="B311" s="2">
        <f>+'Esc 2'!B320</f>
        <v>3</v>
      </c>
      <c r="C311">
        <f>+IF($AB$3="",'Esc 2'!O320,'Bal Híd'!R310)</f>
        <v>0.37363712454445791</v>
      </c>
      <c r="D311">
        <f ca="1">+'Bal Híd'!N310</f>
        <v>0.14364725252241328</v>
      </c>
    </row>
    <row r="312" spans="1:4" x14ac:dyDescent="0.25">
      <c r="A312">
        <f>+'Esc 2'!A321</f>
        <v>2006</v>
      </c>
      <c r="B312" s="2">
        <f>+'Esc 2'!B321</f>
        <v>4</v>
      </c>
      <c r="C312">
        <f>+IF($AB$3="",'Esc 2'!O321,'Bal Híd'!R311)</f>
        <v>1.4712788458162485</v>
      </c>
      <c r="D312">
        <f ca="1">+'Bal Híd'!N311</f>
        <v>1.6127635869479926</v>
      </c>
    </row>
    <row r="313" spans="1:4" x14ac:dyDescent="0.25">
      <c r="A313">
        <f>+'Esc 2'!A322</f>
        <v>2006</v>
      </c>
      <c r="B313" s="2">
        <f>+'Esc 2'!B322</f>
        <v>5</v>
      </c>
      <c r="C313">
        <f>+IF($AB$3="",'Esc 2'!O322,'Bal Híd'!R312)</f>
        <v>1.2551147038154353</v>
      </c>
      <c r="D313">
        <f ca="1">+'Bal Híd'!N312</f>
        <v>2.8453498960342487</v>
      </c>
    </row>
    <row r="314" spans="1:4" x14ac:dyDescent="0.25">
      <c r="A314">
        <f>+'Esc 2'!A323</f>
        <v>2006</v>
      </c>
      <c r="B314" s="2">
        <f>+'Esc 2'!B323</f>
        <v>6</v>
      </c>
      <c r="C314">
        <f>+IF($AB$3="",'Esc 2'!O323,'Bal Híd'!R313)</f>
        <v>2.3143495379603469</v>
      </c>
      <c r="D314">
        <f ca="1">+'Bal Híd'!N313</f>
        <v>5.1797280332632711</v>
      </c>
    </row>
    <row r="315" spans="1:4" x14ac:dyDescent="0.25">
      <c r="A315">
        <f>+'Esc 2'!A324</f>
        <v>2006</v>
      </c>
      <c r="B315" s="2">
        <f>+'Esc 2'!B324</f>
        <v>7</v>
      </c>
      <c r="C315">
        <f>+IF($AB$3="",'Esc 2'!O324,'Bal Híd'!R314)</f>
        <v>1.1146604626496359</v>
      </c>
      <c r="D315">
        <f ca="1">+'Bal Híd'!N314</f>
        <v>6.1947349221469228</v>
      </c>
    </row>
    <row r="316" spans="1:4" x14ac:dyDescent="0.25">
      <c r="A316">
        <f>+'Esc 2'!A325</f>
        <v>2006</v>
      </c>
      <c r="B316" s="2">
        <f>+'Esc 2'!B325</f>
        <v>8</v>
      </c>
      <c r="C316">
        <f>+IF($AB$3="",'Esc 2'!O325,'Bal Híd'!R315)</f>
        <v>0.33147355403424439</v>
      </c>
      <c r="D316">
        <f ca="1">+'Bal Híd'!N315</f>
        <v>6.3732511054591292</v>
      </c>
    </row>
    <row r="317" spans="1:4" x14ac:dyDescent="0.25">
      <c r="A317">
        <f>+'Esc 2'!A326</f>
        <v>2006</v>
      </c>
      <c r="B317" s="2">
        <f>+'Esc 2'!B326</f>
        <v>9</v>
      </c>
      <c r="C317">
        <f>+IF($AB$3="",'Esc 2'!O326,'Bal Híd'!R316)</f>
        <v>0.34027186275459198</v>
      </c>
      <c r="D317">
        <f ca="1">+'Bal Híd'!N316</f>
        <v>6.5891005806110226</v>
      </c>
    </row>
    <row r="318" spans="1:4" x14ac:dyDescent="0.25">
      <c r="A318">
        <f>+'Esc 2'!A327</f>
        <v>2006</v>
      </c>
      <c r="B318" s="2">
        <f>+'Esc 2'!B327</f>
        <v>10</v>
      </c>
      <c r="C318">
        <f>+IF($AB$3="",'Esc 2'!O327,'Bal Híd'!R317)</f>
        <v>1.0586241636233671</v>
      </c>
      <c r="D318">
        <f ca="1">+'Bal Híd'!N317</f>
        <v>6.8868891320710279</v>
      </c>
    </row>
    <row r="319" spans="1:4" x14ac:dyDescent="0.25">
      <c r="A319">
        <f>+'Esc 2'!A328</f>
        <v>2006</v>
      </c>
      <c r="B319" s="2">
        <f>+'Esc 2'!B328</f>
        <v>11</v>
      </c>
      <c r="C319">
        <f>+IF($AB$3="",'Esc 2'!O328,'Bal Híd'!R318)</f>
        <v>3.3528384742299466</v>
      </c>
      <c r="D319">
        <f ca="1">+'Bal Híd'!N318</f>
        <v>7.6368477630678893</v>
      </c>
    </row>
    <row r="320" spans="1:4" x14ac:dyDescent="0.25">
      <c r="A320">
        <f>+'Esc 2'!A329</f>
        <v>2006</v>
      </c>
      <c r="B320" s="2">
        <f>+'Esc 2'!B329</f>
        <v>12</v>
      </c>
      <c r="C320">
        <f>+IF($AB$3="",'Esc 2'!O329,'Bal Híd'!R319)</f>
        <v>2.3338028063745155</v>
      </c>
      <c r="D320">
        <f ca="1">+'Bal Híd'!N319</f>
        <v>5.4464443100069113</v>
      </c>
    </row>
    <row r="321" spans="1:4" x14ac:dyDescent="0.25">
      <c r="A321">
        <f>+'Esc 2'!A330</f>
        <v>2007</v>
      </c>
      <c r="B321" s="2">
        <f>+'Esc 2'!B330</f>
        <v>1</v>
      </c>
      <c r="C321">
        <f>+IF($AB$3="",'Esc 2'!O330,'Bal Híd'!R320)</f>
        <v>0.70150070953023813</v>
      </c>
      <c r="D321">
        <f ca="1">+'Bal Híd'!N320</f>
        <v>2.3530188844030278</v>
      </c>
    </row>
    <row r="322" spans="1:4" x14ac:dyDescent="0.25">
      <c r="A322">
        <f>+'Esc 2'!A331</f>
        <v>2007</v>
      </c>
      <c r="B322" s="2">
        <f>+'Esc 2'!B331</f>
        <v>2</v>
      </c>
      <c r="C322">
        <f>+IF($AB$3="",'Esc 2'!O331,'Bal Híd'!R321)</f>
        <v>2.4448663837919011</v>
      </c>
      <c r="D322">
        <f ca="1">+'Bal Híd'!N321</f>
        <v>3.0978542811007248</v>
      </c>
    </row>
    <row r="323" spans="1:4" x14ac:dyDescent="0.25">
      <c r="A323">
        <f>+'Esc 2'!A332</f>
        <v>2007</v>
      </c>
      <c r="B323" s="2">
        <f>+'Esc 2'!B332</f>
        <v>3</v>
      </c>
      <c r="C323">
        <f>+IF($AB$3="",'Esc 2'!O332,'Bal Híd'!R322)</f>
        <v>4.4355083714632766</v>
      </c>
      <c r="D323">
        <f ca="1">+'Bal Híd'!N322</f>
        <v>6.9950058263149586</v>
      </c>
    </row>
    <row r="324" spans="1:4" x14ac:dyDescent="0.25">
      <c r="A324">
        <f>+'Esc 2'!A333</f>
        <v>2007</v>
      </c>
      <c r="B324" s="2">
        <f>+'Esc 2'!B333</f>
        <v>4</v>
      </c>
      <c r="C324">
        <f>+IF($AB$3="",'Esc 2'!O333,'Bal Híd'!R323)</f>
        <v>2.1559300385696734</v>
      </c>
      <c r="D324">
        <f ca="1">+'Bal Híd'!N323</f>
        <v>7.6368477630678893</v>
      </c>
    </row>
    <row r="325" spans="1:4" x14ac:dyDescent="0.25">
      <c r="A325">
        <f>+'Esc 2'!A334</f>
        <v>2007</v>
      </c>
      <c r="B325" s="2">
        <f>+'Esc 2'!B334</f>
        <v>5</v>
      </c>
      <c r="C325">
        <f>+IF($AB$3="",'Esc 2'!O334,'Bal Híd'!R324)</f>
        <v>0.56471327673362115</v>
      </c>
      <c r="D325">
        <f ca="1">+'Bal Híd'!N324</f>
        <v>7.6368477630678893</v>
      </c>
    </row>
    <row r="326" spans="1:4" x14ac:dyDescent="0.25">
      <c r="A326">
        <f>+'Esc 2'!A335</f>
        <v>2007</v>
      </c>
      <c r="B326" s="2">
        <f>+'Esc 2'!B335</f>
        <v>6</v>
      </c>
      <c r="C326">
        <f>+IF($AB$3="",'Esc 2'!O335,'Bal Híd'!R325)</f>
        <v>0.75375936521567566</v>
      </c>
      <c r="D326">
        <f ca="1">+'Bal Híd'!N325</f>
        <v>7.6368477630678893</v>
      </c>
    </row>
    <row r="327" spans="1:4" x14ac:dyDescent="0.25">
      <c r="A327">
        <f>+'Esc 2'!A336</f>
        <v>2007</v>
      </c>
      <c r="B327" s="2">
        <f>+'Esc 2'!B336</f>
        <v>7</v>
      </c>
      <c r="C327">
        <f>+IF($AB$3="",'Esc 2'!O336,'Bal Híd'!R326)</f>
        <v>0.52477884448659573</v>
      </c>
      <c r="D327">
        <f ca="1">+'Bal Híd'!N326</f>
        <v>7.6368477630678893</v>
      </c>
    </row>
    <row r="328" spans="1:4" x14ac:dyDescent="0.25">
      <c r="A328">
        <f>+'Esc 2'!A337</f>
        <v>2007</v>
      </c>
      <c r="B328" s="2">
        <f>+'Esc 2'!B337</f>
        <v>8</v>
      </c>
      <c r="C328">
        <f>+IF($AB$3="",'Esc 2'!O337,'Bal Híd'!R327)</f>
        <v>1.3117120342468203</v>
      </c>
      <c r="D328">
        <f ca="1">+'Bal Híd'!N327</f>
        <v>7.6368477630678893</v>
      </c>
    </row>
    <row r="329" spans="1:4" x14ac:dyDescent="0.25">
      <c r="A329">
        <f>+'Esc 2'!A338</f>
        <v>2007</v>
      </c>
      <c r="B329" s="2">
        <f>+'Esc 2'!B338</f>
        <v>9</v>
      </c>
      <c r="C329">
        <f>+IF($AB$3="",'Esc 2'!O338,'Bal Híd'!R328)</f>
        <v>1.5556878831701981</v>
      </c>
      <c r="D329">
        <f ca="1">+'Bal Híd'!N328</f>
        <v>7.6368477630678893</v>
      </c>
    </row>
    <row r="330" spans="1:4" x14ac:dyDescent="0.25">
      <c r="A330">
        <f>+'Esc 2'!A339</f>
        <v>2007</v>
      </c>
      <c r="B330" s="2">
        <f>+'Esc 2'!B339</f>
        <v>10</v>
      </c>
      <c r="C330">
        <f>+IF($AB$3="",'Esc 2'!O339,'Bal Híd'!R329)</f>
        <v>3.4835128703473868</v>
      </c>
      <c r="D330">
        <f ca="1">+'Bal Híd'!N329</f>
        <v>7.6368477630678893</v>
      </c>
    </row>
    <row r="331" spans="1:4" x14ac:dyDescent="0.25">
      <c r="A331">
        <f>+'Esc 2'!A340</f>
        <v>2007</v>
      </c>
      <c r="B331" s="2">
        <f>+'Esc 2'!B340</f>
        <v>11</v>
      </c>
      <c r="C331">
        <f>+IF($AB$3="",'Esc 2'!O340,'Bal Híd'!R330)</f>
        <v>0.89744338873678209</v>
      </c>
      <c r="D331">
        <f ca="1">+'Bal Híd'!N330</f>
        <v>5.7911387864144901</v>
      </c>
    </row>
    <row r="332" spans="1:4" x14ac:dyDescent="0.25">
      <c r="A332">
        <f>+'Esc 2'!A341</f>
        <v>2007</v>
      </c>
      <c r="B332" s="2">
        <f>+'Esc 2'!B341</f>
        <v>12</v>
      </c>
      <c r="C332">
        <f>+IF($AB$3="",'Esc 2'!O341,'Bal Híd'!R331)</f>
        <v>0.38543698511258301</v>
      </c>
      <c r="D332">
        <f ca="1">+'Bal Híd'!N331</f>
        <v>1.6776502802181055</v>
      </c>
    </row>
    <row r="333" spans="1:4" x14ac:dyDescent="0.25">
      <c r="A333">
        <f>+'Esc 2'!A342</f>
        <v>2008</v>
      </c>
      <c r="B333" s="2">
        <f>+'Esc 2'!B342</f>
        <v>1</v>
      </c>
      <c r="C333">
        <f>+IF($AB$3="",'Esc 2'!O342,'Bal Híd'!R332)</f>
        <v>0.33759697609359379</v>
      </c>
      <c r="D333">
        <f ca="1">+'Bal Híd'!N332</f>
        <v>0.14364725252241328</v>
      </c>
    </row>
    <row r="334" spans="1:4" x14ac:dyDescent="0.25">
      <c r="A334">
        <f>+'Esc 2'!A343</f>
        <v>2008</v>
      </c>
      <c r="B334" s="2">
        <f>+'Esc 2'!B343</f>
        <v>2</v>
      </c>
      <c r="C334">
        <f>+IF($AB$3="",'Esc 2'!O343,'Bal Híd'!R333)</f>
        <v>0.55685887798099354</v>
      </c>
      <c r="D334">
        <f ca="1">+'Bal Híd'!N333</f>
        <v>0.14364725252241328</v>
      </c>
    </row>
    <row r="335" spans="1:4" x14ac:dyDescent="0.25">
      <c r="A335">
        <f>+'Esc 2'!A344</f>
        <v>2008</v>
      </c>
      <c r="B335" s="2">
        <f>+'Esc 2'!B344</f>
        <v>3</v>
      </c>
      <c r="C335">
        <f>+IF($AB$3="",'Esc 2'!O344,'Bal Híd'!R334)</f>
        <v>0.61740377875672092</v>
      </c>
      <c r="D335">
        <f ca="1">+'Bal Híd'!N334</f>
        <v>0.22569305506177451</v>
      </c>
    </row>
    <row r="336" spans="1:4" x14ac:dyDescent="0.25">
      <c r="A336">
        <f>+'Esc 2'!A345</f>
        <v>2008</v>
      </c>
      <c r="B336" s="2">
        <f>+'Esc 2'!B345</f>
        <v>4</v>
      </c>
      <c r="C336">
        <f>+IF($AB$3="",'Esc 2'!O345,'Bal Híd'!R335)</f>
        <v>1.5521319418630715</v>
      </c>
      <c r="D336">
        <f ca="1">+'Bal Híd'!N335</f>
        <v>1.7748560389899501</v>
      </c>
    </row>
    <row r="337" spans="1:4" x14ac:dyDescent="0.25">
      <c r="A337">
        <f>+'Esc 2'!A346</f>
        <v>2008</v>
      </c>
      <c r="B337" s="2">
        <f>+'Esc 2'!B346</f>
        <v>5</v>
      </c>
      <c r="C337">
        <f>+IF($AB$3="",'Esc 2'!O346,'Bal Híd'!R336)</f>
        <v>0.83967172951887992</v>
      </c>
      <c r="D337">
        <f ca="1">+'Bal Híd'!N336</f>
        <v>2.5741353254619974</v>
      </c>
    </row>
    <row r="338" spans="1:4" x14ac:dyDescent="0.25">
      <c r="A338">
        <f>+'Esc 2'!A347</f>
        <v>2008</v>
      </c>
      <c r="B338" s="2">
        <f>+'Esc 2'!B347</f>
        <v>6</v>
      </c>
      <c r="C338">
        <f>+IF($AB$3="",'Esc 2'!O347,'Bal Híd'!R337)</f>
        <v>1.5530036263473679</v>
      </c>
      <c r="D338">
        <f ca="1">+'Bal Híd'!N337</f>
        <v>4.1392772100873092</v>
      </c>
    </row>
    <row r="339" spans="1:4" x14ac:dyDescent="0.25">
      <c r="A339">
        <f>+'Esc 2'!A348</f>
        <v>2008</v>
      </c>
      <c r="B339" s="2">
        <f>+'Esc 2'!B348</f>
        <v>7</v>
      </c>
      <c r="C339">
        <f>+IF($AB$3="",'Esc 2'!O348,'Bal Híd'!R338)</f>
        <v>2.2399470660624541</v>
      </c>
      <c r="D339">
        <f ca="1">+'Bal Híd'!N338</f>
        <v>6.3591445713587875</v>
      </c>
    </row>
    <row r="340" spans="1:4" x14ac:dyDescent="0.25">
      <c r="A340">
        <f>+'Esc 2'!A349</f>
        <v>2008</v>
      </c>
      <c r="B340" s="2">
        <f>+'Esc 2'!B349</f>
        <v>8</v>
      </c>
      <c r="C340">
        <f>+IF($AB$3="",'Esc 2'!O349,'Bal Híd'!R339)</f>
        <v>1.4351137448071876</v>
      </c>
      <c r="D340">
        <f ca="1">+'Bal Híd'!N339</f>
        <v>7.6368477630678893</v>
      </c>
    </row>
    <row r="341" spans="1:4" x14ac:dyDescent="0.25">
      <c r="A341">
        <f>+'Esc 2'!A350</f>
        <v>2008</v>
      </c>
      <c r="B341" s="2">
        <f>+'Esc 2'!B350</f>
        <v>9</v>
      </c>
      <c r="C341">
        <f>+IF($AB$3="",'Esc 2'!O350,'Bal Híd'!R340)</f>
        <v>0.84634856841611517</v>
      </c>
      <c r="D341">
        <f ca="1">+'Bal Híd'!N340</f>
        <v>7.6368477630678893</v>
      </c>
    </row>
    <row r="342" spans="1:4" x14ac:dyDescent="0.25">
      <c r="A342">
        <f>+'Esc 2'!A351</f>
        <v>2008</v>
      </c>
      <c r="B342" s="2">
        <f>+'Esc 2'!B351</f>
        <v>10</v>
      </c>
      <c r="C342">
        <f>+IF($AB$3="",'Esc 2'!O351,'Bal Híd'!R341)</f>
        <v>2.6498952698780021</v>
      </c>
      <c r="D342">
        <f ca="1">+'Bal Híd'!N341</f>
        <v>7.6368477630678893</v>
      </c>
    </row>
    <row r="343" spans="1:4" x14ac:dyDescent="0.25">
      <c r="A343">
        <f>+'Esc 2'!A352</f>
        <v>2008</v>
      </c>
      <c r="B343" s="2">
        <f>+'Esc 2'!B352</f>
        <v>11</v>
      </c>
      <c r="C343">
        <f>+IF($AB$3="",'Esc 2'!O352,'Bal Híd'!R342)</f>
        <v>0.72084582568108946</v>
      </c>
      <c r="D343">
        <f ca="1">+'Bal Híd'!N342</f>
        <v>5.604393404519497</v>
      </c>
    </row>
    <row r="344" spans="1:4" x14ac:dyDescent="0.25">
      <c r="A344">
        <f>+'Esc 2'!A353</f>
        <v>2008</v>
      </c>
      <c r="B344" s="2">
        <f>+'Esc 2'!B353</f>
        <v>12</v>
      </c>
      <c r="C344">
        <f>+IF($AB$3="",'Esc 2'!O353,'Bal Híd'!R343)</f>
        <v>0.32783713033537853</v>
      </c>
      <c r="D344">
        <f ca="1">+'Bal Híd'!N343</f>
        <v>1.4404688927074947</v>
      </c>
    </row>
    <row r="345" spans="1:4" x14ac:dyDescent="0.25">
      <c r="A345">
        <f>+'Esc 2'!A354</f>
        <v>2009</v>
      </c>
      <c r="B345" s="2">
        <f>+'Esc 2'!B354</f>
        <v>1</v>
      </c>
      <c r="C345">
        <f>+IF($AB$3="",'Esc 2'!O354,'Bal Híd'!R344)</f>
        <v>0.2776216617604737</v>
      </c>
      <c r="D345">
        <f ca="1">+'Bal Híd'!N344</f>
        <v>0.14364725252241328</v>
      </c>
    </row>
    <row r="346" spans="1:4" x14ac:dyDescent="0.25">
      <c r="A346">
        <f>+'Esc 2'!A355</f>
        <v>2009</v>
      </c>
      <c r="B346" s="2">
        <f>+'Esc 2'!B355</f>
        <v>2</v>
      </c>
      <c r="C346">
        <f>+IF($AB$3="",'Esc 2'!O355,'Bal Híd'!R345)</f>
        <v>3.3026918419001565</v>
      </c>
      <c r="D346">
        <f ca="1">+'Bal Híd'!N345</f>
        <v>1.7669760327865531</v>
      </c>
    </row>
    <row r="347" spans="1:4" x14ac:dyDescent="0.25">
      <c r="A347">
        <f>+'Esc 2'!A356</f>
        <v>2009</v>
      </c>
      <c r="B347" s="2">
        <f>+'Esc 2'!B356</f>
        <v>3</v>
      </c>
      <c r="C347">
        <f>+IF($AB$3="",'Esc 2'!O356,'Bal Híd'!R346)</f>
        <v>0.98750866282925387</v>
      </c>
      <c r="D347">
        <f ca="1">+'Bal Híd'!N346</f>
        <v>2.0974475334164007</v>
      </c>
    </row>
    <row r="348" spans="1:4" x14ac:dyDescent="0.25">
      <c r="A348">
        <f>+'Esc 2'!A357</f>
        <v>2009</v>
      </c>
      <c r="B348" s="2">
        <f>+'Esc 2'!B357</f>
        <v>4</v>
      </c>
      <c r="C348">
        <f>+IF($AB$3="",'Esc 2'!O357,'Bal Híd'!R347)</f>
        <v>0.16498180994988842</v>
      </c>
      <c r="D348">
        <f ca="1">+'Bal Híd'!N347</f>
        <v>2.1808895643057093</v>
      </c>
    </row>
    <row r="349" spans="1:4" x14ac:dyDescent="0.25">
      <c r="A349">
        <f>+'Esc 2'!A358</f>
        <v>2009</v>
      </c>
      <c r="B349" s="2">
        <f>+'Esc 2'!B358</f>
        <v>5</v>
      </c>
      <c r="C349">
        <f>+IF($AB$3="",'Esc 2'!O358,'Bal Híd'!R348)</f>
        <v>1.9679056611099606</v>
      </c>
      <c r="D349">
        <f ca="1">+'Bal Híd'!N348</f>
        <v>4.1817994841083364</v>
      </c>
    </row>
    <row r="350" spans="1:4" x14ac:dyDescent="0.25">
      <c r="A350">
        <f>+'Esc 2'!A359</f>
        <v>2009</v>
      </c>
      <c r="B350" s="2">
        <f>+'Esc 2'!B359</f>
        <v>6</v>
      </c>
      <c r="C350">
        <f>+IF($AB$3="",'Esc 2'!O359,'Bal Híd'!R349)</f>
        <v>0.61216802526258307</v>
      </c>
      <c r="D350">
        <f ca="1">+'Bal Híd'!N349</f>
        <v>4.6885318501964219</v>
      </c>
    </row>
    <row r="351" spans="1:4" x14ac:dyDescent="0.25">
      <c r="A351">
        <f>+'Esc 2'!A360</f>
        <v>2009</v>
      </c>
      <c r="B351" s="2">
        <f>+'Esc 2'!B360</f>
        <v>7</v>
      </c>
      <c r="C351">
        <f>+IF($AB$3="",'Esc 2'!O360,'Bal Híd'!R350)</f>
        <v>0.13206731052670065</v>
      </c>
      <c r="D351">
        <f ca="1">+'Bal Híd'!N350</f>
        <v>4.7451895957011594</v>
      </c>
    </row>
    <row r="352" spans="1:4" x14ac:dyDescent="0.25">
      <c r="A352">
        <f>+'Esc 2'!A361</f>
        <v>2009</v>
      </c>
      <c r="B352" s="2">
        <f>+'Esc 2'!B361</f>
        <v>8</v>
      </c>
      <c r="C352">
        <f>+IF($AB$3="",'Esc 2'!O361,'Bal Híd'!R351)</f>
        <v>8.4454796819812369E-2</v>
      </c>
      <c r="D352">
        <f ca="1">+'Bal Híd'!N351</f>
        <v>4.711873536864525</v>
      </c>
    </row>
    <row r="353" spans="1:4" x14ac:dyDescent="0.25">
      <c r="A353">
        <f>+'Esc 2'!A362</f>
        <v>2009</v>
      </c>
      <c r="B353" s="2">
        <f>+'Esc 2'!B362</f>
        <v>9</v>
      </c>
      <c r="C353">
        <f>+IF($AB$3="",'Esc 2'!O362,'Bal Híd'!R352)</f>
        <v>2.5805411963110343</v>
      </c>
      <c r="D353">
        <f ca="1">+'Bal Híd'!N352</f>
        <v>7.3218287140751528</v>
      </c>
    </row>
    <row r="354" spans="1:4" x14ac:dyDescent="0.25">
      <c r="A354">
        <f>+'Esc 2'!A363</f>
        <v>2009</v>
      </c>
      <c r="B354" s="2">
        <f>+'Esc 2'!B363</f>
        <v>10</v>
      </c>
      <c r="C354">
        <f>+IF($AB$3="",'Esc 2'!O363,'Bal Híd'!R353)</f>
        <v>1.2287162213699232</v>
      </c>
      <c r="D354">
        <f ca="1">+'Bal Híd'!N353</f>
        <v>7.6368477630678893</v>
      </c>
    </row>
    <row r="355" spans="1:4" x14ac:dyDescent="0.25">
      <c r="A355">
        <f>+'Esc 2'!A364</f>
        <v>2009</v>
      </c>
      <c r="B355" s="2">
        <f>+'Esc 2'!B364</f>
        <v>11</v>
      </c>
      <c r="C355">
        <f>+IF($AB$3="",'Esc 2'!O364,'Bal Híd'!R354)</f>
        <v>11.094163374253856</v>
      </c>
      <c r="D355">
        <f ca="1">+'Bal Híd'!N354</f>
        <v>7.6368477630678893</v>
      </c>
    </row>
    <row r="356" spans="1:4" x14ac:dyDescent="0.25">
      <c r="A356">
        <f>+'Esc 2'!A365</f>
        <v>2009</v>
      </c>
      <c r="B356" s="2">
        <f>+'Esc 2'!B365</f>
        <v>12</v>
      </c>
      <c r="C356">
        <f>+IF($AB$3="",'Esc 2'!O365,'Bal Híd'!R355)</f>
        <v>4.7547699096318947</v>
      </c>
      <c r="D356">
        <f ca="1">+'Bal Híd'!N355</f>
        <v>7.6368477630678893</v>
      </c>
    </row>
    <row r="357" spans="1:4" x14ac:dyDescent="0.25">
      <c r="A357">
        <f>+'Esc 2'!A366</f>
        <v>2010</v>
      </c>
      <c r="B357" s="2">
        <f>+'Esc 2'!B366</f>
        <v>1</v>
      </c>
      <c r="C357">
        <f>+IF($AB$3="",'Esc 2'!O366,'Bal Híd'!R356)</f>
        <v>5.6569382009131388</v>
      </c>
      <c r="D357">
        <f ca="1">+'Bal Híd'!N356</f>
        <v>7.6368477630678893</v>
      </c>
    </row>
    <row r="358" spans="1:4" x14ac:dyDescent="0.25">
      <c r="A358">
        <f>+'Esc 2'!A367</f>
        <v>2010</v>
      </c>
      <c r="B358" s="2">
        <f>+'Esc 2'!B367</f>
        <v>2</v>
      </c>
      <c r="C358">
        <f>+IF($AB$3="",'Esc 2'!O367,'Bal Híd'!R357)</f>
        <v>2.6967714196430803</v>
      </c>
      <c r="D358">
        <f ca="1">+'Bal Híd'!N357</f>
        <v>7.6368477630678893</v>
      </c>
    </row>
    <row r="359" spans="1:4" x14ac:dyDescent="0.25">
      <c r="A359">
        <f>+'Esc 2'!A368</f>
        <v>2010</v>
      </c>
      <c r="B359" s="2">
        <f>+'Esc 2'!B368</f>
        <v>3</v>
      </c>
      <c r="C359">
        <f>+IF($AB$3="",'Esc 2'!O368,'Bal Híd'!R358)</f>
        <v>0.77400116822994414</v>
      </c>
      <c r="D359">
        <f ca="1">+'Bal Híd'!N358</f>
        <v>7.5911061814169445</v>
      </c>
    </row>
    <row r="360" spans="1:4" x14ac:dyDescent="0.25">
      <c r="A360">
        <f>+'Esc 2'!A369</f>
        <v>2010</v>
      </c>
      <c r="B360" s="2">
        <f>+'Esc 2'!B369</f>
        <v>4</v>
      </c>
      <c r="C360">
        <f>+IF($AB$3="",'Esc 2'!O369,'Bal Híd'!R359)</f>
        <v>0.53890348851404068</v>
      </c>
      <c r="D360">
        <f ca="1">+'Bal Híd'!N359</f>
        <v>7.6368477630678893</v>
      </c>
    </row>
    <row r="361" spans="1:4" x14ac:dyDescent="0.25">
      <c r="A361">
        <f>+'Esc 2'!A370</f>
        <v>2010</v>
      </c>
      <c r="B361" s="2">
        <f>+'Esc 2'!B370</f>
        <v>5</v>
      </c>
      <c r="C361">
        <f>+IF($AB$3="",'Esc 2'!O370,'Bal Híd'!R360)</f>
        <v>1.7507974781102629</v>
      </c>
      <c r="D361">
        <f ca="1">+'Bal Híd'!N360</f>
        <v>7.6368477630678893</v>
      </c>
    </row>
    <row r="362" spans="1:4" x14ac:dyDescent="0.25">
      <c r="A362">
        <f>+'Esc 2'!A371</f>
        <v>2010</v>
      </c>
      <c r="B362" s="2">
        <f>+'Esc 2'!B371</f>
        <v>6</v>
      </c>
      <c r="C362">
        <f>+IF($AB$3="",'Esc 2'!O371,'Bal Híd'!R361)</f>
        <v>0.59837205000656934</v>
      </c>
      <c r="D362">
        <f ca="1">+'Bal Híd'!N361</f>
        <v>7.6368477630678893</v>
      </c>
    </row>
    <row r="363" spans="1:4" x14ac:dyDescent="0.25">
      <c r="A363">
        <f>+'Esc 2'!A372</f>
        <v>2010</v>
      </c>
      <c r="B363" s="2">
        <f>+'Esc 2'!B372</f>
        <v>7</v>
      </c>
      <c r="C363">
        <f>+IF($AB$3="",'Esc 2'!O372,'Bal Híd'!R362)</f>
        <v>2.5804005844467772</v>
      </c>
      <c r="D363">
        <f ca="1">+'Bal Híd'!N362</f>
        <v>7.6368477630678893</v>
      </c>
    </row>
    <row r="364" spans="1:4" x14ac:dyDescent="0.25">
      <c r="A364">
        <f>+'Esc 2'!A373</f>
        <v>2010</v>
      </c>
      <c r="B364" s="2">
        <f>+'Esc 2'!B373</f>
        <v>8</v>
      </c>
      <c r="C364">
        <f>+IF($AB$3="",'Esc 2'!O373,'Bal Híd'!R363)</f>
        <v>0.73096378480596391</v>
      </c>
      <c r="D364">
        <f ca="1">+'Bal Híd'!N363</f>
        <v>7.6368477630678893</v>
      </c>
    </row>
    <row r="365" spans="1:4" x14ac:dyDescent="0.25">
      <c r="A365">
        <f>+'Esc 2'!A374</f>
        <v>2010</v>
      </c>
      <c r="B365" s="2">
        <f>+'Esc 2'!B374</f>
        <v>9</v>
      </c>
      <c r="C365">
        <f>+IF($AB$3="",'Esc 2'!O374,'Bal Híd'!R364)</f>
        <v>1.6833945615019299</v>
      </c>
      <c r="D365">
        <f ca="1">+'Bal Híd'!N364</f>
        <v>7.6368477630678893</v>
      </c>
    </row>
    <row r="366" spans="1:4" x14ac:dyDescent="0.25">
      <c r="A366">
        <f>+'Esc 2'!A375</f>
        <v>2010</v>
      </c>
      <c r="B366" s="2">
        <f>+'Esc 2'!B375</f>
        <v>10</v>
      </c>
      <c r="C366">
        <f>+IF($AB$3="",'Esc 2'!O375,'Bal Híd'!R365)</f>
        <v>0.55195651306105964</v>
      </c>
      <c r="D366">
        <f ca="1">+'Bal Híd'!N365</f>
        <v>7.2118695489345965</v>
      </c>
    </row>
    <row r="367" spans="1:4" x14ac:dyDescent="0.25">
      <c r="A367">
        <f>+'Esc 2'!A376</f>
        <v>2010</v>
      </c>
      <c r="B367" s="2">
        <f>+'Esc 2'!B376</f>
        <v>11</v>
      </c>
      <c r="C367">
        <f>+IF($AB$3="",'Esc 2'!O376,'Bal Híd'!R366)</f>
        <v>0.13439598683121523</v>
      </c>
      <c r="D367">
        <f ca="1">+'Bal Híd'!N366</f>
        <v>4.7172577573998593</v>
      </c>
    </row>
    <row r="368" spans="1:4" x14ac:dyDescent="0.25">
      <c r="A368">
        <f>+'Esc 2'!A377</f>
        <v>2010</v>
      </c>
      <c r="B368" s="2">
        <f>+'Esc 2'!B377</f>
        <v>12</v>
      </c>
      <c r="C368">
        <f>+IF($AB$3="",'Esc 2'!O377,'Bal Híd'!R367)</f>
        <v>0.39671249245561202</v>
      </c>
      <c r="D368">
        <f ca="1">+'Bal Híd'!N367</f>
        <v>0.67855091650389721</v>
      </c>
    </row>
    <row r="369" spans="1:4" x14ac:dyDescent="0.25">
      <c r="A369">
        <f>+'Esc 2'!A378</f>
        <v>2011</v>
      </c>
      <c r="B369" s="2">
        <f>+'Esc 2'!B378</f>
        <v>1</v>
      </c>
      <c r="C369">
        <f>+IF($AB$3="",'Esc 2'!O378,'Bal Híd'!R368)</f>
        <v>0.48701005294308175</v>
      </c>
      <c r="D369">
        <f ca="1">+'Bal Híd'!N368</f>
        <v>0.14364725252241328</v>
      </c>
    </row>
    <row r="370" spans="1:4" x14ac:dyDescent="0.25">
      <c r="A370">
        <f>+'Esc 2'!A379</f>
        <v>2011</v>
      </c>
      <c r="B370" s="2">
        <f>+'Esc 2'!B379</f>
        <v>2</v>
      </c>
      <c r="C370">
        <f>+IF($AB$3="",'Esc 2'!O379,'Bal Híd'!R369)</f>
        <v>1.0938049301948733</v>
      </c>
      <c r="D370">
        <f ca="1">+'Bal Híd'!N369</f>
        <v>0.14364725252241328</v>
      </c>
    </row>
    <row r="371" spans="1:4" x14ac:dyDescent="0.25">
      <c r="A371">
        <f>+'Esc 2'!A380</f>
        <v>2011</v>
      </c>
      <c r="B371" s="2">
        <f>+'Esc 2'!B380</f>
        <v>3</v>
      </c>
      <c r="C371">
        <f>+IF($AB$3="",'Esc 2'!O380,'Bal Híd'!R370)</f>
        <v>0.49417112334495794</v>
      </c>
      <c r="D371">
        <f ca="1">+'Bal Híd'!N370</f>
        <v>0.14364725252241328</v>
      </c>
    </row>
    <row r="372" spans="1:4" x14ac:dyDescent="0.25">
      <c r="A372">
        <f>+'Esc 2'!A381</f>
        <v>2011</v>
      </c>
      <c r="B372" s="2">
        <f>+'Esc 2'!B381</f>
        <v>4</v>
      </c>
      <c r="C372">
        <f>+IF($AB$3="",'Esc 2'!O381,'Bal Híd'!R371)</f>
        <v>0.94454743775202044</v>
      </c>
      <c r="D372">
        <f ca="1">+'Bal Híd'!N371</f>
        <v>1.0808848783555871</v>
      </c>
    </row>
    <row r="373" spans="1:4" x14ac:dyDescent="0.25">
      <c r="A373">
        <f>+'Esc 2'!A382</f>
        <v>2011</v>
      </c>
      <c r="B373" s="2">
        <f>+'Esc 2'!B382</f>
        <v>5</v>
      </c>
      <c r="C373">
        <f>+IF($AB$3="",'Esc 2'!O382,'Bal Híd'!R372)</f>
        <v>1.6754256000882841</v>
      </c>
      <c r="D373">
        <f ca="1">+'Bal Híd'!N372</f>
        <v>2.7563763689632572</v>
      </c>
    </row>
    <row r="374" spans="1:4" x14ac:dyDescent="0.25">
      <c r="A374">
        <f>+'Esc 2'!A383</f>
        <v>2011</v>
      </c>
      <c r="B374" s="2">
        <f>+'Esc 2'!B383</f>
        <v>6</v>
      </c>
      <c r="C374">
        <f>+IF($AB$3="",'Esc 2'!O383,'Bal Híd'!R373)</f>
        <v>1.0058686506208585</v>
      </c>
      <c r="D374">
        <f ca="1">+'Bal Híd'!N373</f>
        <v>3.7269008352876014</v>
      </c>
    </row>
    <row r="375" spans="1:4" x14ac:dyDescent="0.25">
      <c r="A375">
        <f>+'Esc 2'!A384</f>
        <v>2011</v>
      </c>
      <c r="B375" s="2">
        <f>+'Esc 2'!B384</f>
        <v>7</v>
      </c>
      <c r="C375">
        <f>+IF($AB$3="",'Esc 2'!O384,'Bal Híd'!R374)</f>
        <v>0.68657441339423342</v>
      </c>
      <c r="D375">
        <f ca="1">+'Bal Híd'!N374</f>
        <v>4.3687554697271249</v>
      </c>
    </row>
    <row r="376" spans="1:4" x14ac:dyDescent="0.25">
      <c r="A376">
        <f>+'Esc 2'!A385</f>
        <v>2011</v>
      </c>
      <c r="B376" s="2">
        <f>+'Esc 2'!B385</f>
        <v>8</v>
      </c>
      <c r="C376">
        <f>+IF($AB$3="",'Esc 2'!O385,'Bal Híd'!R375)</f>
        <v>0.37203752568884041</v>
      </c>
      <c r="D376">
        <f ca="1">+'Bal Híd'!N375</f>
        <v>4.6376990827891662</v>
      </c>
    </row>
    <row r="377" spans="1:4" x14ac:dyDescent="0.25">
      <c r="A377">
        <f>+'Esc 2'!A386</f>
        <v>2011</v>
      </c>
      <c r="B377" s="2">
        <f>+'Esc 2'!B386</f>
        <v>9</v>
      </c>
      <c r="C377">
        <f>+IF($AB$3="",'Esc 2'!O386,'Bal Híd'!R376)</f>
        <v>0.83617929611427866</v>
      </c>
      <c r="D377">
        <f ca="1">+'Bal Híd'!N376</f>
        <v>5.4107763667894293</v>
      </c>
    </row>
    <row r="378" spans="1:4" x14ac:dyDescent="0.25">
      <c r="A378">
        <f>+'Esc 2'!A387</f>
        <v>2011</v>
      </c>
      <c r="B378" s="2">
        <f>+'Esc 2'!B387</f>
        <v>10</v>
      </c>
      <c r="C378">
        <f>+IF($AB$3="",'Esc 2'!O387,'Bal Híd'!R377)</f>
        <v>1.3201349788235048</v>
      </c>
      <c r="D378">
        <f ca="1">+'Bal Híd'!N377</f>
        <v>5.9745545624714618</v>
      </c>
    </row>
    <row r="379" spans="1:4" x14ac:dyDescent="0.25">
      <c r="A379">
        <f>+'Esc 2'!A388</f>
        <v>2011</v>
      </c>
      <c r="B379" s="2">
        <f>+'Esc 2'!B388</f>
        <v>11</v>
      </c>
      <c r="C379">
        <f>+IF($AB$3="",'Esc 2'!O388,'Bal Híd'!R378)</f>
        <v>1.036135347863435</v>
      </c>
      <c r="D379">
        <f ca="1">+'Bal Híd'!N378</f>
        <v>4.4856492586123657</v>
      </c>
    </row>
    <row r="380" spans="1:4" x14ac:dyDescent="0.25">
      <c r="A380">
        <f>+'Esc 2'!A389</f>
        <v>2011</v>
      </c>
      <c r="B380" s="2">
        <f>+'Esc 2'!B389</f>
        <v>12</v>
      </c>
      <c r="C380">
        <f>+IF($AB$3="",'Esc 2'!O389,'Bal Híd'!R379)</f>
        <v>1.1965369595009541</v>
      </c>
      <c r="D380">
        <f ca="1">+'Bal Híd'!N379</f>
        <v>1.2678523071069456</v>
      </c>
    </row>
    <row r="381" spans="1:4" x14ac:dyDescent="0.25">
      <c r="A381">
        <f>+'Esc 2'!A390</f>
        <v>2012</v>
      </c>
      <c r="B381" s="2">
        <f>+'Esc 2'!B390</f>
        <v>1</v>
      </c>
      <c r="C381">
        <f>+IF($AB$3="",'Esc 2'!O390,'Bal Híd'!R380)</f>
        <v>0.44213596727781768</v>
      </c>
      <c r="D381">
        <f ca="1">+'Bal Híd'!N380</f>
        <v>0.14364725252241328</v>
      </c>
    </row>
    <row r="382" spans="1:4" x14ac:dyDescent="0.25">
      <c r="A382">
        <f>+'Esc 2'!A391</f>
        <v>2012</v>
      </c>
      <c r="B382" s="2">
        <f>+'Esc 2'!B391</f>
        <v>2</v>
      </c>
      <c r="C382">
        <f>+IF($AB$3="",'Esc 2'!O391,'Bal Híd'!R381)</f>
        <v>1.0358366832257739</v>
      </c>
      <c r="D382">
        <f ca="1">+'Bal Híd'!N381</f>
        <v>0.14364725252241328</v>
      </c>
    </row>
    <row r="383" spans="1:4" x14ac:dyDescent="0.25">
      <c r="A383">
        <f>+'Esc 2'!A392</f>
        <v>2012</v>
      </c>
      <c r="B383" s="2">
        <f>+'Esc 2'!B392</f>
        <v>3</v>
      </c>
      <c r="C383">
        <f>+IF($AB$3="",'Esc 2'!O392,'Bal Híd'!R382)</f>
        <v>0.53646098715421542</v>
      </c>
      <c r="D383">
        <f ca="1">+'Bal Híd'!N382</f>
        <v>0.14364725252241328</v>
      </c>
    </row>
    <row r="384" spans="1:4" x14ac:dyDescent="0.25">
      <c r="A384">
        <f>+'Esc 2'!A393</f>
        <v>2012</v>
      </c>
      <c r="B384" s="2">
        <f>+'Esc 2'!B393</f>
        <v>4</v>
      </c>
      <c r="C384">
        <f>+IF($AB$3="",'Esc 2'!O393,'Bal Híd'!R383)</f>
        <v>1.8810768154581674</v>
      </c>
      <c r="D384">
        <f ca="1">+'Bal Híd'!N383</f>
        <v>2.0294923999027317</v>
      </c>
    </row>
    <row r="385" spans="1:4" x14ac:dyDescent="0.25">
      <c r="A385">
        <f>+'Esc 2'!A394</f>
        <v>2012</v>
      </c>
      <c r="B385" s="2">
        <f>+'Esc 2'!B394</f>
        <v>5</v>
      </c>
      <c r="C385">
        <f>+IF($AB$3="",'Esc 2'!O394,'Bal Híd'!R384)</f>
        <v>0.7098478090230157</v>
      </c>
      <c r="D385">
        <f ca="1">+'Bal Híd'!N384</f>
        <v>2.6768069066272138</v>
      </c>
    </row>
    <row r="386" spans="1:4" x14ac:dyDescent="0.25">
      <c r="A386">
        <f>+'Esc 2'!A395</f>
        <v>2012</v>
      </c>
      <c r="B386" s="2">
        <f>+'Esc 2'!B395</f>
        <v>6</v>
      </c>
      <c r="C386">
        <f>+IF($AB$3="",'Esc 2'!O395,'Bal Híd'!R385)</f>
        <v>0.88591983692282872</v>
      </c>
      <c r="D386">
        <f ca="1">+'Bal Híd'!N385</f>
        <v>3.5605661702237978</v>
      </c>
    </row>
    <row r="387" spans="1:4" x14ac:dyDescent="0.25">
      <c r="A387">
        <f>+'Esc 2'!A396</f>
        <v>2012</v>
      </c>
      <c r="B387" s="2">
        <f>+'Esc 2'!B396</f>
        <v>7</v>
      </c>
      <c r="C387">
        <f>+IF($AB$3="",'Esc 2'!O396,'Bal Híd'!R386)</f>
        <v>0.31527889782511082</v>
      </c>
      <c r="D387">
        <f ca="1">+'Bal Híd'!N386</f>
        <v>3.7868545946435681</v>
      </c>
    </row>
    <row r="388" spans="1:4" x14ac:dyDescent="0.25">
      <c r="A388">
        <f>+'Esc 2'!A397</f>
        <v>2012</v>
      </c>
      <c r="B388" s="2">
        <f>+'Esc 2'!B397</f>
        <v>8</v>
      </c>
      <c r="C388">
        <f>+IF($AB$3="",'Esc 2'!O397,'Bal Híd'!R387)</f>
        <v>1.3079747847515204</v>
      </c>
      <c r="D388">
        <f ca="1">+'Bal Híd'!N387</f>
        <v>5.0786564982842339</v>
      </c>
    </row>
    <row r="389" spans="1:4" x14ac:dyDescent="0.25">
      <c r="A389">
        <f>+'Esc 2'!A398</f>
        <v>2012</v>
      </c>
      <c r="B389" s="2">
        <f>+'Esc 2'!B398</f>
        <v>9</v>
      </c>
      <c r="C389">
        <f>+IF($AB$3="",'Esc 2'!O398,'Bal Híd'!R388)</f>
        <v>1.254202635131918</v>
      </c>
      <c r="D389">
        <f ca="1">+'Bal Híd'!N388</f>
        <v>6.2407362053926825</v>
      </c>
    </row>
    <row r="390" spans="1:4" x14ac:dyDescent="0.25">
      <c r="A390">
        <f>+'Esc 2'!A399</f>
        <v>2012</v>
      </c>
      <c r="B390" s="2">
        <f>+'Esc 2'!B399</f>
        <v>10</v>
      </c>
      <c r="C390">
        <f>+IF($AB$3="",'Esc 2'!O399,'Bal Híd'!R389)</f>
        <v>6.0956730241857606</v>
      </c>
      <c r="D390">
        <f ca="1">+'Bal Híd'!N389</f>
        <v>7.6368477630678893</v>
      </c>
    </row>
    <row r="391" spans="1:4" x14ac:dyDescent="0.25">
      <c r="A391">
        <f>+'Esc 2'!A400</f>
        <v>2012</v>
      </c>
      <c r="B391" s="2">
        <f>+'Esc 2'!B400</f>
        <v>11</v>
      </c>
      <c r="C391">
        <f>+IF($AB$3="",'Esc 2'!O400,'Bal Híd'!R390)</f>
        <v>1.2422735450723712</v>
      </c>
      <c r="D391">
        <f ca="1">+'Bal Híd'!N390</f>
        <v>6.0781817426451203</v>
      </c>
    </row>
    <row r="392" spans="1:4" x14ac:dyDescent="0.25">
      <c r="A392">
        <f>+'Esc 2'!A401</f>
        <v>2012</v>
      </c>
      <c r="B392" s="2">
        <f>+'Esc 2'!B401</f>
        <v>12</v>
      </c>
      <c r="C392">
        <f>+IF($AB$3="",'Esc 2'!O401,'Bal Híd'!R391)</f>
        <v>3.7682939510531757</v>
      </c>
      <c r="D392">
        <f ca="1">+'Bal Híd'!N391</f>
        <v>5.5191619399781837</v>
      </c>
    </row>
    <row r="393" spans="1:4" x14ac:dyDescent="0.25">
      <c r="A393">
        <f>+'Esc 2'!A402</f>
        <v>2013</v>
      </c>
      <c r="B393" s="2">
        <f>+'Esc 2'!B402</f>
        <v>1</v>
      </c>
    </row>
    <row r="394" spans="1:4" x14ac:dyDescent="0.25">
      <c r="A394">
        <f>+'Esc 2'!A403</f>
        <v>2013</v>
      </c>
      <c r="B394" s="2">
        <f>+'Esc 2'!B403</f>
        <v>2</v>
      </c>
    </row>
    <row r="395" spans="1:4" x14ac:dyDescent="0.25">
      <c r="A395">
        <f>+'Esc 2'!A404</f>
        <v>2013</v>
      </c>
      <c r="B395" s="2">
        <f>+'Esc 2'!B404</f>
        <v>3</v>
      </c>
    </row>
    <row r="396" spans="1:4" x14ac:dyDescent="0.25">
      <c r="A396">
        <f>+'Esc 2'!A405</f>
        <v>2013</v>
      </c>
      <c r="B396" s="2">
        <f>+'Esc 2'!B405</f>
        <v>4</v>
      </c>
    </row>
    <row r="397" spans="1:4" x14ac:dyDescent="0.25">
      <c r="A397">
        <f>+'Esc 2'!A406</f>
        <v>2013</v>
      </c>
      <c r="B397" s="2">
        <f>+'Esc 2'!B406</f>
        <v>5</v>
      </c>
    </row>
    <row r="398" spans="1:4" x14ac:dyDescent="0.25">
      <c r="A398">
        <f>+'Esc 2'!A407</f>
        <v>2013</v>
      </c>
      <c r="B398" s="2">
        <f>+'Esc 2'!B407</f>
        <v>6</v>
      </c>
    </row>
    <row r="399" spans="1:4" x14ac:dyDescent="0.25">
      <c r="A399">
        <f>+'Esc 2'!A408</f>
        <v>2013</v>
      </c>
      <c r="B399" s="2">
        <f>+'Esc 2'!B408</f>
        <v>7</v>
      </c>
    </row>
    <row r="400" spans="1:4" x14ac:dyDescent="0.25">
      <c r="A400">
        <f>+'Esc 2'!A409</f>
        <v>2013</v>
      </c>
      <c r="B400" s="2">
        <f>+'Esc 2'!B409</f>
        <v>8</v>
      </c>
    </row>
    <row r="401" spans="1:2" x14ac:dyDescent="0.25">
      <c r="A401">
        <f>+'Esc 2'!A410</f>
        <v>2013</v>
      </c>
      <c r="B401" s="2">
        <f>+'Esc 2'!B410</f>
        <v>9</v>
      </c>
    </row>
    <row r="402" spans="1:2" x14ac:dyDescent="0.25">
      <c r="A402">
        <f>+'Esc 2'!A411</f>
        <v>2013</v>
      </c>
      <c r="B402" s="2">
        <f>+'Esc 2'!B411</f>
        <v>10</v>
      </c>
    </row>
    <row r="403" spans="1:2" x14ac:dyDescent="0.25">
      <c r="A403">
        <f>+'Esc 2'!A412</f>
        <v>2013</v>
      </c>
      <c r="B403" s="2">
        <f>+'Esc 2'!B412</f>
        <v>11</v>
      </c>
    </row>
    <row r="404" spans="1:2" x14ac:dyDescent="0.25">
      <c r="A404">
        <f>+'Esc 2'!A413</f>
        <v>2013</v>
      </c>
      <c r="B404" s="2">
        <f>+'Esc 2'!B413</f>
        <v>12</v>
      </c>
    </row>
    <row r="405" spans="1:2" x14ac:dyDescent="0.25">
      <c r="A405">
        <f>+'Esc 2'!A414</f>
        <v>2014</v>
      </c>
      <c r="B405" s="2">
        <f>+'Esc 2'!B414</f>
        <v>1</v>
      </c>
    </row>
    <row r="406" spans="1:2" x14ac:dyDescent="0.25">
      <c r="A406">
        <f>+'Esc 2'!A415</f>
        <v>2014</v>
      </c>
      <c r="B406" s="2">
        <f>+'Esc 2'!B415</f>
        <v>2</v>
      </c>
    </row>
    <row r="407" spans="1:2" x14ac:dyDescent="0.25">
      <c r="A407">
        <f>+'Esc 2'!A416</f>
        <v>2014</v>
      </c>
      <c r="B407" s="2">
        <f>+'Esc 2'!B416</f>
        <v>3</v>
      </c>
    </row>
    <row r="408" spans="1:2" x14ac:dyDescent="0.25">
      <c r="A408">
        <f>+'Esc 2'!A417</f>
        <v>2014</v>
      </c>
      <c r="B408" s="2">
        <f>+'Esc 2'!B417</f>
        <v>4</v>
      </c>
    </row>
    <row r="409" spans="1:2" x14ac:dyDescent="0.25">
      <c r="A409">
        <f>+'Esc 2'!A418</f>
        <v>2014</v>
      </c>
      <c r="B409" s="2">
        <f>+'Esc 2'!B418</f>
        <v>5</v>
      </c>
    </row>
    <row r="410" spans="1:2" x14ac:dyDescent="0.25">
      <c r="A410">
        <f>+'Esc 2'!A419</f>
        <v>2014</v>
      </c>
      <c r="B410" s="2">
        <f>+'Esc 2'!B419</f>
        <v>6</v>
      </c>
    </row>
    <row r="411" spans="1:2" x14ac:dyDescent="0.25">
      <c r="A411">
        <f>+'Esc 2'!A420</f>
        <v>2014</v>
      </c>
      <c r="B411" s="2">
        <f>+'Esc 2'!B420</f>
        <v>7</v>
      </c>
    </row>
    <row r="412" spans="1:2" x14ac:dyDescent="0.25">
      <c r="A412">
        <f>+'Esc 2'!A421</f>
        <v>2014</v>
      </c>
      <c r="B412" s="2">
        <f>+'Esc 2'!B421</f>
        <v>8</v>
      </c>
    </row>
    <row r="413" spans="1:2" x14ac:dyDescent="0.25">
      <c r="A413">
        <f>+'Esc 2'!A422</f>
        <v>2014</v>
      </c>
      <c r="B413" s="2">
        <f>+'Esc 2'!B422</f>
        <v>9</v>
      </c>
    </row>
    <row r="414" spans="1:2" x14ac:dyDescent="0.25">
      <c r="A414">
        <f>+'Esc 2'!A423</f>
        <v>2014</v>
      </c>
      <c r="B414" s="2">
        <f>+'Esc 2'!B423</f>
        <v>10</v>
      </c>
    </row>
    <row r="415" spans="1:2" x14ac:dyDescent="0.25">
      <c r="A415">
        <f>+'Esc 2'!A424</f>
        <v>2014</v>
      </c>
      <c r="B415" s="2">
        <f>+'Esc 2'!B424</f>
        <v>11</v>
      </c>
    </row>
    <row r="416" spans="1:2" x14ac:dyDescent="0.25">
      <c r="A416">
        <f>+'Esc 2'!A425</f>
        <v>2014</v>
      </c>
      <c r="B416" s="2">
        <f>+'Esc 2'!B425</f>
        <v>12</v>
      </c>
    </row>
    <row r="417" spans="1:2" x14ac:dyDescent="0.25">
      <c r="A417">
        <f>+'Esc 2'!A426</f>
        <v>2015</v>
      </c>
      <c r="B417" s="2">
        <f>+'Esc 2'!B426</f>
        <v>1</v>
      </c>
    </row>
    <row r="418" spans="1:2" x14ac:dyDescent="0.25">
      <c r="A418">
        <f>+'Esc 2'!A427</f>
        <v>2015</v>
      </c>
      <c r="B418" s="2">
        <f>+'Esc 2'!B427</f>
        <v>2</v>
      </c>
    </row>
    <row r="419" spans="1:2" x14ac:dyDescent="0.25">
      <c r="A419">
        <f>+'Esc 2'!A428</f>
        <v>2015</v>
      </c>
      <c r="B419" s="2">
        <f>+'Esc 2'!B428</f>
        <v>3</v>
      </c>
    </row>
    <row r="420" spans="1:2" x14ac:dyDescent="0.25">
      <c r="A420">
        <f>+'Esc 2'!A429</f>
        <v>2015</v>
      </c>
      <c r="B420" s="2">
        <f>+'Esc 2'!B429</f>
        <v>4</v>
      </c>
    </row>
    <row r="421" spans="1:2" x14ac:dyDescent="0.25">
      <c r="A421">
        <f>+'Esc 2'!A430</f>
        <v>2015</v>
      </c>
      <c r="B421" s="2">
        <f>+'Esc 2'!B430</f>
        <v>5</v>
      </c>
    </row>
    <row r="422" spans="1:2" x14ac:dyDescent="0.25">
      <c r="A422">
        <f>+'Esc 2'!A431</f>
        <v>2015</v>
      </c>
      <c r="B422" s="2">
        <f>+'Esc 2'!B431</f>
        <v>6</v>
      </c>
    </row>
    <row r="423" spans="1:2" x14ac:dyDescent="0.25">
      <c r="A423">
        <f>+'Esc 2'!A432</f>
        <v>2015</v>
      </c>
      <c r="B423" s="2">
        <f>+'Esc 2'!B432</f>
        <v>7</v>
      </c>
    </row>
    <row r="424" spans="1:2" x14ac:dyDescent="0.25">
      <c r="A424">
        <f>+'Esc 2'!A433</f>
        <v>2015</v>
      </c>
      <c r="B424" s="2">
        <f>+'Esc 2'!B433</f>
        <v>8</v>
      </c>
    </row>
    <row r="425" spans="1:2" x14ac:dyDescent="0.25">
      <c r="A425">
        <f>+'Esc 2'!A434</f>
        <v>2015</v>
      </c>
      <c r="B425" s="2">
        <f>+'Esc 2'!B434</f>
        <v>9</v>
      </c>
    </row>
    <row r="426" spans="1:2" x14ac:dyDescent="0.25">
      <c r="A426">
        <f>+'Esc 2'!A435</f>
        <v>2015</v>
      </c>
      <c r="B426" s="2">
        <f>+'Esc 2'!B435</f>
        <v>10</v>
      </c>
    </row>
    <row r="427" spans="1:2" x14ac:dyDescent="0.25">
      <c r="A427">
        <f>+'Esc 2'!A436</f>
        <v>2015</v>
      </c>
      <c r="B427" s="2">
        <f>+'Esc 2'!B436</f>
        <v>11</v>
      </c>
    </row>
    <row r="428" spans="1:2" x14ac:dyDescent="0.25">
      <c r="A428">
        <f>+'Esc 2'!A437</f>
        <v>2015</v>
      </c>
      <c r="B428" s="2">
        <f>+'Esc 2'!B437</f>
        <v>12</v>
      </c>
    </row>
  </sheetData>
  <sheetProtection sheet="1"/>
  <phoneticPr fontId="15" type="noConversion"/>
  <pageMargins left="0.75" right="0.75" top="1" bottom="1" header="0" footer="0"/>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U21"/>
  <sheetViews>
    <sheetView zoomScale="110" zoomScaleNormal="110" workbookViewId="0">
      <pane ySplit="1" topLeftCell="A2" activePane="bottomLeft" state="frozen"/>
      <selection activeCell="C1" sqref="C1"/>
      <selection pane="bottomLeft" activeCell="L5" sqref="L5"/>
    </sheetView>
  </sheetViews>
  <sheetFormatPr baseColWidth="10" defaultRowHeight="15" x14ac:dyDescent="0.25"/>
  <cols>
    <col min="1" max="1" width="6.42578125" customWidth="1"/>
    <col min="2" max="10" width="4.85546875" customWidth="1"/>
    <col min="11" max="11" width="5.85546875" customWidth="1"/>
    <col min="12" max="12" width="4.85546875" style="104" bestFit="1" customWidth="1"/>
    <col min="13" max="13" width="5.5703125" style="104" customWidth="1"/>
    <col min="14" max="17" width="5.5703125" customWidth="1"/>
    <col min="18" max="18" width="7.5703125" customWidth="1"/>
  </cols>
  <sheetData>
    <row r="1" spans="1:21" x14ac:dyDescent="0.25">
      <c r="B1" t="s">
        <v>89</v>
      </c>
    </row>
    <row r="2" spans="1:21" x14ac:dyDescent="0.25">
      <c r="C2" s="884" t="s">
        <v>540</v>
      </c>
      <c r="D2" s="884"/>
      <c r="E2" s="884"/>
      <c r="F2" s="884"/>
      <c r="G2" s="884"/>
      <c r="H2" s="884"/>
      <c r="I2" s="884"/>
      <c r="J2" s="884"/>
      <c r="M2" s="884" t="s">
        <v>541</v>
      </c>
      <c r="N2" s="884"/>
      <c r="O2" s="884"/>
      <c r="P2" s="884"/>
      <c r="Q2" s="884"/>
      <c r="R2" s="884"/>
    </row>
    <row r="3" spans="1:21" x14ac:dyDescent="0.25">
      <c r="B3" t="s">
        <v>542</v>
      </c>
      <c r="C3" s="586">
        <v>0.1</v>
      </c>
      <c r="D3" s="586">
        <v>0.2</v>
      </c>
      <c r="E3" s="586">
        <v>0.3</v>
      </c>
      <c r="F3" s="586">
        <v>0.4</v>
      </c>
      <c r="G3" s="586">
        <v>0.5</v>
      </c>
      <c r="H3" s="586">
        <v>0.6</v>
      </c>
      <c r="I3" s="586">
        <v>0.7</v>
      </c>
      <c r="J3" s="586">
        <v>0.8</v>
      </c>
      <c r="L3" s="105" t="s">
        <v>543</v>
      </c>
      <c r="M3" s="586">
        <v>1</v>
      </c>
      <c r="N3" s="287">
        <v>1.2</v>
      </c>
      <c r="O3" s="287">
        <v>1.4</v>
      </c>
      <c r="P3" s="287">
        <v>1.6</v>
      </c>
      <c r="Q3" s="287">
        <v>1.8</v>
      </c>
      <c r="R3" s="587" t="s">
        <v>544</v>
      </c>
    </row>
    <row r="4" spans="1:21" x14ac:dyDescent="0.25">
      <c r="A4" s="96"/>
      <c r="B4">
        <v>1</v>
      </c>
      <c r="C4" s="3">
        <v>2.0822207775198418E-2</v>
      </c>
      <c r="D4" s="3">
        <v>6.5530575867263088E-2</v>
      </c>
      <c r="E4" s="3">
        <v>0.1280194752570461</v>
      </c>
      <c r="F4" s="3">
        <v>0.20577938049848049</v>
      </c>
      <c r="G4" s="3">
        <v>0.29726608128057852</v>
      </c>
      <c r="H4" s="3">
        <v>0.40139104758958472</v>
      </c>
      <c r="I4" s="3">
        <v>0.51732756805003899</v>
      </c>
      <c r="J4" s="3">
        <v>0.64441704348933992</v>
      </c>
      <c r="L4" s="104">
        <v>1</v>
      </c>
      <c r="M4" s="104">
        <v>1</v>
      </c>
      <c r="N4">
        <v>1.57744</v>
      </c>
      <c r="O4">
        <v>2.3191000000000002</v>
      </c>
      <c r="P4">
        <v>3.2381700000000002</v>
      </c>
      <c r="Q4">
        <v>4.3469199999999999</v>
      </c>
      <c r="R4">
        <v>90854.205912890146</v>
      </c>
    </row>
    <row r="5" spans="1:21" x14ac:dyDescent="0.25">
      <c r="A5" s="96"/>
      <c r="B5">
        <v>2</v>
      </c>
      <c r="C5" s="3">
        <v>2.8479478835218668E-2</v>
      </c>
      <c r="D5" s="3">
        <v>8.8883118316132687E-2</v>
      </c>
      <c r="E5" s="3">
        <v>0.17263875340184731</v>
      </c>
      <c r="F5" s="3">
        <v>0.27623756648888559</v>
      </c>
      <c r="G5" s="3">
        <v>0.39752658490434289</v>
      </c>
      <c r="H5" s="3">
        <v>0.53499182307153892</v>
      </c>
      <c r="I5" s="3">
        <v>0.68748592358006722</v>
      </c>
      <c r="J5" s="3">
        <v>0.85409664309246702</v>
      </c>
      <c r="L5" s="104">
        <v>2</v>
      </c>
      <c r="M5" s="104">
        <v>0.59460000000000002</v>
      </c>
      <c r="N5">
        <v>0.93794999999999995</v>
      </c>
      <c r="O5">
        <v>1.3789499999999999</v>
      </c>
      <c r="P5">
        <v>1.92543</v>
      </c>
      <c r="Q5">
        <v>2.5846900000000002</v>
      </c>
      <c r="R5">
        <v>4015.2265687702243</v>
      </c>
    </row>
    <row r="6" spans="1:21" x14ac:dyDescent="0.25">
      <c r="A6" s="96"/>
      <c r="B6">
        <v>3</v>
      </c>
      <c r="C6" s="3">
        <v>3.3756163798227976E-2</v>
      </c>
      <c r="D6" s="3">
        <v>0.10451261593684892</v>
      </c>
      <c r="E6" s="3">
        <v>0.20188504192704781</v>
      </c>
      <c r="F6" s="3">
        <v>0.32164782538280062</v>
      </c>
      <c r="G6" s="3">
        <v>0.46121839546539745</v>
      </c>
      <c r="H6" s="3">
        <v>0.61878664810259154</v>
      </c>
      <c r="I6" s="3">
        <v>0.79298478686885343</v>
      </c>
      <c r="J6" s="3">
        <v>0.98272814458188273</v>
      </c>
      <c r="L6" s="104">
        <v>3</v>
      </c>
      <c r="M6" s="104">
        <v>0.43869000000000002</v>
      </c>
      <c r="N6">
        <v>0.69201000000000001</v>
      </c>
      <c r="O6">
        <v>1.0173700000000001</v>
      </c>
      <c r="P6">
        <v>1.42056</v>
      </c>
      <c r="Q6">
        <v>1.9069499999999999</v>
      </c>
      <c r="R6">
        <v>647.58889186193596</v>
      </c>
      <c r="U6" s="588"/>
    </row>
    <row r="7" spans="1:21" x14ac:dyDescent="0.25">
      <c r="A7" s="96"/>
      <c r="B7">
        <v>4</v>
      </c>
      <c r="C7" s="3">
        <v>3.7746095507459373E-2</v>
      </c>
      <c r="D7" s="3">
        <v>0.11597495901302059</v>
      </c>
      <c r="E7" s="3">
        <v>0.22286186840507122</v>
      </c>
      <c r="F7" s="3">
        <v>0.35362926466615935</v>
      </c>
      <c r="G7" s="3">
        <v>0.50537081051723887</v>
      </c>
      <c r="H7" s="3">
        <v>0.67605725873001909</v>
      </c>
      <c r="I7" s="3">
        <v>0.86416031075881139</v>
      </c>
      <c r="J7" s="3">
        <v>1.0684716208042486</v>
      </c>
      <c r="L7" s="104">
        <v>4</v>
      </c>
      <c r="M7" s="104">
        <v>0.35354999999999998</v>
      </c>
      <c r="N7">
        <v>0.55771000000000004</v>
      </c>
      <c r="O7">
        <v>0.81993000000000005</v>
      </c>
      <c r="P7">
        <v>1.1448700000000001</v>
      </c>
      <c r="Q7">
        <v>1.53687</v>
      </c>
      <c r="R7">
        <v>177.44962092361345</v>
      </c>
    </row>
    <row r="8" spans="1:21" x14ac:dyDescent="0.25">
      <c r="A8" s="96"/>
      <c r="B8">
        <v>5</v>
      </c>
      <c r="C8" s="3">
        <v>4.0892194219693027E-2</v>
      </c>
      <c r="D8" s="3">
        <v>0.12472342282134918</v>
      </c>
      <c r="E8" s="3">
        <v>0.23848802074453843</v>
      </c>
      <c r="F8" s="3">
        <v>0.37697316454833923</v>
      </c>
      <c r="G8" s="3">
        <v>0.53702385798249108</v>
      </c>
      <c r="H8" s="3">
        <v>0.71644632640728467</v>
      </c>
      <c r="I8" s="3">
        <v>0.91359422626780451</v>
      </c>
      <c r="J8" s="3">
        <v>1.1271699794774515</v>
      </c>
      <c r="L8" s="104">
        <v>5</v>
      </c>
      <c r="M8" s="104">
        <v>0.29907</v>
      </c>
      <c r="N8">
        <v>0.47176000000000001</v>
      </c>
      <c r="O8">
        <v>0.69357000000000002</v>
      </c>
      <c r="P8">
        <v>0.96843999999999997</v>
      </c>
      <c r="Q8">
        <v>1.30003</v>
      </c>
      <c r="R8">
        <v>65.009977748155421</v>
      </c>
    </row>
    <row r="9" spans="1:21" x14ac:dyDescent="0.25">
      <c r="A9" s="96"/>
      <c r="B9">
        <v>6</v>
      </c>
      <c r="C9" s="3">
        <v>4.343085844354521E-2</v>
      </c>
      <c r="D9" s="3">
        <v>0.1315381506663949</v>
      </c>
      <c r="E9" s="3">
        <v>0.25033422017017015</v>
      </c>
      <c r="F9" s="3">
        <v>0.39426066655778641</v>
      </c>
      <c r="G9" s="3">
        <v>0.55997131975714554</v>
      </c>
      <c r="H9" s="3">
        <v>0.74514944741009714</v>
      </c>
      <c r="I9" s="3">
        <v>0.94806278513613595</v>
      </c>
      <c r="J9" s="3">
        <v>1.1673504294251684</v>
      </c>
      <c r="L9" s="104">
        <v>6</v>
      </c>
      <c r="M9" s="104">
        <v>0.26085000000000003</v>
      </c>
      <c r="N9">
        <v>0.41147</v>
      </c>
      <c r="O9">
        <v>0.60492999999999997</v>
      </c>
      <c r="P9">
        <v>0.84467000000000003</v>
      </c>
      <c r="Q9">
        <v>1.13388</v>
      </c>
      <c r="R9">
        <v>28.619656053541028</v>
      </c>
    </row>
    <row r="10" spans="1:21" x14ac:dyDescent="0.25">
      <c r="A10" s="96"/>
      <c r="B10">
        <v>7</v>
      </c>
      <c r="C10" s="3">
        <v>4.5507599761309268E-2</v>
      </c>
      <c r="D10" s="3">
        <v>0.13690061439102644</v>
      </c>
      <c r="E10" s="3">
        <v>0.25936988036854491</v>
      </c>
      <c r="F10" s="3">
        <v>0.40708330498397222</v>
      </c>
      <c r="G10" s="3">
        <v>0.57654919738320898</v>
      </c>
      <c r="H10" s="3">
        <v>0.76536058255385275</v>
      </c>
      <c r="I10" s="3">
        <v>0.97172433792673885</v>
      </c>
      <c r="J10" s="3">
        <v>1.1942362798961905</v>
      </c>
      <c r="L10" s="104">
        <v>7</v>
      </c>
      <c r="M10" s="104">
        <v>0.23236999999999999</v>
      </c>
      <c r="N10">
        <v>0.36654999999999999</v>
      </c>
      <c r="O10">
        <v>0.53888999999999998</v>
      </c>
      <c r="P10">
        <v>0.75244999999999995</v>
      </c>
      <c r="Q10">
        <v>1.0100800000000001</v>
      </c>
      <c r="R10">
        <v>14.302233260531994</v>
      </c>
    </row>
    <row r="11" spans="1:21" x14ac:dyDescent="0.25">
      <c r="A11" s="96"/>
      <c r="B11">
        <v>8</v>
      </c>
      <c r="C11" s="3">
        <v>4.7220220536004109E-2</v>
      </c>
      <c r="D11" s="3">
        <v>0.14113438160773681</v>
      </c>
      <c r="E11" s="3">
        <v>0.26624519729651652</v>
      </c>
      <c r="F11" s="3">
        <v>0.41650585328267514</v>
      </c>
      <c r="G11" s="3">
        <v>0.58831612051159365</v>
      </c>
      <c r="H11" s="3">
        <v>0.77920498032364238</v>
      </c>
      <c r="I11" s="3">
        <v>0.98733831147444384</v>
      </c>
      <c r="J11" s="3">
        <v>1.2112843784738929</v>
      </c>
      <c r="L11" s="104">
        <v>8</v>
      </c>
      <c r="M11" s="104">
        <v>0.21021999999999999</v>
      </c>
      <c r="N11">
        <v>0.33162000000000003</v>
      </c>
      <c r="O11">
        <v>0.48753000000000002</v>
      </c>
      <c r="P11">
        <v>0.68074000000000001</v>
      </c>
      <c r="Q11">
        <v>0.91383000000000003</v>
      </c>
      <c r="R11">
        <v>7.8422393921293372</v>
      </c>
    </row>
    <row r="12" spans="1:21" x14ac:dyDescent="0.25">
      <c r="A12" s="96"/>
      <c r="B12">
        <v>9</v>
      </c>
      <c r="C12" s="3">
        <v>4.8638488370917235E-2</v>
      </c>
      <c r="D12" s="3">
        <v>0.14446969211123431</v>
      </c>
      <c r="E12" s="3">
        <v>0.27142116181593828</v>
      </c>
      <c r="F12" s="3">
        <v>0.42328040625871466</v>
      </c>
      <c r="G12" s="3">
        <v>0.59636895509140087</v>
      </c>
      <c r="H12" s="3">
        <v>0.7881729258221265</v>
      </c>
      <c r="I12" s="3">
        <v>0.99683306166248786</v>
      </c>
      <c r="J12" s="3">
        <v>1.220902500013332</v>
      </c>
      <c r="L12" s="104">
        <v>9</v>
      </c>
      <c r="M12" s="104">
        <v>0.19245000000000001</v>
      </c>
      <c r="N12">
        <v>0.30358000000000002</v>
      </c>
      <c r="O12">
        <v>0.44630999999999998</v>
      </c>
      <c r="P12">
        <v>0.62319000000000002</v>
      </c>
      <c r="Q12">
        <v>0.83655999999999997</v>
      </c>
      <c r="R12">
        <v>4.6158718647000008</v>
      </c>
    </row>
    <row r="13" spans="1:21" x14ac:dyDescent="0.25">
      <c r="A13" s="96"/>
      <c r="B13">
        <v>10</v>
      </c>
      <c r="C13" s="3">
        <v>4.9814346002400478E-2</v>
      </c>
      <c r="D13" s="3">
        <v>0.14707718976249698</v>
      </c>
      <c r="E13" s="3">
        <v>0.27523776293358743</v>
      </c>
      <c r="F13" s="3">
        <v>0.42795902996159213</v>
      </c>
      <c r="G13" s="3">
        <v>0.6015092591445752</v>
      </c>
      <c r="H13" s="3">
        <v>0.79334891168074906</v>
      </c>
      <c r="I13" s="3">
        <v>1.0016063135231179</v>
      </c>
      <c r="J13" s="3">
        <v>1.2248293156071208</v>
      </c>
      <c r="L13" s="104">
        <v>10</v>
      </c>
      <c r="M13" s="104">
        <v>0.17782999999999999</v>
      </c>
      <c r="N13">
        <v>0.28050999999999998</v>
      </c>
      <c r="O13">
        <v>0.41239999999999999</v>
      </c>
      <c r="P13">
        <v>0.57584000000000002</v>
      </c>
      <c r="Q13">
        <v>0.77300000000000002</v>
      </c>
      <c r="R13">
        <v>2.8730622569067039</v>
      </c>
    </row>
    <row r="14" spans="1:21" x14ac:dyDescent="0.25">
      <c r="A14" s="96"/>
      <c r="B14">
        <v>11</v>
      </c>
      <c r="C14" s="3">
        <v>5.0787723849031748E-2</v>
      </c>
      <c r="D14" s="3">
        <v>0.14908724478335941</v>
      </c>
      <c r="E14" s="3">
        <v>0.27795320028369325</v>
      </c>
      <c r="F14" s="3">
        <v>0.43095868579129692</v>
      </c>
      <c r="G14" s="3">
        <v>0.6043393765226337</v>
      </c>
      <c r="H14" s="3">
        <v>0.79554408779557217</v>
      </c>
      <c r="I14" s="3">
        <v>1.0026989346265478</v>
      </c>
      <c r="J14" s="3">
        <v>1.2243542732256314</v>
      </c>
      <c r="L14" s="104">
        <v>11</v>
      </c>
      <c r="M14" s="104">
        <v>0.16714000000000001</v>
      </c>
      <c r="N14">
        <v>0.26116</v>
      </c>
      <c r="O14">
        <v>0.38395000000000001</v>
      </c>
      <c r="P14">
        <v>0.53610999999999998</v>
      </c>
      <c r="Q14">
        <v>0.71960000000000002</v>
      </c>
      <c r="R14">
        <v>1.8710179485923433</v>
      </c>
    </row>
    <row r="15" spans="1:21" x14ac:dyDescent="0.25">
      <c r="A15" s="96"/>
      <c r="B15">
        <v>12</v>
      </c>
      <c r="C15" s="3">
        <v>5.1590087791722819E-2</v>
      </c>
      <c r="D15" s="3">
        <v>0.1506018130936248</v>
      </c>
      <c r="E15" s="3">
        <v>0.27976802306311338</v>
      </c>
      <c r="F15" s="3">
        <v>0.43260126596368753</v>
      </c>
      <c r="G15" s="3">
        <v>0.60532175080782935</v>
      </c>
      <c r="H15" s="3">
        <v>0.7953780560172764</v>
      </c>
      <c r="I15" s="3">
        <v>1.0009022661162199</v>
      </c>
      <c r="J15" s="3">
        <v>1.220453395644443</v>
      </c>
      <c r="L15" s="104">
        <v>12</v>
      </c>
      <c r="M15" s="104">
        <v>0.15509999999999999</v>
      </c>
      <c r="N15">
        <v>0.24465999999999999</v>
      </c>
      <c r="O15">
        <v>0.35969000000000001</v>
      </c>
      <c r="P15">
        <v>0.50224000000000002</v>
      </c>
      <c r="Q15">
        <v>0.67420999999999998</v>
      </c>
      <c r="R15">
        <v>1.264822054417843</v>
      </c>
    </row>
    <row r="16" spans="1:21" x14ac:dyDescent="0.25">
      <c r="A16" s="96"/>
      <c r="B16">
        <v>13</v>
      </c>
      <c r="C16" s="3">
        <v>5.2246725546231831E-2</v>
      </c>
      <c r="D16" s="3">
        <v>0.15170211581709281</v>
      </c>
      <c r="E16" s="3">
        <v>0.280840795331738</v>
      </c>
      <c r="F16" s="3">
        <v>0.43313960027503107</v>
      </c>
      <c r="G16" s="3">
        <v>0.60481746623808319</v>
      </c>
      <c r="H16" s="3">
        <v>0.79333201127735142</v>
      </c>
      <c r="I16" s="3"/>
      <c r="J16" s="3"/>
      <c r="L16" s="104">
        <v>13</v>
      </c>
      <c r="M16" s="104">
        <v>0.14606</v>
      </c>
      <c r="N16">
        <v>0.23041</v>
      </c>
      <c r="O16">
        <v>0.33873999999999999</v>
      </c>
      <c r="P16">
        <v>0.47298000000000001</v>
      </c>
      <c r="Q16">
        <v>0.63492999999999999</v>
      </c>
      <c r="R16">
        <v>0.88226682972878245</v>
      </c>
    </row>
    <row r="17" spans="1:18" x14ac:dyDescent="0.25">
      <c r="A17" s="96"/>
      <c r="B17">
        <v>14</v>
      </c>
      <c r="C17" s="3">
        <v>5.2778285740849515E-2</v>
      </c>
      <c r="D17" s="3">
        <v>0.15245382909300034</v>
      </c>
      <c r="E17" s="3">
        <v>0.28129869697441778</v>
      </c>
      <c r="F17" s="3">
        <v>0.4327750593507701</v>
      </c>
      <c r="G17" s="3">
        <v>0.60311232537552373</v>
      </c>
      <c r="H17" s="3"/>
      <c r="I17" s="3"/>
      <c r="J17" s="3"/>
      <c r="L17" s="104">
        <v>14</v>
      </c>
      <c r="M17" s="104">
        <v>0.13816999999999999</v>
      </c>
      <c r="N17">
        <v>0.21795</v>
      </c>
      <c r="O17">
        <v>0.32041999999999998</v>
      </c>
      <c r="P17">
        <v>0.44740999999999997</v>
      </c>
      <c r="Q17">
        <v>0.60060000000000002</v>
      </c>
      <c r="R17">
        <v>0.63207538278962228</v>
      </c>
    </row>
    <row r="18" spans="1:18" x14ac:dyDescent="0.25">
      <c r="A18" s="96"/>
      <c r="B18">
        <v>15</v>
      </c>
      <c r="C18" s="3">
        <v>5.3201851575065205E-2</v>
      </c>
      <c r="D18" s="3">
        <v>0.15291071530739256</v>
      </c>
      <c r="E18" s="3">
        <v>0.28124494494922381</v>
      </c>
      <c r="F18" s="3">
        <v>0.43166987203516616</v>
      </c>
      <c r="G18" s="3"/>
      <c r="H18" s="3"/>
      <c r="I18" s="3"/>
      <c r="J18" s="3"/>
      <c r="L18" s="104">
        <v>15</v>
      </c>
      <c r="M18" s="104">
        <v>0.13120000000000001</v>
      </c>
      <c r="N18">
        <v>0.20696000000000001</v>
      </c>
      <c r="O18">
        <v>0.30425999999999997</v>
      </c>
      <c r="P18">
        <v>0.42485000000000001</v>
      </c>
      <c r="R18">
        <v>0.46337689077665573</v>
      </c>
    </row>
    <row r="19" spans="1:18" x14ac:dyDescent="0.25">
      <c r="A19" s="96"/>
      <c r="B19">
        <v>16</v>
      </c>
      <c r="C19" s="3">
        <v>5.3531712372763891E-2</v>
      </c>
      <c r="D19" s="3">
        <v>0.15311723782973968</v>
      </c>
      <c r="E19" s="3">
        <v>0.28076413565063457</v>
      </c>
      <c r="F19" s="3"/>
      <c r="G19" s="3"/>
      <c r="H19" s="3"/>
      <c r="I19" s="3"/>
      <c r="J19" s="3"/>
      <c r="L19" s="104">
        <v>16</v>
      </c>
      <c r="M19" s="104">
        <v>0.125</v>
      </c>
      <c r="N19">
        <v>0.19717999999999999</v>
      </c>
      <c r="O19">
        <v>0.28988999999999998</v>
      </c>
      <c r="R19">
        <v>0.34658129086643258</v>
      </c>
    </row>
    <row r="20" spans="1:18" x14ac:dyDescent="0.25">
      <c r="A20" s="96"/>
      <c r="B20">
        <v>17</v>
      </c>
      <c r="C20" s="3">
        <v>5.3779932097689123E-2</v>
      </c>
      <c r="D20" s="3">
        <v>0.15311048967159771</v>
      </c>
      <c r="E20" s="3"/>
      <c r="F20" s="3"/>
      <c r="G20" s="3"/>
      <c r="H20" s="3"/>
      <c r="I20" s="3"/>
      <c r="J20" s="3"/>
      <c r="L20" s="104">
        <v>17</v>
      </c>
      <c r="M20" s="104">
        <v>0.11942999999999999</v>
      </c>
      <c r="N20">
        <v>0.18842</v>
      </c>
      <c r="R20">
        <v>0.26383043328339584</v>
      </c>
    </row>
    <row r="21" spans="1:18" x14ac:dyDescent="0.25">
      <c r="A21" s="96"/>
      <c r="B21">
        <v>18</v>
      </c>
      <c r="C21" s="3">
        <v>5.3956777307939748E-2</v>
      </c>
      <c r="D21" s="3">
        <v>0.15292164542183609</v>
      </c>
      <c r="E21" s="3"/>
      <c r="F21" s="3"/>
      <c r="G21" s="3"/>
      <c r="H21" s="3"/>
      <c r="I21" s="3"/>
      <c r="J21" s="3"/>
      <c r="L21" s="104">
        <v>18</v>
      </c>
      <c r="M21" s="104">
        <v>0.11443</v>
      </c>
      <c r="N21">
        <v>0.18051</v>
      </c>
      <c r="R21">
        <v>0.20399464353859773</v>
      </c>
    </row>
  </sheetData>
  <mergeCells count="2">
    <mergeCell ref="C2:J2"/>
    <mergeCell ref="M2:R2"/>
  </mergeCells>
  <phoneticPr fontId="15" type="noConversion"/>
  <pageMargins left="0.75" right="0.75" top="1" bottom="1" header="0" footer="0"/>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9" tint="0.59999389629810485"/>
  </sheetPr>
  <dimension ref="A1:J54"/>
  <sheetViews>
    <sheetView zoomScale="110" zoomScaleNormal="110" workbookViewId="0">
      <selection sqref="A1:F1"/>
    </sheetView>
  </sheetViews>
  <sheetFormatPr baseColWidth="10" defaultRowHeight="15" x14ac:dyDescent="0.25"/>
  <cols>
    <col min="1" max="1" width="10.85546875" style="72" customWidth="1"/>
    <col min="2" max="2" width="12.85546875" style="61" customWidth="1"/>
    <col min="3" max="3" width="20.85546875" style="61" customWidth="1"/>
    <col min="4" max="4" width="14.85546875" style="61" bestFit="1" customWidth="1"/>
    <col min="5" max="5" width="14.5703125" style="61" customWidth="1"/>
    <col min="6" max="6" width="12.85546875" style="61" customWidth="1"/>
    <col min="7" max="7" width="14.140625" style="61" customWidth="1"/>
    <col min="8" max="8" width="11.85546875" style="61" bestFit="1" customWidth="1"/>
    <col min="9" max="10" width="11.42578125" style="61" customWidth="1"/>
    <col min="11" max="12" width="18.42578125" style="61" customWidth="1"/>
    <col min="13" max="16384" width="11.42578125" style="61"/>
  </cols>
  <sheetData>
    <row r="1" spans="1:10" ht="21" x14ac:dyDescent="0.35">
      <c r="A1" s="854" t="s">
        <v>435</v>
      </c>
      <c r="B1" s="855"/>
      <c r="C1" s="855"/>
      <c r="D1" s="855"/>
      <c r="E1" s="855"/>
      <c r="F1" s="891"/>
    </row>
    <row r="2" spans="1:10" ht="21" x14ac:dyDescent="0.35">
      <c r="A2" s="892" t="s">
        <v>329</v>
      </c>
      <c r="B2" s="892"/>
      <c r="C2" s="892"/>
      <c r="D2" s="892"/>
      <c r="E2" s="892"/>
      <c r="F2" s="892"/>
    </row>
    <row r="3" spans="1:10" ht="18.75" x14ac:dyDescent="0.3">
      <c r="A3" s="61" t="s">
        <v>483</v>
      </c>
      <c r="F3" s="181" t="str">
        <f>+'Ingreso Datos'!G2</f>
        <v>Presa del Ejemplo del Manual</v>
      </c>
    </row>
    <row r="4" spans="1:10" x14ac:dyDescent="0.25">
      <c r="A4" s="71" t="s">
        <v>376</v>
      </c>
      <c r="F4" s="490" t="str">
        <f>+Pasos!A3</f>
        <v>Planilla complementaria al Manual de diseño y construcción de pequeñas presas, Versión 1.04, del 01/04/2013</v>
      </c>
    </row>
    <row r="5" spans="1:10" s="62" customFormat="1" x14ac:dyDescent="0.25">
      <c r="A5" s="72" t="str">
        <f>+'Ingreso Datos'!E29</f>
        <v>L</v>
      </c>
      <c r="B5" s="72">
        <f>+'Ingreso Datos'!F29</f>
        <v>10.3</v>
      </c>
      <c r="C5" s="399" t="str">
        <f>+'Ingreso Datos'!G29</f>
        <v>km  = Longitud del Cauce Principal</v>
      </c>
      <c r="D5" s="61"/>
      <c r="E5" s="61"/>
      <c r="F5" s="61"/>
    </row>
    <row r="6" spans="1:10" x14ac:dyDescent="0.25">
      <c r="A6" s="72" t="str">
        <f>+'Ingreso Datos'!E30</f>
        <v>∆H</v>
      </c>
      <c r="B6" s="72">
        <f>+'Ingreso Datos'!F30</f>
        <v>95</v>
      </c>
      <c r="C6" s="399" t="str">
        <f>+'Ingreso Datos'!G30</f>
        <v>m  = Diferencia de cotas en el cauce principal</v>
      </c>
      <c r="D6" s="76"/>
      <c r="E6" s="76"/>
      <c r="F6" s="76"/>
    </row>
    <row r="7" spans="1:10" ht="18" x14ac:dyDescent="0.35">
      <c r="A7" s="72" t="s">
        <v>923</v>
      </c>
      <c r="B7" s="395">
        <f>0.4*'Ingreso Datos'!F29^0.77*('Ingreso Datos'!F30/'Ingreso Datos'!F29/10)^-0.385</f>
        <v>2.4857840544648968</v>
      </c>
      <c r="C7" s="893" t="s">
        <v>365</v>
      </c>
      <c r="D7" s="893"/>
      <c r="E7" s="893"/>
      <c r="F7" s="893"/>
    </row>
    <row r="8" spans="1:10" x14ac:dyDescent="0.25">
      <c r="B8" s="74"/>
      <c r="C8" s="893"/>
      <c r="D8" s="893"/>
      <c r="E8" s="893"/>
      <c r="F8" s="893"/>
    </row>
    <row r="9" spans="1:10" x14ac:dyDescent="0.25">
      <c r="A9" s="71" t="s">
        <v>928</v>
      </c>
      <c r="D9" s="72"/>
      <c r="E9" s="72"/>
      <c r="H9" s="29"/>
      <c r="I9" s="400"/>
      <c r="J9" s="118"/>
    </row>
    <row r="10" spans="1:10" s="76" customFormat="1" x14ac:dyDescent="0.25">
      <c r="A10" s="72" t="str">
        <f>+'Ingreso Datos'!E31</f>
        <v>P(d=3,Tr=10)</v>
      </c>
      <c r="B10" s="72">
        <f>+'Ingreso Datos'!F31</f>
        <v>97</v>
      </c>
      <c r="C10" s="399" t="str">
        <f>+'Ingreso Datos'!G31</f>
        <v>mm = Precipitación con d=3hs y Tr=10 años (según Mapa 3.1)</v>
      </c>
      <c r="D10" s="75"/>
      <c r="E10" s="61"/>
      <c r="F10" s="61"/>
      <c r="G10" s="61"/>
      <c r="H10" s="29"/>
      <c r="I10" s="400"/>
      <c r="J10" s="118"/>
    </row>
    <row r="11" spans="1:10" x14ac:dyDescent="0.25">
      <c r="A11" s="72" t="str">
        <f>+'Ingreso Datos'!E32</f>
        <v xml:space="preserve"> Tr</v>
      </c>
      <c r="B11" s="72">
        <f>+'Ingreso Datos'!F32</f>
        <v>100</v>
      </c>
      <c r="C11" s="399" t="str">
        <f>+'Ingreso Datos'!G32</f>
        <v>años = Período de Retorno seleccionado</v>
      </c>
      <c r="D11" s="75"/>
    </row>
    <row r="12" spans="1:10" ht="18" x14ac:dyDescent="0.35">
      <c r="A12" s="72" t="s">
        <v>385</v>
      </c>
      <c r="B12" s="405">
        <f>0.5786-0.4312*LOG(LN('Ingreso Datos'!F32/('Ingreso Datos'!F32-1)))</f>
        <v>1.4400597361119927</v>
      </c>
      <c r="C12" s="73" t="s">
        <v>393</v>
      </c>
      <c r="D12" s="75"/>
    </row>
    <row r="13" spans="1:10" s="81" customFormat="1" ht="15" customHeight="1" x14ac:dyDescent="0.25">
      <c r="A13" s="77"/>
      <c r="B13" s="78"/>
      <c r="C13" s="79"/>
      <c r="D13" s="80"/>
    </row>
    <row r="14" spans="1:10" s="81" customFormat="1" x14ac:dyDescent="0.25">
      <c r="A14" s="404" t="s">
        <v>422</v>
      </c>
      <c r="B14" s="80"/>
      <c r="C14" s="80"/>
      <c r="D14" s="80"/>
    </row>
    <row r="15" spans="1:10" s="79" customFormat="1" ht="12.75" x14ac:dyDescent="0.2">
      <c r="A15" s="67" t="s">
        <v>386</v>
      </c>
      <c r="B15" s="406">
        <f>+B7</f>
        <v>2.4857840544648968</v>
      </c>
      <c r="C15" s="79" t="s">
        <v>417</v>
      </c>
    </row>
    <row r="16" spans="1:10" s="79" customFormat="1" ht="14.25" x14ac:dyDescent="0.25">
      <c r="A16" s="67" t="s">
        <v>449</v>
      </c>
      <c r="B16" s="407">
        <f>+IF(B15&lt;3,(0.6208*B15)/(B15+0.0137)^0.5639,+(1.0287*B15)/(B15+1.0293)^0.8083)</f>
        <v>0.92059218149416844</v>
      </c>
      <c r="C16" s="79" t="s">
        <v>394</v>
      </c>
    </row>
    <row r="17" spans="1:7" s="79" customFormat="1" ht="14.25" x14ac:dyDescent="0.25">
      <c r="A17" s="67" t="s">
        <v>450</v>
      </c>
      <c r="B17" s="408">
        <f>1-0.3549*B15^-0.4272*(1-EXP(-0.15*Ac/1000))</f>
        <v>0.92159224184058997</v>
      </c>
      <c r="C17" s="79" t="s">
        <v>395</v>
      </c>
    </row>
    <row r="18" spans="1:7" s="79" customFormat="1" ht="14.25" x14ac:dyDescent="0.25">
      <c r="A18" s="67" t="s">
        <v>451</v>
      </c>
      <c r="B18" s="409">
        <f>+'Ingreso Datos'!F31*B12*B16*B17</f>
        <v>118.51091036790321</v>
      </c>
      <c r="C18" s="79" t="s">
        <v>535</v>
      </c>
    </row>
    <row r="19" spans="1:7" s="81" customFormat="1" ht="8.25" customHeight="1" x14ac:dyDescent="0.25">
      <c r="A19" s="82"/>
      <c r="B19" s="410"/>
      <c r="C19" s="79"/>
      <c r="D19" s="80"/>
    </row>
    <row r="20" spans="1:7" s="81" customFormat="1" x14ac:dyDescent="0.25">
      <c r="A20" s="404" t="s">
        <v>388</v>
      </c>
      <c r="B20" s="82"/>
      <c r="C20" s="80"/>
      <c r="D20" s="80"/>
    </row>
    <row r="21" spans="1:7" s="79" customFormat="1" ht="12.75" x14ac:dyDescent="0.2">
      <c r="A21" s="67" t="s">
        <v>387</v>
      </c>
      <c r="B21" s="406">
        <f>+B15*1.71428571428571</f>
        <v>4.2613440933683835</v>
      </c>
      <c r="C21" s="79" t="s">
        <v>418</v>
      </c>
    </row>
    <row r="22" spans="1:7" s="79" customFormat="1" ht="14.25" x14ac:dyDescent="0.25">
      <c r="A22" s="67" t="s">
        <v>452</v>
      </c>
      <c r="B22" s="407">
        <f>+IF(B21&lt;3,(0.6208*B21)/(B21+0.0137)^0.5639,+(1.0287*B21)/(B21+1.0293)^0.8083)</f>
        <v>1.1403111872123157</v>
      </c>
      <c r="C22" s="79" t="s">
        <v>394</v>
      </c>
    </row>
    <row r="23" spans="1:7" s="79" customFormat="1" ht="14.25" x14ac:dyDescent="0.25">
      <c r="A23" s="67" t="s">
        <v>453</v>
      </c>
      <c r="B23" s="408">
        <f>1-0.3549*B21^-0.4272*(1-EXP(-0.15*Ac/1000))</f>
        <v>0.93771855343698929</v>
      </c>
      <c r="C23" s="79" t="s">
        <v>395</v>
      </c>
    </row>
    <row r="24" spans="1:7" s="79" customFormat="1" ht="14.25" x14ac:dyDescent="0.25">
      <c r="A24" s="67" t="s">
        <v>454</v>
      </c>
      <c r="B24" s="409">
        <f>+'Ingreso Datos'!F31*B12*B22*B23</f>
        <v>149.36475676806634</v>
      </c>
      <c r="C24" s="79" t="s">
        <v>421</v>
      </c>
    </row>
    <row r="25" spans="1:7" s="81" customFormat="1" ht="9.75" customHeight="1" x14ac:dyDescent="0.25">
      <c r="A25" s="77"/>
    </row>
    <row r="26" spans="1:7" ht="18" x14ac:dyDescent="0.35">
      <c r="A26" s="170" t="s">
        <v>567</v>
      </c>
      <c r="B26" s="76"/>
      <c r="C26" s="76"/>
      <c r="D26" s="76"/>
      <c r="E26" s="76"/>
      <c r="F26" s="76"/>
      <c r="G26" s="76"/>
    </row>
    <row r="27" spans="1:7" s="73" customFormat="1" ht="12.75" customHeight="1" x14ac:dyDescent="0.2">
      <c r="A27" s="224" t="s">
        <v>538</v>
      </c>
      <c r="B27" s="227" t="s">
        <v>359</v>
      </c>
      <c r="C27" s="228" t="s">
        <v>360</v>
      </c>
      <c r="D27" s="64" t="s">
        <v>536</v>
      </c>
      <c r="E27" s="103">
        <f>+B7*60</f>
        <v>149.14704326789382</v>
      </c>
      <c r="F27" s="73" t="s">
        <v>539</v>
      </c>
    </row>
    <row r="28" spans="1:7" s="73" customFormat="1" ht="12.75" x14ac:dyDescent="0.2">
      <c r="A28" s="225" t="s">
        <v>358</v>
      </c>
      <c r="B28" s="85" t="s">
        <v>361</v>
      </c>
      <c r="C28" s="85" t="s">
        <v>361</v>
      </c>
      <c r="D28" s="64" t="s">
        <v>537</v>
      </c>
      <c r="E28" s="60">
        <f>+Ac</f>
        <v>2630</v>
      </c>
      <c r="F28" s="73" t="s">
        <v>206</v>
      </c>
    </row>
    <row r="29" spans="1:7" s="73" customFormat="1" ht="12.75" x14ac:dyDescent="0.2">
      <c r="A29" s="226" t="s">
        <v>357</v>
      </c>
      <c r="B29" s="85" t="s">
        <v>362</v>
      </c>
      <c r="C29" s="85" t="s">
        <v>330</v>
      </c>
      <c r="D29" s="83" t="s">
        <v>363</v>
      </c>
      <c r="E29" s="403" t="str">
        <f>+IF(B7&lt;20/60,"Método Racional",IF(Ac&gt;400,"Método del NRCS","Ambos métodos"))</f>
        <v>Método del NRCS</v>
      </c>
    </row>
    <row r="30" spans="1:7" s="73" customFormat="1" ht="12.75" x14ac:dyDescent="0.2">
      <c r="A30" s="83"/>
      <c r="B30" s="87"/>
      <c r="C30" s="87"/>
      <c r="D30" s="83"/>
      <c r="E30" s="402"/>
    </row>
    <row r="31" spans="1:7" s="79" customFormat="1" x14ac:dyDescent="0.25">
      <c r="A31" s="404" t="str">
        <f>+'Ingreso Datos'!E34</f>
        <v>Valores utilizados para el cálculo de la Crecida de Proyecto s/el Método Racional:</v>
      </c>
      <c r="B31" s="86"/>
      <c r="C31" s="87"/>
      <c r="D31" s="87"/>
      <c r="G31" s="88"/>
    </row>
    <row r="32" spans="1:7" s="81" customFormat="1" x14ac:dyDescent="0.25">
      <c r="C32" s="401" t="str">
        <f>+'Ingreso Datos'!I35</f>
        <v>Suma de longitudes de curvas de nivel en la cuenca</v>
      </c>
      <c r="D32" s="77" t="str">
        <f>+'Ingreso Datos'!J35</f>
        <v>LCN (km) =</v>
      </c>
      <c r="E32" s="77">
        <f>+'Ingreso Datos'!K35</f>
        <v>0</v>
      </c>
      <c r="F32" s="89"/>
    </row>
    <row r="33" spans="1:8" s="79" customFormat="1" x14ac:dyDescent="0.25">
      <c r="C33" s="401" t="str">
        <f>+'Ingreso Datos'!I36</f>
        <v>Equidistancia entre las curvas de nivel</v>
      </c>
      <c r="D33" s="77" t="str">
        <f>+'Ingreso Datos'!J36</f>
        <v>DH (m) =</v>
      </c>
      <c r="E33" s="77">
        <f>+'Ingreso Datos'!K36</f>
        <v>0</v>
      </c>
      <c r="F33" s="90"/>
    </row>
    <row r="34" spans="1:8" s="79" customFormat="1" x14ac:dyDescent="0.25">
      <c r="C34" s="401" t="str">
        <f>+'Ingreso Datos'!I37</f>
        <v>Pendiente media de la cuenca</v>
      </c>
      <c r="D34" s="77" t="str">
        <f>+'Ingreso Datos'!J37</f>
        <v>Pend (%) =</v>
      </c>
      <c r="E34" s="77">
        <f>+'Ingreso Datos'!K37</f>
        <v>0</v>
      </c>
      <c r="F34" s="90"/>
    </row>
    <row r="35" spans="1:8" s="79" customFormat="1" x14ac:dyDescent="0.25">
      <c r="C35" s="401" t="str">
        <f>+'Ingreso Datos'!I38</f>
        <v>Coeficiente de escorrentía (de Tabla 3.2 del Manual)</v>
      </c>
      <c r="D35" s="77" t="str">
        <f>+'Ingreso Datos'!J38</f>
        <v>C =</v>
      </c>
      <c r="E35" s="77">
        <f>+'Ingreso Datos'!K38</f>
        <v>0</v>
      </c>
      <c r="F35" s="90"/>
    </row>
    <row r="36" spans="1:8" s="79" customFormat="1" ht="14.25" x14ac:dyDescent="0.25">
      <c r="A36" s="68" t="s">
        <v>447</v>
      </c>
      <c r="B36" s="411">
        <f>+'Ingreso Datos'!K38*B18/B7*Ac/360</f>
        <v>0</v>
      </c>
      <c r="C36" s="91" t="s">
        <v>55</v>
      </c>
      <c r="D36" s="90"/>
      <c r="E36" s="90"/>
      <c r="F36" s="90"/>
    </row>
    <row r="37" spans="1:8" s="79" customFormat="1" ht="14.25" x14ac:dyDescent="0.25">
      <c r="A37" s="68" t="s">
        <v>448</v>
      </c>
      <c r="B37" s="411">
        <f>4.81*B36*B7/1000</f>
        <v>0</v>
      </c>
      <c r="C37" s="91" t="s">
        <v>56</v>
      </c>
      <c r="D37" s="90"/>
      <c r="E37" s="90"/>
      <c r="F37" s="90"/>
    </row>
    <row r="38" spans="1:8" s="73" customFormat="1" ht="12.75" x14ac:dyDescent="0.2">
      <c r="A38" s="60"/>
      <c r="C38" s="86"/>
      <c r="D38" s="87"/>
      <c r="E38" s="87"/>
      <c r="H38" s="84"/>
    </row>
    <row r="39" spans="1:8" x14ac:dyDescent="0.25">
      <c r="A39" s="171" t="s">
        <v>364</v>
      </c>
    </row>
    <row r="40" spans="1:8" s="73" customFormat="1" ht="25.5" x14ac:dyDescent="0.2">
      <c r="A40" s="888" t="s">
        <v>310</v>
      </c>
      <c r="B40" s="889"/>
      <c r="C40" s="889"/>
      <c r="D40" s="229" t="s">
        <v>423</v>
      </c>
      <c r="E40" s="229" t="s">
        <v>377</v>
      </c>
      <c r="F40" s="229" t="s">
        <v>989</v>
      </c>
    </row>
    <row r="41" spans="1:8" s="73" customFormat="1" ht="12.75" x14ac:dyDescent="0.2">
      <c r="A41" s="890" t="str">
        <f>+'Ingreso Datos'!E16</f>
        <v>Cuchilla de Haedo – Paso de Los Toros</v>
      </c>
      <c r="B41" s="890"/>
      <c r="C41" s="890"/>
      <c r="D41" s="92">
        <f>+'Ingreso Datos'!H16</f>
        <v>2559</v>
      </c>
      <c r="E41" s="92" t="str">
        <f>+'Ingreso Datos'!J16</f>
        <v>D</v>
      </c>
      <c r="F41" s="92">
        <f>+'Ingreso Datos'!K16</f>
        <v>80</v>
      </c>
    </row>
    <row r="42" spans="1:8" s="73" customFormat="1" ht="12.75" x14ac:dyDescent="0.2">
      <c r="A42" s="890" t="str">
        <f>+'Ingreso Datos'!E17</f>
        <v>Masoller</v>
      </c>
      <c r="B42" s="890"/>
      <c r="C42" s="890"/>
      <c r="D42" s="92">
        <f>+'Ingreso Datos'!H17</f>
        <v>71</v>
      </c>
      <c r="E42" s="92" t="str">
        <f>+'Ingreso Datos'!J17</f>
        <v>C</v>
      </c>
      <c r="F42" s="92">
        <f>+'Ingreso Datos'!K17</f>
        <v>74</v>
      </c>
    </row>
    <row r="43" spans="1:8" s="73" customFormat="1" ht="12.75" x14ac:dyDescent="0.2">
      <c r="A43" s="890">
        <f>+'Ingreso Datos'!E18</f>
        <v>0</v>
      </c>
      <c r="B43" s="890"/>
      <c r="C43" s="890"/>
      <c r="D43" s="92">
        <f>+'Ingreso Datos'!H18</f>
        <v>0</v>
      </c>
      <c r="E43" s="92">
        <f>+'Ingreso Datos'!J18</f>
        <v>0</v>
      </c>
      <c r="F43" s="92">
        <f>+'Ingreso Datos'!K18</f>
        <v>0</v>
      </c>
    </row>
    <row r="44" spans="1:8" s="73" customFormat="1" ht="12.75" x14ac:dyDescent="0.2">
      <c r="A44" s="890">
        <f>+'Ingreso Datos'!E19</f>
        <v>0</v>
      </c>
      <c r="B44" s="890"/>
      <c r="C44" s="890"/>
      <c r="D44" s="92">
        <f>+'Ingreso Datos'!H19</f>
        <v>0</v>
      </c>
      <c r="E44" s="92">
        <f>+'Ingreso Datos'!J19</f>
        <v>0</v>
      </c>
      <c r="F44" s="92">
        <f>+'Ingreso Datos'!K19</f>
        <v>0</v>
      </c>
    </row>
    <row r="45" spans="1:8" s="73" customFormat="1" ht="12.75" customHeight="1" x14ac:dyDescent="0.2">
      <c r="A45" s="897" t="s">
        <v>870</v>
      </c>
      <c r="B45" s="898"/>
      <c r="C45" s="898"/>
      <c r="D45" s="898"/>
      <c r="E45" s="899"/>
      <c r="F45" s="394">
        <f>+'Ingreso Datos'!K20</f>
        <v>79.838022813688212</v>
      </c>
    </row>
    <row r="46" spans="1:8" ht="8.25" customHeight="1" x14ac:dyDescent="0.25">
      <c r="B46" s="93"/>
    </row>
    <row r="47" spans="1:8" s="73" customFormat="1" ht="14.25" x14ac:dyDescent="0.25">
      <c r="A47" s="60" t="s">
        <v>455</v>
      </c>
      <c r="B47" s="412">
        <f>0.2*25.4*(1000/F45-10)</f>
        <v>12.828830236124471</v>
      </c>
      <c r="C47" s="73" t="s">
        <v>392</v>
      </c>
    </row>
    <row r="48" spans="1:8" s="73" customFormat="1" ht="14.25" x14ac:dyDescent="0.25">
      <c r="A48" s="60" t="s">
        <v>456</v>
      </c>
      <c r="B48" s="413">
        <f>0.786*(1.223-B47/B18)^2/(1.223+4*B47/B18)</f>
        <v>0.58981634354572998</v>
      </c>
      <c r="C48" s="73" t="s">
        <v>389</v>
      </c>
    </row>
    <row r="49" spans="1:6" s="73" customFormat="1" ht="14.25" x14ac:dyDescent="0.25">
      <c r="A49" s="94" t="s">
        <v>447</v>
      </c>
      <c r="B49" s="414">
        <f>0.31*B48/B7*B18*Ac*10^-2</f>
        <v>229.26047150119342</v>
      </c>
      <c r="C49" s="95" t="s">
        <v>57</v>
      </c>
    </row>
    <row r="50" spans="1:6" s="73" customFormat="1" ht="14.25" x14ac:dyDescent="0.25">
      <c r="A50" s="94" t="s">
        <v>448</v>
      </c>
      <c r="B50" s="415">
        <f>+(B24-B47)^2/(B24+4*B47)*Ac*10^-5</f>
        <v>2.4431232210042952</v>
      </c>
      <c r="C50" s="95" t="s">
        <v>58</v>
      </c>
    </row>
    <row r="51" spans="1:6" s="73" customFormat="1" ht="19.5" thickBot="1" x14ac:dyDescent="0.35">
      <c r="A51" s="169" t="s">
        <v>457</v>
      </c>
    </row>
    <row r="52" spans="1:6" s="73" customFormat="1" ht="20.25" x14ac:dyDescent="0.35">
      <c r="A52" s="167" t="s">
        <v>565</v>
      </c>
      <c r="B52" s="416">
        <f>+MAX(B49,B36)</f>
        <v>229.26047150119342</v>
      </c>
      <c r="C52" s="894" t="s">
        <v>391</v>
      </c>
      <c r="D52" s="895"/>
      <c r="E52" s="895"/>
      <c r="F52" s="896"/>
    </row>
    <row r="53" spans="1:6" s="73" customFormat="1" ht="21" thickBot="1" x14ac:dyDescent="0.4">
      <c r="A53" s="168" t="s">
        <v>566</v>
      </c>
      <c r="B53" s="417">
        <f>+MAX(B50,B37)</f>
        <v>2.4431232210042952</v>
      </c>
      <c r="C53" s="885" t="s">
        <v>458</v>
      </c>
      <c r="D53" s="886"/>
      <c r="E53" s="886"/>
      <c r="F53" s="887"/>
    </row>
    <row r="54" spans="1:6" s="73" customFormat="1" ht="12.75" x14ac:dyDescent="0.2">
      <c r="A54" s="60"/>
    </row>
  </sheetData>
  <sheetProtection sheet="1"/>
  <mergeCells count="11">
    <mergeCell ref="A1:F1"/>
    <mergeCell ref="A2:F2"/>
    <mergeCell ref="C7:F8"/>
    <mergeCell ref="C52:F52"/>
    <mergeCell ref="A45:E45"/>
    <mergeCell ref="C53:F53"/>
    <mergeCell ref="A40:C40"/>
    <mergeCell ref="A41:C41"/>
    <mergeCell ref="A42:C42"/>
    <mergeCell ref="A43:C43"/>
    <mergeCell ref="A44:C44"/>
  </mergeCells>
  <phoneticPr fontId="15" type="noConversion"/>
  <pageMargins left="0.76" right="0.28000000000000003" top="0.47" bottom="0.44"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indexed="42"/>
  </sheetPr>
  <dimension ref="A1:R46"/>
  <sheetViews>
    <sheetView zoomScaleNormal="100" workbookViewId="0">
      <selection sqref="A1:I1"/>
    </sheetView>
  </sheetViews>
  <sheetFormatPr baseColWidth="10" defaultRowHeight="15" x14ac:dyDescent="0.25"/>
  <cols>
    <col min="1" max="1" width="8.85546875" style="61" customWidth="1"/>
    <col min="2" max="2" width="8.140625" style="64" customWidth="1"/>
    <col min="3" max="3" width="10.5703125" style="60" customWidth="1"/>
    <col min="4" max="4" width="10.140625" style="60" customWidth="1"/>
    <col min="5" max="5" width="13" style="60" customWidth="1"/>
    <col min="6" max="6" width="10.85546875" style="60" customWidth="1"/>
    <col min="7" max="7" width="9.85546875" style="60" customWidth="1"/>
    <col min="8" max="9" width="11" style="60" customWidth="1"/>
    <col min="10" max="10" width="10.5703125" style="149" customWidth="1"/>
    <col min="11" max="11" width="10.42578125" style="149" customWidth="1"/>
    <col min="12" max="12" width="9.85546875" style="149" customWidth="1"/>
    <col min="13" max="13" width="10.5703125" style="149" customWidth="1"/>
    <col min="14" max="14" width="9.42578125" style="149" customWidth="1"/>
    <col min="15" max="16" width="10.140625" style="63" customWidth="1"/>
    <col min="17" max="17" width="10.140625" style="61" customWidth="1"/>
    <col min="18" max="16384" width="11.42578125" style="61"/>
  </cols>
  <sheetData>
    <row r="1" spans="1:17" ht="21" x14ac:dyDescent="0.35">
      <c r="A1" s="892" t="s">
        <v>232</v>
      </c>
      <c r="B1" s="892"/>
      <c r="C1" s="892"/>
      <c r="D1" s="892"/>
      <c r="E1" s="892"/>
      <c r="F1" s="892"/>
      <c r="G1" s="892"/>
      <c r="H1" s="892"/>
      <c r="I1" s="892"/>
      <c r="N1" s="63"/>
      <c r="P1" s="61"/>
    </row>
    <row r="2" spans="1:17" ht="18.75" customHeight="1" x14ac:dyDescent="0.3">
      <c r="A2" s="62" t="s">
        <v>484</v>
      </c>
      <c r="B2" s="492" t="str">
        <f>+Pasos!A3</f>
        <v>Planilla complementaria al Manual de diseño y construcción de pequeñas presas, Versión 1.04, del 01/04/2013</v>
      </c>
      <c r="I2" s="181" t="str">
        <f>+'Ingreso Datos'!G2</f>
        <v>Presa del Ejemplo del Manual</v>
      </c>
      <c r="N2" s="63"/>
      <c r="P2" s="61"/>
    </row>
    <row r="3" spans="1:17" ht="18.75" customHeight="1" thickBot="1" x14ac:dyDescent="0.35">
      <c r="A3" s="62"/>
      <c r="B3" s="729" t="s">
        <v>556</v>
      </c>
      <c r="C3" s="730"/>
      <c r="D3" s="730"/>
      <c r="E3" s="730"/>
      <c r="F3" s="730"/>
      <c r="G3" s="730"/>
      <c r="I3" s="181"/>
      <c r="N3" s="63"/>
      <c r="P3" s="61"/>
    </row>
    <row r="4" spans="1:17" ht="18.75" customHeight="1" x14ac:dyDescent="0.3">
      <c r="A4" s="62"/>
      <c r="B4" s="908" t="s">
        <v>994</v>
      </c>
      <c r="C4" s="902" t="s">
        <v>460</v>
      </c>
      <c r="D4" s="903"/>
      <c r="E4" s="917" t="s">
        <v>570</v>
      </c>
      <c r="F4" s="172" t="s">
        <v>573</v>
      </c>
      <c r="G4" s="173">
        <f ca="1">+EXP(INTERCEPT(OFFSET('Geom Emb'!G17,0,0,'Geom Emb'!B14,1),OFFSET('Geom Emb'!F17,0,0,'Geom Emb'!B14,1)))</f>
        <v>8.1090259284822022</v>
      </c>
      <c r="I4" s="181"/>
      <c r="N4" s="63"/>
      <c r="P4" s="61"/>
    </row>
    <row r="5" spans="1:17" ht="18.75" customHeight="1" thickBot="1" x14ac:dyDescent="0.35">
      <c r="A5" s="62"/>
      <c r="B5" s="909"/>
      <c r="C5" s="904" t="s">
        <v>571</v>
      </c>
      <c r="D5" s="905"/>
      <c r="E5" s="907"/>
      <c r="F5" s="174" t="s">
        <v>574</v>
      </c>
      <c r="G5" s="66">
        <f ca="1">+SLOPE(OFFSET('Geom Emb'!G17,0,0,'Geom Emb'!B14,1),OFFSET('Geom Emb'!F17,0,0,'Geom Emb'!B14,1))</f>
        <v>1.8124610315735747</v>
      </c>
      <c r="I5" s="181"/>
      <c r="J5" s="61"/>
      <c r="K5" s="61"/>
      <c r="L5" s="61"/>
      <c r="M5" s="61"/>
      <c r="N5" s="61"/>
      <c r="P5" s="61"/>
    </row>
    <row r="6" spans="1:17" ht="18.75" customHeight="1" x14ac:dyDescent="0.25">
      <c r="A6" s="62"/>
      <c r="B6" s="909" t="s">
        <v>995</v>
      </c>
      <c r="C6" s="920" t="s">
        <v>569</v>
      </c>
      <c r="D6" s="921"/>
      <c r="E6" s="906" t="s">
        <v>463</v>
      </c>
      <c r="F6" s="297" t="s">
        <v>575</v>
      </c>
      <c r="G6" s="298">
        <f ca="1">+a_/(b_+1)*0.01</f>
        <v>2.8832491677032036E-2</v>
      </c>
      <c r="I6" s="61"/>
      <c r="J6" s="61"/>
      <c r="K6" s="61"/>
      <c r="L6" s="61"/>
      <c r="M6" s="61"/>
      <c r="N6" s="61"/>
      <c r="P6" s="61"/>
    </row>
    <row r="7" spans="1:17" ht="19.5" thickBot="1" x14ac:dyDescent="0.3">
      <c r="A7" s="64"/>
      <c r="B7" s="909"/>
      <c r="C7" s="904" t="s">
        <v>572</v>
      </c>
      <c r="D7" s="905"/>
      <c r="E7" s="907"/>
      <c r="F7" s="174" t="s">
        <v>576</v>
      </c>
      <c r="G7" s="66">
        <f ca="1">+b_+1</f>
        <v>2.8124610315735747</v>
      </c>
      <c r="I7" s="149"/>
      <c r="J7" s="61"/>
      <c r="K7" s="61"/>
      <c r="L7" s="61"/>
      <c r="M7" s="61"/>
      <c r="N7" s="61"/>
      <c r="P7" s="61"/>
    </row>
    <row r="8" spans="1:17" s="65" customFormat="1" ht="15.75" customHeight="1" x14ac:dyDescent="0.25">
      <c r="B8" s="909" t="s">
        <v>996</v>
      </c>
      <c r="C8" s="902" t="s">
        <v>461</v>
      </c>
      <c r="D8" s="903"/>
      <c r="E8" s="917" t="s">
        <v>464</v>
      </c>
      <c r="F8" s="172" t="s">
        <v>579</v>
      </c>
      <c r="G8" s="173">
        <f ca="1">1/(c_^(1/d_))</f>
        <v>3.528621175941864</v>
      </c>
    </row>
    <row r="9" spans="1:17" ht="19.5" thickBot="1" x14ac:dyDescent="0.3">
      <c r="B9" s="909"/>
      <c r="C9" s="904" t="s">
        <v>577</v>
      </c>
      <c r="D9" s="905"/>
      <c r="E9" s="907"/>
      <c r="F9" s="174" t="s">
        <v>580</v>
      </c>
      <c r="G9" s="66">
        <f ca="1">1/d_</f>
        <v>0.35556048200266049</v>
      </c>
      <c r="I9" s="61"/>
      <c r="J9" s="61"/>
      <c r="K9" s="61"/>
      <c r="L9" s="61"/>
      <c r="M9" s="61"/>
      <c r="N9" s="61"/>
      <c r="O9" s="61"/>
      <c r="P9" s="61"/>
    </row>
    <row r="10" spans="1:17" ht="18.75" x14ac:dyDescent="0.25">
      <c r="B10" s="909" t="s">
        <v>997</v>
      </c>
      <c r="C10" s="902" t="s">
        <v>462</v>
      </c>
      <c r="D10" s="903"/>
      <c r="E10" s="917" t="s">
        <v>465</v>
      </c>
      <c r="F10" s="172" t="s">
        <v>581</v>
      </c>
      <c r="G10" s="173">
        <f ca="1">+a_*e_^b_</f>
        <v>79.704249658448219</v>
      </c>
      <c r="I10" s="61"/>
      <c r="J10" s="61"/>
      <c r="K10" s="61"/>
      <c r="L10" s="61"/>
      <c r="M10" s="61"/>
      <c r="N10" s="61"/>
      <c r="O10" s="61"/>
      <c r="P10" s="61"/>
    </row>
    <row r="11" spans="1:17" ht="19.5" thickBot="1" x14ac:dyDescent="0.3">
      <c r="B11" s="910"/>
      <c r="C11" s="912" t="s">
        <v>578</v>
      </c>
      <c r="D11" s="913"/>
      <c r="E11" s="907"/>
      <c r="F11" s="174" t="s">
        <v>582</v>
      </c>
      <c r="G11" s="66">
        <f ca="1">+f_*b_</f>
        <v>0.64443951799733945</v>
      </c>
      <c r="I11" s="61"/>
      <c r="J11" s="61"/>
      <c r="K11" s="61"/>
      <c r="L11" s="61"/>
      <c r="M11" s="61"/>
      <c r="N11" s="61"/>
      <c r="O11" s="61"/>
      <c r="P11" s="61"/>
    </row>
    <row r="12" spans="1:17" ht="17.25" x14ac:dyDescent="0.25">
      <c r="B12" s="340">
        <f ca="1">+CORREL(OFFSET('Geom Emb'!G17,0,0,'Geom Emb'!B14,1),OFFSET('Geom Emb'!F17,0,0,'Geom Emb'!B14,1))</f>
        <v>0.99394158184244097</v>
      </c>
      <c r="C12" s="339" t="s">
        <v>993</v>
      </c>
      <c r="D12" s="61"/>
      <c r="E12" s="61"/>
      <c r="F12" s="61"/>
      <c r="G12" s="61"/>
      <c r="I12" s="61"/>
      <c r="J12" s="61"/>
      <c r="K12" s="61"/>
      <c r="L12" s="61"/>
      <c r="M12" s="61"/>
      <c r="N12" s="61"/>
      <c r="O12" s="61"/>
      <c r="P12" s="61"/>
    </row>
    <row r="13" spans="1:17" ht="18.75" x14ac:dyDescent="0.3">
      <c r="B13" s="161">
        <f ca="1">+ROUND(AVERAGE(OFFSET(E17,0,0,B14-1,1)),2)</f>
        <v>98.73</v>
      </c>
      <c r="C13" s="177" t="s">
        <v>587</v>
      </c>
      <c r="G13" s="61"/>
      <c r="H13" s="61"/>
      <c r="I13" s="61"/>
      <c r="J13" s="61"/>
      <c r="K13" s="61"/>
      <c r="L13" s="61"/>
      <c r="M13" s="61"/>
      <c r="N13" s="61"/>
      <c r="O13" s="61"/>
    </row>
    <row r="14" spans="1:17" ht="18.75" x14ac:dyDescent="0.25">
      <c r="B14" s="156">
        <f>+COUNTA('Ingreso Datos'!B10:B29)</f>
        <v>6</v>
      </c>
      <c r="C14" s="177" t="s">
        <v>586</v>
      </c>
      <c r="E14" s="68"/>
      <c r="F14" s="68"/>
      <c r="G14" s="61"/>
      <c r="H14" s="61"/>
      <c r="I14" s="61"/>
      <c r="K14" s="307"/>
      <c r="L14" s="307"/>
      <c r="M14" s="307"/>
      <c r="N14" s="307"/>
      <c r="O14" s="307"/>
    </row>
    <row r="15" spans="1:17" ht="27.75" customHeight="1" thickBot="1" x14ac:dyDescent="0.3">
      <c r="A15" s="918" t="s">
        <v>588</v>
      </c>
      <c r="B15" s="919"/>
      <c r="C15" s="914" t="s">
        <v>590</v>
      </c>
      <c r="D15" s="915"/>
      <c r="E15" s="915"/>
      <c r="F15" s="915"/>
      <c r="G15" s="916"/>
      <c r="H15" s="900" t="s">
        <v>585</v>
      </c>
      <c r="I15" s="901"/>
      <c r="J15" s="61"/>
      <c r="K15" s="307"/>
      <c r="L15" s="61"/>
      <c r="M15" s="61"/>
      <c r="N15" s="60"/>
      <c r="O15" s="307"/>
      <c r="Q15" s="63"/>
    </row>
    <row r="16" spans="1:17" ht="42" customHeight="1" x14ac:dyDescent="0.25">
      <c r="A16" s="175" t="s">
        <v>221</v>
      </c>
      <c r="B16" s="178" t="s">
        <v>589</v>
      </c>
      <c r="C16" s="126" t="s">
        <v>459</v>
      </c>
      <c r="D16" s="126" t="s">
        <v>223</v>
      </c>
      <c r="E16" s="126" t="s">
        <v>553</v>
      </c>
      <c r="F16" s="126" t="s">
        <v>218</v>
      </c>
      <c r="G16" s="126" t="s">
        <v>219</v>
      </c>
      <c r="H16" s="150" t="s">
        <v>583</v>
      </c>
      <c r="I16" s="150" t="s">
        <v>584</v>
      </c>
      <c r="J16" s="61"/>
      <c r="O16" s="149"/>
      <c r="Q16" s="63"/>
    </row>
    <row r="17" spans="1:17" x14ac:dyDescent="0.25">
      <c r="A17" s="176">
        <f>+'Ingreso Datos'!B10</f>
        <v>101.2</v>
      </c>
      <c r="B17" s="176">
        <f>+'Ingreso Datos'!C10</f>
        <v>37.700000000000003</v>
      </c>
      <c r="C17" s="157">
        <f t="shared" ref="C17:C36" ca="1" si="0">+A17-Hast</f>
        <v>2.4699999999999989</v>
      </c>
      <c r="D17" s="157">
        <f>+SQRT(B17)</f>
        <v>6.1400325732035004</v>
      </c>
      <c r="E17" s="158">
        <f>+((SQRT(B18/B$17)*A$17-A18)/(SQRT(B18/B$17)-1))</f>
        <v>99.184836071975809</v>
      </c>
      <c r="F17" s="159">
        <f ca="1">+LN(C17)</f>
        <v>0.90421815063988542</v>
      </c>
      <c r="G17" s="159">
        <f>+LN(B17)</f>
        <v>3.629660094453965</v>
      </c>
      <c r="H17" s="151">
        <f ca="1">IF(A17&gt;0,+a_*(A17-Hast)^b_,"")</f>
        <v>41.755781281892666</v>
      </c>
      <c r="I17" s="123">
        <f ca="1">IF(A17&gt;0,c_*(A17-Hast)^d_,"")</f>
        <v>0.36671363125898937</v>
      </c>
      <c r="J17" s="61"/>
      <c r="O17" s="149"/>
      <c r="Q17" s="63"/>
    </row>
    <row r="18" spans="1:17" x14ac:dyDescent="0.25">
      <c r="A18" s="176">
        <f>+'Ingreso Datos'!B11</f>
        <v>102.2</v>
      </c>
      <c r="B18" s="176">
        <f>+'Ingreso Datos'!C11</f>
        <v>84.4</v>
      </c>
      <c r="C18" s="157">
        <f t="shared" ca="1" si="0"/>
        <v>3.4699999999999989</v>
      </c>
      <c r="D18" s="157">
        <f t="shared" ref="D18:D36" si="1">+SQRT(B18)</f>
        <v>9.1869472622846811</v>
      </c>
      <c r="E18" s="158">
        <f t="shared" ref="E18:E36" si="2">+((SQRT(B19/B$17)*A$17-A19)/(SQRT(B19/B$17)-1))</f>
        <v>98.974375985319284</v>
      </c>
      <c r="F18" s="159">
        <f t="shared" ref="F18:F36" ca="1" si="3">+LN(C18)</f>
        <v>1.2441545939587675</v>
      </c>
      <c r="G18" s="159">
        <f t="shared" ref="G18:G36" si="4">+LN(B18)</f>
        <v>4.4355674016019115</v>
      </c>
      <c r="H18" s="151">
        <f t="shared" ref="H18:H36" ca="1" si="5">IF(A18&gt;0,+a_*(A18-Hast)^b_,+H17)</f>
        <v>77.320527162992761</v>
      </c>
      <c r="I18" s="123">
        <f t="shared" ref="I18:I36" ca="1" si="6">IF(A18&gt;0,c_*(A18-Hast)^d_,+I17)</f>
        <v>0.95397669956504061</v>
      </c>
      <c r="J18" s="61"/>
      <c r="O18" s="149"/>
      <c r="Q18" s="63"/>
    </row>
    <row r="19" spans="1:17" x14ac:dyDescent="0.25">
      <c r="A19" s="176">
        <f>+'Ingreso Datos'!B12</f>
        <v>103.2</v>
      </c>
      <c r="B19" s="176">
        <f>+'Ingreso Datos'!C12</f>
        <v>135.9</v>
      </c>
      <c r="C19" s="157">
        <f t="shared" ca="1" si="0"/>
        <v>4.4699999999999989</v>
      </c>
      <c r="D19" s="157">
        <f t="shared" si="1"/>
        <v>11.657615536635269</v>
      </c>
      <c r="E19" s="158">
        <f t="shared" si="2"/>
        <v>98.628833731739164</v>
      </c>
      <c r="F19" s="159">
        <f t="shared" ca="1" si="3"/>
        <v>1.4973884086254772</v>
      </c>
      <c r="G19" s="159">
        <f t="shared" si="4"/>
        <v>4.9119193211570984</v>
      </c>
      <c r="H19" s="151">
        <f t="shared" ca="1" si="5"/>
        <v>122.356130295593</v>
      </c>
      <c r="I19" s="123">
        <f t="shared" ca="1" si="6"/>
        <v>1.9446737084754979</v>
      </c>
      <c r="J19" s="61"/>
      <c r="O19" s="149"/>
      <c r="Q19" s="63"/>
    </row>
    <row r="20" spans="1:17" x14ac:dyDescent="0.25">
      <c r="A20" s="176">
        <f>+'Ingreso Datos'!B13</f>
        <v>104.2</v>
      </c>
      <c r="B20" s="176">
        <f>+'Ingreso Datos'!C13</f>
        <v>177</v>
      </c>
      <c r="C20" s="157">
        <f t="shared" ca="1" si="0"/>
        <v>5.4699999999999989</v>
      </c>
      <c r="D20" s="157">
        <f t="shared" si="1"/>
        <v>13.30413469565007</v>
      </c>
      <c r="E20" s="158">
        <f t="shared" si="2"/>
        <v>98.423786301138151</v>
      </c>
      <c r="F20" s="159">
        <f t="shared" ca="1" si="3"/>
        <v>1.6992786164338896</v>
      </c>
      <c r="G20" s="159">
        <f t="shared" si="4"/>
        <v>5.1761497325738288</v>
      </c>
      <c r="H20" s="151">
        <f t="shared" ca="1" si="5"/>
        <v>176.41762040906599</v>
      </c>
      <c r="I20" s="123">
        <f t="shared" ca="1" si="6"/>
        <v>3.4311742378086203</v>
      </c>
      <c r="J20" s="61"/>
      <c r="O20" s="149"/>
      <c r="Q20" s="63"/>
    </row>
    <row r="21" spans="1:17" x14ac:dyDescent="0.25">
      <c r="A21" s="176">
        <f>+'Ingreso Datos'!B14</f>
        <v>105.2</v>
      </c>
      <c r="B21" s="176">
        <f>+'Ingreso Datos'!C14</f>
        <v>224.6</v>
      </c>
      <c r="C21" s="157">
        <f t="shared" ca="1" si="0"/>
        <v>6.4699999999999989</v>
      </c>
      <c r="D21" s="157">
        <f t="shared" si="1"/>
        <v>14.986660735467391</v>
      </c>
      <c r="E21" s="158">
        <f t="shared" si="2"/>
        <v>98.460488468238978</v>
      </c>
      <c r="F21" s="159">
        <f t="shared" ca="1" si="3"/>
        <v>1.8671761085128091</v>
      </c>
      <c r="G21" s="159">
        <f t="shared" si="4"/>
        <v>5.4143210423043424</v>
      </c>
      <c r="H21" s="151">
        <f t="shared" ca="1" si="5"/>
        <v>239.16691306842282</v>
      </c>
      <c r="I21" s="123">
        <f t="shared" ca="1" si="6"/>
        <v>5.5019781969633845</v>
      </c>
      <c r="J21" s="61"/>
      <c r="O21" s="149"/>
      <c r="Q21" s="63"/>
    </row>
    <row r="22" spans="1:17" x14ac:dyDescent="0.25">
      <c r="A22" s="176">
        <f>+'Ingreso Datos'!B15</f>
        <v>106.2</v>
      </c>
      <c r="B22" s="176">
        <f>+'Ingreso Datos'!C15</f>
        <v>300.89999999999998</v>
      </c>
      <c r="C22" s="157">
        <f t="shared" ca="1" si="0"/>
        <v>7.4699999999999989</v>
      </c>
      <c r="D22" s="157">
        <f t="shared" si="1"/>
        <v>17.34646938140439</v>
      </c>
      <c r="E22" s="158">
        <f t="shared" si="2"/>
        <v>0</v>
      </c>
      <c r="F22" s="159">
        <f t="shared" ca="1" si="3"/>
        <v>2.0108949991447256</v>
      </c>
      <c r="G22" s="159">
        <f t="shared" si="4"/>
        <v>5.7067779836359991</v>
      </c>
      <c r="H22" s="151">
        <f t="shared" ca="1" si="5"/>
        <v>310.33320590390042</v>
      </c>
      <c r="I22" s="123">
        <f t="shared" ca="1" si="6"/>
        <v>8.242564153164837</v>
      </c>
      <c r="J22" s="61"/>
      <c r="O22" s="149"/>
      <c r="Q22" s="63"/>
    </row>
    <row r="23" spans="1:17" x14ac:dyDescent="0.25">
      <c r="A23" s="176">
        <f>+'Ingreso Datos'!B16</f>
        <v>0</v>
      </c>
      <c r="B23" s="176">
        <f>+'Ingreso Datos'!C16</f>
        <v>0</v>
      </c>
      <c r="C23" s="157">
        <f t="shared" ca="1" si="0"/>
        <v>-98.73</v>
      </c>
      <c r="D23" s="157">
        <f t="shared" si="1"/>
        <v>0</v>
      </c>
      <c r="E23" s="158">
        <f t="shared" si="2"/>
        <v>0</v>
      </c>
      <c r="F23" s="159" t="e">
        <f t="shared" ca="1" si="3"/>
        <v>#NUM!</v>
      </c>
      <c r="G23" s="159" t="e">
        <f t="shared" si="4"/>
        <v>#NUM!</v>
      </c>
      <c r="H23" s="151">
        <f t="shared" ca="1" si="5"/>
        <v>310.33320590390042</v>
      </c>
      <c r="I23" s="123">
        <f t="shared" ca="1" si="6"/>
        <v>8.242564153164837</v>
      </c>
      <c r="J23" s="61"/>
      <c r="O23" s="149"/>
      <c r="Q23" s="63"/>
    </row>
    <row r="24" spans="1:17" x14ac:dyDescent="0.25">
      <c r="A24" s="176">
        <f>+'Ingreso Datos'!B17</f>
        <v>0</v>
      </c>
      <c r="B24" s="176">
        <f>+'Ingreso Datos'!C17</f>
        <v>0</v>
      </c>
      <c r="C24" s="157">
        <f t="shared" ca="1" si="0"/>
        <v>-98.73</v>
      </c>
      <c r="D24" s="157">
        <f t="shared" si="1"/>
        <v>0</v>
      </c>
      <c r="E24" s="158">
        <f t="shared" si="2"/>
        <v>0</v>
      </c>
      <c r="F24" s="159" t="e">
        <f t="shared" ca="1" si="3"/>
        <v>#NUM!</v>
      </c>
      <c r="G24" s="159" t="e">
        <f t="shared" si="4"/>
        <v>#NUM!</v>
      </c>
      <c r="H24" s="151">
        <f t="shared" ca="1" si="5"/>
        <v>310.33320590390042</v>
      </c>
      <c r="I24" s="123">
        <f t="shared" ca="1" si="6"/>
        <v>8.242564153164837</v>
      </c>
      <c r="J24" s="61"/>
      <c r="O24" s="149"/>
      <c r="Q24" s="63"/>
    </row>
    <row r="25" spans="1:17" x14ac:dyDescent="0.25">
      <c r="A25" s="176">
        <f>+'Ingreso Datos'!B18</f>
        <v>0</v>
      </c>
      <c r="B25" s="176">
        <f>+'Ingreso Datos'!C18</f>
        <v>0</v>
      </c>
      <c r="C25" s="157">
        <f t="shared" ca="1" si="0"/>
        <v>-98.73</v>
      </c>
      <c r="D25" s="157">
        <f t="shared" si="1"/>
        <v>0</v>
      </c>
      <c r="E25" s="158">
        <f t="shared" si="2"/>
        <v>0</v>
      </c>
      <c r="F25" s="159" t="e">
        <f t="shared" ca="1" si="3"/>
        <v>#NUM!</v>
      </c>
      <c r="G25" s="159" t="e">
        <f t="shared" si="4"/>
        <v>#NUM!</v>
      </c>
      <c r="H25" s="151">
        <f t="shared" ca="1" si="5"/>
        <v>310.33320590390042</v>
      </c>
      <c r="I25" s="123">
        <f t="shared" ca="1" si="6"/>
        <v>8.242564153164837</v>
      </c>
      <c r="J25" s="61"/>
      <c r="O25" s="149"/>
      <c r="Q25" s="63"/>
    </row>
    <row r="26" spans="1:17" x14ac:dyDescent="0.25">
      <c r="A26" s="176">
        <f>+'Ingreso Datos'!B19</f>
        <v>0</v>
      </c>
      <c r="B26" s="176">
        <f>+'Ingreso Datos'!C19</f>
        <v>0</v>
      </c>
      <c r="C26" s="157">
        <f t="shared" ca="1" si="0"/>
        <v>-98.73</v>
      </c>
      <c r="D26" s="157">
        <f t="shared" si="1"/>
        <v>0</v>
      </c>
      <c r="E26" s="158">
        <f t="shared" si="2"/>
        <v>0</v>
      </c>
      <c r="F26" s="159" t="e">
        <f t="shared" ca="1" si="3"/>
        <v>#NUM!</v>
      </c>
      <c r="G26" s="159" t="e">
        <f t="shared" si="4"/>
        <v>#NUM!</v>
      </c>
      <c r="H26" s="151">
        <f t="shared" ca="1" si="5"/>
        <v>310.33320590390042</v>
      </c>
      <c r="I26" s="123">
        <f t="shared" ca="1" si="6"/>
        <v>8.242564153164837</v>
      </c>
      <c r="J26" s="61"/>
      <c r="O26" s="149"/>
      <c r="Q26" s="63"/>
    </row>
    <row r="27" spans="1:17" x14ac:dyDescent="0.25">
      <c r="A27" s="176">
        <f>+'Ingreso Datos'!B20</f>
        <v>0</v>
      </c>
      <c r="B27" s="176">
        <f>+'Ingreso Datos'!C20</f>
        <v>0</v>
      </c>
      <c r="C27" s="157">
        <f t="shared" ca="1" si="0"/>
        <v>-98.73</v>
      </c>
      <c r="D27" s="157">
        <f t="shared" si="1"/>
        <v>0</v>
      </c>
      <c r="E27" s="158">
        <f t="shared" si="2"/>
        <v>0</v>
      </c>
      <c r="F27" s="159" t="e">
        <f t="shared" ca="1" si="3"/>
        <v>#NUM!</v>
      </c>
      <c r="G27" s="159" t="e">
        <f t="shared" si="4"/>
        <v>#NUM!</v>
      </c>
      <c r="H27" s="151">
        <f t="shared" ca="1" si="5"/>
        <v>310.33320590390042</v>
      </c>
      <c r="I27" s="123">
        <f t="shared" ca="1" si="6"/>
        <v>8.242564153164837</v>
      </c>
      <c r="J27" s="61"/>
      <c r="O27" s="149"/>
      <c r="Q27" s="63"/>
    </row>
    <row r="28" spans="1:17" x14ac:dyDescent="0.25">
      <c r="A28" s="176">
        <f>+'Ingreso Datos'!B21</f>
        <v>0</v>
      </c>
      <c r="B28" s="176">
        <f>+'Ingreso Datos'!C21</f>
        <v>0</v>
      </c>
      <c r="C28" s="157">
        <f t="shared" ca="1" si="0"/>
        <v>-98.73</v>
      </c>
      <c r="D28" s="157">
        <f t="shared" si="1"/>
        <v>0</v>
      </c>
      <c r="E28" s="158">
        <f t="shared" si="2"/>
        <v>0</v>
      </c>
      <c r="F28" s="159" t="e">
        <f t="shared" ca="1" si="3"/>
        <v>#NUM!</v>
      </c>
      <c r="G28" s="159" t="e">
        <f t="shared" si="4"/>
        <v>#NUM!</v>
      </c>
      <c r="H28" s="151">
        <f t="shared" ca="1" si="5"/>
        <v>310.33320590390042</v>
      </c>
      <c r="I28" s="123">
        <f t="shared" ca="1" si="6"/>
        <v>8.242564153164837</v>
      </c>
      <c r="J28" s="61"/>
      <c r="O28" s="149"/>
      <c r="Q28" s="63"/>
    </row>
    <row r="29" spans="1:17" x14ac:dyDescent="0.25">
      <c r="A29" s="176">
        <f>+'Ingreso Datos'!B22</f>
        <v>0</v>
      </c>
      <c r="B29" s="176">
        <f>+'Ingreso Datos'!C22</f>
        <v>0</v>
      </c>
      <c r="C29" s="157">
        <f t="shared" ca="1" si="0"/>
        <v>-98.73</v>
      </c>
      <c r="D29" s="157">
        <f t="shared" si="1"/>
        <v>0</v>
      </c>
      <c r="E29" s="158">
        <f t="shared" si="2"/>
        <v>0</v>
      </c>
      <c r="F29" s="159" t="e">
        <f t="shared" ca="1" si="3"/>
        <v>#NUM!</v>
      </c>
      <c r="G29" s="159" t="e">
        <f t="shared" si="4"/>
        <v>#NUM!</v>
      </c>
      <c r="H29" s="151">
        <f t="shared" ca="1" si="5"/>
        <v>310.33320590390042</v>
      </c>
      <c r="I29" s="123">
        <f t="shared" ca="1" si="6"/>
        <v>8.242564153164837</v>
      </c>
      <c r="J29" s="61"/>
      <c r="O29" s="149"/>
      <c r="Q29" s="63"/>
    </row>
    <row r="30" spans="1:17" x14ac:dyDescent="0.25">
      <c r="A30" s="176">
        <f>+'Ingreso Datos'!B23</f>
        <v>0</v>
      </c>
      <c r="B30" s="176">
        <f>+'Ingreso Datos'!C23</f>
        <v>0</v>
      </c>
      <c r="C30" s="157">
        <f t="shared" ca="1" si="0"/>
        <v>-98.73</v>
      </c>
      <c r="D30" s="157">
        <f t="shared" si="1"/>
        <v>0</v>
      </c>
      <c r="E30" s="158">
        <f t="shared" si="2"/>
        <v>0</v>
      </c>
      <c r="F30" s="159" t="e">
        <f t="shared" ca="1" si="3"/>
        <v>#NUM!</v>
      </c>
      <c r="G30" s="159" t="e">
        <f t="shared" si="4"/>
        <v>#NUM!</v>
      </c>
      <c r="H30" s="151">
        <f t="shared" ca="1" si="5"/>
        <v>310.33320590390042</v>
      </c>
      <c r="I30" s="123">
        <f t="shared" ca="1" si="6"/>
        <v>8.242564153164837</v>
      </c>
      <c r="J30" s="61"/>
      <c r="O30" s="149"/>
      <c r="Q30" s="63"/>
    </row>
    <row r="31" spans="1:17" x14ac:dyDescent="0.25">
      <c r="A31" s="176">
        <f>+'Ingreso Datos'!B24</f>
        <v>0</v>
      </c>
      <c r="B31" s="176">
        <f>+'Ingreso Datos'!C24</f>
        <v>0</v>
      </c>
      <c r="C31" s="157">
        <f t="shared" ca="1" si="0"/>
        <v>-98.73</v>
      </c>
      <c r="D31" s="157">
        <f t="shared" si="1"/>
        <v>0</v>
      </c>
      <c r="E31" s="158">
        <f t="shared" si="2"/>
        <v>0</v>
      </c>
      <c r="F31" s="159" t="e">
        <f t="shared" ca="1" si="3"/>
        <v>#NUM!</v>
      </c>
      <c r="G31" s="159" t="e">
        <f t="shared" si="4"/>
        <v>#NUM!</v>
      </c>
      <c r="H31" s="151">
        <f t="shared" ca="1" si="5"/>
        <v>310.33320590390042</v>
      </c>
      <c r="I31" s="123">
        <f t="shared" ca="1" si="6"/>
        <v>8.242564153164837</v>
      </c>
      <c r="J31" s="61"/>
      <c r="O31" s="149"/>
      <c r="Q31" s="63"/>
    </row>
    <row r="32" spans="1:17" x14ac:dyDescent="0.25">
      <c r="A32" s="176">
        <f>+'Ingreso Datos'!B25</f>
        <v>0</v>
      </c>
      <c r="B32" s="176">
        <f>+'Ingreso Datos'!C25</f>
        <v>0</v>
      </c>
      <c r="C32" s="157">
        <f t="shared" ca="1" si="0"/>
        <v>-98.73</v>
      </c>
      <c r="D32" s="157">
        <f t="shared" si="1"/>
        <v>0</v>
      </c>
      <c r="E32" s="158">
        <f t="shared" si="2"/>
        <v>0</v>
      </c>
      <c r="F32" s="159" t="e">
        <f t="shared" ca="1" si="3"/>
        <v>#NUM!</v>
      </c>
      <c r="G32" s="159" t="e">
        <f t="shared" si="4"/>
        <v>#NUM!</v>
      </c>
      <c r="H32" s="151">
        <f t="shared" ca="1" si="5"/>
        <v>310.33320590390042</v>
      </c>
      <c r="I32" s="123">
        <f t="shared" ca="1" si="6"/>
        <v>8.242564153164837</v>
      </c>
      <c r="J32" s="61"/>
      <c r="O32" s="149"/>
      <c r="Q32" s="63"/>
    </row>
    <row r="33" spans="1:18" x14ac:dyDescent="0.25">
      <c r="A33" s="176">
        <f>+'Ingreso Datos'!B26</f>
        <v>0</v>
      </c>
      <c r="B33" s="176">
        <f>+'Ingreso Datos'!C26</f>
        <v>0</v>
      </c>
      <c r="C33" s="157">
        <f t="shared" ca="1" si="0"/>
        <v>-98.73</v>
      </c>
      <c r="D33" s="157">
        <f t="shared" si="1"/>
        <v>0</v>
      </c>
      <c r="E33" s="158">
        <f t="shared" si="2"/>
        <v>0</v>
      </c>
      <c r="F33" s="159" t="e">
        <f t="shared" ca="1" si="3"/>
        <v>#NUM!</v>
      </c>
      <c r="G33" s="159" t="e">
        <f t="shared" si="4"/>
        <v>#NUM!</v>
      </c>
      <c r="H33" s="151">
        <f t="shared" ca="1" si="5"/>
        <v>310.33320590390042</v>
      </c>
      <c r="I33" s="123">
        <f t="shared" ca="1" si="6"/>
        <v>8.242564153164837</v>
      </c>
      <c r="J33" s="61"/>
      <c r="O33" s="149"/>
      <c r="Q33" s="63"/>
    </row>
    <row r="34" spans="1:18" x14ac:dyDescent="0.25">
      <c r="A34" s="176">
        <f>+'Ingreso Datos'!B27</f>
        <v>0</v>
      </c>
      <c r="B34" s="176">
        <f>+'Ingreso Datos'!C27</f>
        <v>0</v>
      </c>
      <c r="C34" s="157">
        <f t="shared" ca="1" si="0"/>
        <v>-98.73</v>
      </c>
      <c r="D34" s="157">
        <f t="shared" si="1"/>
        <v>0</v>
      </c>
      <c r="E34" s="158">
        <f t="shared" si="2"/>
        <v>0</v>
      </c>
      <c r="F34" s="159" t="e">
        <f t="shared" ca="1" si="3"/>
        <v>#NUM!</v>
      </c>
      <c r="G34" s="159" t="e">
        <f t="shared" si="4"/>
        <v>#NUM!</v>
      </c>
      <c r="H34" s="151">
        <f t="shared" ca="1" si="5"/>
        <v>310.33320590390042</v>
      </c>
      <c r="I34" s="123">
        <f t="shared" ca="1" si="6"/>
        <v>8.242564153164837</v>
      </c>
      <c r="J34" s="61"/>
      <c r="O34" s="149"/>
      <c r="Q34" s="63"/>
    </row>
    <row r="35" spans="1:18" x14ac:dyDescent="0.25">
      <c r="A35" s="176">
        <f>+'Ingreso Datos'!B28</f>
        <v>0</v>
      </c>
      <c r="B35" s="176">
        <f>+'Ingreso Datos'!C28</f>
        <v>0</v>
      </c>
      <c r="C35" s="157">
        <f t="shared" ca="1" si="0"/>
        <v>-98.73</v>
      </c>
      <c r="D35" s="157">
        <f t="shared" si="1"/>
        <v>0</v>
      </c>
      <c r="E35" s="158">
        <f t="shared" si="2"/>
        <v>0</v>
      </c>
      <c r="F35" s="159" t="e">
        <f t="shared" ca="1" si="3"/>
        <v>#NUM!</v>
      </c>
      <c r="G35" s="159" t="e">
        <f t="shared" si="4"/>
        <v>#NUM!</v>
      </c>
      <c r="H35" s="151">
        <f t="shared" ca="1" si="5"/>
        <v>310.33320590390042</v>
      </c>
      <c r="I35" s="123">
        <f t="shared" ca="1" si="6"/>
        <v>8.242564153164837</v>
      </c>
      <c r="J35" s="61"/>
      <c r="O35" s="149"/>
      <c r="Q35" s="63"/>
    </row>
    <row r="36" spans="1:18" x14ac:dyDescent="0.25">
      <c r="A36" s="176">
        <f>+'Ingreso Datos'!B29</f>
        <v>0</v>
      </c>
      <c r="B36" s="176">
        <f>+'Ingreso Datos'!C29</f>
        <v>0</v>
      </c>
      <c r="C36" s="157">
        <f t="shared" ca="1" si="0"/>
        <v>-98.73</v>
      </c>
      <c r="D36" s="157">
        <f t="shared" si="1"/>
        <v>0</v>
      </c>
      <c r="E36" s="158">
        <f t="shared" si="2"/>
        <v>0</v>
      </c>
      <c r="F36" s="159" t="e">
        <f t="shared" ca="1" si="3"/>
        <v>#NUM!</v>
      </c>
      <c r="G36" s="159" t="e">
        <f t="shared" si="4"/>
        <v>#NUM!</v>
      </c>
      <c r="H36" s="151">
        <f t="shared" ca="1" si="5"/>
        <v>310.33320590390042</v>
      </c>
      <c r="I36" s="123">
        <f t="shared" ca="1" si="6"/>
        <v>8.242564153164837</v>
      </c>
      <c r="J36" s="61"/>
      <c r="O36" s="149"/>
      <c r="Q36" s="63"/>
    </row>
    <row r="37" spans="1:18" x14ac:dyDescent="0.25">
      <c r="B37" s="61"/>
      <c r="C37" s="152"/>
      <c r="D37" s="152"/>
      <c r="E37" s="152"/>
      <c r="F37" s="152"/>
      <c r="G37" s="152"/>
      <c r="H37" s="63"/>
      <c r="I37" s="63"/>
      <c r="J37" s="61"/>
      <c r="K37" s="152"/>
      <c r="L37" s="152"/>
      <c r="M37" s="152"/>
      <c r="N37" s="152"/>
      <c r="O37" s="152"/>
      <c r="Q37" s="63"/>
      <c r="R37" s="72"/>
    </row>
    <row r="38" spans="1:18" x14ac:dyDescent="0.25">
      <c r="B38" s="61"/>
      <c r="C38" s="152"/>
      <c r="D38" s="911" t="s">
        <v>554</v>
      </c>
      <c r="E38" s="911"/>
      <c r="F38" s="911"/>
      <c r="G38" s="911"/>
      <c r="H38" s="911"/>
      <c r="I38" s="63"/>
      <c r="J38" s="61"/>
      <c r="K38" s="152"/>
      <c r="L38" s="152"/>
      <c r="M38" s="152"/>
      <c r="N38" s="152"/>
      <c r="O38" s="152"/>
      <c r="Q38" s="63"/>
      <c r="R38" s="72"/>
    </row>
    <row r="39" spans="1:18" x14ac:dyDescent="0.25">
      <c r="B39" s="61"/>
      <c r="C39" s="152"/>
      <c r="D39" s="911"/>
      <c r="E39" s="911"/>
      <c r="F39" s="911"/>
      <c r="G39" s="911"/>
      <c r="H39" s="911"/>
      <c r="I39" s="63"/>
      <c r="J39" s="61"/>
      <c r="K39" s="152"/>
      <c r="L39" s="152"/>
      <c r="M39" s="152"/>
      <c r="N39" s="152"/>
      <c r="O39" s="152"/>
      <c r="Q39" s="63"/>
      <c r="R39" s="72"/>
    </row>
    <row r="40" spans="1:18" x14ac:dyDescent="0.25">
      <c r="B40" s="61"/>
      <c r="C40" s="152"/>
      <c r="D40" s="155" t="s">
        <v>998</v>
      </c>
      <c r="E40" s="155" t="s">
        <v>555</v>
      </c>
      <c r="F40" s="341" t="s">
        <v>356</v>
      </c>
      <c r="G40" s="497" t="s">
        <v>977</v>
      </c>
      <c r="H40" s="498" t="s">
        <v>978</v>
      </c>
      <c r="J40" s="152"/>
      <c r="K40" s="152"/>
      <c r="L40" s="152"/>
      <c r="M40" s="152"/>
      <c r="N40" s="152"/>
      <c r="Q40" s="72"/>
    </row>
    <row r="41" spans="1:18" x14ac:dyDescent="0.25">
      <c r="B41" s="61"/>
      <c r="C41" s="152"/>
      <c r="D41" s="160">
        <f>+D42</f>
        <v>100.5</v>
      </c>
      <c r="E41" s="154">
        <v>0</v>
      </c>
      <c r="F41" s="153"/>
      <c r="G41" s="32"/>
      <c r="H41" s="495"/>
    </row>
    <row r="42" spans="1:18" x14ac:dyDescent="0.25">
      <c r="B42" s="61"/>
      <c r="C42" s="152"/>
      <c r="D42" s="160">
        <f>+'I-Satisfac-Demanda'!G5</f>
        <v>100.5</v>
      </c>
      <c r="E42" s="154">
        <f>+MAX('Ingreso Datos'!C10:C30)*0.5</f>
        <v>150.44999999999999</v>
      </c>
      <c r="F42" s="153"/>
      <c r="G42" s="32"/>
      <c r="H42" s="495"/>
    </row>
    <row r="43" spans="1:18" x14ac:dyDescent="0.25">
      <c r="B43" s="61"/>
      <c r="C43" s="152"/>
      <c r="D43" s="160">
        <f>+D44</f>
        <v>106</v>
      </c>
      <c r="E43" s="153"/>
      <c r="F43" s="154">
        <v>0</v>
      </c>
      <c r="G43" s="32"/>
      <c r="H43" s="495"/>
    </row>
    <row r="44" spans="1:18" x14ac:dyDescent="0.25">
      <c r="B44" s="61"/>
      <c r="C44" s="152"/>
      <c r="D44" s="160">
        <f>+'I-Satisfac-Demanda'!G7</f>
        <v>106</v>
      </c>
      <c r="E44" s="153"/>
      <c r="F44" s="154">
        <f>+MAX('Ingreso Datos'!C10:C30)</f>
        <v>300.89999999999998</v>
      </c>
      <c r="G44" s="32"/>
      <c r="H44" s="495"/>
    </row>
    <row r="45" spans="1:18" x14ac:dyDescent="0.25">
      <c r="D45" s="154">
        <f>+MIN(D41:D44,'Ingreso Datos'!B10:B29)</f>
        <v>100.5</v>
      </c>
      <c r="E45" s="153"/>
      <c r="F45" s="153"/>
      <c r="G45" s="154">
        <f>+E41</f>
        <v>0</v>
      </c>
      <c r="H45" s="153">
        <v>0</v>
      </c>
    </row>
    <row r="46" spans="1:18" x14ac:dyDescent="0.25">
      <c r="D46" s="154">
        <f>+MAX(D41:D44,'Ingreso Datos'!B10:B29)</f>
        <v>106.2</v>
      </c>
      <c r="E46" s="153"/>
      <c r="F46" s="153"/>
      <c r="G46" s="154">
        <f ca="1">+H36</f>
        <v>310.33320590390042</v>
      </c>
      <c r="H46" s="496">
        <f ca="1">+MAX(VolHv,$I$36)</f>
        <v>8.242564153164837</v>
      </c>
    </row>
  </sheetData>
  <sheetProtection sheet="1"/>
  <dataConsolidate/>
  <mergeCells count="22">
    <mergeCell ref="E4:E5"/>
    <mergeCell ref="C5:D5"/>
    <mergeCell ref="A15:B15"/>
    <mergeCell ref="E8:E9"/>
    <mergeCell ref="E10:E11"/>
    <mergeCell ref="C6:D6"/>
    <mergeCell ref="D38:H39"/>
    <mergeCell ref="C8:D8"/>
    <mergeCell ref="C10:D10"/>
    <mergeCell ref="C9:D9"/>
    <mergeCell ref="C11:D11"/>
    <mergeCell ref="C15:G15"/>
    <mergeCell ref="A1:I1"/>
    <mergeCell ref="H15:I15"/>
    <mergeCell ref="C4:D4"/>
    <mergeCell ref="C7:D7"/>
    <mergeCell ref="E6:E7"/>
    <mergeCell ref="B3:G3"/>
    <mergeCell ref="B4:B5"/>
    <mergeCell ref="B6:B7"/>
    <mergeCell ref="B8:B9"/>
    <mergeCell ref="B10:B11"/>
  </mergeCells>
  <phoneticPr fontId="15" type="noConversion"/>
  <pageMargins left="0.48" right="0.44" top="0.66" bottom="0.37"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indexed="42"/>
  </sheetPr>
  <dimension ref="A1:AJ427"/>
  <sheetViews>
    <sheetView workbookViewId="0">
      <pane ySplit="6" topLeftCell="A7" activePane="bottomLeft" state="frozen"/>
      <selection activeCell="E6" sqref="E6"/>
      <selection pane="bottomLeft" activeCell="R8" sqref="R8"/>
    </sheetView>
  </sheetViews>
  <sheetFormatPr baseColWidth="10" defaultRowHeight="15" x14ac:dyDescent="0.25"/>
  <cols>
    <col min="1" max="1" width="5.5703125" style="128" bestFit="1" customWidth="1"/>
    <col min="2" max="2" width="6.5703125" style="128" customWidth="1"/>
    <col min="3" max="3" width="6.85546875" style="128" bestFit="1" customWidth="1"/>
    <col min="4" max="4" width="7.140625" style="128" customWidth="1"/>
    <col min="5" max="5" width="6.140625" style="128" customWidth="1"/>
    <col min="6" max="6" width="6.140625" style="128" bestFit="1" customWidth="1"/>
    <col min="7" max="7" width="9.85546875" style="128" customWidth="1"/>
    <col min="8" max="8" width="6.140625" style="128" customWidth="1"/>
    <col min="9" max="9" width="6.85546875" style="128" customWidth="1"/>
    <col min="10" max="10" width="6.42578125" style="128" customWidth="1"/>
    <col min="11" max="11" width="6.85546875" style="128" customWidth="1"/>
    <col min="12" max="12" width="7.42578125" style="128" customWidth="1"/>
    <col min="13" max="13" width="5.42578125" style="128" customWidth="1"/>
    <col min="14" max="14" width="6.140625" style="128" customWidth="1"/>
    <col min="15" max="15" width="7" style="128" customWidth="1"/>
    <col min="16" max="16" width="6.85546875" style="128" customWidth="1"/>
    <col min="17" max="17" width="5.5703125" style="128" customWidth="1"/>
    <col min="18" max="19" width="8.140625" style="268" customWidth="1"/>
    <col min="20" max="20" width="5.5703125" style="128" bestFit="1" customWidth="1"/>
    <col min="21" max="21" width="6.5703125" style="128" customWidth="1"/>
    <col min="22" max="22" width="8.140625" style="268" customWidth="1"/>
    <col min="23" max="24" width="9.42578125" style="128" customWidth="1"/>
    <col min="25" max="25" width="13.140625" style="131" customWidth="1"/>
    <col min="26" max="26" width="16.5703125" style="130" customWidth="1"/>
    <col min="27" max="27" width="15.42578125" style="73" customWidth="1"/>
    <col min="28" max="16384" width="11.42578125" style="128"/>
  </cols>
  <sheetData>
    <row r="1" spans="1:36" s="391" customFormat="1" ht="24.75" customHeight="1" x14ac:dyDescent="0.25">
      <c r="A1" s="769" t="s">
        <v>309</v>
      </c>
      <c r="B1" s="769"/>
      <c r="C1" s="769"/>
      <c r="D1" s="769"/>
      <c r="E1" s="769"/>
      <c r="F1" s="769"/>
      <c r="G1" s="769"/>
      <c r="H1" s="769"/>
      <c r="I1" s="769"/>
      <c r="J1" s="769"/>
      <c r="K1" s="769"/>
      <c r="L1" s="769"/>
      <c r="M1" s="769"/>
      <c r="N1" s="769"/>
      <c r="O1" s="769"/>
      <c r="P1" s="769"/>
      <c r="Q1" s="769"/>
      <c r="R1" s="266"/>
      <c r="S1" s="266"/>
      <c r="T1" s="769" t="s">
        <v>976</v>
      </c>
      <c r="U1" s="769"/>
      <c r="V1" s="769"/>
      <c r="W1" s="769"/>
      <c r="X1" s="769"/>
      <c r="Y1" s="769"/>
      <c r="Z1" s="769"/>
      <c r="AA1" s="769"/>
      <c r="AB1" s="769"/>
      <c r="AC1" s="769"/>
      <c r="AD1" s="28"/>
      <c r="AE1" s="390"/>
      <c r="AF1" s="390"/>
      <c r="AG1" s="390"/>
      <c r="AH1" s="390"/>
      <c r="AI1" s="390"/>
      <c r="AJ1" s="390"/>
    </row>
    <row r="2" spans="1:36" s="28" customFormat="1" ht="18.75" x14ac:dyDescent="0.2">
      <c r="A2" s="118" t="s">
        <v>484</v>
      </c>
      <c r="C2" s="489" t="str">
        <f>+Pasos!A3</f>
        <v>Planilla complementaria al Manual de diseño y construcción de pequeñas presas, Versión 1.04, del 01/04/2013</v>
      </c>
      <c r="Q2" s="180" t="str">
        <f>+'Ingreso Datos'!G2</f>
        <v>Presa del Ejemplo del Manual</v>
      </c>
      <c r="R2" s="267"/>
      <c r="S2" s="267"/>
      <c r="T2" s="491" t="str">
        <f>+C2</f>
        <v>Planilla complementaria al Manual de diseño y construcción de pequeñas presas, Versión 1.04, del 01/04/2013</v>
      </c>
      <c r="V2" s="267"/>
    </row>
    <row r="3" spans="1:36" s="28" customFormat="1" ht="15.75" x14ac:dyDescent="0.25">
      <c r="A3" s="118"/>
      <c r="E3" s="239" t="s">
        <v>210</v>
      </c>
      <c r="F3" s="239" t="s">
        <v>211</v>
      </c>
      <c r="G3" s="239" t="s">
        <v>881</v>
      </c>
      <c r="I3" s="239" t="s">
        <v>879</v>
      </c>
      <c r="J3" s="239" t="s">
        <v>880</v>
      </c>
      <c r="K3" s="925" t="s">
        <v>882</v>
      </c>
      <c r="L3" s="926"/>
      <c r="M3" s="926"/>
      <c r="N3" s="926"/>
      <c r="O3" s="927"/>
      <c r="P3" s="308">
        <f ca="1">+ROUND(SUM(Q11:Q427)/SUM(H11:H427)*100,2)</f>
        <v>93.04</v>
      </c>
      <c r="Q3" s="242" t="s">
        <v>328</v>
      </c>
      <c r="R3" s="129"/>
      <c r="S3" s="129"/>
      <c r="T3" s="129"/>
      <c r="U3" s="129"/>
      <c r="V3" s="129"/>
      <c r="W3" s="129"/>
      <c r="X3" s="129"/>
      <c r="Y3" s="129"/>
    </row>
    <row r="4" spans="1:36" ht="16.5" thickBot="1" x14ac:dyDescent="0.3">
      <c r="A4" s="240"/>
      <c r="E4" s="238">
        <f>+'I-Satisfac-Demanda'!F21</f>
        <v>100.5</v>
      </c>
      <c r="F4" s="238">
        <f>+'I-Satisfac-Demanda'!C19</f>
        <v>106</v>
      </c>
      <c r="G4" s="238">
        <f>+'I-Satisfac-Demanda'!B19</f>
        <v>1100</v>
      </c>
      <c r="I4" s="241">
        <f ca="1">c_*(Ht-Hast)^d_</f>
        <v>0.14364725252241328</v>
      </c>
      <c r="J4" s="241">
        <f ca="1">c_*(Hv-Hast)^d_</f>
        <v>7.6368477630678893</v>
      </c>
      <c r="T4" s="131"/>
      <c r="U4" s="131"/>
      <c r="W4" s="131"/>
      <c r="X4" s="131"/>
      <c r="Z4" s="132" t="str">
        <f ca="1">+CONCATENATE("Escala gráfica (sugerida = ",+ROUND(20/MAX(Q8:Q367),0),"):")</f>
        <v>Escala gráfica (sugerida = 5):</v>
      </c>
      <c r="AA4" s="262">
        <v>5</v>
      </c>
    </row>
    <row r="5" spans="1:36" s="131" customFormat="1" ht="26.25" customHeight="1" x14ac:dyDescent="0.25">
      <c r="A5" s="237" t="s">
        <v>212</v>
      </c>
      <c r="B5" s="237" t="s">
        <v>229</v>
      </c>
      <c r="C5" s="237" t="s">
        <v>228</v>
      </c>
      <c r="D5" s="237" t="s">
        <v>213</v>
      </c>
      <c r="E5" s="237" t="s">
        <v>214</v>
      </c>
      <c r="F5" s="237" t="s">
        <v>215</v>
      </c>
      <c r="G5" s="237" t="s">
        <v>230</v>
      </c>
      <c r="H5" s="237" t="s">
        <v>227</v>
      </c>
      <c r="I5" s="237" t="s">
        <v>209</v>
      </c>
      <c r="J5" s="237" t="s">
        <v>466</v>
      </c>
      <c r="K5" s="237" t="s">
        <v>467</v>
      </c>
      <c r="L5" s="237" t="s">
        <v>225</v>
      </c>
      <c r="M5" s="237" t="s">
        <v>226</v>
      </c>
      <c r="N5" s="237" t="s">
        <v>468</v>
      </c>
      <c r="O5" s="237" t="s">
        <v>469</v>
      </c>
      <c r="P5" s="237" t="s">
        <v>470</v>
      </c>
      <c r="Q5" s="237" t="s">
        <v>471</v>
      </c>
      <c r="R5" s="237" t="s">
        <v>147</v>
      </c>
      <c r="S5" s="388"/>
      <c r="Y5" s="922" t="s">
        <v>982</v>
      </c>
      <c r="Z5" s="923"/>
      <c r="AA5" s="924"/>
    </row>
    <row r="6" spans="1:36" s="135" customFormat="1" ht="27" customHeight="1" thickBot="1" x14ac:dyDescent="0.3">
      <c r="A6" s="133"/>
      <c r="B6" s="134"/>
      <c r="C6" s="134" t="s">
        <v>207</v>
      </c>
      <c r="D6" s="134" t="s">
        <v>216</v>
      </c>
      <c r="E6" s="134" t="s">
        <v>216</v>
      </c>
      <c r="F6" s="134" t="s">
        <v>216</v>
      </c>
      <c r="G6" s="134" t="s">
        <v>231</v>
      </c>
      <c r="H6" s="134" t="s">
        <v>207</v>
      </c>
      <c r="I6" s="134" t="s">
        <v>207</v>
      </c>
      <c r="J6" s="134" t="s">
        <v>207</v>
      </c>
      <c r="K6" s="134" t="s">
        <v>208</v>
      </c>
      <c r="L6" s="134"/>
      <c r="M6" s="134"/>
      <c r="N6" s="134" t="s">
        <v>207</v>
      </c>
      <c r="O6" s="134" t="s">
        <v>208</v>
      </c>
      <c r="P6" s="134" t="s">
        <v>207</v>
      </c>
      <c r="Q6" s="261" t="s">
        <v>207</v>
      </c>
      <c r="R6" s="261" t="s">
        <v>207</v>
      </c>
      <c r="S6" s="389"/>
      <c r="T6" s="276" t="s">
        <v>212</v>
      </c>
      <c r="U6" s="263" t="s">
        <v>229</v>
      </c>
      <c r="V6" s="276" t="s">
        <v>984</v>
      </c>
      <c r="W6" s="263" t="s">
        <v>975</v>
      </c>
      <c r="X6" s="263" t="s">
        <v>974</v>
      </c>
      <c r="Y6" s="263" t="s">
        <v>549</v>
      </c>
      <c r="Z6" s="263" t="s">
        <v>550</v>
      </c>
      <c r="AA6" s="264" t="s">
        <v>551</v>
      </c>
    </row>
    <row r="7" spans="1:36" ht="15.75" thickBot="1" x14ac:dyDescent="0.3">
      <c r="A7" s="136"/>
      <c r="B7" s="137"/>
      <c r="C7" s="137"/>
      <c r="D7" s="137"/>
      <c r="E7" s="137"/>
      <c r="F7" s="137"/>
      <c r="G7" s="137"/>
      <c r="H7" s="137"/>
      <c r="I7" s="137"/>
      <c r="J7" s="138"/>
      <c r="K7" s="138"/>
      <c r="L7" s="138"/>
      <c r="M7" s="138"/>
      <c r="N7" s="138">
        <f ca="1">+(VolHt+VolHv)/2</f>
        <v>3.8902475077951513</v>
      </c>
      <c r="O7" s="138">
        <f t="shared" ref="O7:O70" ca="1" si="0">+g_*N7^h_</f>
        <v>191.28729305982264</v>
      </c>
      <c r="P7" s="137"/>
      <c r="Q7" s="139"/>
      <c r="R7" s="482"/>
      <c r="S7" s="265"/>
      <c r="T7" s="131"/>
      <c r="U7" s="131"/>
      <c r="V7" s="265"/>
      <c r="W7" s="131"/>
      <c r="X7" s="131"/>
      <c r="AA7" s="130"/>
    </row>
    <row r="8" spans="1:36" x14ac:dyDescent="0.25">
      <c r="A8" s="140">
        <f>+'Esc 2'!A18</f>
        <v>1981</v>
      </c>
      <c r="B8" s="140">
        <f>+'Esc 2'!B18</f>
        <v>1</v>
      </c>
      <c r="C8" s="141">
        <f>+'Esc 2'!O18</f>
        <v>0.97746626122915181</v>
      </c>
      <c r="D8" s="140">
        <f>+'Esc 2'!D18</f>
        <v>137.4</v>
      </c>
      <c r="E8" s="140">
        <f>0.7*VLOOKUP('Ingreso Datos'!$I$9,'Evap Tanque'!$D$6:$P$19,2,FALSE)</f>
        <v>176.89</v>
      </c>
      <c r="F8" s="127">
        <f>+'Ingreso Datos'!C34</f>
        <v>318</v>
      </c>
      <c r="G8" s="142">
        <f t="shared" ref="G8:G32" si="1">+(D8-E8)/100000</f>
        <v>-3.9489999999999979E-4</v>
      </c>
      <c r="H8" s="143">
        <f>+F8/100000*'Bal Híd'!$G$4</f>
        <v>3.4980000000000002</v>
      </c>
      <c r="I8" s="143">
        <v>0</v>
      </c>
      <c r="J8" s="143">
        <f t="shared" ref="J8:J71" ca="1" si="2">+N7+C8-H8-I8</f>
        <v>1.3697137690243029</v>
      </c>
      <c r="K8" s="143">
        <f t="shared" ref="K8:K71" ca="1" si="3">+IF(J8&lt;0,0,g_*J8^h_)</f>
        <v>97.618276113943693</v>
      </c>
      <c r="L8" s="143">
        <f t="shared" ref="L8:L71" ca="1" si="4">+(K8+O7)/2</f>
        <v>144.45278458688318</v>
      </c>
      <c r="M8" s="143">
        <f t="shared" ref="M8:M71" ca="1" si="5">+N7+C8*(Ac-L8)/Ac+G8*L8-H8-I8</f>
        <v>1.2589820171383641</v>
      </c>
      <c r="N8" s="143">
        <f t="shared" ref="N8:N71" ca="1" si="6">+IF(M8&gt;VolHv,VolHv,IF(M8&lt;VolHt,VolHt,M8))</f>
        <v>1.2589820171383641</v>
      </c>
      <c r="O8" s="143">
        <f t="shared" ca="1" si="0"/>
        <v>92.456620156138513</v>
      </c>
      <c r="P8" s="143">
        <f t="shared" ref="P8:P71" ca="1" si="7">+IF(M8&gt;VolHv,M8-VolHv,0)</f>
        <v>0</v>
      </c>
      <c r="Q8" s="143">
        <f t="shared" ref="Q8:Q71" ca="1" si="8">+IF(M8&lt;VolHt,IF(H8&lt;(VolHt-M8),0,H8-(VolHt-M8)),H8)</f>
        <v>3.4980000000000002</v>
      </c>
      <c r="R8" s="393">
        <f t="shared" ref="R8:R71" ca="1" si="9">+C8*(Ac-L8)/Ac+G8*L8</f>
        <v>0.86673450934321328</v>
      </c>
      <c r="S8" s="311"/>
      <c r="T8" s="392">
        <f t="shared" ref="T8:T71" si="10">+A8</f>
        <v>1981</v>
      </c>
      <c r="U8" s="392">
        <f t="shared" ref="U8:U71" si="11">+B8</f>
        <v>1</v>
      </c>
      <c r="V8" s="311">
        <f t="shared" ref="V8:V71" ca="1" si="12">+Hast+e_*N8^f_</f>
        <v>102.55972885735372</v>
      </c>
      <c r="W8" s="269" t="str">
        <f t="shared" ref="W8:W71" ca="1" si="13">+REPT("|",(V8-Ht)/(Hv-Ht)*10)</f>
        <v>|||</v>
      </c>
      <c r="X8" s="269" t="str">
        <f t="shared" ref="X8:X71" ca="1" si="14">+REPT("|",(N8-VolHt)/(VolHv-VolHt)*10)</f>
        <v>|</v>
      </c>
      <c r="Y8" s="434" t="str">
        <f t="shared" ref="Y8:Y71" ca="1" si="15">+REPT("|",(H8-Q8)*$AA$4)</f>
        <v/>
      </c>
      <c r="Z8" s="269" t="str">
        <f t="shared" ref="Z8:Z71" ca="1" si="16">+REPT("|",Q8*$AA$4)</f>
        <v>|||||||||||||||||</v>
      </c>
      <c r="AA8" s="270" t="str">
        <f t="shared" ref="AA8:AA71" ca="1" si="17">+REPT("|",P8*$AA$4)</f>
        <v/>
      </c>
    </row>
    <row r="9" spans="1:36" x14ac:dyDescent="0.25">
      <c r="A9" s="140">
        <f>+'Esc 2'!A19</f>
        <v>1981</v>
      </c>
      <c r="B9" s="140">
        <f>+'Esc 2'!B19</f>
        <v>2</v>
      </c>
      <c r="C9" s="141">
        <f>+'Esc 2'!O19</f>
        <v>2.2079423550386661</v>
      </c>
      <c r="D9" s="140">
        <f>+'Esc 2'!D19</f>
        <v>186.1</v>
      </c>
      <c r="E9" s="140">
        <f>0.7*VLOOKUP('Ingreso Datos'!$I$9,'Evap Tanque'!$D$6:$P$19,3,FALSE)</f>
        <v>131.73999999999998</v>
      </c>
      <c r="F9" s="127">
        <f>+'Ingreso Datos'!C35</f>
        <v>153</v>
      </c>
      <c r="G9" s="144">
        <f t="shared" si="1"/>
        <v>5.4360000000000009E-4</v>
      </c>
      <c r="H9" s="145">
        <f>+F9/100000*'Bal Híd'!$G$4</f>
        <v>1.6829999999999998</v>
      </c>
      <c r="I9" s="145">
        <v>0</v>
      </c>
      <c r="J9" s="145">
        <f t="shared" ca="1" si="2"/>
        <v>1.7839243721770304</v>
      </c>
      <c r="K9" s="145">
        <f t="shared" ca="1" si="3"/>
        <v>115.73864371984118</v>
      </c>
      <c r="L9" s="145">
        <f t="shared" ca="1" si="4"/>
        <v>104.09763193798985</v>
      </c>
      <c r="M9" s="145">
        <f t="shared" ca="1" si="5"/>
        <v>1.7531196127254747</v>
      </c>
      <c r="N9" s="145">
        <f t="shared" ca="1" si="6"/>
        <v>1.7531196127254747</v>
      </c>
      <c r="O9" s="143">
        <f t="shared" ca="1" si="0"/>
        <v>114.44669994499627</v>
      </c>
      <c r="P9" s="145">
        <f t="shared" ca="1" si="7"/>
        <v>0</v>
      </c>
      <c r="Q9" s="145">
        <f t="shared" ca="1" si="8"/>
        <v>1.6829999999999998</v>
      </c>
      <c r="R9" s="393">
        <f t="shared" ca="1" si="9"/>
        <v>2.1771375955871104</v>
      </c>
      <c r="S9" s="311"/>
      <c r="T9" s="392">
        <f t="shared" si="10"/>
        <v>1981</v>
      </c>
      <c r="U9" s="392">
        <f t="shared" si="11"/>
        <v>2</v>
      </c>
      <c r="V9" s="311">
        <f t="shared" ca="1" si="12"/>
        <v>103.0381893989494</v>
      </c>
      <c r="W9" s="269" t="str">
        <f t="shared" ca="1" si="13"/>
        <v>||||</v>
      </c>
      <c r="X9" s="269" t="str">
        <f t="shared" ca="1" si="14"/>
        <v>||</v>
      </c>
      <c r="Y9" s="434" t="str">
        <f t="shared" ca="1" si="15"/>
        <v/>
      </c>
      <c r="Z9" s="269" t="str">
        <f t="shared" ca="1" si="16"/>
        <v>||||||||</v>
      </c>
      <c r="AA9" s="270" t="str">
        <f t="shared" ca="1" si="17"/>
        <v/>
      </c>
    </row>
    <row r="10" spans="1:36" x14ac:dyDescent="0.25">
      <c r="A10" s="140">
        <f>+'Esc 2'!A20</f>
        <v>1981</v>
      </c>
      <c r="B10" s="140">
        <f>+'Esc 2'!B20</f>
        <v>3</v>
      </c>
      <c r="C10" s="141">
        <f>+'Esc 2'!O20</f>
        <v>0.93857414317624599</v>
      </c>
      <c r="D10" s="140">
        <f>+'Esc 2'!D20</f>
        <v>66</v>
      </c>
      <c r="E10" s="140">
        <f>0.7*VLOOKUP('Ingreso Datos'!$I$9,'Evap Tanque'!$D$6:$P$19,4,FALSE)</f>
        <v>118.64999999999999</v>
      </c>
      <c r="F10" s="127">
        <f>+'Ingreso Datos'!C36</f>
        <v>47</v>
      </c>
      <c r="G10" s="144">
        <f t="shared" si="1"/>
        <v>-5.2649999999999995E-4</v>
      </c>
      <c r="H10" s="145">
        <f>+F10/100000*'Bal Híd'!$G$4</f>
        <v>0.51700000000000002</v>
      </c>
      <c r="I10" s="145">
        <v>0</v>
      </c>
      <c r="J10" s="145">
        <f t="shared" ca="1" si="2"/>
        <v>2.1746937559017208</v>
      </c>
      <c r="K10" s="145">
        <f t="shared" ca="1" si="3"/>
        <v>131.49648726106818</v>
      </c>
      <c r="L10" s="145">
        <f t="shared" ca="1" si="4"/>
        <v>122.97159360303223</v>
      </c>
      <c r="M10" s="145">
        <f t="shared" ca="1" si="5"/>
        <v>2.0660640566982478</v>
      </c>
      <c r="N10" s="145">
        <f t="shared" ca="1" si="6"/>
        <v>2.0660640566982478</v>
      </c>
      <c r="O10" s="143">
        <f t="shared" ca="1" si="0"/>
        <v>127.22503670944539</v>
      </c>
      <c r="P10" s="145">
        <f t="shared" ca="1" si="7"/>
        <v>0</v>
      </c>
      <c r="Q10" s="145">
        <f t="shared" ca="1" si="8"/>
        <v>0.51700000000000002</v>
      </c>
      <c r="R10" s="393">
        <f t="shared" ca="1" si="9"/>
        <v>0.82994444397277289</v>
      </c>
      <c r="S10" s="311"/>
      <c r="T10" s="392">
        <f t="shared" si="10"/>
        <v>1981</v>
      </c>
      <c r="U10" s="392">
        <f t="shared" si="11"/>
        <v>3</v>
      </c>
      <c r="V10" s="311">
        <f t="shared" ca="1" si="12"/>
        <v>103.29728077938707</v>
      </c>
      <c r="W10" s="269" t="str">
        <f t="shared" ca="1" si="13"/>
        <v>|||||</v>
      </c>
      <c r="X10" s="269" t="str">
        <f t="shared" ca="1" si="14"/>
        <v>||</v>
      </c>
      <c r="Y10" s="434" t="str">
        <f t="shared" ca="1" si="15"/>
        <v/>
      </c>
      <c r="Z10" s="269" t="str">
        <f t="shared" ca="1" si="16"/>
        <v>||</v>
      </c>
      <c r="AA10" s="270" t="str">
        <f t="shared" ca="1" si="17"/>
        <v/>
      </c>
    </row>
    <row r="11" spans="1:36" x14ac:dyDescent="0.25">
      <c r="A11" s="140">
        <f>+'Esc 2'!A21</f>
        <v>1981</v>
      </c>
      <c r="B11" s="140">
        <f>+'Esc 2'!B21</f>
        <v>4</v>
      </c>
      <c r="C11" s="141">
        <f>+'Esc 2'!O21</f>
        <v>0.43648873501418523</v>
      </c>
      <c r="D11" s="140">
        <f>+'Esc 2'!D21</f>
        <v>48</v>
      </c>
      <c r="E11" s="140">
        <f>0.7*VLOOKUP('Ingreso Datos'!$I$9,'Evap Tanque'!$D$6:$P$19,5,FALSE)</f>
        <v>73.149999999999991</v>
      </c>
      <c r="F11" s="127">
        <f>+'Ingreso Datos'!C37</f>
        <v>0</v>
      </c>
      <c r="G11" s="144">
        <f t="shared" si="1"/>
        <v>-2.5149999999999993E-4</v>
      </c>
      <c r="H11" s="145">
        <f>+F11/100000*'Bal Híd'!$G$4</f>
        <v>0</v>
      </c>
      <c r="I11" s="145">
        <v>0</v>
      </c>
      <c r="J11" s="145">
        <f t="shared" ca="1" si="2"/>
        <v>2.5025527917124331</v>
      </c>
      <c r="K11" s="145">
        <f t="shared" ca="1" si="3"/>
        <v>143.95123189986333</v>
      </c>
      <c r="L11" s="145">
        <f t="shared" ca="1" si="4"/>
        <v>135.58813430465437</v>
      </c>
      <c r="M11" s="145">
        <f t="shared" ca="1" si="5"/>
        <v>2.4459494507539867</v>
      </c>
      <c r="N11" s="145">
        <f t="shared" ca="1" si="6"/>
        <v>2.4459494507539867</v>
      </c>
      <c r="O11" s="143">
        <f t="shared" ca="1" si="0"/>
        <v>141.84446147115321</v>
      </c>
      <c r="P11" s="145">
        <f t="shared" ca="1" si="7"/>
        <v>0</v>
      </c>
      <c r="Q11" s="145">
        <f t="shared" ca="1" si="8"/>
        <v>0</v>
      </c>
      <c r="R11" s="393">
        <f t="shared" ca="1" si="9"/>
        <v>0.37988539405573873</v>
      </c>
      <c r="S11" s="311"/>
      <c r="T11" s="392">
        <f t="shared" si="10"/>
        <v>1981</v>
      </c>
      <c r="U11" s="392">
        <f t="shared" si="11"/>
        <v>4</v>
      </c>
      <c r="V11" s="311">
        <f t="shared" ca="1" si="12"/>
        <v>103.5797752003122</v>
      </c>
      <c r="W11" s="269" t="str">
        <f t="shared" ca="1" si="13"/>
        <v>|||||</v>
      </c>
      <c r="X11" s="269" t="str">
        <f t="shared" ca="1" si="14"/>
        <v>|||</v>
      </c>
      <c r="Y11" s="434" t="str">
        <f t="shared" ca="1" si="15"/>
        <v/>
      </c>
      <c r="Z11" s="269" t="str">
        <f t="shared" ca="1" si="16"/>
        <v/>
      </c>
      <c r="AA11" s="270" t="str">
        <f t="shared" ca="1" si="17"/>
        <v/>
      </c>
    </row>
    <row r="12" spans="1:36" x14ac:dyDescent="0.25">
      <c r="A12" s="140">
        <f>+'Esc 2'!A22</f>
        <v>1981</v>
      </c>
      <c r="B12" s="140">
        <f>+'Esc 2'!B22</f>
        <v>5</v>
      </c>
      <c r="C12" s="141">
        <f>+'Esc 2'!O22</f>
        <v>4.3519900633041679</v>
      </c>
      <c r="D12" s="140">
        <f>+'Esc 2'!D22</f>
        <v>256.39999999999998</v>
      </c>
      <c r="E12" s="140">
        <f>0.7*VLOOKUP('Ingreso Datos'!$I$9,'Evap Tanque'!$D$6:$P$19,6,FALSE)</f>
        <v>51.24</v>
      </c>
      <c r="F12" s="127">
        <f>+'Ingreso Datos'!C38</f>
        <v>0</v>
      </c>
      <c r="G12" s="144">
        <f t="shared" si="1"/>
        <v>2.0515999999999998E-3</v>
      </c>
      <c r="H12" s="145">
        <f>+F12/100000*'Bal Híd'!$G$4</f>
        <v>0</v>
      </c>
      <c r="I12" s="145">
        <v>0</v>
      </c>
      <c r="J12" s="145">
        <f t="shared" ca="1" si="2"/>
        <v>6.7979395140581547</v>
      </c>
      <c r="K12" s="145">
        <f t="shared" ca="1" si="3"/>
        <v>274.09322517378365</v>
      </c>
      <c r="L12" s="145">
        <f t="shared" ca="1" si="4"/>
        <v>207.96884332246844</v>
      </c>
      <c r="M12" s="145">
        <f t="shared" ca="1" si="5"/>
        <v>6.8804721422138755</v>
      </c>
      <c r="N12" s="145">
        <f t="shared" ca="1" si="6"/>
        <v>6.8804721422138755</v>
      </c>
      <c r="O12" s="143">
        <f t="shared" ca="1" si="0"/>
        <v>276.23313546280372</v>
      </c>
      <c r="P12" s="145">
        <f t="shared" ca="1" si="7"/>
        <v>0</v>
      </c>
      <c r="Q12" s="145">
        <f t="shared" ca="1" si="8"/>
        <v>0</v>
      </c>
      <c r="R12" s="393">
        <f t="shared" ca="1" si="9"/>
        <v>4.4345226914598888</v>
      </c>
      <c r="S12" s="311"/>
      <c r="T12" s="392">
        <f t="shared" si="10"/>
        <v>1981</v>
      </c>
      <c r="U12" s="392">
        <f t="shared" si="11"/>
        <v>5</v>
      </c>
      <c r="V12" s="311">
        <f t="shared" ca="1" si="12"/>
        <v>105.73533617966692</v>
      </c>
      <c r="W12" s="269" t="str">
        <f t="shared" ca="1" si="13"/>
        <v>|||||||||</v>
      </c>
      <c r="X12" s="269" t="str">
        <f t="shared" ca="1" si="14"/>
        <v>||||||||</v>
      </c>
      <c r="Y12" s="434" t="str">
        <f t="shared" ca="1" si="15"/>
        <v/>
      </c>
      <c r="Z12" s="269" t="str">
        <f t="shared" ca="1" si="16"/>
        <v/>
      </c>
      <c r="AA12" s="270" t="str">
        <f t="shared" ca="1" si="17"/>
        <v/>
      </c>
    </row>
    <row r="13" spans="1:36" x14ac:dyDescent="0.25">
      <c r="A13" s="140">
        <f>+'Esc 2'!A23</f>
        <v>1981</v>
      </c>
      <c r="B13" s="140">
        <f>+'Esc 2'!B23</f>
        <v>6</v>
      </c>
      <c r="C13" s="141">
        <f>+'Esc 2'!O23</f>
        <v>2.2870331470868153</v>
      </c>
      <c r="D13" s="140">
        <f>+'Esc 2'!D23</f>
        <v>96.8</v>
      </c>
      <c r="E13" s="140">
        <f>0.7*VLOOKUP('Ingreso Datos'!$I$9,'Evap Tanque'!$D$6:$P$19,7,FALSE)</f>
        <v>41.019999999999996</v>
      </c>
      <c r="F13" s="127">
        <f>+'Ingreso Datos'!C39</f>
        <v>0</v>
      </c>
      <c r="G13" s="144">
        <f t="shared" si="1"/>
        <v>5.5780000000000001E-4</v>
      </c>
      <c r="H13" s="145">
        <f>+F13/100000*'Bal Híd'!$G$4</f>
        <v>0</v>
      </c>
      <c r="I13" s="145">
        <v>0</v>
      </c>
      <c r="J13" s="145">
        <f t="shared" ca="1" si="2"/>
        <v>9.1675052893006903</v>
      </c>
      <c r="K13" s="145">
        <f t="shared" ca="1" si="3"/>
        <v>332.34883237831122</v>
      </c>
      <c r="L13" s="145">
        <f t="shared" ca="1" si="4"/>
        <v>304.29098392055744</v>
      </c>
      <c r="M13" s="145">
        <f t="shared" ca="1" si="5"/>
        <v>9.0726290789962256</v>
      </c>
      <c r="N13" s="145">
        <f t="shared" ca="1" si="6"/>
        <v>7.6368477630678893</v>
      </c>
      <c r="O13" s="143">
        <f t="shared" ca="1" si="0"/>
        <v>295.43791936297487</v>
      </c>
      <c r="P13" s="145">
        <f t="shared" ca="1" si="7"/>
        <v>1.4357813159283364</v>
      </c>
      <c r="Q13" s="145">
        <f t="shared" ca="1" si="8"/>
        <v>0</v>
      </c>
      <c r="R13" s="393">
        <f t="shared" ca="1" si="9"/>
        <v>2.1921569367823497</v>
      </c>
      <c r="S13" s="311"/>
      <c r="T13" s="392">
        <f t="shared" si="10"/>
        <v>1981</v>
      </c>
      <c r="U13" s="392">
        <f t="shared" si="11"/>
        <v>6</v>
      </c>
      <c r="V13" s="311">
        <f t="shared" ca="1" si="12"/>
        <v>106</v>
      </c>
      <c r="W13" s="269" t="str">
        <f t="shared" ca="1" si="13"/>
        <v>||||||||||</v>
      </c>
      <c r="X13" s="269" t="str">
        <f t="shared" ca="1" si="14"/>
        <v>||||||||||</v>
      </c>
      <c r="Y13" s="434" t="str">
        <f t="shared" ca="1" si="15"/>
        <v/>
      </c>
      <c r="Z13" s="269" t="str">
        <f t="shared" ca="1" si="16"/>
        <v/>
      </c>
      <c r="AA13" s="270" t="str">
        <f t="shared" ca="1" si="17"/>
        <v>|||||||</v>
      </c>
    </row>
    <row r="14" spans="1:36" x14ac:dyDescent="0.25">
      <c r="A14" s="140">
        <f>+'Esc 2'!A24</f>
        <v>1981</v>
      </c>
      <c r="B14" s="140">
        <f>+'Esc 2'!B24</f>
        <v>7</v>
      </c>
      <c r="C14" s="141">
        <f>+'Esc 2'!O24</f>
        <v>1.2247821853808032</v>
      </c>
      <c r="D14" s="140">
        <f>+'Esc 2'!D24</f>
        <v>66.099999999999994</v>
      </c>
      <c r="E14" s="140">
        <f>0.7*VLOOKUP('Ingreso Datos'!$I$9,'Evap Tanque'!$D$6:$P$19,8,FALSE)</f>
        <v>50.819999999999993</v>
      </c>
      <c r="F14" s="127">
        <f>+'Ingreso Datos'!C40</f>
        <v>0</v>
      </c>
      <c r="G14" s="144">
        <f t="shared" si="1"/>
        <v>1.528E-4</v>
      </c>
      <c r="H14" s="145">
        <f>+F14/100000*'Bal Híd'!$G$4</f>
        <v>0</v>
      </c>
      <c r="I14" s="145">
        <v>0</v>
      </c>
      <c r="J14" s="145">
        <f t="shared" ca="1" si="2"/>
        <v>8.8616299484486927</v>
      </c>
      <c r="K14" s="145">
        <f t="shared" ca="1" si="3"/>
        <v>325.15968343060268</v>
      </c>
      <c r="L14" s="145">
        <f t="shared" ca="1" si="4"/>
        <v>310.2988013967888</v>
      </c>
      <c r="M14" s="145">
        <f t="shared" ca="1" si="5"/>
        <v>8.7645384934786215</v>
      </c>
      <c r="N14" s="145">
        <f t="shared" ca="1" si="6"/>
        <v>7.6368477630678893</v>
      </c>
      <c r="O14" s="143">
        <f t="shared" ca="1" si="0"/>
        <v>295.43791936297487</v>
      </c>
      <c r="P14" s="145">
        <f t="shared" ca="1" si="7"/>
        <v>1.1276907304107322</v>
      </c>
      <c r="Q14" s="145">
        <f t="shared" ca="1" si="8"/>
        <v>0</v>
      </c>
      <c r="R14" s="393">
        <f t="shared" ca="1" si="9"/>
        <v>1.1276907304107333</v>
      </c>
      <c r="S14" s="311"/>
      <c r="T14" s="392">
        <f t="shared" si="10"/>
        <v>1981</v>
      </c>
      <c r="U14" s="392">
        <f t="shared" si="11"/>
        <v>7</v>
      </c>
      <c r="V14" s="311">
        <f t="shared" ca="1" si="12"/>
        <v>106</v>
      </c>
      <c r="W14" s="269" t="str">
        <f t="shared" ca="1" si="13"/>
        <v>||||||||||</v>
      </c>
      <c r="X14" s="269" t="str">
        <f t="shared" ca="1" si="14"/>
        <v>||||||||||</v>
      </c>
      <c r="Y14" s="434" t="str">
        <f t="shared" ca="1" si="15"/>
        <v/>
      </c>
      <c r="Z14" s="269" t="str">
        <f t="shared" ca="1" si="16"/>
        <v/>
      </c>
      <c r="AA14" s="270" t="str">
        <f t="shared" ca="1" si="17"/>
        <v>|||||</v>
      </c>
    </row>
    <row r="15" spans="1:36" x14ac:dyDescent="0.25">
      <c r="A15" s="140">
        <f>+'Esc 2'!A25</f>
        <v>1981</v>
      </c>
      <c r="B15" s="140">
        <f>+'Esc 2'!B25</f>
        <v>8</v>
      </c>
      <c r="C15" s="141">
        <f>+'Esc 2'!O25</f>
        <v>0.61304020420748184</v>
      </c>
      <c r="D15" s="140">
        <f>+'Esc 2'!D25</f>
        <v>48.3</v>
      </c>
      <c r="E15" s="140">
        <f>0.7*VLOOKUP('Ingreso Datos'!$I$9,'Evap Tanque'!$D$6:$P$19,9,FALSE)</f>
        <v>72.449999999999989</v>
      </c>
      <c r="F15" s="127">
        <f>+'Ingreso Datos'!C41</f>
        <v>0</v>
      </c>
      <c r="G15" s="144">
        <f t="shared" si="1"/>
        <v>-2.4149999999999991E-4</v>
      </c>
      <c r="H15" s="145">
        <f>+F15/100000*'Bal Híd'!$G$4</f>
        <v>0</v>
      </c>
      <c r="I15" s="145">
        <v>0</v>
      </c>
      <c r="J15" s="145">
        <f t="shared" ca="1" si="2"/>
        <v>8.2498879672753702</v>
      </c>
      <c r="K15" s="145">
        <f t="shared" ca="1" si="3"/>
        <v>310.51087701077148</v>
      </c>
      <c r="L15" s="145">
        <f t="shared" ca="1" si="4"/>
        <v>302.97439818687315</v>
      </c>
      <c r="M15" s="145">
        <f t="shared" ca="1" si="5"/>
        <v>8.1060977919633856</v>
      </c>
      <c r="N15" s="145">
        <f t="shared" ca="1" si="6"/>
        <v>7.6368477630678893</v>
      </c>
      <c r="O15" s="143">
        <f t="shared" ca="1" si="0"/>
        <v>295.43791936297487</v>
      </c>
      <c r="P15" s="145">
        <f t="shared" ca="1" si="7"/>
        <v>0.46925002889549638</v>
      </c>
      <c r="Q15" s="145">
        <f t="shared" ca="1" si="8"/>
        <v>0</v>
      </c>
      <c r="R15" s="393">
        <f t="shared" ca="1" si="9"/>
        <v>0.46925002889549655</v>
      </c>
      <c r="S15" s="311"/>
      <c r="T15" s="392">
        <f t="shared" si="10"/>
        <v>1981</v>
      </c>
      <c r="U15" s="392">
        <f t="shared" si="11"/>
        <v>8</v>
      </c>
      <c r="V15" s="311">
        <f t="shared" ca="1" si="12"/>
        <v>106</v>
      </c>
      <c r="W15" s="269" t="str">
        <f t="shared" ca="1" si="13"/>
        <v>||||||||||</v>
      </c>
      <c r="X15" s="269" t="str">
        <f t="shared" ca="1" si="14"/>
        <v>||||||||||</v>
      </c>
      <c r="Y15" s="434" t="str">
        <f t="shared" ca="1" si="15"/>
        <v/>
      </c>
      <c r="Z15" s="269" t="str">
        <f t="shared" ca="1" si="16"/>
        <v/>
      </c>
      <c r="AA15" s="270" t="str">
        <f t="shared" ca="1" si="17"/>
        <v>||</v>
      </c>
    </row>
    <row r="16" spans="1:36" x14ac:dyDescent="0.25">
      <c r="A16" s="140">
        <f>+'Esc 2'!A26</f>
        <v>1981</v>
      </c>
      <c r="B16" s="140">
        <f>+'Esc 2'!B26</f>
        <v>9</v>
      </c>
      <c r="C16" s="141">
        <f>+'Esc 2'!O26</f>
        <v>0.97204477325863348</v>
      </c>
      <c r="D16" s="140">
        <f>+'Esc 2'!D26</f>
        <v>95.2</v>
      </c>
      <c r="E16" s="140">
        <f>0.7*VLOOKUP('Ingreso Datos'!$I$9,'Evap Tanque'!$D$6:$P$19,10,FALSE)</f>
        <v>85.89</v>
      </c>
      <c r="F16" s="127">
        <f>+'Ingreso Datos'!C42</f>
        <v>0</v>
      </c>
      <c r="G16" s="144">
        <f t="shared" si="1"/>
        <v>9.3100000000000027E-5</v>
      </c>
      <c r="H16" s="145">
        <f>+F16/100000*'Bal Híd'!$G$4</f>
        <v>0</v>
      </c>
      <c r="I16" s="145">
        <v>0</v>
      </c>
      <c r="J16" s="145">
        <f t="shared" ca="1" si="2"/>
        <v>8.6088925363265218</v>
      </c>
      <c r="K16" s="145">
        <f t="shared" ca="1" si="3"/>
        <v>319.15265114855845</v>
      </c>
      <c r="L16" s="145">
        <f t="shared" ca="1" si="4"/>
        <v>307.29528525576666</v>
      </c>
      <c r="M16" s="145">
        <f t="shared" ca="1" si="5"/>
        <v>8.52392576697323</v>
      </c>
      <c r="N16" s="145">
        <f t="shared" ca="1" si="6"/>
        <v>7.6368477630678893</v>
      </c>
      <c r="O16" s="143">
        <f t="shared" ca="1" si="0"/>
        <v>295.43791936297487</v>
      </c>
      <c r="P16" s="145">
        <f t="shared" ca="1" si="7"/>
        <v>0.88707800390534075</v>
      </c>
      <c r="Q16" s="145">
        <f t="shared" ca="1" si="8"/>
        <v>0</v>
      </c>
      <c r="R16" s="393">
        <f t="shared" ca="1" si="9"/>
        <v>0.88707800390534131</v>
      </c>
      <c r="S16" s="311"/>
      <c r="T16" s="392">
        <f t="shared" si="10"/>
        <v>1981</v>
      </c>
      <c r="U16" s="392">
        <f t="shared" si="11"/>
        <v>9</v>
      </c>
      <c r="V16" s="311">
        <f t="shared" ca="1" si="12"/>
        <v>106</v>
      </c>
      <c r="W16" s="269" t="str">
        <f t="shared" ca="1" si="13"/>
        <v>||||||||||</v>
      </c>
      <c r="X16" s="269" t="str">
        <f t="shared" ca="1" si="14"/>
        <v>||||||||||</v>
      </c>
      <c r="Y16" s="434" t="str">
        <f t="shared" ca="1" si="15"/>
        <v/>
      </c>
      <c r="Z16" s="269" t="str">
        <f t="shared" ca="1" si="16"/>
        <v/>
      </c>
      <c r="AA16" s="270" t="str">
        <f t="shared" ca="1" si="17"/>
        <v>||||</v>
      </c>
    </row>
    <row r="17" spans="1:27" x14ac:dyDescent="0.25">
      <c r="A17" s="140">
        <f>+'Esc 2'!A27</f>
        <v>1981</v>
      </c>
      <c r="B17" s="140">
        <f>+'Esc 2'!B27</f>
        <v>10</v>
      </c>
      <c r="C17" s="141">
        <f>+'Esc 2'!O27</f>
        <v>0.5576900814448178</v>
      </c>
      <c r="D17" s="140">
        <f>+'Esc 2'!D27</f>
        <v>55.5</v>
      </c>
      <c r="E17" s="140">
        <f>0.7*VLOOKUP('Ingreso Datos'!$I$9,'Evap Tanque'!$D$6:$P$19,11,FALSE)</f>
        <v>114.86999999999999</v>
      </c>
      <c r="F17" s="127">
        <f>+'Ingreso Datos'!C43</f>
        <v>59</v>
      </c>
      <c r="G17" s="144">
        <f t="shared" si="1"/>
        <v>-5.9369999999999996E-4</v>
      </c>
      <c r="H17" s="145">
        <f>+F17/100000*'Bal Híd'!$G$4</f>
        <v>0.64900000000000002</v>
      </c>
      <c r="I17" s="145">
        <v>0</v>
      </c>
      <c r="J17" s="145">
        <f t="shared" ca="1" si="2"/>
        <v>7.5455378445127073</v>
      </c>
      <c r="K17" s="145">
        <f t="shared" ca="1" si="3"/>
        <v>293.15663510616969</v>
      </c>
      <c r="L17" s="145">
        <f t="shared" ca="1" si="4"/>
        <v>294.29727723457228</v>
      </c>
      <c r="M17" s="145">
        <f t="shared" ca="1" si="5"/>
        <v>7.3084079721174247</v>
      </c>
      <c r="N17" s="145">
        <f t="shared" ca="1" si="6"/>
        <v>7.3084079721174247</v>
      </c>
      <c r="O17" s="143">
        <f t="shared" ca="1" si="0"/>
        <v>287.18583511062207</v>
      </c>
      <c r="P17" s="145">
        <f t="shared" ca="1" si="7"/>
        <v>0</v>
      </c>
      <c r="Q17" s="145">
        <f t="shared" ca="1" si="8"/>
        <v>0.64900000000000002</v>
      </c>
      <c r="R17" s="393">
        <f t="shared" ca="1" si="9"/>
        <v>0.32056020904953553</v>
      </c>
      <c r="S17" s="311"/>
      <c r="T17" s="392">
        <f t="shared" si="10"/>
        <v>1981</v>
      </c>
      <c r="U17" s="392">
        <f t="shared" si="11"/>
        <v>10</v>
      </c>
      <c r="V17" s="311">
        <f t="shared" ca="1" si="12"/>
        <v>105.88725154637395</v>
      </c>
      <c r="W17" s="269" t="str">
        <f t="shared" ca="1" si="13"/>
        <v>|||||||||</v>
      </c>
      <c r="X17" s="269" t="str">
        <f t="shared" ca="1" si="14"/>
        <v>|||||||||</v>
      </c>
      <c r="Y17" s="434" t="str">
        <f t="shared" ca="1" si="15"/>
        <v/>
      </c>
      <c r="Z17" s="269" t="str">
        <f t="shared" ca="1" si="16"/>
        <v>|||</v>
      </c>
      <c r="AA17" s="270" t="str">
        <f t="shared" ca="1" si="17"/>
        <v/>
      </c>
    </row>
    <row r="18" spans="1:27" x14ac:dyDescent="0.25">
      <c r="A18" s="140">
        <f>+'Esc 2'!A28</f>
        <v>1981</v>
      </c>
      <c r="B18" s="140">
        <f>+'Esc 2'!B28</f>
        <v>11</v>
      </c>
      <c r="C18" s="141">
        <f>+'Esc 2'!O28</f>
        <v>1.0336739415844816</v>
      </c>
      <c r="D18" s="140">
        <f>+'Esc 2'!D28</f>
        <v>121.3</v>
      </c>
      <c r="E18" s="140">
        <f>0.7*VLOOKUP('Ingreso Datos'!$I$9,'Evap Tanque'!$D$6:$P$19,12,FALSE)</f>
        <v>144.06</v>
      </c>
      <c r="F18" s="127">
        <f>+'Ingreso Datos'!C44</f>
        <v>212</v>
      </c>
      <c r="G18" s="144">
        <f t="shared" si="1"/>
        <v>-2.2760000000000006E-4</v>
      </c>
      <c r="H18" s="145">
        <f>+F18/100000*'Bal Híd'!$G$4</f>
        <v>2.3319999999999999</v>
      </c>
      <c r="I18" s="145">
        <v>0</v>
      </c>
      <c r="J18" s="145">
        <f t="shared" ca="1" si="2"/>
        <v>6.0100819137019057</v>
      </c>
      <c r="K18" s="145">
        <f t="shared" ca="1" si="3"/>
        <v>253.17614428519752</v>
      </c>
      <c r="L18" s="145">
        <f t="shared" ca="1" si="4"/>
        <v>270.18098969790981</v>
      </c>
      <c r="M18" s="145">
        <f t="shared" ca="1" si="5"/>
        <v>5.8423989681416293</v>
      </c>
      <c r="N18" s="145">
        <f t="shared" ca="1" si="6"/>
        <v>5.8423989681416293</v>
      </c>
      <c r="O18" s="143">
        <f t="shared" ca="1" si="0"/>
        <v>248.60115848568876</v>
      </c>
      <c r="P18" s="145">
        <f t="shared" ca="1" si="7"/>
        <v>0</v>
      </c>
      <c r="Q18" s="145">
        <f t="shared" ca="1" si="8"/>
        <v>2.3319999999999999</v>
      </c>
      <c r="R18" s="393">
        <f t="shared" ca="1" si="9"/>
        <v>0.86599099602420515</v>
      </c>
      <c r="S18" s="311"/>
      <c r="T18" s="392">
        <f t="shared" si="10"/>
        <v>1981</v>
      </c>
      <c r="U18" s="392">
        <f t="shared" si="11"/>
        <v>11</v>
      </c>
      <c r="V18" s="311">
        <f t="shared" ca="1" si="12"/>
        <v>105.33959085182619</v>
      </c>
      <c r="W18" s="269" t="str">
        <f t="shared" ca="1" si="13"/>
        <v>||||||||</v>
      </c>
      <c r="X18" s="269" t="str">
        <f t="shared" ca="1" si="14"/>
        <v>|||||||</v>
      </c>
      <c r="Y18" s="434" t="str">
        <f t="shared" ca="1" si="15"/>
        <v/>
      </c>
      <c r="Z18" s="269" t="str">
        <f t="shared" ca="1" si="16"/>
        <v>|||||||||||</v>
      </c>
      <c r="AA18" s="270" t="str">
        <f t="shared" ca="1" si="17"/>
        <v/>
      </c>
    </row>
    <row r="19" spans="1:27" x14ac:dyDescent="0.25">
      <c r="A19" s="140">
        <f>+'Esc 2'!A29</f>
        <v>1981</v>
      </c>
      <c r="B19" s="140">
        <f>+'Esc 2'!B29</f>
        <v>12</v>
      </c>
      <c r="C19" s="141">
        <f>+'Esc 2'!O29</f>
        <v>1.3111676374592658</v>
      </c>
      <c r="D19" s="140">
        <f>+'Esc 2'!D29</f>
        <v>135.4</v>
      </c>
      <c r="E19" s="140">
        <f>0.7*VLOOKUP('Ingreso Datos'!$I$9,'Evap Tanque'!$D$6:$P$19,13,FALSE)</f>
        <v>179.62</v>
      </c>
      <c r="F19" s="127">
        <f>+'Ingreso Datos'!C45</f>
        <v>388</v>
      </c>
      <c r="G19" s="144">
        <f t="shared" si="1"/>
        <v>-4.4220000000000001E-4</v>
      </c>
      <c r="H19" s="145">
        <f>+F19/100000*'Bal Híd'!$G$4</f>
        <v>4.2679999999999998</v>
      </c>
      <c r="I19" s="145">
        <v>0</v>
      </c>
      <c r="J19" s="145">
        <f t="shared" ca="1" si="2"/>
        <v>2.8855666056008955</v>
      </c>
      <c r="K19" s="145">
        <f t="shared" ca="1" si="3"/>
        <v>157.78749738601365</v>
      </c>
      <c r="L19" s="145">
        <f t="shared" ca="1" si="4"/>
        <v>203.19432793585122</v>
      </c>
      <c r="M19" s="145">
        <f t="shared" ca="1" si="5"/>
        <v>2.6944129989189269</v>
      </c>
      <c r="N19" s="145">
        <f t="shared" ca="1" si="6"/>
        <v>2.6944129989189269</v>
      </c>
      <c r="O19" s="143">
        <f t="shared" ca="1" si="0"/>
        <v>150.96963209123737</v>
      </c>
      <c r="P19" s="145">
        <f t="shared" ca="1" si="7"/>
        <v>0</v>
      </c>
      <c r="Q19" s="145">
        <f t="shared" ca="1" si="8"/>
        <v>4.2679999999999998</v>
      </c>
      <c r="R19" s="393">
        <f t="shared" ca="1" si="9"/>
        <v>1.1200140307772972</v>
      </c>
      <c r="S19" s="311"/>
      <c r="T19" s="392">
        <f t="shared" si="10"/>
        <v>1981</v>
      </c>
      <c r="U19" s="392">
        <f t="shared" si="11"/>
        <v>12</v>
      </c>
      <c r="V19" s="311">
        <f t="shared" ca="1" si="12"/>
        <v>103.74950720648582</v>
      </c>
      <c r="W19" s="269" t="str">
        <f t="shared" ca="1" si="13"/>
        <v>|||||</v>
      </c>
      <c r="X19" s="269" t="str">
        <f t="shared" ca="1" si="14"/>
        <v>|||</v>
      </c>
      <c r="Y19" s="434" t="str">
        <f t="shared" ca="1" si="15"/>
        <v/>
      </c>
      <c r="Z19" s="269" t="str">
        <f t="shared" ca="1" si="16"/>
        <v>|||||||||||||||||||||</v>
      </c>
      <c r="AA19" s="270" t="str">
        <f t="shared" ca="1" si="17"/>
        <v/>
      </c>
    </row>
    <row r="20" spans="1:27" x14ac:dyDescent="0.25">
      <c r="A20" s="140">
        <f>+'Esc 2'!A30</f>
        <v>1982</v>
      </c>
      <c r="B20" s="140">
        <f>+'Esc 2'!B30</f>
        <v>1</v>
      </c>
      <c r="C20" s="141">
        <f>+'Esc 2'!O30</f>
        <v>0.65272604576960713</v>
      </c>
      <c r="D20" s="140">
        <f>+'Esc 2'!D30</f>
        <v>70.400000000000006</v>
      </c>
      <c r="E20" s="140">
        <f>+E8</f>
        <v>176.89</v>
      </c>
      <c r="F20" s="146">
        <f>+F8</f>
        <v>318</v>
      </c>
      <c r="G20" s="144">
        <f t="shared" si="1"/>
        <v>-1.0648999999999997E-3</v>
      </c>
      <c r="H20" s="145">
        <f>+F20/100000*'Bal Híd'!$G$4</f>
        <v>3.4980000000000002</v>
      </c>
      <c r="I20" s="145">
        <v>0</v>
      </c>
      <c r="J20" s="145">
        <f t="shared" ca="1" si="2"/>
        <v>-0.15086095531146615</v>
      </c>
      <c r="K20" s="145">
        <f t="shared" ca="1" si="3"/>
        <v>0</v>
      </c>
      <c r="L20" s="145">
        <f t="shared" ca="1" si="4"/>
        <v>75.484816045618686</v>
      </c>
      <c r="M20" s="145">
        <f t="shared" ca="1" si="5"/>
        <v>-0.24997892051658344</v>
      </c>
      <c r="N20" s="145">
        <f t="shared" ca="1" si="6"/>
        <v>0.14364725252241328</v>
      </c>
      <c r="O20" s="143">
        <f t="shared" ca="1" si="0"/>
        <v>22.824988701237128</v>
      </c>
      <c r="P20" s="145">
        <f t="shared" ca="1" si="7"/>
        <v>0</v>
      </c>
      <c r="Q20" s="145">
        <f t="shared" ca="1" si="8"/>
        <v>3.1043738269610035</v>
      </c>
      <c r="R20" s="393">
        <f t="shared" ca="1" si="9"/>
        <v>0.55360808056448985</v>
      </c>
      <c r="S20" s="311"/>
      <c r="T20" s="392">
        <f t="shared" si="10"/>
        <v>1982</v>
      </c>
      <c r="U20" s="392">
        <f t="shared" si="11"/>
        <v>1</v>
      </c>
      <c r="V20" s="311">
        <f t="shared" ca="1" si="12"/>
        <v>100.5</v>
      </c>
      <c r="W20" s="269" t="str">
        <f t="shared" ca="1" si="13"/>
        <v/>
      </c>
      <c r="X20" s="269" t="str">
        <f t="shared" ca="1" si="14"/>
        <v/>
      </c>
      <c r="Y20" s="434" t="str">
        <f t="shared" ca="1" si="15"/>
        <v>|</v>
      </c>
      <c r="Z20" s="269" t="str">
        <f t="shared" ca="1" si="16"/>
        <v>|||||||||||||||</v>
      </c>
      <c r="AA20" s="270" t="str">
        <f t="shared" ca="1" si="17"/>
        <v/>
      </c>
    </row>
    <row r="21" spans="1:27" x14ac:dyDescent="0.25">
      <c r="A21" s="140">
        <f>+'Esc 2'!A31</f>
        <v>1982</v>
      </c>
      <c r="B21" s="140">
        <f>+'Esc 2'!B31</f>
        <v>2</v>
      </c>
      <c r="C21" s="141">
        <f>+'Esc 2'!O31</f>
        <v>5.3329586211753686</v>
      </c>
      <c r="D21" s="140">
        <f>+'Esc 2'!D31</f>
        <v>360.8</v>
      </c>
      <c r="E21" s="147">
        <f t="shared" ref="E21:F32" si="18">+E9</f>
        <v>131.73999999999998</v>
      </c>
      <c r="F21" s="146">
        <f>+F9</f>
        <v>153</v>
      </c>
      <c r="G21" s="144">
        <f t="shared" si="1"/>
        <v>2.2906000000000003E-3</v>
      </c>
      <c r="H21" s="145">
        <f>+F21/100000*'Bal Híd'!$G$4</f>
        <v>1.6829999999999998</v>
      </c>
      <c r="I21" s="145">
        <v>0</v>
      </c>
      <c r="J21" s="145">
        <f t="shared" ca="1" si="2"/>
        <v>3.793605873697782</v>
      </c>
      <c r="K21" s="145">
        <f t="shared" ca="1" si="3"/>
        <v>188.21126087532423</v>
      </c>
      <c r="L21" s="145">
        <f t="shared" ca="1" si="4"/>
        <v>105.51812478828067</v>
      </c>
      <c r="M21" s="145">
        <f t="shared" ca="1" si="5"/>
        <v>3.8213422708397502</v>
      </c>
      <c r="N21" s="145">
        <f t="shared" ca="1" si="6"/>
        <v>3.8213422708397502</v>
      </c>
      <c r="O21" s="143">
        <f t="shared" ca="1" si="0"/>
        <v>189.0969118324648</v>
      </c>
      <c r="P21" s="145">
        <f t="shared" ca="1" si="7"/>
        <v>0</v>
      </c>
      <c r="Q21" s="145">
        <f t="shared" ca="1" si="8"/>
        <v>1.6829999999999998</v>
      </c>
      <c r="R21" s="393">
        <f t="shared" ca="1" si="9"/>
        <v>5.3606950183173367</v>
      </c>
      <c r="S21" s="311"/>
      <c r="T21" s="392">
        <f t="shared" si="10"/>
        <v>1982</v>
      </c>
      <c r="U21" s="392">
        <f t="shared" si="11"/>
        <v>2</v>
      </c>
      <c r="V21" s="311">
        <f t="shared" ca="1" si="12"/>
        <v>104.4135281554273</v>
      </c>
      <c r="W21" s="269" t="str">
        <f t="shared" ca="1" si="13"/>
        <v>|||||||</v>
      </c>
      <c r="X21" s="269" t="str">
        <f t="shared" ca="1" si="14"/>
        <v>||||</v>
      </c>
      <c r="Y21" s="434" t="str">
        <f t="shared" ca="1" si="15"/>
        <v/>
      </c>
      <c r="Z21" s="269" t="str">
        <f t="shared" ca="1" si="16"/>
        <v>||||||||</v>
      </c>
      <c r="AA21" s="270" t="str">
        <f t="shared" ca="1" si="17"/>
        <v/>
      </c>
    </row>
    <row r="22" spans="1:27" x14ac:dyDescent="0.25">
      <c r="A22" s="140">
        <f>+'Esc 2'!A32</f>
        <v>1982</v>
      </c>
      <c r="B22" s="140">
        <f>+'Esc 2'!B32</f>
        <v>3</v>
      </c>
      <c r="C22" s="141">
        <f>+'Esc 2'!O32</f>
        <v>1.1841798878829288</v>
      </c>
      <c r="D22" s="140">
        <f>+'Esc 2'!D32</f>
        <v>29.1</v>
      </c>
      <c r="E22" s="147">
        <f t="shared" si="18"/>
        <v>118.64999999999999</v>
      </c>
      <c r="F22" s="146">
        <f t="shared" si="18"/>
        <v>47</v>
      </c>
      <c r="G22" s="144">
        <f t="shared" si="1"/>
        <v>-8.9549999999999981E-4</v>
      </c>
      <c r="H22" s="145">
        <f>+F22/100000*'Bal Híd'!$G$4</f>
        <v>0.51700000000000002</v>
      </c>
      <c r="I22" s="145">
        <v>0</v>
      </c>
      <c r="J22" s="145">
        <f t="shared" ca="1" si="2"/>
        <v>4.4885221587226782</v>
      </c>
      <c r="K22" s="145">
        <f t="shared" ca="1" si="3"/>
        <v>209.75999373694663</v>
      </c>
      <c r="L22" s="145">
        <f t="shared" ca="1" si="4"/>
        <v>199.42845278470571</v>
      </c>
      <c r="M22" s="145">
        <f t="shared" ca="1" si="5"/>
        <v>4.2201396207523549</v>
      </c>
      <c r="N22" s="145">
        <f t="shared" ca="1" si="6"/>
        <v>4.2201396207523549</v>
      </c>
      <c r="O22" s="143">
        <f t="shared" ca="1" si="0"/>
        <v>201.58898205824264</v>
      </c>
      <c r="P22" s="145">
        <f t="shared" ca="1" si="7"/>
        <v>0</v>
      </c>
      <c r="Q22" s="145">
        <f t="shared" ca="1" si="8"/>
        <v>0.51700000000000002</v>
      </c>
      <c r="R22" s="393">
        <f t="shared" ca="1" si="9"/>
        <v>0.91579734991260575</v>
      </c>
      <c r="S22" s="311"/>
      <c r="T22" s="392">
        <f t="shared" si="10"/>
        <v>1982</v>
      </c>
      <c r="U22" s="392">
        <f t="shared" si="11"/>
        <v>3</v>
      </c>
      <c r="V22" s="311">
        <f t="shared" ca="1" si="12"/>
        <v>104.61771177372012</v>
      </c>
      <c r="W22" s="269" t="str">
        <f t="shared" ca="1" si="13"/>
        <v>|||||||</v>
      </c>
      <c r="X22" s="269" t="str">
        <f t="shared" ca="1" si="14"/>
        <v>|||||</v>
      </c>
      <c r="Y22" s="434" t="str">
        <f t="shared" ca="1" si="15"/>
        <v/>
      </c>
      <c r="Z22" s="269" t="str">
        <f t="shared" ca="1" si="16"/>
        <v>||</v>
      </c>
      <c r="AA22" s="270" t="str">
        <f t="shared" ca="1" si="17"/>
        <v/>
      </c>
    </row>
    <row r="23" spans="1:27" x14ac:dyDescent="0.25">
      <c r="A23" s="140">
        <f>+'Esc 2'!A33</f>
        <v>1982</v>
      </c>
      <c r="B23" s="140">
        <f>+'Esc 2'!B33</f>
        <v>4</v>
      </c>
      <c r="C23" s="141">
        <f>+'Esc 2'!O33</f>
        <v>0.17531614809473417</v>
      </c>
      <c r="D23" s="140">
        <f>+'Esc 2'!D33</f>
        <v>21.4</v>
      </c>
      <c r="E23" s="147">
        <f t="shared" si="18"/>
        <v>73.149999999999991</v>
      </c>
      <c r="F23" s="146">
        <f t="shared" si="18"/>
        <v>0</v>
      </c>
      <c r="G23" s="144">
        <f t="shared" si="1"/>
        <v>-5.1749999999999995E-4</v>
      </c>
      <c r="H23" s="145">
        <f>+F23/100000*'Bal Híd'!$G$4</f>
        <v>0</v>
      </c>
      <c r="I23" s="145">
        <v>0</v>
      </c>
      <c r="J23" s="145">
        <f t="shared" ca="1" si="2"/>
        <v>4.3954557688470892</v>
      </c>
      <c r="K23" s="145">
        <f t="shared" ca="1" si="3"/>
        <v>206.94674988202618</v>
      </c>
      <c r="L23" s="145">
        <f t="shared" ca="1" si="4"/>
        <v>204.26786597013441</v>
      </c>
      <c r="M23" s="145">
        <f t="shared" ca="1" si="5"/>
        <v>4.2761306252260178</v>
      </c>
      <c r="N23" s="145">
        <f t="shared" ca="1" si="6"/>
        <v>4.2761306252260178</v>
      </c>
      <c r="O23" s="143">
        <f t="shared" ca="1" si="0"/>
        <v>203.30855624649456</v>
      </c>
      <c r="P23" s="145">
        <f t="shared" ca="1" si="7"/>
        <v>0</v>
      </c>
      <c r="Q23" s="145">
        <f t="shared" ca="1" si="8"/>
        <v>0</v>
      </c>
      <c r="R23" s="393">
        <f t="shared" ca="1" si="9"/>
        <v>5.5991004473662856E-2</v>
      </c>
      <c r="S23" s="311"/>
      <c r="T23" s="392">
        <f t="shared" si="10"/>
        <v>1982</v>
      </c>
      <c r="U23" s="392">
        <f t="shared" si="11"/>
        <v>4</v>
      </c>
      <c r="V23" s="311">
        <f t="shared" ca="1" si="12"/>
        <v>104.64536872397316</v>
      </c>
      <c r="W23" s="269" t="str">
        <f t="shared" ca="1" si="13"/>
        <v>|||||||</v>
      </c>
      <c r="X23" s="269" t="str">
        <f t="shared" ca="1" si="14"/>
        <v>|||||</v>
      </c>
      <c r="Y23" s="434" t="str">
        <f t="shared" ca="1" si="15"/>
        <v/>
      </c>
      <c r="Z23" s="269" t="str">
        <f t="shared" ca="1" si="16"/>
        <v/>
      </c>
      <c r="AA23" s="270" t="str">
        <f t="shared" ca="1" si="17"/>
        <v/>
      </c>
    </row>
    <row r="24" spans="1:27" x14ac:dyDescent="0.25">
      <c r="A24" s="140">
        <f>+'Esc 2'!A34</f>
        <v>1982</v>
      </c>
      <c r="B24" s="140">
        <f>+'Esc 2'!B34</f>
        <v>5</v>
      </c>
      <c r="C24" s="141">
        <f>+'Esc 2'!O34</f>
        <v>2.6169070571409283</v>
      </c>
      <c r="D24" s="140">
        <f>+'Esc 2'!D34</f>
        <v>178.5</v>
      </c>
      <c r="E24" s="147">
        <f t="shared" si="18"/>
        <v>51.24</v>
      </c>
      <c r="F24" s="146">
        <f t="shared" si="18"/>
        <v>0</v>
      </c>
      <c r="G24" s="144">
        <f t="shared" si="1"/>
        <v>1.2725999999999998E-3</v>
      </c>
      <c r="H24" s="145">
        <f>+F24/100000*'Bal Híd'!$G$4</f>
        <v>0</v>
      </c>
      <c r="I24" s="145">
        <v>0</v>
      </c>
      <c r="J24" s="145">
        <f t="shared" ca="1" si="2"/>
        <v>6.8930376823669466</v>
      </c>
      <c r="K24" s="145">
        <f t="shared" ca="1" si="3"/>
        <v>276.55813290894042</v>
      </c>
      <c r="L24" s="145">
        <f t="shared" ca="1" si="4"/>
        <v>239.93334457771749</v>
      </c>
      <c r="M24" s="145">
        <f t="shared" ca="1" si="5"/>
        <v>6.959637973532498</v>
      </c>
      <c r="N24" s="145">
        <f t="shared" ca="1" si="6"/>
        <v>6.959637973532498</v>
      </c>
      <c r="O24" s="143">
        <f t="shared" ca="1" si="0"/>
        <v>278.27719152717145</v>
      </c>
      <c r="P24" s="145">
        <f t="shared" ca="1" si="7"/>
        <v>0</v>
      </c>
      <c r="Q24" s="145">
        <f t="shared" ca="1" si="8"/>
        <v>0</v>
      </c>
      <c r="R24" s="393">
        <f t="shared" ca="1" si="9"/>
        <v>2.6835073483064802</v>
      </c>
      <c r="S24" s="311"/>
      <c r="T24" s="392">
        <f t="shared" si="10"/>
        <v>1982</v>
      </c>
      <c r="U24" s="392">
        <f t="shared" si="11"/>
        <v>5</v>
      </c>
      <c r="V24" s="311">
        <f t="shared" ca="1" si="12"/>
        <v>105.76388965764686</v>
      </c>
      <c r="W24" s="269" t="str">
        <f t="shared" ca="1" si="13"/>
        <v>|||||||||</v>
      </c>
      <c r="X24" s="269" t="str">
        <f t="shared" ca="1" si="14"/>
        <v>|||||||||</v>
      </c>
      <c r="Y24" s="434" t="str">
        <f t="shared" ca="1" si="15"/>
        <v/>
      </c>
      <c r="Z24" s="269" t="str">
        <f t="shared" ca="1" si="16"/>
        <v/>
      </c>
      <c r="AA24" s="270" t="str">
        <f t="shared" ca="1" si="17"/>
        <v/>
      </c>
    </row>
    <row r="25" spans="1:27" x14ac:dyDescent="0.25">
      <c r="A25" s="140">
        <f>+'Esc 2'!A35</f>
        <v>1982</v>
      </c>
      <c r="B25" s="140">
        <f>+'Esc 2'!B35</f>
        <v>6</v>
      </c>
      <c r="C25" s="141">
        <f>+'Esc 2'!O35</f>
        <v>2.538916221622558</v>
      </c>
      <c r="D25" s="140">
        <f>+'Esc 2'!D35</f>
        <v>127.1</v>
      </c>
      <c r="E25" s="147">
        <f t="shared" si="18"/>
        <v>41.019999999999996</v>
      </c>
      <c r="F25" s="146">
        <f t="shared" si="18"/>
        <v>0</v>
      </c>
      <c r="G25" s="144">
        <f t="shared" si="1"/>
        <v>8.608E-4</v>
      </c>
      <c r="H25" s="145">
        <f>+F25/100000*'Bal Híd'!$G$4</f>
        <v>0</v>
      </c>
      <c r="I25" s="145">
        <v>0</v>
      </c>
      <c r="J25" s="145">
        <f t="shared" ca="1" si="2"/>
        <v>9.4985541951550552</v>
      </c>
      <c r="K25" s="145">
        <f t="shared" ca="1" si="3"/>
        <v>340.03420718582595</v>
      </c>
      <c r="L25" s="145">
        <f t="shared" ca="1" si="4"/>
        <v>309.1556993564987</v>
      </c>
      <c r="M25" s="145">
        <f t="shared" ca="1" si="5"/>
        <v>9.4662265922245226</v>
      </c>
      <c r="N25" s="145">
        <f t="shared" ca="1" si="6"/>
        <v>7.6368477630678893</v>
      </c>
      <c r="O25" s="143">
        <f t="shared" ca="1" si="0"/>
        <v>295.43791936297487</v>
      </c>
      <c r="P25" s="145">
        <f t="shared" ca="1" si="7"/>
        <v>1.8293788291566333</v>
      </c>
      <c r="Q25" s="145">
        <f t="shared" ca="1" si="8"/>
        <v>0</v>
      </c>
      <c r="R25" s="592">
        <f t="shared" ca="1" si="9"/>
        <v>2.5065886186920232</v>
      </c>
      <c r="S25" s="311"/>
      <c r="T25" s="392">
        <f t="shared" si="10"/>
        <v>1982</v>
      </c>
      <c r="U25" s="392">
        <f t="shared" si="11"/>
        <v>6</v>
      </c>
      <c r="V25" s="311">
        <f t="shared" ca="1" si="12"/>
        <v>106</v>
      </c>
      <c r="W25" s="269" t="str">
        <f t="shared" ca="1" si="13"/>
        <v>||||||||||</v>
      </c>
      <c r="X25" s="269" t="str">
        <f t="shared" ca="1" si="14"/>
        <v>||||||||||</v>
      </c>
      <c r="Y25" s="434" t="str">
        <f t="shared" ca="1" si="15"/>
        <v/>
      </c>
      <c r="Z25" s="269" t="str">
        <f t="shared" ca="1" si="16"/>
        <v/>
      </c>
      <c r="AA25" s="270" t="str">
        <f t="shared" ca="1" si="17"/>
        <v>|||||||||</v>
      </c>
    </row>
    <row r="26" spans="1:27" x14ac:dyDescent="0.25">
      <c r="A26" s="140">
        <f>+'Esc 2'!A36</f>
        <v>1982</v>
      </c>
      <c r="B26" s="140">
        <f>+'Esc 2'!B36</f>
        <v>7</v>
      </c>
      <c r="C26" s="141">
        <f>+'Esc 2'!O36</f>
        <v>1.4227751663943491</v>
      </c>
      <c r="D26" s="140">
        <f>+'Esc 2'!D36</f>
        <v>71.3</v>
      </c>
      <c r="E26" s="147">
        <f t="shared" si="18"/>
        <v>50.819999999999993</v>
      </c>
      <c r="F26" s="146">
        <f t="shared" si="18"/>
        <v>0</v>
      </c>
      <c r="G26" s="144">
        <f t="shared" si="1"/>
        <v>2.0480000000000004E-4</v>
      </c>
      <c r="H26" s="145">
        <f>+F26/100000*'Bal Híd'!$G$4</f>
        <v>0</v>
      </c>
      <c r="I26" s="145">
        <v>0</v>
      </c>
      <c r="J26" s="145">
        <f t="shared" ca="1" si="2"/>
        <v>9.0596229294622379</v>
      </c>
      <c r="K26" s="145">
        <f t="shared" ca="1" si="3"/>
        <v>329.82309562509903</v>
      </c>
      <c r="L26" s="145">
        <f t="shared" ca="1" si="4"/>
        <v>312.63050749403692</v>
      </c>
      <c r="M26" s="145">
        <f t="shared" ca="1" si="5"/>
        <v>8.9545230709636421</v>
      </c>
      <c r="N26" s="145">
        <f t="shared" ca="1" si="6"/>
        <v>7.6368477630678893</v>
      </c>
      <c r="O26" s="143">
        <f t="shared" ca="1" si="0"/>
        <v>295.43791936297487</v>
      </c>
      <c r="P26" s="145">
        <f t="shared" ca="1" si="7"/>
        <v>1.3176753078957528</v>
      </c>
      <c r="Q26" s="145">
        <f t="shared" ca="1" si="8"/>
        <v>0</v>
      </c>
      <c r="R26" s="592">
        <f t="shared" ca="1" si="9"/>
        <v>1.3176753078957522</v>
      </c>
      <c r="S26" s="311"/>
      <c r="T26" s="392">
        <f t="shared" si="10"/>
        <v>1982</v>
      </c>
      <c r="U26" s="392">
        <f t="shared" si="11"/>
        <v>7</v>
      </c>
      <c r="V26" s="311">
        <f t="shared" ca="1" si="12"/>
        <v>106</v>
      </c>
      <c r="W26" s="269" t="str">
        <f t="shared" ca="1" si="13"/>
        <v>||||||||||</v>
      </c>
      <c r="X26" s="269" t="str">
        <f t="shared" ca="1" si="14"/>
        <v>||||||||||</v>
      </c>
      <c r="Y26" s="434" t="str">
        <f t="shared" ca="1" si="15"/>
        <v/>
      </c>
      <c r="Z26" s="269" t="str">
        <f t="shared" ca="1" si="16"/>
        <v/>
      </c>
      <c r="AA26" s="270" t="str">
        <f t="shared" ca="1" si="17"/>
        <v>||||||</v>
      </c>
    </row>
    <row r="27" spans="1:27" x14ac:dyDescent="0.25">
      <c r="A27" s="140">
        <f>+'Esc 2'!A37</f>
        <v>1982</v>
      </c>
      <c r="B27" s="140">
        <f>+'Esc 2'!B37</f>
        <v>8</v>
      </c>
      <c r="C27" s="141">
        <f>+'Esc 2'!O37</f>
        <v>2.6356080230327152</v>
      </c>
      <c r="D27" s="140">
        <f>+'Esc 2'!D37</f>
        <v>167</v>
      </c>
      <c r="E27" s="147">
        <f t="shared" si="18"/>
        <v>72.449999999999989</v>
      </c>
      <c r="F27" s="146">
        <f t="shared" si="18"/>
        <v>0</v>
      </c>
      <c r="G27" s="144">
        <f t="shared" si="1"/>
        <v>9.4550000000000016E-4</v>
      </c>
      <c r="H27" s="145">
        <f>+F27/100000*'Bal Híd'!$G$4</f>
        <v>0</v>
      </c>
      <c r="I27" s="145">
        <v>0</v>
      </c>
      <c r="J27" s="145">
        <f t="shared" ca="1" si="2"/>
        <v>10.272455786100604</v>
      </c>
      <c r="K27" s="145">
        <f t="shared" ca="1" si="3"/>
        <v>357.6385813338502</v>
      </c>
      <c r="L27" s="145">
        <f t="shared" ca="1" si="4"/>
        <v>326.53825034841253</v>
      </c>
      <c r="M27" s="145">
        <f t="shared" ca="1" si="5"/>
        <v>10.253963164753568</v>
      </c>
      <c r="N27" s="145">
        <f t="shared" ca="1" si="6"/>
        <v>7.6368477630678893</v>
      </c>
      <c r="O27" s="143">
        <f t="shared" ca="1" si="0"/>
        <v>295.43791936297487</v>
      </c>
      <c r="P27" s="145">
        <f t="shared" ca="1" si="7"/>
        <v>2.6171154016856786</v>
      </c>
      <c r="Q27" s="145">
        <f t="shared" ca="1" si="8"/>
        <v>0</v>
      </c>
      <c r="R27" s="592">
        <f t="shared" ca="1" si="9"/>
        <v>2.617115401685679</v>
      </c>
      <c r="S27" s="311"/>
      <c r="T27" s="392">
        <f t="shared" si="10"/>
        <v>1982</v>
      </c>
      <c r="U27" s="392">
        <f t="shared" si="11"/>
        <v>8</v>
      </c>
      <c r="V27" s="311">
        <f t="shared" ca="1" si="12"/>
        <v>106</v>
      </c>
      <c r="W27" s="269" t="str">
        <f t="shared" ca="1" si="13"/>
        <v>||||||||||</v>
      </c>
      <c r="X27" s="269" t="str">
        <f t="shared" ca="1" si="14"/>
        <v>||||||||||</v>
      </c>
      <c r="Y27" s="434" t="str">
        <f t="shared" ca="1" si="15"/>
        <v/>
      </c>
      <c r="Z27" s="269" t="str">
        <f t="shared" ca="1" si="16"/>
        <v/>
      </c>
      <c r="AA27" s="270" t="str">
        <f t="shared" ca="1" si="17"/>
        <v>|||||||||||||</v>
      </c>
    </row>
    <row r="28" spans="1:27" x14ac:dyDescent="0.25">
      <c r="A28" s="140">
        <f>+'Esc 2'!A38</f>
        <v>1982</v>
      </c>
      <c r="B28" s="140">
        <f>+'Esc 2'!B38</f>
        <v>9</v>
      </c>
      <c r="C28" s="141">
        <f>+'Esc 2'!O38</f>
        <v>3.7204742959877279</v>
      </c>
      <c r="D28" s="140">
        <f>+'Esc 2'!D38</f>
        <v>219.2</v>
      </c>
      <c r="E28" s="147">
        <f t="shared" si="18"/>
        <v>85.89</v>
      </c>
      <c r="F28" s="146">
        <f t="shared" si="18"/>
        <v>0</v>
      </c>
      <c r="G28" s="144">
        <f t="shared" si="1"/>
        <v>1.3331E-3</v>
      </c>
      <c r="H28" s="145">
        <f>+F28/100000*'Bal Híd'!$G$4</f>
        <v>0</v>
      </c>
      <c r="I28" s="145">
        <v>0</v>
      </c>
      <c r="J28" s="145">
        <f t="shared" ca="1" si="2"/>
        <v>11.357322059055617</v>
      </c>
      <c r="K28" s="145">
        <f t="shared" ca="1" si="3"/>
        <v>381.54256637318491</v>
      </c>
      <c r="L28" s="145">
        <f t="shared" ca="1" si="4"/>
        <v>338.49024286807992</v>
      </c>
      <c r="M28" s="145">
        <f t="shared" ca="1" si="5"/>
        <v>11.329725284700114</v>
      </c>
      <c r="N28" s="145">
        <f t="shared" ca="1" si="6"/>
        <v>7.6368477630678893</v>
      </c>
      <c r="O28" s="143">
        <f t="shared" ca="1" si="0"/>
        <v>295.43791936297487</v>
      </c>
      <c r="P28" s="145">
        <f t="shared" ca="1" si="7"/>
        <v>3.6928775216322247</v>
      </c>
      <c r="Q28" s="145">
        <f t="shared" ca="1" si="8"/>
        <v>0</v>
      </c>
      <c r="R28" s="592">
        <f t="shared" ca="1" si="9"/>
        <v>3.6928775216322247</v>
      </c>
      <c r="S28" s="311"/>
      <c r="T28" s="392">
        <f t="shared" si="10"/>
        <v>1982</v>
      </c>
      <c r="U28" s="392">
        <f t="shared" si="11"/>
        <v>9</v>
      </c>
      <c r="V28" s="311">
        <f t="shared" ca="1" si="12"/>
        <v>106</v>
      </c>
      <c r="W28" s="269" t="str">
        <f t="shared" ca="1" si="13"/>
        <v>||||||||||</v>
      </c>
      <c r="X28" s="269" t="str">
        <f t="shared" ca="1" si="14"/>
        <v>||||||||||</v>
      </c>
      <c r="Y28" s="434" t="str">
        <f t="shared" ca="1" si="15"/>
        <v/>
      </c>
      <c r="Z28" s="269" t="str">
        <f t="shared" ca="1" si="16"/>
        <v/>
      </c>
      <c r="AA28" s="270" t="str">
        <f t="shared" ca="1" si="17"/>
        <v>||||||||||||||||||</v>
      </c>
    </row>
    <row r="29" spans="1:27" x14ac:dyDescent="0.25">
      <c r="A29" s="140">
        <f>+'Esc 2'!A39</f>
        <v>1982</v>
      </c>
      <c r="B29" s="140">
        <f>+'Esc 2'!B39</f>
        <v>10</v>
      </c>
      <c r="C29" s="141">
        <f>+'Esc 2'!O39</f>
        <v>1.8504732619204203</v>
      </c>
      <c r="D29" s="140">
        <f>+'Esc 2'!D39</f>
        <v>117.3</v>
      </c>
      <c r="E29" s="147">
        <f t="shared" si="18"/>
        <v>114.86999999999999</v>
      </c>
      <c r="F29" s="146">
        <f t="shared" si="18"/>
        <v>59</v>
      </c>
      <c r="G29" s="144">
        <f t="shared" si="1"/>
        <v>2.4300000000000069E-5</v>
      </c>
      <c r="H29" s="145">
        <f>+F29/100000*'Bal Híd'!$G$4</f>
        <v>0.64900000000000002</v>
      </c>
      <c r="I29" s="145">
        <v>0</v>
      </c>
      <c r="J29" s="145">
        <f t="shared" ca="1" si="2"/>
        <v>8.8383210249883106</v>
      </c>
      <c r="K29" s="145">
        <f t="shared" ca="1" si="3"/>
        <v>324.60825298585326</v>
      </c>
      <c r="L29" s="145">
        <f t="shared" ca="1" si="4"/>
        <v>310.02308617441406</v>
      </c>
      <c r="M29" s="145">
        <f t="shared" ca="1" si="5"/>
        <v>8.627721722277478</v>
      </c>
      <c r="N29" s="145">
        <f t="shared" ca="1" si="6"/>
        <v>7.6368477630678893</v>
      </c>
      <c r="O29" s="143">
        <f t="shared" ca="1" si="0"/>
        <v>295.43791936297487</v>
      </c>
      <c r="P29" s="145">
        <f t="shared" ca="1" si="7"/>
        <v>0.99087395920958876</v>
      </c>
      <c r="Q29" s="145">
        <f t="shared" ca="1" si="8"/>
        <v>0.64900000000000002</v>
      </c>
      <c r="R29" s="592">
        <f t="shared" ca="1" si="9"/>
        <v>1.6398739592095903</v>
      </c>
      <c r="S29" s="311"/>
      <c r="T29" s="392">
        <f t="shared" si="10"/>
        <v>1982</v>
      </c>
      <c r="U29" s="392">
        <f t="shared" si="11"/>
        <v>10</v>
      </c>
      <c r="V29" s="311">
        <f t="shared" ca="1" si="12"/>
        <v>106</v>
      </c>
      <c r="W29" s="269" t="str">
        <f t="shared" ca="1" si="13"/>
        <v>||||||||||</v>
      </c>
      <c r="X29" s="269" t="str">
        <f t="shared" ca="1" si="14"/>
        <v>||||||||||</v>
      </c>
      <c r="Y29" s="434" t="str">
        <f t="shared" ca="1" si="15"/>
        <v/>
      </c>
      <c r="Z29" s="269" t="str">
        <f t="shared" ca="1" si="16"/>
        <v>|||</v>
      </c>
      <c r="AA29" s="270" t="str">
        <f t="shared" ca="1" si="17"/>
        <v>||||</v>
      </c>
    </row>
    <row r="30" spans="1:27" x14ac:dyDescent="0.25">
      <c r="A30" s="140">
        <f>+'Esc 2'!A40</f>
        <v>1982</v>
      </c>
      <c r="B30" s="140">
        <f>+'Esc 2'!B40</f>
        <v>11</v>
      </c>
      <c r="C30" s="141">
        <f>+'Esc 2'!O40</f>
        <v>4.6537826754236651</v>
      </c>
      <c r="D30" s="140">
        <f>+'Esc 2'!D40</f>
        <v>315.2</v>
      </c>
      <c r="E30" s="147">
        <f t="shared" si="18"/>
        <v>144.06</v>
      </c>
      <c r="F30" s="146">
        <f t="shared" si="18"/>
        <v>212</v>
      </c>
      <c r="G30" s="144">
        <f t="shared" si="1"/>
        <v>1.7113999999999999E-3</v>
      </c>
      <c r="H30" s="145">
        <f>+F30/100000*'Bal Híd'!$G$4</f>
        <v>2.3319999999999999</v>
      </c>
      <c r="I30" s="145">
        <v>0</v>
      </c>
      <c r="J30" s="145">
        <f t="shared" ca="1" si="2"/>
        <v>9.9586304384915536</v>
      </c>
      <c r="K30" s="145">
        <f t="shared" ca="1" si="3"/>
        <v>350.55870601654499</v>
      </c>
      <c r="L30" s="145">
        <f t="shared" ca="1" si="4"/>
        <v>322.99831268975993</v>
      </c>
      <c r="M30" s="145">
        <f t="shared" ca="1" si="5"/>
        <v>9.9398645220125807</v>
      </c>
      <c r="N30" s="145">
        <f t="shared" ca="1" si="6"/>
        <v>7.6368477630678893</v>
      </c>
      <c r="O30" s="143">
        <f t="shared" ca="1" si="0"/>
        <v>295.43791936297487</v>
      </c>
      <c r="P30" s="145">
        <f t="shared" ca="1" si="7"/>
        <v>2.3030167589446915</v>
      </c>
      <c r="Q30" s="145">
        <f t="shared" ca="1" si="8"/>
        <v>2.3319999999999999</v>
      </c>
      <c r="R30" s="592">
        <f t="shared" ca="1" si="9"/>
        <v>4.6350167589446913</v>
      </c>
      <c r="S30" s="311"/>
      <c r="T30" s="392">
        <f t="shared" si="10"/>
        <v>1982</v>
      </c>
      <c r="U30" s="392">
        <f t="shared" si="11"/>
        <v>11</v>
      </c>
      <c r="V30" s="311">
        <f t="shared" ca="1" si="12"/>
        <v>106</v>
      </c>
      <c r="W30" s="269" t="str">
        <f t="shared" ca="1" si="13"/>
        <v>||||||||||</v>
      </c>
      <c r="X30" s="269" t="str">
        <f t="shared" ca="1" si="14"/>
        <v>||||||||||</v>
      </c>
      <c r="Y30" s="434" t="str">
        <f t="shared" ca="1" si="15"/>
        <v/>
      </c>
      <c r="Z30" s="269" t="str">
        <f t="shared" ca="1" si="16"/>
        <v>|||||||||||</v>
      </c>
      <c r="AA30" s="270" t="str">
        <f t="shared" ca="1" si="17"/>
        <v>|||||||||||</v>
      </c>
    </row>
    <row r="31" spans="1:27" x14ac:dyDescent="0.25">
      <c r="A31" s="140">
        <f>+'Esc 2'!A41</f>
        <v>1982</v>
      </c>
      <c r="B31" s="140">
        <f>+'Esc 2'!B41</f>
        <v>12</v>
      </c>
      <c r="C31" s="141">
        <f>+'Esc 2'!O41</f>
        <v>1.0929693897472346</v>
      </c>
      <c r="D31" s="140">
        <f>+'Esc 2'!D41</f>
        <v>34.700000000000003</v>
      </c>
      <c r="E31" s="147">
        <f t="shared" si="18"/>
        <v>179.62</v>
      </c>
      <c r="F31" s="146">
        <f t="shared" si="18"/>
        <v>388</v>
      </c>
      <c r="G31" s="144">
        <f t="shared" si="1"/>
        <v>-1.4492000000000001E-3</v>
      </c>
      <c r="H31" s="145">
        <f>+F31/100000*'Bal Híd'!$G$4</f>
        <v>4.2679999999999998</v>
      </c>
      <c r="I31" s="145">
        <v>0</v>
      </c>
      <c r="J31" s="145">
        <f t="shared" ca="1" si="2"/>
        <v>4.4618171528151231</v>
      </c>
      <c r="K31" s="145">
        <f t="shared" ca="1" si="3"/>
        <v>208.95488509240295</v>
      </c>
      <c r="L31" s="145">
        <f t="shared" ca="1" si="4"/>
        <v>252.19640222768891</v>
      </c>
      <c r="M31" s="145">
        <f t="shared" ca="1" si="5"/>
        <v>3.9915269222051437</v>
      </c>
      <c r="N31" s="145">
        <f t="shared" ca="1" si="6"/>
        <v>3.9915269222051437</v>
      </c>
      <c r="O31" s="143">
        <f t="shared" ca="1" si="0"/>
        <v>194.48192546340491</v>
      </c>
      <c r="P31" s="145">
        <f t="shared" ca="1" si="7"/>
        <v>0</v>
      </c>
      <c r="Q31" s="145">
        <f t="shared" ca="1" si="8"/>
        <v>4.2679999999999998</v>
      </c>
      <c r="R31" s="592">
        <f t="shared" ca="1" si="9"/>
        <v>0.62267915913725358</v>
      </c>
      <c r="S31" s="311"/>
      <c r="T31" s="392">
        <f t="shared" si="10"/>
        <v>1982</v>
      </c>
      <c r="U31" s="392">
        <f t="shared" si="11"/>
        <v>12</v>
      </c>
      <c r="V31" s="311">
        <f t="shared" ca="1" si="12"/>
        <v>104.50226593084669</v>
      </c>
      <c r="W31" s="269" t="str">
        <f t="shared" ca="1" si="13"/>
        <v>|||||||</v>
      </c>
      <c r="X31" s="269" t="str">
        <f t="shared" ca="1" si="14"/>
        <v>|||||</v>
      </c>
      <c r="Y31" s="434" t="str">
        <f t="shared" ca="1" si="15"/>
        <v/>
      </c>
      <c r="Z31" s="269" t="str">
        <f t="shared" ca="1" si="16"/>
        <v>|||||||||||||||||||||</v>
      </c>
      <c r="AA31" s="270" t="str">
        <f t="shared" ca="1" si="17"/>
        <v/>
      </c>
    </row>
    <row r="32" spans="1:27" x14ac:dyDescent="0.25">
      <c r="A32" s="140">
        <f>+'Esc 2'!A42</f>
        <v>1983</v>
      </c>
      <c r="B32" s="140">
        <f>+'Esc 2'!B42</f>
        <v>1</v>
      </c>
      <c r="C32" s="141">
        <f>+'Esc 2'!O42</f>
        <v>1.4301066889817158</v>
      </c>
      <c r="D32" s="140">
        <f>+'Esc 2'!D42</f>
        <v>162.1</v>
      </c>
      <c r="E32" s="147">
        <f t="shared" si="18"/>
        <v>176.89</v>
      </c>
      <c r="F32" s="146">
        <f t="shared" si="18"/>
        <v>318</v>
      </c>
      <c r="G32" s="144">
        <f t="shared" si="1"/>
        <v>-1.4789999999999991E-4</v>
      </c>
      <c r="H32" s="145">
        <f>+F32/100000*'Bal Híd'!$G$4</f>
        <v>3.4980000000000002</v>
      </c>
      <c r="I32" s="145">
        <v>0</v>
      </c>
      <c r="J32" s="145">
        <f t="shared" ca="1" si="2"/>
        <v>1.923633611186859</v>
      </c>
      <c r="K32" s="145">
        <f t="shared" ca="1" si="3"/>
        <v>121.50136368568191</v>
      </c>
      <c r="L32" s="145">
        <f t="shared" ca="1" si="4"/>
        <v>157.99164457454341</v>
      </c>
      <c r="M32" s="145">
        <f t="shared" ca="1" si="5"/>
        <v>1.8143560356579815</v>
      </c>
      <c r="N32" s="145">
        <f t="shared" ca="1" si="6"/>
        <v>1.8143560356579815</v>
      </c>
      <c r="O32" s="143">
        <f t="shared" ca="1" si="0"/>
        <v>117.00717386622874</v>
      </c>
      <c r="P32" s="145">
        <f t="shared" ca="1" si="7"/>
        <v>0</v>
      </c>
      <c r="Q32" s="145">
        <f t="shared" ca="1" si="8"/>
        <v>3.4980000000000002</v>
      </c>
      <c r="R32" s="592">
        <f t="shared" ca="1" si="9"/>
        <v>1.320829113452838</v>
      </c>
      <c r="S32" s="311"/>
      <c r="T32" s="392">
        <f t="shared" si="10"/>
        <v>1983</v>
      </c>
      <c r="U32" s="392">
        <f t="shared" si="11"/>
        <v>1</v>
      </c>
      <c r="V32" s="311">
        <f t="shared" ca="1" si="12"/>
        <v>103.09110494688325</v>
      </c>
      <c r="W32" s="269" t="str">
        <f t="shared" ca="1" si="13"/>
        <v>||||</v>
      </c>
      <c r="X32" s="269" t="str">
        <f t="shared" ca="1" si="14"/>
        <v>||</v>
      </c>
      <c r="Y32" s="434" t="str">
        <f t="shared" ca="1" si="15"/>
        <v/>
      </c>
      <c r="Z32" s="269" t="str">
        <f t="shared" ca="1" si="16"/>
        <v>|||||||||||||||||</v>
      </c>
      <c r="AA32" s="270" t="str">
        <f t="shared" ca="1" si="17"/>
        <v/>
      </c>
    </row>
    <row r="33" spans="1:27" x14ac:dyDescent="0.25">
      <c r="A33" s="140">
        <f>+'Esc 2'!A43</f>
        <v>1983</v>
      </c>
      <c r="B33" s="140">
        <f>+'Esc 2'!B43</f>
        <v>2</v>
      </c>
      <c r="C33" s="141">
        <f>+'Esc 2'!O43</f>
        <v>7.0593676713086255</v>
      </c>
      <c r="D33" s="140">
        <f>+'Esc 2'!D43</f>
        <v>427.6</v>
      </c>
      <c r="E33" s="147">
        <f t="shared" ref="E33:F52" si="19">+E21</f>
        <v>131.73999999999998</v>
      </c>
      <c r="F33" s="146">
        <f t="shared" si="19"/>
        <v>153</v>
      </c>
      <c r="G33" s="144">
        <f t="shared" ref="G33:G96" si="20">+(D33-E33)/100000</f>
        <v>2.9586E-3</v>
      </c>
      <c r="H33" s="145">
        <f>+F33/100000*'Bal Híd'!$G$4</f>
        <v>1.6829999999999998</v>
      </c>
      <c r="I33" s="145">
        <v>0</v>
      </c>
      <c r="J33" s="145">
        <f t="shared" ca="1" si="2"/>
        <v>7.1907237069666081</v>
      </c>
      <c r="K33" s="145">
        <f t="shared" ca="1" si="3"/>
        <v>284.19707270870055</v>
      </c>
      <c r="L33" s="145">
        <f t="shared" ca="1" si="4"/>
        <v>200.60212328746465</v>
      </c>
      <c r="M33" s="145">
        <f t="shared" ca="1" si="5"/>
        <v>7.2457749040840653</v>
      </c>
      <c r="N33" s="145">
        <f t="shared" ca="1" si="6"/>
        <v>7.2457749040840653</v>
      </c>
      <c r="O33" s="143">
        <f t="shared" ca="1" si="0"/>
        <v>285.59732555547669</v>
      </c>
      <c r="P33" s="145">
        <f t="shared" ca="1" si="7"/>
        <v>0</v>
      </c>
      <c r="Q33" s="145">
        <f t="shared" ca="1" si="8"/>
        <v>1.6829999999999998</v>
      </c>
      <c r="R33" s="592">
        <f t="shared" ca="1" si="9"/>
        <v>7.1144188684260836</v>
      </c>
      <c r="S33" s="311"/>
      <c r="T33" s="392">
        <f t="shared" si="10"/>
        <v>1983</v>
      </c>
      <c r="U33" s="392">
        <f t="shared" si="11"/>
        <v>2</v>
      </c>
      <c r="V33" s="311">
        <f t="shared" ca="1" si="12"/>
        <v>105.86538179030732</v>
      </c>
      <c r="W33" s="269" t="str">
        <f t="shared" ca="1" si="13"/>
        <v>|||||||||</v>
      </c>
      <c r="X33" s="269" t="str">
        <f t="shared" ca="1" si="14"/>
        <v>|||||||||</v>
      </c>
      <c r="Y33" s="434" t="str">
        <f t="shared" ca="1" si="15"/>
        <v/>
      </c>
      <c r="Z33" s="269" t="str">
        <f t="shared" ca="1" si="16"/>
        <v>||||||||</v>
      </c>
      <c r="AA33" s="270" t="str">
        <f t="shared" ca="1" si="17"/>
        <v/>
      </c>
    </row>
    <row r="34" spans="1:27" x14ac:dyDescent="0.25">
      <c r="A34" s="140">
        <f>+'Esc 2'!A44</f>
        <v>1983</v>
      </c>
      <c r="B34" s="140">
        <f>+'Esc 2'!B44</f>
        <v>3</v>
      </c>
      <c r="C34" s="141">
        <f>+'Esc 2'!O44</f>
        <v>1.932234558992534</v>
      </c>
      <c r="D34" s="140">
        <f>+'Esc 2'!D44</f>
        <v>91.9</v>
      </c>
      <c r="E34" s="147">
        <f t="shared" si="19"/>
        <v>118.64999999999999</v>
      </c>
      <c r="F34" s="146">
        <f t="shared" si="19"/>
        <v>47</v>
      </c>
      <c r="G34" s="144">
        <f t="shared" si="20"/>
        <v>-2.6749999999999983E-4</v>
      </c>
      <c r="H34" s="145">
        <f>+F34/100000*'Bal Híd'!$G$4</f>
        <v>0.51700000000000002</v>
      </c>
      <c r="I34" s="145">
        <v>0</v>
      </c>
      <c r="J34" s="145">
        <f t="shared" ca="1" si="2"/>
        <v>8.6610094630765992</v>
      </c>
      <c r="K34" s="145">
        <f t="shared" ca="1" si="3"/>
        <v>320.39643737847791</v>
      </c>
      <c r="L34" s="145">
        <f t="shared" ca="1" si="4"/>
        <v>302.9968814669773</v>
      </c>
      <c r="M34" s="145">
        <f t="shared" ca="1" si="5"/>
        <v>8.3573490346843879</v>
      </c>
      <c r="N34" s="145">
        <f t="shared" ca="1" si="6"/>
        <v>7.6368477630678893</v>
      </c>
      <c r="O34" s="143">
        <f t="shared" ca="1" si="0"/>
        <v>295.43791936297487</v>
      </c>
      <c r="P34" s="145">
        <f t="shared" ca="1" si="7"/>
        <v>0.72050127161649868</v>
      </c>
      <c r="Q34" s="145">
        <f t="shared" ca="1" si="8"/>
        <v>0.51700000000000002</v>
      </c>
      <c r="R34" s="592">
        <f t="shared" ca="1" si="9"/>
        <v>1.6285741306003239</v>
      </c>
      <c r="S34" s="311"/>
      <c r="T34" s="392">
        <f t="shared" si="10"/>
        <v>1983</v>
      </c>
      <c r="U34" s="392">
        <f t="shared" si="11"/>
        <v>3</v>
      </c>
      <c r="V34" s="311">
        <f t="shared" ca="1" si="12"/>
        <v>106</v>
      </c>
      <c r="W34" s="269" t="str">
        <f t="shared" ca="1" si="13"/>
        <v>||||||||||</v>
      </c>
      <c r="X34" s="269" t="str">
        <f t="shared" ca="1" si="14"/>
        <v>||||||||||</v>
      </c>
      <c r="Y34" s="434" t="str">
        <f t="shared" ca="1" si="15"/>
        <v/>
      </c>
      <c r="Z34" s="269" t="str">
        <f t="shared" ca="1" si="16"/>
        <v>||</v>
      </c>
      <c r="AA34" s="270" t="str">
        <f t="shared" ca="1" si="17"/>
        <v>|||</v>
      </c>
    </row>
    <row r="35" spans="1:27" x14ac:dyDescent="0.25">
      <c r="A35" s="140">
        <f>+'Esc 2'!A45</f>
        <v>1983</v>
      </c>
      <c r="B35" s="140">
        <f>+'Esc 2'!B45</f>
        <v>4</v>
      </c>
      <c r="C35" s="141">
        <f>+'Esc 2'!O45</f>
        <v>0.98816565637740317</v>
      </c>
      <c r="D35" s="140">
        <f>+'Esc 2'!D45</f>
        <v>80.099999999999994</v>
      </c>
      <c r="E35" s="147">
        <f t="shared" si="19"/>
        <v>73.149999999999991</v>
      </c>
      <c r="F35" s="146">
        <f t="shared" si="19"/>
        <v>0</v>
      </c>
      <c r="G35" s="144">
        <f t="shared" si="20"/>
        <v>6.9500000000000022E-5</v>
      </c>
      <c r="H35" s="145">
        <f>+F35/100000*'Bal Híd'!$G$4</f>
        <v>0</v>
      </c>
      <c r="I35" s="145">
        <v>0</v>
      </c>
      <c r="J35" s="145">
        <f t="shared" ca="1" si="2"/>
        <v>8.6250134194452919</v>
      </c>
      <c r="K35" s="145">
        <f t="shared" ca="1" si="3"/>
        <v>319.53766617622858</v>
      </c>
      <c r="L35" s="145">
        <f t="shared" ca="1" si="4"/>
        <v>307.4877927696017</v>
      </c>
      <c r="M35" s="145">
        <f t="shared" ca="1" si="5"/>
        <v>8.53085192881076</v>
      </c>
      <c r="N35" s="145">
        <f t="shared" ca="1" si="6"/>
        <v>7.6368477630678893</v>
      </c>
      <c r="O35" s="143">
        <f t="shared" ca="1" si="0"/>
        <v>295.43791936297487</v>
      </c>
      <c r="P35" s="145">
        <f t="shared" ca="1" si="7"/>
        <v>0.89400416574287078</v>
      </c>
      <c r="Q35" s="145">
        <f t="shared" ca="1" si="8"/>
        <v>0</v>
      </c>
      <c r="R35" s="592">
        <f t="shared" ca="1" si="9"/>
        <v>0.89400416574287067</v>
      </c>
      <c r="S35" s="311"/>
      <c r="T35" s="392">
        <f t="shared" si="10"/>
        <v>1983</v>
      </c>
      <c r="U35" s="392">
        <f t="shared" si="11"/>
        <v>4</v>
      </c>
      <c r="V35" s="311">
        <f t="shared" ca="1" si="12"/>
        <v>106</v>
      </c>
      <c r="W35" s="269" t="str">
        <f t="shared" ca="1" si="13"/>
        <v>||||||||||</v>
      </c>
      <c r="X35" s="269" t="str">
        <f t="shared" ca="1" si="14"/>
        <v>||||||||||</v>
      </c>
      <c r="Y35" s="434" t="str">
        <f t="shared" ca="1" si="15"/>
        <v/>
      </c>
      <c r="Z35" s="269" t="str">
        <f t="shared" ca="1" si="16"/>
        <v/>
      </c>
      <c r="AA35" s="270" t="str">
        <f t="shared" ca="1" si="17"/>
        <v>||||</v>
      </c>
    </row>
    <row r="36" spans="1:27" x14ac:dyDescent="0.25">
      <c r="A36" s="140">
        <f>+'Esc 2'!A46</f>
        <v>1983</v>
      </c>
      <c r="B36" s="140">
        <f>+'Esc 2'!B46</f>
        <v>5</v>
      </c>
      <c r="C36" s="141">
        <f>+'Esc 2'!O46</f>
        <v>5.4548732982233084</v>
      </c>
      <c r="D36" s="140">
        <f>+'Esc 2'!D46</f>
        <v>299.2</v>
      </c>
      <c r="E36" s="147">
        <f t="shared" si="19"/>
        <v>51.24</v>
      </c>
      <c r="F36" s="146">
        <f t="shared" si="19"/>
        <v>0</v>
      </c>
      <c r="G36" s="144">
        <f t="shared" si="20"/>
        <v>2.4795999999999998E-3</v>
      </c>
      <c r="H36" s="145">
        <f>+F36/100000*'Bal Híd'!$G$4</f>
        <v>0</v>
      </c>
      <c r="I36" s="145">
        <v>0</v>
      </c>
      <c r="J36" s="145">
        <f t="shared" ca="1" si="2"/>
        <v>13.091721061291198</v>
      </c>
      <c r="K36" s="145">
        <f t="shared" ca="1" si="3"/>
        <v>418.13673197194623</v>
      </c>
      <c r="L36" s="145">
        <f t="shared" ca="1" si="4"/>
        <v>356.78732566746055</v>
      </c>
      <c r="M36" s="145">
        <f t="shared" ca="1" si="5"/>
        <v>13.236399637998007</v>
      </c>
      <c r="N36" s="145">
        <f t="shared" ca="1" si="6"/>
        <v>7.6368477630678893</v>
      </c>
      <c r="O36" s="143">
        <f t="shared" ca="1" si="0"/>
        <v>295.43791936297487</v>
      </c>
      <c r="P36" s="145">
        <f t="shared" ca="1" si="7"/>
        <v>5.5995518749301176</v>
      </c>
      <c r="Q36" s="145">
        <f t="shared" ca="1" si="8"/>
        <v>0</v>
      </c>
      <c r="R36" s="592">
        <f t="shared" ca="1" si="9"/>
        <v>5.5995518749301176</v>
      </c>
      <c r="S36" s="311"/>
      <c r="T36" s="392">
        <f t="shared" si="10"/>
        <v>1983</v>
      </c>
      <c r="U36" s="392">
        <f t="shared" si="11"/>
        <v>5</v>
      </c>
      <c r="V36" s="311">
        <f t="shared" ca="1" si="12"/>
        <v>106</v>
      </c>
      <c r="W36" s="269" t="str">
        <f t="shared" ca="1" si="13"/>
        <v>||||||||||</v>
      </c>
      <c r="X36" s="269" t="str">
        <f t="shared" ca="1" si="14"/>
        <v>||||||||||</v>
      </c>
      <c r="Y36" s="434" t="str">
        <f t="shared" ca="1" si="15"/>
        <v/>
      </c>
      <c r="Z36" s="269" t="str">
        <f t="shared" ca="1" si="16"/>
        <v/>
      </c>
      <c r="AA36" s="270" t="str">
        <f t="shared" ca="1" si="17"/>
        <v>|||||||||||||||||||||||||||</v>
      </c>
    </row>
    <row r="37" spans="1:27" x14ac:dyDescent="0.25">
      <c r="A37" s="140">
        <f>+'Esc 2'!A47</f>
        <v>1983</v>
      </c>
      <c r="B37" s="140">
        <f>+'Esc 2'!B47</f>
        <v>6</v>
      </c>
      <c r="C37" s="141">
        <f>+'Esc 2'!O47</f>
        <v>2.1381846530826674</v>
      </c>
      <c r="D37" s="140">
        <f>+'Esc 2'!D47</f>
        <v>80.2</v>
      </c>
      <c r="E37" s="147">
        <f t="shared" si="19"/>
        <v>41.019999999999996</v>
      </c>
      <c r="F37" s="146">
        <f t="shared" si="19"/>
        <v>0</v>
      </c>
      <c r="G37" s="144">
        <f t="shared" si="20"/>
        <v>3.9180000000000009E-4</v>
      </c>
      <c r="H37" s="145">
        <f>+F37/100000*'Bal Híd'!$G$4</f>
        <v>0</v>
      </c>
      <c r="I37" s="145">
        <v>0</v>
      </c>
      <c r="J37" s="145">
        <f t="shared" ca="1" si="2"/>
        <v>9.7750324161505571</v>
      </c>
      <c r="K37" s="145">
        <f t="shared" ca="1" si="3"/>
        <v>346.37997558983409</v>
      </c>
      <c r="L37" s="145">
        <f t="shared" ca="1" si="4"/>
        <v>320.90894747640448</v>
      </c>
      <c r="M37" s="145">
        <f t="shared" ca="1" si="5"/>
        <v>9.6398662198969216</v>
      </c>
      <c r="N37" s="145">
        <f t="shared" ca="1" si="6"/>
        <v>7.6368477630678893</v>
      </c>
      <c r="O37" s="143">
        <f t="shared" ca="1" si="0"/>
        <v>295.43791936297487</v>
      </c>
      <c r="P37" s="145">
        <f t="shared" ca="1" si="7"/>
        <v>2.0030184568290323</v>
      </c>
      <c r="Q37" s="145">
        <f t="shared" ca="1" si="8"/>
        <v>0</v>
      </c>
      <c r="R37" s="592">
        <f t="shared" ca="1" si="9"/>
        <v>2.0030184568290328</v>
      </c>
      <c r="S37" s="311"/>
      <c r="T37" s="392">
        <f t="shared" si="10"/>
        <v>1983</v>
      </c>
      <c r="U37" s="392">
        <f t="shared" si="11"/>
        <v>6</v>
      </c>
      <c r="V37" s="311">
        <f t="shared" ca="1" si="12"/>
        <v>106</v>
      </c>
      <c r="W37" s="269" t="str">
        <f t="shared" ca="1" si="13"/>
        <v>||||||||||</v>
      </c>
      <c r="X37" s="269" t="str">
        <f t="shared" ca="1" si="14"/>
        <v>||||||||||</v>
      </c>
      <c r="Y37" s="434" t="str">
        <f t="shared" ca="1" si="15"/>
        <v/>
      </c>
      <c r="Z37" s="269" t="str">
        <f t="shared" ca="1" si="16"/>
        <v/>
      </c>
      <c r="AA37" s="270" t="str">
        <f t="shared" ca="1" si="17"/>
        <v>||||||||||</v>
      </c>
    </row>
    <row r="38" spans="1:27" x14ac:dyDescent="0.25">
      <c r="A38" s="140">
        <f>+'Esc 2'!A48</f>
        <v>1983</v>
      </c>
      <c r="B38" s="140">
        <f>+'Esc 2'!B48</f>
        <v>7</v>
      </c>
      <c r="C38" s="141">
        <f>+'Esc 2'!O48</f>
        <v>2.1434527721558672</v>
      </c>
      <c r="D38" s="140">
        <f>+'Esc 2'!D48</f>
        <v>121.5</v>
      </c>
      <c r="E38" s="147">
        <f t="shared" si="19"/>
        <v>50.819999999999993</v>
      </c>
      <c r="F38" s="146">
        <f t="shared" si="19"/>
        <v>0</v>
      </c>
      <c r="G38" s="144">
        <f t="shared" si="20"/>
        <v>7.0680000000000005E-4</v>
      </c>
      <c r="H38" s="145">
        <f>+F38/100000*'Bal Híd'!$G$4</f>
        <v>0</v>
      </c>
      <c r="I38" s="145">
        <v>0</v>
      </c>
      <c r="J38" s="145">
        <f t="shared" ca="1" si="2"/>
        <v>9.7803005352237555</v>
      </c>
      <c r="K38" s="145">
        <f t="shared" ca="1" si="3"/>
        <v>346.50026591951217</v>
      </c>
      <c r="L38" s="145">
        <f t="shared" ca="1" si="4"/>
        <v>320.96909264124349</v>
      </c>
      <c r="M38" s="145">
        <f t="shared" ca="1" si="5"/>
        <v>9.745571341081968</v>
      </c>
      <c r="N38" s="145">
        <f t="shared" ca="1" si="6"/>
        <v>7.6368477630678893</v>
      </c>
      <c r="O38" s="143">
        <f t="shared" ca="1" si="0"/>
        <v>295.43791936297487</v>
      </c>
      <c r="P38" s="145">
        <f t="shared" ca="1" si="7"/>
        <v>2.1087235780140787</v>
      </c>
      <c r="Q38" s="145">
        <f t="shared" ca="1" si="8"/>
        <v>0</v>
      </c>
      <c r="R38" s="592">
        <f t="shared" ca="1" si="9"/>
        <v>2.1087235780140796</v>
      </c>
      <c r="S38" s="311"/>
      <c r="T38" s="392">
        <f t="shared" si="10"/>
        <v>1983</v>
      </c>
      <c r="U38" s="392">
        <f t="shared" si="11"/>
        <v>7</v>
      </c>
      <c r="V38" s="311">
        <f t="shared" ca="1" si="12"/>
        <v>106</v>
      </c>
      <c r="W38" s="269" t="str">
        <f t="shared" ca="1" si="13"/>
        <v>||||||||||</v>
      </c>
      <c r="X38" s="269" t="str">
        <f t="shared" ca="1" si="14"/>
        <v>||||||||||</v>
      </c>
      <c r="Y38" s="434" t="str">
        <f t="shared" ca="1" si="15"/>
        <v/>
      </c>
      <c r="Z38" s="269" t="str">
        <f t="shared" ca="1" si="16"/>
        <v/>
      </c>
      <c r="AA38" s="270" t="str">
        <f t="shared" ca="1" si="17"/>
        <v>||||||||||</v>
      </c>
    </row>
    <row r="39" spans="1:27" x14ac:dyDescent="0.25">
      <c r="A39" s="140">
        <f>+'Esc 2'!A49</f>
        <v>1983</v>
      </c>
      <c r="B39" s="140">
        <f>+'Esc 2'!B49</f>
        <v>8</v>
      </c>
      <c r="C39" s="141">
        <f>+'Esc 2'!O49</f>
        <v>0.90236731693755545</v>
      </c>
      <c r="D39" s="140">
        <f>+'Esc 2'!D49</f>
        <v>47.8</v>
      </c>
      <c r="E39" s="147">
        <f t="shared" si="19"/>
        <v>72.449999999999989</v>
      </c>
      <c r="F39" s="146">
        <f t="shared" si="19"/>
        <v>0</v>
      </c>
      <c r="G39" s="144">
        <f t="shared" si="20"/>
        <v>-2.4649999999999992E-4</v>
      </c>
      <c r="H39" s="145">
        <f>+F39/100000*'Bal Híd'!$G$4</f>
        <v>0</v>
      </c>
      <c r="I39" s="145">
        <v>0</v>
      </c>
      <c r="J39" s="145">
        <f t="shared" ca="1" si="2"/>
        <v>8.5392150800054445</v>
      </c>
      <c r="K39" s="145">
        <f t="shared" ca="1" si="3"/>
        <v>317.48558678115387</v>
      </c>
      <c r="L39" s="145">
        <f t="shared" ca="1" si="4"/>
        <v>306.46175307206437</v>
      </c>
      <c r="M39" s="145">
        <f t="shared" ca="1" si="5"/>
        <v>8.3585235621075462</v>
      </c>
      <c r="N39" s="145">
        <f t="shared" ca="1" si="6"/>
        <v>7.6368477630678893</v>
      </c>
      <c r="O39" s="143">
        <f t="shared" ca="1" si="0"/>
        <v>295.43791936297487</v>
      </c>
      <c r="P39" s="145">
        <f t="shared" ca="1" si="7"/>
        <v>0.72167579903965695</v>
      </c>
      <c r="Q39" s="145">
        <f t="shared" ca="1" si="8"/>
        <v>0</v>
      </c>
      <c r="R39" s="592">
        <f t="shared" ca="1" si="9"/>
        <v>0.72167579903965717</v>
      </c>
      <c r="S39" s="311"/>
      <c r="T39" s="392">
        <f t="shared" si="10"/>
        <v>1983</v>
      </c>
      <c r="U39" s="392">
        <f t="shared" si="11"/>
        <v>8</v>
      </c>
      <c r="V39" s="311">
        <f t="shared" ca="1" si="12"/>
        <v>106</v>
      </c>
      <c r="W39" s="269" t="str">
        <f t="shared" ca="1" si="13"/>
        <v>||||||||||</v>
      </c>
      <c r="X39" s="269" t="str">
        <f t="shared" ca="1" si="14"/>
        <v>||||||||||</v>
      </c>
      <c r="Y39" s="434" t="str">
        <f t="shared" ca="1" si="15"/>
        <v/>
      </c>
      <c r="Z39" s="269" t="str">
        <f t="shared" ca="1" si="16"/>
        <v/>
      </c>
      <c r="AA39" s="270" t="str">
        <f t="shared" ca="1" si="17"/>
        <v>|||</v>
      </c>
    </row>
    <row r="40" spans="1:27" x14ac:dyDescent="0.25">
      <c r="A40" s="140">
        <f>+'Esc 2'!A50</f>
        <v>1983</v>
      </c>
      <c r="B40" s="140">
        <f>+'Esc 2'!B50</f>
        <v>9</v>
      </c>
      <c r="C40" s="141">
        <f>+'Esc 2'!O50</f>
        <v>0.41927041498801532</v>
      </c>
      <c r="D40" s="140">
        <f>+'Esc 2'!D50</f>
        <v>47.7</v>
      </c>
      <c r="E40" s="147">
        <f t="shared" si="19"/>
        <v>85.89</v>
      </c>
      <c r="F40" s="146">
        <f t="shared" si="19"/>
        <v>0</v>
      </c>
      <c r="G40" s="144">
        <f t="shared" si="20"/>
        <v>-3.8189999999999996E-4</v>
      </c>
      <c r="H40" s="145">
        <f>+F40/100000*'Bal Híd'!$G$4</f>
        <v>0</v>
      </c>
      <c r="I40" s="145">
        <v>0</v>
      </c>
      <c r="J40" s="145">
        <f t="shared" ca="1" si="2"/>
        <v>8.0561181780559039</v>
      </c>
      <c r="K40" s="145">
        <f t="shared" ca="1" si="3"/>
        <v>305.79104970808748</v>
      </c>
      <c r="L40" s="145">
        <f t="shared" ca="1" si="4"/>
        <v>300.61448453553118</v>
      </c>
      <c r="M40" s="145">
        <f t="shared" ca="1" si="5"/>
        <v>7.8933900236427288</v>
      </c>
      <c r="N40" s="145">
        <f t="shared" ca="1" si="6"/>
        <v>7.6368477630678893</v>
      </c>
      <c r="O40" s="143">
        <f t="shared" ca="1" si="0"/>
        <v>295.43791936297487</v>
      </c>
      <c r="P40" s="145">
        <f t="shared" ca="1" si="7"/>
        <v>0.25654226057483953</v>
      </c>
      <c r="Q40" s="145">
        <f t="shared" ca="1" si="8"/>
        <v>0</v>
      </c>
      <c r="R40" s="592">
        <f t="shared" ca="1" si="9"/>
        <v>0.25654226057483881</v>
      </c>
      <c r="S40" s="311"/>
      <c r="T40" s="392">
        <f t="shared" si="10"/>
        <v>1983</v>
      </c>
      <c r="U40" s="392">
        <f t="shared" si="11"/>
        <v>9</v>
      </c>
      <c r="V40" s="311">
        <f t="shared" ca="1" si="12"/>
        <v>106</v>
      </c>
      <c r="W40" s="269" t="str">
        <f t="shared" ca="1" si="13"/>
        <v>||||||||||</v>
      </c>
      <c r="X40" s="269" t="str">
        <f t="shared" ca="1" si="14"/>
        <v>||||||||||</v>
      </c>
      <c r="Y40" s="434" t="str">
        <f t="shared" ca="1" si="15"/>
        <v/>
      </c>
      <c r="Z40" s="269" t="str">
        <f t="shared" ca="1" si="16"/>
        <v/>
      </c>
      <c r="AA40" s="270" t="str">
        <f t="shared" ca="1" si="17"/>
        <v>|</v>
      </c>
    </row>
    <row r="41" spans="1:27" x14ac:dyDescent="0.25">
      <c r="A41" s="140">
        <f>+'Esc 2'!A51</f>
        <v>1983</v>
      </c>
      <c r="B41" s="140">
        <f>+'Esc 2'!B51</f>
        <v>10</v>
      </c>
      <c r="C41" s="141">
        <f>+'Esc 2'!O51</f>
        <v>0.69661277982757164</v>
      </c>
      <c r="D41" s="140">
        <f>+'Esc 2'!D51</f>
        <v>87</v>
      </c>
      <c r="E41" s="147">
        <f t="shared" si="19"/>
        <v>114.86999999999999</v>
      </c>
      <c r="F41" s="146">
        <f t="shared" si="19"/>
        <v>59</v>
      </c>
      <c r="G41" s="144">
        <f t="shared" si="20"/>
        <v>-2.7869999999999989E-4</v>
      </c>
      <c r="H41" s="145">
        <f>+F41/100000*'Bal Híd'!$G$4</f>
        <v>0.64900000000000002</v>
      </c>
      <c r="I41" s="145">
        <v>0</v>
      </c>
      <c r="J41" s="145">
        <f t="shared" ca="1" si="2"/>
        <v>7.6844605428954607</v>
      </c>
      <c r="K41" s="145">
        <f t="shared" ca="1" si="3"/>
        <v>296.62362674241984</v>
      </c>
      <c r="L41" s="145">
        <f t="shared" ca="1" si="4"/>
        <v>296.03077305269733</v>
      </c>
      <c r="M41" s="145">
        <f t="shared" ca="1" si="5"/>
        <v>7.5235465688294214</v>
      </c>
      <c r="N41" s="145">
        <f t="shared" ca="1" si="6"/>
        <v>7.5235465688294214</v>
      </c>
      <c r="O41" s="143">
        <f t="shared" ca="1" si="0"/>
        <v>292.60574195194414</v>
      </c>
      <c r="P41" s="145">
        <f t="shared" ca="1" si="7"/>
        <v>0</v>
      </c>
      <c r="Q41" s="145">
        <f t="shared" ca="1" si="8"/>
        <v>0.64900000000000002</v>
      </c>
      <c r="R41" s="592">
        <f t="shared" ca="1" si="9"/>
        <v>0.53569880576153228</v>
      </c>
      <c r="S41" s="311"/>
      <c r="T41" s="392">
        <f t="shared" si="10"/>
        <v>1983</v>
      </c>
      <c r="U41" s="392">
        <f t="shared" si="11"/>
        <v>10</v>
      </c>
      <c r="V41" s="311">
        <f t="shared" ca="1" si="12"/>
        <v>105.96146490663774</v>
      </c>
      <c r="W41" s="269" t="str">
        <f t="shared" ca="1" si="13"/>
        <v>|||||||||</v>
      </c>
      <c r="X41" s="269" t="str">
        <f t="shared" ca="1" si="14"/>
        <v>|||||||||</v>
      </c>
      <c r="Y41" s="434" t="str">
        <f t="shared" ca="1" si="15"/>
        <v/>
      </c>
      <c r="Z41" s="269" t="str">
        <f t="shared" ca="1" si="16"/>
        <v>|||</v>
      </c>
      <c r="AA41" s="270" t="str">
        <f t="shared" ca="1" si="17"/>
        <v/>
      </c>
    </row>
    <row r="42" spans="1:27" x14ac:dyDescent="0.25">
      <c r="A42" s="140">
        <f>+'Esc 2'!A52</f>
        <v>1983</v>
      </c>
      <c r="B42" s="140">
        <f>+'Esc 2'!B52</f>
        <v>11</v>
      </c>
      <c r="C42" s="141">
        <f>+'Esc 2'!O52</f>
        <v>1.5353281145551652</v>
      </c>
      <c r="D42" s="140">
        <f>+'Esc 2'!D52</f>
        <v>150.5</v>
      </c>
      <c r="E42" s="147">
        <f t="shared" si="19"/>
        <v>144.06</v>
      </c>
      <c r="F42" s="146">
        <f t="shared" si="19"/>
        <v>212</v>
      </c>
      <c r="G42" s="144">
        <f t="shared" si="20"/>
        <v>6.439999999999998E-5</v>
      </c>
      <c r="H42" s="145">
        <f>+F42/100000*'Bal Híd'!$G$4</f>
        <v>2.3319999999999999</v>
      </c>
      <c r="I42" s="145">
        <v>0</v>
      </c>
      <c r="J42" s="145">
        <f t="shared" ca="1" si="2"/>
        <v>6.7268746833845876</v>
      </c>
      <c r="K42" s="145">
        <f t="shared" ca="1" si="3"/>
        <v>272.24324059571023</v>
      </c>
      <c r="L42" s="145">
        <f t="shared" ca="1" si="4"/>
        <v>282.42449127382719</v>
      </c>
      <c r="M42" s="145">
        <f t="shared" ca="1" si="5"/>
        <v>6.5801904777740861</v>
      </c>
      <c r="N42" s="145">
        <f t="shared" ca="1" si="6"/>
        <v>6.5801904777740861</v>
      </c>
      <c r="O42" s="143">
        <f t="shared" ca="1" si="0"/>
        <v>268.40257614089279</v>
      </c>
      <c r="P42" s="145">
        <f t="shared" ca="1" si="7"/>
        <v>0</v>
      </c>
      <c r="Q42" s="145">
        <f t="shared" ca="1" si="8"/>
        <v>2.3319999999999999</v>
      </c>
      <c r="R42" s="592">
        <f t="shared" ca="1" si="9"/>
        <v>1.3886439089446647</v>
      </c>
      <c r="S42" s="311"/>
      <c r="T42" s="392">
        <f t="shared" si="10"/>
        <v>1983</v>
      </c>
      <c r="U42" s="392">
        <f t="shared" si="11"/>
        <v>11</v>
      </c>
      <c r="V42" s="311">
        <f t="shared" ca="1" si="12"/>
        <v>105.62506396144144</v>
      </c>
      <c r="W42" s="269" t="str">
        <f t="shared" ca="1" si="13"/>
        <v>|||||||||</v>
      </c>
      <c r="X42" s="269" t="str">
        <f t="shared" ca="1" si="14"/>
        <v>||||||||</v>
      </c>
      <c r="Y42" s="434" t="str">
        <f t="shared" ca="1" si="15"/>
        <v/>
      </c>
      <c r="Z42" s="269" t="str">
        <f t="shared" ca="1" si="16"/>
        <v>|||||||||||</v>
      </c>
      <c r="AA42" s="270" t="str">
        <f t="shared" ca="1" si="17"/>
        <v/>
      </c>
    </row>
    <row r="43" spans="1:27" x14ac:dyDescent="0.25">
      <c r="A43" s="140">
        <f>+'Esc 2'!A53</f>
        <v>1983</v>
      </c>
      <c r="B43" s="140">
        <f>+'Esc 2'!B53</f>
        <v>12</v>
      </c>
      <c r="C43" s="141">
        <f>+'Esc 2'!O53</f>
        <v>0.46523814881150954</v>
      </c>
      <c r="D43" s="140">
        <f>+'Esc 2'!D53</f>
        <v>19.3</v>
      </c>
      <c r="E43" s="147">
        <f t="shared" si="19"/>
        <v>179.62</v>
      </c>
      <c r="F43" s="146">
        <f t="shared" si="19"/>
        <v>388</v>
      </c>
      <c r="G43" s="144">
        <f t="shared" si="20"/>
        <v>-1.6031999999999999E-3</v>
      </c>
      <c r="H43" s="145">
        <f>+F43/100000*'Bal Híd'!$G$4</f>
        <v>4.2679999999999998</v>
      </c>
      <c r="I43" s="145">
        <v>0</v>
      </c>
      <c r="J43" s="145">
        <f t="shared" ca="1" si="2"/>
        <v>2.7774286265855954</v>
      </c>
      <c r="K43" s="145">
        <f t="shared" ca="1" si="3"/>
        <v>153.95099462176657</v>
      </c>
      <c r="L43" s="145">
        <f t="shared" ca="1" si="4"/>
        <v>211.17678538132969</v>
      </c>
      <c r="M43" s="145">
        <f t="shared" ca="1" si="5"/>
        <v>2.4015135416376188</v>
      </c>
      <c r="N43" s="145">
        <f t="shared" ca="1" si="6"/>
        <v>2.4015135416376188</v>
      </c>
      <c r="O43" s="143">
        <f t="shared" ca="1" si="0"/>
        <v>140.17839184507014</v>
      </c>
      <c r="P43" s="145">
        <f t="shared" ca="1" si="7"/>
        <v>0</v>
      </c>
      <c r="Q43" s="145">
        <f t="shared" ca="1" si="8"/>
        <v>4.2679999999999998</v>
      </c>
      <c r="R43" s="592">
        <f t="shared" ca="1" si="9"/>
        <v>8.9323063863532337E-2</v>
      </c>
      <c r="S43" s="311"/>
      <c r="T43" s="392">
        <f t="shared" si="10"/>
        <v>1983</v>
      </c>
      <c r="U43" s="392">
        <f t="shared" si="11"/>
        <v>12</v>
      </c>
      <c r="V43" s="311">
        <f t="shared" ca="1" si="12"/>
        <v>103.5482627605808</v>
      </c>
      <c r="W43" s="269" t="str">
        <f t="shared" ca="1" si="13"/>
        <v>|||||</v>
      </c>
      <c r="X43" s="269" t="str">
        <f t="shared" ca="1" si="14"/>
        <v>|||</v>
      </c>
      <c r="Y43" s="434" t="str">
        <f t="shared" ca="1" si="15"/>
        <v/>
      </c>
      <c r="Z43" s="269" t="str">
        <f t="shared" ca="1" si="16"/>
        <v>|||||||||||||||||||||</v>
      </c>
      <c r="AA43" s="270" t="str">
        <f t="shared" ca="1" si="17"/>
        <v/>
      </c>
    </row>
    <row r="44" spans="1:27" x14ac:dyDescent="0.25">
      <c r="A44" s="140">
        <f>+'Esc 2'!A54</f>
        <v>1984</v>
      </c>
      <c r="B44" s="140">
        <f>+'Esc 2'!B54</f>
        <v>1</v>
      </c>
      <c r="C44" s="141">
        <f>+'Esc 2'!O54</f>
        <v>4.4488209077702319</v>
      </c>
      <c r="D44" s="140">
        <f>+'Esc 2'!D54</f>
        <v>343.1</v>
      </c>
      <c r="E44" s="147">
        <f t="shared" si="19"/>
        <v>176.89</v>
      </c>
      <c r="F44" s="146">
        <f t="shared" si="19"/>
        <v>318</v>
      </c>
      <c r="G44" s="144">
        <f t="shared" si="20"/>
        <v>1.6621000000000003E-3</v>
      </c>
      <c r="H44" s="145">
        <f>+F44/100000*'Bal Híd'!$G$4</f>
        <v>3.4980000000000002</v>
      </c>
      <c r="I44" s="145">
        <v>0</v>
      </c>
      <c r="J44" s="145">
        <f t="shared" ca="1" si="2"/>
        <v>3.3523344494078504</v>
      </c>
      <c r="K44" s="145">
        <f t="shared" ca="1" si="3"/>
        <v>173.79451433693643</v>
      </c>
      <c r="L44" s="145">
        <f t="shared" ca="1" si="4"/>
        <v>156.98645309100328</v>
      </c>
      <c r="M44" s="145">
        <f t="shared" ca="1" si="5"/>
        <v>3.3477085476349151</v>
      </c>
      <c r="N44" s="145">
        <f t="shared" ca="1" si="6"/>
        <v>3.3477085476349151</v>
      </c>
      <c r="O44" s="143">
        <f t="shared" ca="1" si="0"/>
        <v>173.63992700933323</v>
      </c>
      <c r="P44" s="145">
        <f t="shared" ca="1" si="7"/>
        <v>0</v>
      </c>
      <c r="Q44" s="145">
        <f t="shared" ca="1" si="8"/>
        <v>3.4980000000000002</v>
      </c>
      <c r="R44" s="592">
        <f t="shared" ca="1" si="9"/>
        <v>4.4441950059972966</v>
      </c>
      <c r="S44" s="311"/>
      <c r="T44" s="392">
        <f t="shared" si="10"/>
        <v>1984</v>
      </c>
      <c r="U44" s="392">
        <f t="shared" si="11"/>
        <v>1</v>
      </c>
      <c r="V44" s="311">
        <f t="shared" ca="1" si="12"/>
        <v>104.15231271197372</v>
      </c>
      <c r="W44" s="269" t="str">
        <f t="shared" ca="1" si="13"/>
        <v>||||||</v>
      </c>
      <c r="X44" s="269" t="str">
        <f t="shared" ca="1" si="14"/>
        <v>||||</v>
      </c>
      <c r="Y44" s="434" t="str">
        <f t="shared" ca="1" si="15"/>
        <v/>
      </c>
      <c r="Z44" s="269" t="str">
        <f t="shared" ca="1" si="16"/>
        <v>|||||||||||||||||</v>
      </c>
      <c r="AA44" s="270" t="str">
        <f t="shared" ca="1" si="17"/>
        <v/>
      </c>
    </row>
    <row r="45" spans="1:27" x14ac:dyDescent="0.25">
      <c r="A45" s="140">
        <f>+'Esc 2'!A55</f>
        <v>1984</v>
      </c>
      <c r="B45" s="140">
        <f>+'Esc 2'!B55</f>
        <v>2</v>
      </c>
      <c r="C45" s="141">
        <f>+'Esc 2'!O55</f>
        <v>5.6164811013013276</v>
      </c>
      <c r="D45" s="140">
        <f>+'Esc 2'!D55</f>
        <v>332.6</v>
      </c>
      <c r="E45" s="147">
        <f t="shared" si="19"/>
        <v>131.73999999999998</v>
      </c>
      <c r="F45" s="146">
        <f t="shared" si="19"/>
        <v>153</v>
      </c>
      <c r="G45" s="144">
        <f t="shared" si="20"/>
        <v>2.0086000000000006E-3</v>
      </c>
      <c r="H45" s="145">
        <f>+F45/100000*'Bal Híd'!$G$4</f>
        <v>1.6829999999999998</v>
      </c>
      <c r="I45" s="145">
        <v>0</v>
      </c>
      <c r="J45" s="145">
        <f t="shared" ca="1" si="2"/>
        <v>7.2811896489362429</v>
      </c>
      <c r="K45" s="145">
        <f t="shared" ca="1" si="3"/>
        <v>286.49611689155864</v>
      </c>
      <c r="L45" s="145">
        <f t="shared" ca="1" si="4"/>
        <v>230.06802195044594</v>
      </c>
      <c r="M45" s="145">
        <f t="shared" ca="1" si="5"/>
        <v>7.2519838606021594</v>
      </c>
      <c r="N45" s="145">
        <f t="shared" ca="1" si="6"/>
        <v>7.2519838606021594</v>
      </c>
      <c r="O45" s="143">
        <f t="shared" ca="1" si="0"/>
        <v>285.75501547817282</v>
      </c>
      <c r="P45" s="145">
        <f t="shared" ca="1" si="7"/>
        <v>0</v>
      </c>
      <c r="Q45" s="145">
        <f t="shared" ca="1" si="8"/>
        <v>1.6829999999999998</v>
      </c>
      <c r="R45" s="592">
        <f t="shared" ca="1" si="9"/>
        <v>5.587275312967245</v>
      </c>
      <c r="S45" s="311"/>
      <c r="T45" s="392">
        <f t="shared" si="10"/>
        <v>1984</v>
      </c>
      <c r="U45" s="392">
        <f t="shared" si="11"/>
        <v>2</v>
      </c>
      <c r="V45" s="311">
        <f t="shared" ca="1" si="12"/>
        <v>105.86755521505519</v>
      </c>
      <c r="W45" s="269" t="str">
        <f t="shared" ca="1" si="13"/>
        <v>|||||||||</v>
      </c>
      <c r="X45" s="269" t="str">
        <f t="shared" ca="1" si="14"/>
        <v>|||||||||</v>
      </c>
      <c r="Y45" s="434" t="str">
        <f t="shared" ca="1" si="15"/>
        <v/>
      </c>
      <c r="Z45" s="269" t="str">
        <f t="shared" ca="1" si="16"/>
        <v>||||||||</v>
      </c>
      <c r="AA45" s="270" t="str">
        <f t="shared" ca="1" si="17"/>
        <v/>
      </c>
    </row>
    <row r="46" spans="1:27" x14ac:dyDescent="0.25">
      <c r="A46" s="140">
        <f>+'Esc 2'!A56</f>
        <v>1984</v>
      </c>
      <c r="B46" s="140">
        <f>+'Esc 2'!B56</f>
        <v>3</v>
      </c>
      <c r="C46" s="141">
        <f>+'Esc 2'!O56</f>
        <v>3.3736832357075297</v>
      </c>
      <c r="D46" s="140">
        <f>+'Esc 2'!D56</f>
        <v>197.5</v>
      </c>
      <c r="E46" s="147">
        <f t="shared" si="19"/>
        <v>118.64999999999999</v>
      </c>
      <c r="F46" s="146">
        <f t="shared" si="19"/>
        <v>47</v>
      </c>
      <c r="G46" s="144">
        <f t="shared" si="20"/>
        <v>7.8850000000000014E-4</v>
      </c>
      <c r="H46" s="145">
        <f>+F46/100000*'Bal Híd'!$G$4</f>
        <v>0.51700000000000002</v>
      </c>
      <c r="I46" s="145">
        <v>0</v>
      </c>
      <c r="J46" s="145">
        <f t="shared" ca="1" si="2"/>
        <v>10.10866709630969</v>
      </c>
      <c r="K46" s="145">
        <f t="shared" ca="1" si="3"/>
        <v>353.95326818064473</v>
      </c>
      <c r="L46" s="145">
        <f t="shared" ca="1" si="4"/>
        <v>319.85414182940877</v>
      </c>
      <c r="M46" s="145">
        <f t="shared" ca="1" si="5"/>
        <v>9.9505730163583408</v>
      </c>
      <c r="N46" s="145">
        <f t="shared" ca="1" si="6"/>
        <v>7.6368477630678893</v>
      </c>
      <c r="O46" s="143">
        <f t="shared" ca="1" si="0"/>
        <v>295.43791936297487</v>
      </c>
      <c r="P46" s="145">
        <f t="shared" ca="1" si="7"/>
        <v>2.3137252532904515</v>
      </c>
      <c r="Q46" s="145">
        <f t="shared" ca="1" si="8"/>
        <v>0.51700000000000002</v>
      </c>
      <c r="R46" s="592">
        <f t="shared" ca="1" si="9"/>
        <v>3.21558915575618</v>
      </c>
      <c r="S46" s="311"/>
      <c r="T46" s="392">
        <f t="shared" si="10"/>
        <v>1984</v>
      </c>
      <c r="U46" s="392">
        <f t="shared" si="11"/>
        <v>3</v>
      </c>
      <c r="V46" s="311">
        <f t="shared" ca="1" si="12"/>
        <v>106</v>
      </c>
      <c r="W46" s="269" t="str">
        <f t="shared" ca="1" si="13"/>
        <v>||||||||||</v>
      </c>
      <c r="X46" s="269" t="str">
        <f t="shared" ca="1" si="14"/>
        <v>||||||||||</v>
      </c>
      <c r="Y46" s="434" t="str">
        <f t="shared" ca="1" si="15"/>
        <v/>
      </c>
      <c r="Z46" s="269" t="str">
        <f t="shared" ca="1" si="16"/>
        <v>||</v>
      </c>
      <c r="AA46" s="270" t="str">
        <f t="shared" ca="1" si="17"/>
        <v>|||||||||||</v>
      </c>
    </row>
    <row r="47" spans="1:27" x14ac:dyDescent="0.25">
      <c r="A47" s="140">
        <f>+'Esc 2'!A57</f>
        <v>1984</v>
      </c>
      <c r="B47" s="140">
        <f>+'Esc 2'!B57</f>
        <v>4</v>
      </c>
      <c r="C47" s="141">
        <f>+'Esc 2'!O57</f>
        <v>2.0764758018993188</v>
      </c>
      <c r="D47" s="140">
        <f>+'Esc 2'!D57</f>
        <v>125.1</v>
      </c>
      <c r="E47" s="147">
        <f t="shared" si="19"/>
        <v>73.149999999999991</v>
      </c>
      <c r="F47" s="146">
        <f t="shared" si="19"/>
        <v>0</v>
      </c>
      <c r="G47" s="144">
        <f t="shared" si="20"/>
        <v>5.195E-4</v>
      </c>
      <c r="H47" s="145">
        <f>+F47/100000*'Bal Híd'!$G$4</f>
        <v>0</v>
      </c>
      <c r="I47" s="145">
        <v>0</v>
      </c>
      <c r="J47" s="145">
        <f t="shared" ca="1" si="2"/>
        <v>9.7133235649672081</v>
      </c>
      <c r="K47" s="145">
        <f t="shared" ca="1" si="3"/>
        <v>344.96921691289833</v>
      </c>
      <c r="L47" s="145">
        <f t="shared" ca="1" si="4"/>
        <v>320.2035681379366</v>
      </c>
      <c r="M47" s="145">
        <f t="shared" ca="1" si="5"/>
        <v>9.626857546401844</v>
      </c>
      <c r="N47" s="145">
        <f t="shared" ca="1" si="6"/>
        <v>7.6368477630678893</v>
      </c>
      <c r="O47" s="143">
        <f t="shared" ca="1" si="0"/>
        <v>295.43791936297487</v>
      </c>
      <c r="P47" s="145">
        <f t="shared" ca="1" si="7"/>
        <v>1.9900097833339547</v>
      </c>
      <c r="Q47" s="145">
        <f t="shared" ca="1" si="8"/>
        <v>0</v>
      </c>
      <c r="R47" s="592">
        <f t="shared" ca="1" si="9"/>
        <v>1.9900097833339558</v>
      </c>
      <c r="S47" s="311"/>
      <c r="T47" s="392">
        <f t="shared" si="10"/>
        <v>1984</v>
      </c>
      <c r="U47" s="392">
        <f t="shared" si="11"/>
        <v>4</v>
      </c>
      <c r="V47" s="311">
        <f t="shared" ca="1" si="12"/>
        <v>106</v>
      </c>
      <c r="W47" s="269" t="str">
        <f t="shared" ca="1" si="13"/>
        <v>||||||||||</v>
      </c>
      <c r="X47" s="269" t="str">
        <f t="shared" ca="1" si="14"/>
        <v>||||||||||</v>
      </c>
      <c r="Y47" s="434" t="str">
        <f t="shared" ca="1" si="15"/>
        <v/>
      </c>
      <c r="Z47" s="269" t="str">
        <f t="shared" ca="1" si="16"/>
        <v/>
      </c>
      <c r="AA47" s="270" t="str">
        <f t="shared" ca="1" si="17"/>
        <v>|||||||||</v>
      </c>
    </row>
    <row r="48" spans="1:27" x14ac:dyDescent="0.25">
      <c r="A48" s="140">
        <f>+'Esc 2'!A58</f>
        <v>1984</v>
      </c>
      <c r="B48" s="140">
        <f>+'Esc 2'!B58</f>
        <v>5</v>
      </c>
      <c r="C48" s="141">
        <f>+'Esc 2'!O58</f>
        <v>3.0635796809425657</v>
      </c>
      <c r="D48" s="140">
        <f>+'Esc 2'!D58</f>
        <v>177.1</v>
      </c>
      <c r="E48" s="147">
        <f t="shared" si="19"/>
        <v>51.24</v>
      </c>
      <c r="F48" s="146">
        <f t="shared" si="19"/>
        <v>0</v>
      </c>
      <c r="G48" s="144">
        <f t="shared" si="20"/>
        <v>1.2585999999999999E-3</v>
      </c>
      <c r="H48" s="145">
        <f>+F48/100000*'Bal Híd'!$G$4</f>
        <v>0</v>
      </c>
      <c r="I48" s="145">
        <v>0</v>
      </c>
      <c r="J48" s="145">
        <f t="shared" ca="1" si="2"/>
        <v>10.700427444010455</v>
      </c>
      <c r="K48" s="145">
        <f t="shared" ca="1" si="3"/>
        <v>367.17089107259841</v>
      </c>
      <c r="L48" s="145">
        <f t="shared" ca="1" si="4"/>
        <v>331.30440521778667</v>
      </c>
      <c r="M48" s="145">
        <f t="shared" ca="1" si="5"/>
        <v>10.731484185895898</v>
      </c>
      <c r="N48" s="145">
        <f t="shared" ca="1" si="6"/>
        <v>7.6368477630678893</v>
      </c>
      <c r="O48" s="143">
        <f t="shared" ca="1" si="0"/>
        <v>295.43791936297487</v>
      </c>
      <c r="P48" s="145">
        <f t="shared" ca="1" si="7"/>
        <v>3.0946364228280085</v>
      </c>
      <c r="Q48" s="145">
        <f t="shared" ca="1" si="8"/>
        <v>0</v>
      </c>
      <c r="R48" s="592">
        <f t="shared" ca="1" si="9"/>
        <v>3.094636422828009</v>
      </c>
      <c r="S48" s="311"/>
      <c r="T48" s="392">
        <f t="shared" si="10"/>
        <v>1984</v>
      </c>
      <c r="U48" s="392">
        <f t="shared" si="11"/>
        <v>5</v>
      </c>
      <c r="V48" s="311">
        <f t="shared" ca="1" si="12"/>
        <v>106</v>
      </c>
      <c r="W48" s="269" t="str">
        <f t="shared" ca="1" si="13"/>
        <v>||||||||||</v>
      </c>
      <c r="X48" s="269" t="str">
        <f t="shared" ca="1" si="14"/>
        <v>||||||||||</v>
      </c>
      <c r="Y48" s="434" t="str">
        <f t="shared" ca="1" si="15"/>
        <v/>
      </c>
      <c r="Z48" s="269" t="str">
        <f t="shared" ca="1" si="16"/>
        <v/>
      </c>
      <c r="AA48" s="270" t="str">
        <f t="shared" ca="1" si="17"/>
        <v>|||||||||||||||</v>
      </c>
    </row>
    <row r="49" spans="1:27" x14ac:dyDescent="0.25">
      <c r="A49" s="140">
        <f>+'Esc 2'!A59</f>
        <v>1984</v>
      </c>
      <c r="B49" s="140">
        <f>+'Esc 2'!B59</f>
        <v>6</v>
      </c>
      <c r="C49" s="141">
        <f>+'Esc 2'!O59</f>
        <v>2.6675315267237472</v>
      </c>
      <c r="D49" s="140">
        <f>+'Esc 2'!D59</f>
        <v>131.6</v>
      </c>
      <c r="E49" s="147">
        <f t="shared" si="19"/>
        <v>41.019999999999996</v>
      </c>
      <c r="F49" s="146">
        <f t="shared" si="19"/>
        <v>0</v>
      </c>
      <c r="G49" s="144">
        <f t="shared" si="20"/>
        <v>9.0580000000000001E-4</v>
      </c>
      <c r="H49" s="145">
        <f>+F49/100000*'Bal Híd'!$G$4</f>
        <v>0</v>
      </c>
      <c r="I49" s="145">
        <v>0</v>
      </c>
      <c r="J49" s="145">
        <f t="shared" ca="1" si="2"/>
        <v>10.304379289791637</v>
      </c>
      <c r="K49" s="145">
        <f t="shared" ca="1" si="3"/>
        <v>358.35443314261465</v>
      </c>
      <c r="L49" s="145">
        <f t="shared" ca="1" si="4"/>
        <v>326.89617625279476</v>
      </c>
      <c r="M49" s="145">
        <f t="shared" ca="1" si="5"/>
        <v>10.268920684218692</v>
      </c>
      <c r="N49" s="145">
        <f t="shared" ca="1" si="6"/>
        <v>7.6368477630678893</v>
      </c>
      <c r="O49" s="143">
        <f t="shared" ca="1" si="0"/>
        <v>295.43791936297487</v>
      </c>
      <c r="P49" s="145">
        <f t="shared" ca="1" si="7"/>
        <v>2.6320729211508027</v>
      </c>
      <c r="Q49" s="145">
        <f t="shared" ca="1" si="8"/>
        <v>0</v>
      </c>
      <c r="R49" s="592">
        <f t="shared" ca="1" si="9"/>
        <v>2.6320729211508018</v>
      </c>
      <c r="S49" s="311"/>
      <c r="T49" s="392">
        <f t="shared" si="10"/>
        <v>1984</v>
      </c>
      <c r="U49" s="392">
        <f t="shared" si="11"/>
        <v>6</v>
      </c>
      <c r="V49" s="311">
        <f t="shared" ca="1" si="12"/>
        <v>106</v>
      </c>
      <c r="W49" s="269" t="str">
        <f t="shared" ca="1" si="13"/>
        <v>||||||||||</v>
      </c>
      <c r="X49" s="269" t="str">
        <f t="shared" ca="1" si="14"/>
        <v>||||||||||</v>
      </c>
      <c r="Y49" s="434" t="str">
        <f t="shared" ca="1" si="15"/>
        <v/>
      </c>
      <c r="Z49" s="269" t="str">
        <f t="shared" ca="1" si="16"/>
        <v/>
      </c>
      <c r="AA49" s="270" t="str">
        <f t="shared" ca="1" si="17"/>
        <v>|||||||||||||</v>
      </c>
    </row>
    <row r="50" spans="1:27" x14ac:dyDescent="0.25">
      <c r="A50" s="140">
        <f>+'Esc 2'!A60</f>
        <v>1984</v>
      </c>
      <c r="B50" s="140">
        <f>+'Esc 2'!B60</f>
        <v>7</v>
      </c>
      <c r="C50" s="141">
        <f>+'Esc 2'!O60</f>
        <v>1.9793418827716363</v>
      </c>
      <c r="D50" s="140">
        <f>+'Esc 2'!D60</f>
        <v>101.2</v>
      </c>
      <c r="E50" s="147">
        <f t="shared" si="19"/>
        <v>50.819999999999993</v>
      </c>
      <c r="F50" s="146">
        <f t="shared" si="19"/>
        <v>0</v>
      </c>
      <c r="G50" s="144">
        <f t="shared" si="20"/>
        <v>5.038000000000001E-4</v>
      </c>
      <c r="H50" s="145">
        <f>+F50/100000*'Bal Híd'!$G$4</f>
        <v>0</v>
      </c>
      <c r="I50" s="145">
        <v>0</v>
      </c>
      <c r="J50" s="145">
        <f t="shared" ca="1" si="2"/>
        <v>9.6161896458395262</v>
      </c>
      <c r="K50" s="145">
        <f t="shared" ca="1" si="3"/>
        <v>342.74211302642834</v>
      </c>
      <c r="L50" s="145">
        <f t="shared" ca="1" si="4"/>
        <v>319.0900161947016</v>
      </c>
      <c r="M50" s="145">
        <f t="shared" ca="1" si="5"/>
        <v>9.5367995787252404</v>
      </c>
      <c r="N50" s="145">
        <f t="shared" ca="1" si="6"/>
        <v>7.6368477630678893</v>
      </c>
      <c r="O50" s="143">
        <f t="shared" ca="1" si="0"/>
        <v>295.43791936297487</v>
      </c>
      <c r="P50" s="145">
        <f t="shared" ca="1" si="7"/>
        <v>1.8999518156573512</v>
      </c>
      <c r="Q50" s="145">
        <f t="shared" ca="1" si="8"/>
        <v>0</v>
      </c>
      <c r="R50" s="592">
        <f t="shared" ca="1" si="9"/>
        <v>1.8999518156573512</v>
      </c>
      <c r="S50" s="311"/>
      <c r="T50" s="392">
        <f t="shared" si="10"/>
        <v>1984</v>
      </c>
      <c r="U50" s="392">
        <f t="shared" si="11"/>
        <v>7</v>
      </c>
      <c r="V50" s="311">
        <f t="shared" ca="1" si="12"/>
        <v>106</v>
      </c>
      <c r="W50" s="269" t="str">
        <f t="shared" ca="1" si="13"/>
        <v>||||||||||</v>
      </c>
      <c r="X50" s="269" t="str">
        <f t="shared" ca="1" si="14"/>
        <v>||||||||||</v>
      </c>
      <c r="Y50" s="434" t="str">
        <f t="shared" ca="1" si="15"/>
        <v/>
      </c>
      <c r="Z50" s="269" t="str">
        <f t="shared" ca="1" si="16"/>
        <v/>
      </c>
      <c r="AA50" s="270" t="str">
        <f t="shared" ca="1" si="17"/>
        <v>|||||||||</v>
      </c>
    </row>
    <row r="51" spans="1:27" x14ac:dyDescent="0.25">
      <c r="A51" s="140">
        <f>+'Esc 2'!A61</f>
        <v>1984</v>
      </c>
      <c r="B51" s="140">
        <f>+'Esc 2'!B61</f>
        <v>8</v>
      </c>
      <c r="C51" s="141">
        <f>+'Esc 2'!O61</f>
        <v>0.59518605992495821</v>
      </c>
      <c r="D51" s="140">
        <f>+'Esc 2'!D61</f>
        <v>25.3</v>
      </c>
      <c r="E51" s="147">
        <f t="shared" si="19"/>
        <v>72.449999999999989</v>
      </c>
      <c r="F51" s="146">
        <f t="shared" si="19"/>
        <v>0</v>
      </c>
      <c r="G51" s="144">
        <f t="shared" si="20"/>
        <v>-4.7149999999999991E-4</v>
      </c>
      <c r="H51" s="145">
        <f>+F51/100000*'Bal Híd'!$G$4</f>
        <v>0</v>
      </c>
      <c r="I51" s="145">
        <v>0</v>
      </c>
      <c r="J51" s="145">
        <f t="shared" ca="1" si="2"/>
        <v>8.2320338229928467</v>
      </c>
      <c r="K51" s="145">
        <f t="shared" ca="1" si="3"/>
        <v>310.07764833444986</v>
      </c>
      <c r="L51" s="145">
        <f t="shared" ca="1" si="4"/>
        <v>302.75778384871239</v>
      </c>
      <c r="M51" s="145">
        <f t="shared" ca="1" si="5"/>
        <v>8.0207674775353563</v>
      </c>
      <c r="N51" s="145">
        <f t="shared" ca="1" si="6"/>
        <v>7.6368477630678893</v>
      </c>
      <c r="O51" s="143">
        <f t="shared" ca="1" si="0"/>
        <v>295.43791936297487</v>
      </c>
      <c r="P51" s="145">
        <f t="shared" ca="1" si="7"/>
        <v>0.38391971446746709</v>
      </c>
      <c r="Q51" s="145">
        <f t="shared" ca="1" si="8"/>
        <v>0</v>
      </c>
      <c r="R51" s="592">
        <f t="shared" ca="1" si="9"/>
        <v>0.38391971446746631</v>
      </c>
      <c r="S51" s="311"/>
      <c r="T51" s="392">
        <f t="shared" si="10"/>
        <v>1984</v>
      </c>
      <c r="U51" s="392">
        <f t="shared" si="11"/>
        <v>8</v>
      </c>
      <c r="V51" s="311">
        <f t="shared" ca="1" si="12"/>
        <v>106</v>
      </c>
      <c r="W51" s="269" t="str">
        <f t="shared" ca="1" si="13"/>
        <v>||||||||||</v>
      </c>
      <c r="X51" s="269" t="str">
        <f t="shared" ca="1" si="14"/>
        <v>||||||||||</v>
      </c>
      <c r="Y51" s="434" t="str">
        <f t="shared" ca="1" si="15"/>
        <v/>
      </c>
      <c r="Z51" s="269" t="str">
        <f t="shared" ca="1" si="16"/>
        <v/>
      </c>
      <c r="AA51" s="270" t="str">
        <f t="shared" ca="1" si="17"/>
        <v>|</v>
      </c>
    </row>
    <row r="52" spans="1:27" x14ac:dyDescent="0.25">
      <c r="A52" s="140">
        <f>+'Esc 2'!A62</f>
        <v>1984</v>
      </c>
      <c r="B52" s="140">
        <f>+'Esc 2'!B62</f>
        <v>9</v>
      </c>
      <c r="C52" s="141">
        <f>+'Esc 2'!O62</f>
        <v>2.8662339145583076</v>
      </c>
      <c r="D52" s="140">
        <f>+'Esc 2'!D62</f>
        <v>207.1</v>
      </c>
      <c r="E52" s="147">
        <f t="shared" si="19"/>
        <v>85.89</v>
      </c>
      <c r="F52" s="146">
        <f t="shared" si="19"/>
        <v>0</v>
      </c>
      <c r="G52" s="144">
        <f t="shared" si="20"/>
        <v>1.2121E-3</v>
      </c>
      <c r="H52" s="145">
        <f>+F52/100000*'Bal Híd'!$G$4</f>
        <v>0</v>
      </c>
      <c r="I52" s="145">
        <v>0</v>
      </c>
      <c r="J52" s="145">
        <f t="shared" ca="1" si="2"/>
        <v>10.503081677626197</v>
      </c>
      <c r="K52" s="145">
        <f t="shared" ca="1" si="3"/>
        <v>362.79253908772648</v>
      </c>
      <c r="L52" s="145">
        <f t="shared" ca="1" si="4"/>
        <v>329.11522922535067</v>
      </c>
      <c r="M52" s="145">
        <f t="shared" ca="1" si="5"/>
        <v>10.543324972520308</v>
      </c>
      <c r="N52" s="145">
        <f t="shared" ca="1" si="6"/>
        <v>7.6368477630678893</v>
      </c>
      <c r="O52" s="143">
        <f t="shared" ca="1" si="0"/>
        <v>295.43791936297487</v>
      </c>
      <c r="P52" s="145">
        <f t="shared" ca="1" si="7"/>
        <v>2.9064772094524187</v>
      </c>
      <c r="Q52" s="145">
        <f t="shared" ca="1" si="8"/>
        <v>0</v>
      </c>
      <c r="R52" s="592">
        <f t="shared" ca="1" si="9"/>
        <v>2.9064772094524192</v>
      </c>
      <c r="S52" s="311"/>
      <c r="T52" s="392">
        <f t="shared" si="10"/>
        <v>1984</v>
      </c>
      <c r="U52" s="392">
        <f t="shared" si="11"/>
        <v>9</v>
      </c>
      <c r="V52" s="311">
        <f t="shared" ca="1" si="12"/>
        <v>106</v>
      </c>
      <c r="W52" s="269" t="str">
        <f t="shared" ca="1" si="13"/>
        <v>||||||||||</v>
      </c>
      <c r="X52" s="269" t="str">
        <f t="shared" ca="1" si="14"/>
        <v>||||||||||</v>
      </c>
      <c r="Y52" s="434" t="str">
        <f t="shared" ca="1" si="15"/>
        <v/>
      </c>
      <c r="Z52" s="269" t="str">
        <f t="shared" ca="1" si="16"/>
        <v/>
      </c>
      <c r="AA52" s="270" t="str">
        <f t="shared" ca="1" si="17"/>
        <v>||||||||||||||</v>
      </c>
    </row>
    <row r="53" spans="1:27" x14ac:dyDescent="0.25">
      <c r="A53" s="140">
        <f>+'Esc 2'!A63</f>
        <v>1984</v>
      </c>
      <c r="B53" s="140">
        <f>+'Esc 2'!B63</f>
        <v>10</v>
      </c>
      <c r="C53" s="141">
        <f>+'Esc 2'!O63</f>
        <v>1.8619081223909717</v>
      </c>
      <c r="D53" s="140">
        <f>+'Esc 2'!D63</f>
        <v>125.3</v>
      </c>
      <c r="E53" s="147">
        <f t="shared" ref="E53:F72" si="21">+E41</f>
        <v>114.86999999999999</v>
      </c>
      <c r="F53" s="146">
        <f t="shared" si="21"/>
        <v>59</v>
      </c>
      <c r="G53" s="144">
        <f t="shared" si="20"/>
        <v>1.0430000000000007E-4</v>
      </c>
      <c r="H53" s="145">
        <f>+F53/100000*'Bal Híd'!$G$4</f>
        <v>0.64900000000000002</v>
      </c>
      <c r="I53" s="145">
        <v>0</v>
      </c>
      <c r="J53" s="145">
        <f t="shared" ca="1" si="2"/>
        <v>8.8497558854588618</v>
      </c>
      <c r="K53" s="145">
        <f t="shared" ca="1" si="3"/>
        <v>324.8788375228595</v>
      </c>
      <c r="L53" s="145">
        <f t="shared" ca="1" si="4"/>
        <v>310.15837844291718</v>
      </c>
      <c r="M53" s="145">
        <f t="shared" ca="1" si="5"/>
        <v>8.6625288248435837</v>
      </c>
      <c r="N53" s="145">
        <f t="shared" ca="1" si="6"/>
        <v>7.6368477630678893</v>
      </c>
      <c r="O53" s="143">
        <f t="shared" ca="1" si="0"/>
        <v>295.43791936297487</v>
      </c>
      <c r="P53" s="145">
        <f t="shared" ca="1" si="7"/>
        <v>1.0256810617756944</v>
      </c>
      <c r="Q53" s="145">
        <f t="shared" ca="1" si="8"/>
        <v>0.64900000000000002</v>
      </c>
      <c r="R53" s="592">
        <f t="shared" ca="1" si="9"/>
        <v>1.6746810617756933</v>
      </c>
      <c r="S53" s="311"/>
      <c r="T53" s="392">
        <f t="shared" si="10"/>
        <v>1984</v>
      </c>
      <c r="U53" s="392">
        <f t="shared" si="11"/>
        <v>10</v>
      </c>
      <c r="V53" s="311">
        <f t="shared" ca="1" si="12"/>
        <v>106</v>
      </c>
      <c r="W53" s="269" t="str">
        <f t="shared" ca="1" si="13"/>
        <v>||||||||||</v>
      </c>
      <c r="X53" s="269" t="str">
        <f t="shared" ca="1" si="14"/>
        <v>||||||||||</v>
      </c>
      <c r="Y53" s="434" t="str">
        <f t="shared" ca="1" si="15"/>
        <v/>
      </c>
      <c r="Z53" s="269" t="str">
        <f t="shared" ca="1" si="16"/>
        <v>|||</v>
      </c>
      <c r="AA53" s="270" t="str">
        <f t="shared" ca="1" si="17"/>
        <v>|||||</v>
      </c>
    </row>
    <row r="54" spans="1:27" x14ac:dyDescent="0.25">
      <c r="A54" s="140">
        <f>+'Esc 2'!A64</f>
        <v>1984</v>
      </c>
      <c r="B54" s="140">
        <f>+'Esc 2'!B64</f>
        <v>11</v>
      </c>
      <c r="C54" s="141">
        <f>+'Esc 2'!O64</f>
        <v>1.659807013965793</v>
      </c>
      <c r="D54" s="140">
        <f>+'Esc 2'!D64</f>
        <v>143.9</v>
      </c>
      <c r="E54" s="147">
        <f t="shared" si="21"/>
        <v>144.06</v>
      </c>
      <c r="F54" s="146">
        <f t="shared" si="21"/>
        <v>212</v>
      </c>
      <c r="G54" s="144">
        <f t="shared" si="20"/>
        <v>-1.5999999999999658E-6</v>
      </c>
      <c r="H54" s="145">
        <f>+F54/100000*'Bal Híd'!$G$4</f>
        <v>2.3319999999999999</v>
      </c>
      <c r="I54" s="145">
        <v>0</v>
      </c>
      <c r="J54" s="145">
        <f t="shared" ca="1" si="2"/>
        <v>6.9646547770336822</v>
      </c>
      <c r="K54" s="145">
        <f t="shared" ca="1" si="3"/>
        <v>278.40644570116712</v>
      </c>
      <c r="L54" s="145">
        <f t="shared" ca="1" si="4"/>
        <v>286.92218253207102</v>
      </c>
      <c r="M54" s="145">
        <f t="shared" ca="1" si="5"/>
        <v>6.7831175832796147</v>
      </c>
      <c r="N54" s="145">
        <f t="shared" ca="1" si="6"/>
        <v>6.7831175832796147</v>
      </c>
      <c r="O54" s="143">
        <f t="shared" ca="1" si="0"/>
        <v>273.70794520826018</v>
      </c>
      <c r="P54" s="145">
        <f t="shared" ca="1" si="7"/>
        <v>0</v>
      </c>
      <c r="Q54" s="145">
        <f t="shared" ca="1" si="8"/>
        <v>2.3319999999999999</v>
      </c>
      <c r="R54" s="592">
        <f t="shared" ca="1" si="9"/>
        <v>1.4782698202117246</v>
      </c>
      <c r="S54" s="311"/>
      <c r="T54" s="392">
        <f t="shared" si="10"/>
        <v>1984</v>
      </c>
      <c r="U54" s="392">
        <f t="shared" si="11"/>
        <v>11</v>
      </c>
      <c r="V54" s="311">
        <f t="shared" ca="1" si="12"/>
        <v>105.69993061748349</v>
      </c>
      <c r="W54" s="269" t="str">
        <f t="shared" ca="1" si="13"/>
        <v>|||||||||</v>
      </c>
      <c r="X54" s="269" t="str">
        <f t="shared" ca="1" si="14"/>
        <v>||||||||</v>
      </c>
      <c r="Y54" s="434" t="str">
        <f t="shared" ca="1" si="15"/>
        <v/>
      </c>
      <c r="Z54" s="269" t="str">
        <f t="shared" ca="1" si="16"/>
        <v>|||||||||||</v>
      </c>
      <c r="AA54" s="270" t="str">
        <f t="shared" ca="1" si="17"/>
        <v/>
      </c>
    </row>
    <row r="55" spans="1:27" x14ac:dyDescent="0.25">
      <c r="A55" s="140">
        <f>+'Esc 2'!A65</f>
        <v>1984</v>
      </c>
      <c r="B55" s="140">
        <f>+'Esc 2'!B65</f>
        <v>12</v>
      </c>
      <c r="C55" s="141">
        <f>+'Esc 2'!O65</f>
        <v>0.48689531028964028</v>
      </c>
      <c r="D55" s="140">
        <f>+'Esc 2'!D65</f>
        <v>28.2</v>
      </c>
      <c r="E55" s="147">
        <f t="shared" si="21"/>
        <v>179.62</v>
      </c>
      <c r="F55" s="146">
        <f t="shared" si="21"/>
        <v>388</v>
      </c>
      <c r="G55" s="144">
        <f t="shared" si="20"/>
        <v>-1.5142000000000001E-3</v>
      </c>
      <c r="H55" s="145">
        <f>+F55/100000*'Bal Híd'!$G$4</f>
        <v>4.2679999999999998</v>
      </c>
      <c r="I55" s="145">
        <v>0</v>
      </c>
      <c r="J55" s="145">
        <f t="shared" ca="1" si="2"/>
        <v>3.0020128935692556</v>
      </c>
      <c r="K55" s="145">
        <f t="shared" ca="1" si="3"/>
        <v>161.86203391689136</v>
      </c>
      <c r="L55" s="145">
        <f t="shared" ca="1" si="4"/>
        <v>217.78498956257579</v>
      </c>
      <c r="M55" s="145">
        <f t="shared" ca="1" si="5"/>
        <v>2.6319240448566843</v>
      </c>
      <c r="N55" s="145">
        <f t="shared" ca="1" si="6"/>
        <v>2.6319240448566843</v>
      </c>
      <c r="O55" s="143">
        <f t="shared" ca="1" si="0"/>
        <v>148.70385724645948</v>
      </c>
      <c r="P55" s="145">
        <f t="shared" ca="1" si="7"/>
        <v>0</v>
      </c>
      <c r="Q55" s="145">
        <f t="shared" ca="1" si="8"/>
        <v>4.2679999999999998</v>
      </c>
      <c r="R55" s="592">
        <f t="shared" ca="1" si="9"/>
        <v>0.1168064615770692</v>
      </c>
      <c r="S55" s="311"/>
      <c r="T55" s="392">
        <f t="shared" si="10"/>
        <v>1984</v>
      </c>
      <c r="U55" s="392">
        <f t="shared" si="11"/>
        <v>12</v>
      </c>
      <c r="V55" s="311">
        <f t="shared" ca="1" si="12"/>
        <v>103.70780215744685</v>
      </c>
      <c r="W55" s="269" t="str">
        <f t="shared" ca="1" si="13"/>
        <v>|||||</v>
      </c>
      <c r="X55" s="269" t="str">
        <f t="shared" ca="1" si="14"/>
        <v>|||</v>
      </c>
      <c r="Y55" s="434" t="str">
        <f t="shared" ca="1" si="15"/>
        <v/>
      </c>
      <c r="Z55" s="269" t="str">
        <f t="shared" ca="1" si="16"/>
        <v>|||||||||||||||||||||</v>
      </c>
      <c r="AA55" s="270" t="str">
        <f t="shared" ca="1" si="17"/>
        <v/>
      </c>
    </row>
    <row r="56" spans="1:27" x14ac:dyDescent="0.25">
      <c r="A56" s="140">
        <f>+'Esc 2'!A66</f>
        <v>1985</v>
      </c>
      <c r="B56" s="140">
        <f>+'Esc 2'!B66</f>
        <v>1</v>
      </c>
      <c r="C56" s="141">
        <f>+'Esc 2'!O66</f>
        <v>0.31215159541990339</v>
      </c>
      <c r="D56" s="140">
        <f>+'Esc 2'!D66</f>
        <v>66.400000000000006</v>
      </c>
      <c r="E56" s="147">
        <f t="shared" si="21"/>
        <v>176.89</v>
      </c>
      <c r="F56" s="146">
        <f t="shared" si="21"/>
        <v>318</v>
      </c>
      <c r="G56" s="144">
        <f t="shared" si="20"/>
        <v>-1.1048999999999998E-3</v>
      </c>
      <c r="H56" s="145">
        <f>+F56/100000*'Bal Híd'!$G$4</f>
        <v>3.4980000000000002</v>
      </c>
      <c r="I56" s="145">
        <v>0</v>
      </c>
      <c r="J56" s="145">
        <f t="shared" ca="1" si="2"/>
        <v>-0.5539243597234127</v>
      </c>
      <c r="K56" s="145">
        <f t="shared" ca="1" si="3"/>
        <v>0</v>
      </c>
      <c r="L56" s="145">
        <f t="shared" ca="1" si="4"/>
        <v>74.351928623229739</v>
      </c>
      <c r="M56" s="145">
        <f t="shared" ca="1" si="5"/>
        <v>-0.64490054829887233</v>
      </c>
      <c r="N56" s="145">
        <f t="shared" ca="1" si="6"/>
        <v>0.14364725252241328</v>
      </c>
      <c r="O56" s="143">
        <f t="shared" ca="1" si="0"/>
        <v>22.824988701237128</v>
      </c>
      <c r="P56" s="145">
        <f t="shared" ca="1" si="7"/>
        <v>0</v>
      </c>
      <c r="Q56" s="145">
        <f t="shared" ca="1" si="8"/>
        <v>2.7094521991787146</v>
      </c>
      <c r="R56" s="592">
        <f t="shared" ca="1" si="9"/>
        <v>0.22117540684444364</v>
      </c>
      <c r="S56" s="311"/>
      <c r="T56" s="392">
        <f t="shared" si="10"/>
        <v>1985</v>
      </c>
      <c r="U56" s="392">
        <f t="shared" si="11"/>
        <v>1</v>
      </c>
      <c r="V56" s="311">
        <f t="shared" ca="1" si="12"/>
        <v>100.5</v>
      </c>
      <c r="W56" s="269" t="str">
        <f t="shared" ca="1" si="13"/>
        <v/>
      </c>
      <c r="X56" s="269" t="str">
        <f t="shared" ca="1" si="14"/>
        <v/>
      </c>
      <c r="Y56" s="434" t="str">
        <f t="shared" ca="1" si="15"/>
        <v>|||</v>
      </c>
      <c r="Z56" s="269" t="str">
        <f t="shared" ca="1" si="16"/>
        <v>|||||||||||||</v>
      </c>
      <c r="AA56" s="270" t="str">
        <f t="shared" ca="1" si="17"/>
        <v/>
      </c>
    </row>
    <row r="57" spans="1:27" x14ac:dyDescent="0.25">
      <c r="A57" s="140">
        <f>+'Esc 2'!A67</f>
        <v>1985</v>
      </c>
      <c r="B57" s="140">
        <f>+'Esc 2'!B67</f>
        <v>2</v>
      </c>
      <c r="C57" s="141">
        <f>+'Esc 2'!O67</f>
        <v>0.78676040790645008</v>
      </c>
      <c r="D57" s="140">
        <f>+'Esc 2'!D67</f>
        <v>102.9</v>
      </c>
      <c r="E57" s="147">
        <f t="shared" si="21"/>
        <v>131.73999999999998</v>
      </c>
      <c r="F57" s="146">
        <f t="shared" si="21"/>
        <v>153</v>
      </c>
      <c r="G57" s="144">
        <f t="shared" si="20"/>
        <v>-2.8839999999999975E-4</v>
      </c>
      <c r="H57" s="145">
        <f>+F57/100000*'Bal Híd'!$G$4</f>
        <v>1.6829999999999998</v>
      </c>
      <c r="I57" s="145">
        <v>0</v>
      </c>
      <c r="J57" s="145">
        <f t="shared" ca="1" si="2"/>
        <v>-0.75259233957113647</v>
      </c>
      <c r="K57" s="145">
        <f t="shared" ca="1" si="3"/>
        <v>0</v>
      </c>
      <c r="L57" s="145">
        <f t="shared" ca="1" si="4"/>
        <v>11.412494350618564</v>
      </c>
      <c r="M57" s="145">
        <f t="shared" ca="1" si="5"/>
        <v>-0.75929773286981017</v>
      </c>
      <c r="N57" s="145">
        <f t="shared" ca="1" si="6"/>
        <v>0.14364725252241328</v>
      </c>
      <c r="O57" s="143">
        <f t="shared" ca="1" si="0"/>
        <v>22.824988701237128</v>
      </c>
      <c r="P57" s="145">
        <f t="shared" ca="1" si="7"/>
        <v>0</v>
      </c>
      <c r="Q57" s="145">
        <f t="shared" ca="1" si="8"/>
        <v>0.78005501460777638</v>
      </c>
      <c r="R57" s="592">
        <f t="shared" ca="1" si="9"/>
        <v>0.78005501460777638</v>
      </c>
      <c r="S57" s="311"/>
      <c r="T57" s="392">
        <f t="shared" si="10"/>
        <v>1985</v>
      </c>
      <c r="U57" s="392">
        <f t="shared" si="11"/>
        <v>2</v>
      </c>
      <c r="V57" s="311">
        <f t="shared" ca="1" si="12"/>
        <v>100.5</v>
      </c>
      <c r="W57" s="269" t="str">
        <f t="shared" ca="1" si="13"/>
        <v/>
      </c>
      <c r="X57" s="269" t="str">
        <f t="shared" ca="1" si="14"/>
        <v/>
      </c>
      <c r="Y57" s="434" t="str">
        <f t="shared" ca="1" si="15"/>
        <v>||||</v>
      </c>
      <c r="Z57" s="269" t="str">
        <f t="shared" ca="1" si="16"/>
        <v>|||</v>
      </c>
      <c r="AA57" s="270" t="str">
        <f t="shared" ca="1" si="17"/>
        <v/>
      </c>
    </row>
    <row r="58" spans="1:27" x14ac:dyDescent="0.25">
      <c r="A58" s="140">
        <f>+'Esc 2'!A68</f>
        <v>1985</v>
      </c>
      <c r="B58" s="140">
        <f>+'Esc 2'!B68</f>
        <v>3</v>
      </c>
      <c r="C58" s="141">
        <f>+'Esc 2'!O68</f>
        <v>3.6986915685198305</v>
      </c>
      <c r="D58" s="140">
        <f>+'Esc 2'!D68</f>
        <v>261.7</v>
      </c>
      <c r="E58" s="147">
        <f t="shared" si="21"/>
        <v>118.64999999999999</v>
      </c>
      <c r="F58" s="146">
        <f t="shared" si="21"/>
        <v>47</v>
      </c>
      <c r="G58" s="144">
        <f t="shared" si="20"/>
        <v>1.4305000000000001E-3</v>
      </c>
      <c r="H58" s="145">
        <f>+F58/100000*'Bal Híd'!$G$4</f>
        <v>0.51700000000000002</v>
      </c>
      <c r="I58" s="145">
        <v>0</v>
      </c>
      <c r="J58" s="145">
        <f t="shared" ca="1" si="2"/>
        <v>3.3253388210422439</v>
      </c>
      <c r="K58" s="145">
        <f t="shared" ca="1" si="3"/>
        <v>172.89130607467149</v>
      </c>
      <c r="L58" s="145">
        <f t="shared" ca="1" si="4"/>
        <v>97.858147387954304</v>
      </c>
      <c r="M58" s="145">
        <f t="shared" ca="1" si="5"/>
        <v>3.3277024276279379</v>
      </c>
      <c r="N58" s="145">
        <f t="shared" ca="1" si="6"/>
        <v>3.3277024276279379</v>
      </c>
      <c r="O58" s="143">
        <f t="shared" ca="1" si="0"/>
        <v>172.97049049525899</v>
      </c>
      <c r="P58" s="145">
        <f t="shared" ca="1" si="7"/>
        <v>0</v>
      </c>
      <c r="Q58" s="145">
        <f t="shared" ca="1" si="8"/>
        <v>0.51700000000000002</v>
      </c>
      <c r="R58" s="592">
        <f t="shared" ca="1" si="9"/>
        <v>3.7010551751055245</v>
      </c>
      <c r="S58" s="311"/>
      <c r="T58" s="392">
        <f t="shared" si="10"/>
        <v>1985</v>
      </c>
      <c r="U58" s="392">
        <f t="shared" si="11"/>
        <v>3</v>
      </c>
      <c r="V58" s="311">
        <f t="shared" ca="1" si="12"/>
        <v>104.14076884015248</v>
      </c>
      <c r="W58" s="269" t="str">
        <f t="shared" ca="1" si="13"/>
        <v>||||||</v>
      </c>
      <c r="X58" s="269" t="str">
        <f t="shared" ca="1" si="14"/>
        <v>||||</v>
      </c>
      <c r="Y58" s="434" t="str">
        <f t="shared" ca="1" si="15"/>
        <v/>
      </c>
      <c r="Z58" s="269" t="str">
        <f t="shared" ca="1" si="16"/>
        <v>||</v>
      </c>
      <c r="AA58" s="270" t="str">
        <f t="shared" ca="1" si="17"/>
        <v/>
      </c>
    </row>
    <row r="59" spans="1:27" x14ac:dyDescent="0.25">
      <c r="A59" s="140">
        <f>+'Esc 2'!A69</f>
        <v>1985</v>
      </c>
      <c r="B59" s="140">
        <f>+'Esc 2'!B69</f>
        <v>4</v>
      </c>
      <c r="C59" s="141">
        <f>+'Esc 2'!O69</f>
        <v>2.0569547254924045</v>
      </c>
      <c r="D59" s="140">
        <f>+'Esc 2'!D69</f>
        <v>115.7</v>
      </c>
      <c r="E59" s="147">
        <f t="shared" si="21"/>
        <v>73.149999999999991</v>
      </c>
      <c r="F59" s="146">
        <f t="shared" si="21"/>
        <v>0</v>
      </c>
      <c r="G59" s="144">
        <f t="shared" si="20"/>
        <v>4.255000000000001E-4</v>
      </c>
      <c r="H59" s="145">
        <f>+F59/100000*'Bal Híd'!$G$4</f>
        <v>0</v>
      </c>
      <c r="I59" s="145">
        <v>0</v>
      </c>
      <c r="J59" s="145">
        <f t="shared" ca="1" si="2"/>
        <v>5.384657153120342</v>
      </c>
      <c r="K59" s="145">
        <f t="shared" ca="1" si="3"/>
        <v>235.86778201994645</v>
      </c>
      <c r="L59" s="145">
        <f t="shared" ca="1" si="4"/>
        <v>204.4191362576027</v>
      </c>
      <c r="M59" s="145">
        <f t="shared" ca="1" si="5"/>
        <v>5.3117588232381996</v>
      </c>
      <c r="N59" s="145">
        <f t="shared" ca="1" si="6"/>
        <v>5.3117588232381996</v>
      </c>
      <c r="O59" s="143">
        <f t="shared" ca="1" si="0"/>
        <v>233.80496478697435</v>
      </c>
      <c r="P59" s="145">
        <f t="shared" ca="1" si="7"/>
        <v>0</v>
      </c>
      <c r="Q59" s="145">
        <f t="shared" ca="1" si="8"/>
        <v>0</v>
      </c>
      <c r="R59" s="592">
        <f t="shared" ca="1" si="9"/>
        <v>1.9840563956102613</v>
      </c>
      <c r="S59" s="311"/>
      <c r="T59" s="392">
        <f t="shared" si="10"/>
        <v>1985</v>
      </c>
      <c r="U59" s="392">
        <f t="shared" si="11"/>
        <v>4</v>
      </c>
      <c r="V59" s="311">
        <f t="shared" ca="1" si="12"/>
        <v>105.11956264811826</v>
      </c>
      <c r="W59" s="269" t="str">
        <f t="shared" ca="1" si="13"/>
        <v>||||||||</v>
      </c>
      <c r="X59" s="269" t="str">
        <f t="shared" ca="1" si="14"/>
        <v>||||||</v>
      </c>
      <c r="Y59" s="434" t="str">
        <f t="shared" ca="1" si="15"/>
        <v/>
      </c>
      <c r="Z59" s="269" t="str">
        <f t="shared" ca="1" si="16"/>
        <v/>
      </c>
      <c r="AA59" s="270" t="str">
        <f t="shared" ca="1" si="17"/>
        <v/>
      </c>
    </row>
    <row r="60" spans="1:27" x14ac:dyDescent="0.25">
      <c r="A60" s="140">
        <f>+'Esc 2'!A70</f>
        <v>1985</v>
      </c>
      <c r="B60" s="140">
        <f>+'Esc 2'!B70</f>
        <v>5</v>
      </c>
      <c r="C60" s="141">
        <f>+'Esc 2'!O70</f>
        <v>2.5117525475714375</v>
      </c>
      <c r="D60" s="140">
        <f>+'Esc 2'!D70</f>
        <v>150.69999999999999</v>
      </c>
      <c r="E60" s="147">
        <f t="shared" si="21"/>
        <v>51.24</v>
      </c>
      <c r="F60" s="146">
        <f t="shared" si="21"/>
        <v>0</v>
      </c>
      <c r="G60" s="144">
        <f t="shared" si="20"/>
        <v>9.9459999999999978E-4</v>
      </c>
      <c r="H60" s="145">
        <f>+F60/100000*'Bal Híd'!$G$4</f>
        <v>0</v>
      </c>
      <c r="I60" s="145">
        <v>0</v>
      </c>
      <c r="J60" s="145">
        <f t="shared" ca="1" si="2"/>
        <v>7.8235113708096371</v>
      </c>
      <c r="K60" s="145">
        <f t="shared" ca="1" si="3"/>
        <v>300.07156979579946</v>
      </c>
      <c r="L60" s="145">
        <f t="shared" ca="1" si="4"/>
        <v>266.93826729138692</v>
      </c>
      <c r="M60" s="145">
        <f t="shared" ca="1" si="5"/>
        <v>7.8340717178783938</v>
      </c>
      <c r="N60" s="145">
        <f t="shared" ca="1" si="6"/>
        <v>7.6368477630678893</v>
      </c>
      <c r="O60" s="143">
        <f t="shared" ca="1" si="0"/>
        <v>295.43791936297487</v>
      </c>
      <c r="P60" s="145">
        <f t="shared" ca="1" si="7"/>
        <v>0.19722395481050459</v>
      </c>
      <c r="Q60" s="145">
        <f t="shared" ca="1" si="8"/>
        <v>0</v>
      </c>
      <c r="R60" s="592">
        <f t="shared" ca="1" si="9"/>
        <v>2.5223128946401938</v>
      </c>
      <c r="S60" s="311"/>
      <c r="T60" s="392">
        <f t="shared" si="10"/>
        <v>1985</v>
      </c>
      <c r="U60" s="392">
        <f t="shared" si="11"/>
        <v>5</v>
      </c>
      <c r="V60" s="311">
        <f t="shared" ca="1" si="12"/>
        <v>106</v>
      </c>
      <c r="W60" s="269" t="str">
        <f t="shared" ca="1" si="13"/>
        <v>||||||||||</v>
      </c>
      <c r="X60" s="269" t="str">
        <f t="shared" ca="1" si="14"/>
        <v>||||||||||</v>
      </c>
      <c r="Y60" s="434" t="str">
        <f t="shared" ca="1" si="15"/>
        <v/>
      </c>
      <c r="Z60" s="269" t="str">
        <f t="shared" ca="1" si="16"/>
        <v/>
      </c>
      <c r="AA60" s="270" t="str">
        <f t="shared" ca="1" si="17"/>
        <v/>
      </c>
    </row>
    <row r="61" spans="1:27" x14ac:dyDescent="0.25">
      <c r="A61" s="140">
        <f>+'Esc 2'!A71</f>
        <v>1985</v>
      </c>
      <c r="B61" s="140">
        <f>+'Esc 2'!B71</f>
        <v>6</v>
      </c>
      <c r="C61" s="141">
        <f>+'Esc 2'!O71</f>
        <v>1.4856496946109377</v>
      </c>
      <c r="D61" s="140">
        <f>+'Esc 2'!D71</f>
        <v>75.3</v>
      </c>
      <c r="E61" s="147">
        <f t="shared" si="21"/>
        <v>41.019999999999996</v>
      </c>
      <c r="F61" s="146">
        <f t="shared" si="21"/>
        <v>0</v>
      </c>
      <c r="G61" s="144">
        <f t="shared" si="20"/>
        <v>3.4280000000000004E-4</v>
      </c>
      <c r="H61" s="145">
        <f>+F61/100000*'Bal Híd'!$G$4</f>
        <v>0</v>
      </c>
      <c r="I61" s="145">
        <v>0</v>
      </c>
      <c r="J61" s="145">
        <f t="shared" ca="1" si="2"/>
        <v>9.1224974576788274</v>
      </c>
      <c r="K61" s="145">
        <f t="shared" ca="1" si="3"/>
        <v>331.29640296605959</v>
      </c>
      <c r="L61" s="145">
        <f t="shared" ca="1" si="4"/>
        <v>313.36716116451726</v>
      </c>
      <c r="M61" s="145">
        <f t="shared" ca="1" si="5"/>
        <v>9.0529030561590407</v>
      </c>
      <c r="N61" s="145">
        <f t="shared" ca="1" si="6"/>
        <v>7.6368477630678893</v>
      </c>
      <c r="O61" s="143">
        <f t="shared" ca="1" si="0"/>
        <v>295.43791936297487</v>
      </c>
      <c r="P61" s="145">
        <f t="shared" ca="1" si="7"/>
        <v>1.4160552930911514</v>
      </c>
      <c r="Q61" s="145">
        <f t="shared" ca="1" si="8"/>
        <v>0</v>
      </c>
      <c r="R61" s="592">
        <f t="shared" ca="1" si="9"/>
        <v>1.4160552930911527</v>
      </c>
      <c r="S61" s="311"/>
      <c r="T61" s="392">
        <f t="shared" si="10"/>
        <v>1985</v>
      </c>
      <c r="U61" s="392">
        <f t="shared" si="11"/>
        <v>6</v>
      </c>
      <c r="V61" s="311">
        <f t="shared" ca="1" si="12"/>
        <v>106</v>
      </c>
      <c r="W61" s="269" t="str">
        <f t="shared" ca="1" si="13"/>
        <v>||||||||||</v>
      </c>
      <c r="X61" s="269" t="str">
        <f t="shared" ca="1" si="14"/>
        <v>||||||||||</v>
      </c>
      <c r="Y61" s="434" t="str">
        <f t="shared" ca="1" si="15"/>
        <v/>
      </c>
      <c r="Z61" s="269" t="str">
        <f t="shared" ca="1" si="16"/>
        <v/>
      </c>
      <c r="AA61" s="270" t="str">
        <f t="shared" ca="1" si="17"/>
        <v>|||||||</v>
      </c>
    </row>
    <row r="62" spans="1:27" x14ac:dyDescent="0.25">
      <c r="A62" s="140">
        <f>+'Esc 2'!A72</f>
        <v>1985</v>
      </c>
      <c r="B62" s="140">
        <f>+'Esc 2'!B72</f>
        <v>7</v>
      </c>
      <c r="C62" s="141">
        <f>+'Esc 2'!O72</f>
        <v>2.2938728831925346</v>
      </c>
      <c r="D62" s="140">
        <f>+'Esc 2'!D72</f>
        <v>136.80000000000001</v>
      </c>
      <c r="E62" s="147">
        <f t="shared" si="21"/>
        <v>50.819999999999993</v>
      </c>
      <c r="F62" s="146">
        <f t="shared" si="21"/>
        <v>0</v>
      </c>
      <c r="G62" s="144">
        <f t="shared" si="20"/>
        <v>8.5980000000000019E-4</v>
      </c>
      <c r="H62" s="145">
        <f>+F62/100000*'Bal Híd'!$G$4</f>
        <v>0</v>
      </c>
      <c r="I62" s="145">
        <v>0</v>
      </c>
      <c r="J62" s="145">
        <f t="shared" ca="1" si="2"/>
        <v>9.9307206462604238</v>
      </c>
      <c r="K62" s="145">
        <f t="shared" ca="1" si="3"/>
        <v>349.92524993072436</v>
      </c>
      <c r="L62" s="145">
        <f t="shared" ca="1" si="4"/>
        <v>322.68158464684961</v>
      </c>
      <c r="M62" s="145">
        <f t="shared" ca="1" si="5"/>
        <v>9.9267210039462483</v>
      </c>
      <c r="N62" s="145">
        <f t="shared" ca="1" si="6"/>
        <v>7.6368477630678893</v>
      </c>
      <c r="O62" s="143">
        <f t="shared" ca="1" si="0"/>
        <v>295.43791936297487</v>
      </c>
      <c r="P62" s="145">
        <f t="shared" ca="1" si="7"/>
        <v>2.2898732408783591</v>
      </c>
      <c r="Q62" s="145">
        <f t="shared" ca="1" si="8"/>
        <v>0</v>
      </c>
      <c r="R62" s="592">
        <f t="shared" ca="1" si="9"/>
        <v>2.2898732408783578</v>
      </c>
      <c r="S62" s="311"/>
      <c r="T62" s="392">
        <f t="shared" si="10"/>
        <v>1985</v>
      </c>
      <c r="U62" s="392">
        <f t="shared" si="11"/>
        <v>7</v>
      </c>
      <c r="V62" s="311">
        <f t="shared" ca="1" si="12"/>
        <v>106</v>
      </c>
      <c r="W62" s="269" t="str">
        <f t="shared" ca="1" si="13"/>
        <v>||||||||||</v>
      </c>
      <c r="X62" s="269" t="str">
        <f t="shared" ca="1" si="14"/>
        <v>||||||||||</v>
      </c>
      <c r="Y62" s="434" t="str">
        <f t="shared" ca="1" si="15"/>
        <v/>
      </c>
      <c r="Z62" s="269" t="str">
        <f t="shared" ca="1" si="16"/>
        <v/>
      </c>
      <c r="AA62" s="270" t="str">
        <f t="shared" ca="1" si="17"/>
        <v>|||||||||||</v>
      </c>
    </row>
    <row r="63" spans="1:27" x14ac:dyDescent="0.25">
      <c r="A63" s="140">
        <f>+'Esc 2'!A73</f>
        <v>1985</v>
      </c>
      <c r="B63" s="140">
        <f>+'Esc 2'!B73</f>
        <v>8</v>
      </c>
      <c r="C63" s="141">
        <f>+'Esc 2'!O73</f>
        <v>1.4007951225875015</v>
      </c>
      <c r="D63" s="140">
        <f>+'Esc 2'!D73</f>
        <v>80</v>
      </c>
      <c r="E63" s="147">
        <f t="shared" si="21"/>
        <v>72.449999999999989</v>
      </c>
      <c r="F63" s="146">
        <f t="shared" si="21"/>
        <v>0</v>
      </c>
      <c r="G63" s="144">
        <f t="shared" si="20"/>
        <v>7.5500000000000114E-5</v>
      </c>
      <c r="H63" s="145">
        <f>+F63/100000*'Bal Híd'!$G$4</f>
        <v>0</v>
      </c>
      <c r="I63" s="145">
        <v>0</v>
      </c>
      <c r="J63" s="145">
        <f t="shared" ca="1" si="2"/>
        <v>9.0376428856553908</v>
      </c>
      <c r="K63" s="145">
        <f t="shared" ca="1" si="3"/>
        <v>329.30719132813846</v>
      </c>
      <c r="L63" s="145">
        <f t="shared" ca="1" si="4"/>
        <v>312.37255534555663</v>
      </c>
      <c r="M63" s="145">
        <f t="shared" ca="1" si="5"/>
        <v>8.894850605995293</v>
      </c>
      <c r="N63" s="145">
        <f t="shared" ca="1" si="6"/>
        <v>7.6368477630678893</v>
      </c>
      <c r="O63" s="143">
        <f t="shared" ca="1" si="0"/>
        <v>295.43791936297487</v>
      </c>
      <c r="P63" s="145">
        <f t="shared" ca="1" si="7"/>
        <v>1.2580028429274037</v>
      </c>
      <c r="Q63" s="145">
        <f t="shared" ca="1" si="8"/>
        <v>0</v>
      </c>
      <c r="R63" s="592">
        <f t="shared" ca="1" si="9"/>
        <v>1.2580028429274028</v>
      </c>
      <c r="S63" s="311"/>
      <c r="T63" s="392">
        <f t="shared" si="10"/>
        <v>1985</v>
      </c>
      <c r="U63" s="392">
        <f t="shared" si="11"/>
        <v>8</v>
      </c>
      <c r="V63" s="311">
        <f t="shared" ca="1" si="12"/>
        <v>106</v>
      </c>
      <c r="W63" s="269" t="str">
        <f t="shared" ca="1" si="13"/>
        <v>||||||||||</v>
      </c>
      <c r="X63" s="269" t="str">
        <f t="shared" ca="1" si="14"/>
        <v>||||||||||</v>
      </c>
      <c r="Y63" s="434" t="str">
        <f t="shared" ca="1" si="15"/>
        <v/>
      </c>
      <c r="Z63" s="269" t="str">
        <f t="shared" ca="1" si="16"/>
        <v/>
      </c>
      <c r="AA63" s="270" t="str">
        <f t="shared" ca="1" si="17"/>
        <v>||||||</v>
      </c>
    </row>
    <row r="64" spans="1:27" x14ac:dyDescent="0.25">
      <c r="A64" s="140">
        <f>+'Esc 2'!A74</f>
        <v>1985</v>
      </c>
      <c r="B64" s="140">
        <f>+'Esc 2'!B74</f>
        <v>9</v>
      </c>
      <c r="C64" s="141">
        <f>+'Esc 2'!O74</f>
        <v>1.3351291835576042</v>
      </c>
      <c r="D64" s="140">
        <f>+'Esc 2'!D74</f>
        <v>106.8</v>
      </c>
      <c r="E64" s="147">
        <f t="shared" si="21"/>
        <v>85.89</v>
      </c>
      <c r="F64" s="146">
        <f t="shared" si="21"/>
        <v>0</v>
      </c>
      <c r="G64" s="144">
        <f t="shared" si="20"/>
        <v>2.0909999999999996E-4</v>
      </c>
      <c r="H64" s="145">
        <f>+F64/100000*'Bal Híd'!$G$4</f>
        <v>0</v>
      </c>
      <c r="I64" s="145">
        <v>0</v>
      </c>
      <c r="J64" s="145">
        <f t="shared" ca="1" si="2"/>
        <v>8.9719769466254942</v>
      </c>
      <c r="K64" s="145">
        <f t="shared" ca="1" si="3"/>
        <v>327.76324985336839</v>
      </c>
      <c r="L64" s="145">
        <f t="shared" ca="1" si="4"/>
        <v>311.60058460817163</v>
      </c>
      <c r="M64" s="145">
        <f t="shared" ca="1" si="5"/>
        <v>8.8789474447895032</v>
      </c>
      <c r="N64" s="145">
        <f t="shared" ca="1" si="6"/>
        <v>7.6368477630678893</v>
      </c>
      <c r="O64" s="143">
        <f t="shared" ca="1" si="0"/>
        <v>295.43791936297487</v>
      </c>
      <c r="P64" s="145">
        <f t="shared" ca="1" si="7"/>
        <v>1.2420996817216139</v>
      </c>
      <c r="Q64" s="145">
        <f t="shared" ca="1" si="8"/>
        <v>0</v>
      </c>
      <c r="R64" s="592">
        <f t="shared" ca="1" si="9"/>
        <v>1.2420996817216139</v>
      </c>
      <c r="S64" s="311"/>
      <c r="T64" s="392">
        <f t="shared" si="10"/>
        <v>1985</v>
      </c>
      <c r="U64" s="392">
        <f t="shared" si="11"/>
        <v>9</v>
      </c>
      <c r="V64" s="311">
        <f t="shared" ca="1" si="12"/>
        <v>106</v>
      </c>
      <c r="W64" s="269" t="str">
        <f t="shared" ca="1" si="13"/>
        <v>||||||||||</v>
      </c>
      <c r="X64" s="269" t="str">
        <f t="shared" ca="1" si="14"/>
        <v>||||||||||</v>
      </c>
      <c r="Y64" s="434" t="str">
        <f t="shared" ca="1" si="15"/>
        <v/>
      </c>
      <c r="Z64" s="269" t="str">
        <f t="shared" ca="1" si="16"/>
        <v/>
      </c>
      <c r="AA64" s="270" t="str">
        <f t="shared" ca="1" si="17"/>
        <v>||||||</v>
      </c>
    </row>
    <row r="65" spans="1:27" x14ac:dyDescent="0.25">
      <c r="A65" s="140">
        <f>+'Esc 2'!A75</f>
        <v>1985</v>
      </c>
      <c r="B65" s="140">
        <f>+'Esc 2'!B75</f>
        <v>10</v>
      </c>
      <c r="C65" s="141">
        <f>+'Esc 2'!O75</f>
        <v>1.2669774209845777</v>
      </c>
      <c r="D65" s="140">
        <f>+'Esc 2'!D75</f>
        <v>110.6</v>
      </c>
      <c r="E65" s="147">
        <f t="shared" si="21"/>
        <v>114.86999999999999</v>
      </c>
      <c r="F65" s="146">
        <f t="shared" si="21"/>
        <v>59</v>
      </c>
      <c r="G65" s="144">
        <f t="shared" si="20"/>
        <v>-4.269999999999996E-5</v>
      </c>
      <c r="H65" s="145">
        <f>+F65/100000*'Bal Híd'!$G$4</f>
        <v>0.64900000000000002</v>
      </c>
      <c r="I65" s="145">
        <v>0</v>
      </c>
      <c r="J65" s="145">
        <f t="shared" ca="1" si="2"/>
        <v>8.2548251840524678</v>
      </c>
      <c r="K65" s="145">
        <f t="shared" ca="1" si="3"/>
        <v>310.63061912743717</v>
      </c>
      <c r="L65" s="145">
        <f t="shared" ca="1" si="4"/>
        <v>303.03426924520602</v>
      </c>
      <c r="M65" s="145">
        <f t="shared" ca="1" si="5"/>
        <v>8.0959017512050373</v>
      </c>
      <c r="N65" s="145">
        <f t="shared" ca="1" si="6"/>
        <v>7.6368477630678893</v>
      </c>
      <c r="O65" s="143">
        <f t="shared" ca="1" si="0"/>
        <v>295.43791936297487</v>
      </c>
      <c r="P65" s="145">
        <f t="shared" ca="1" si="7"/>
        <v>0.45905398813714804</v>
      </c>
      <c r="Q65" s="145">
        <f t="shared" ca="1" si="8"/>
        <v>0.64900000000000002</v>
      </c>
      <c r="R65" s="592">
        <f t="shared" ca="1" si="9"/>
        <v>1.108053988137147</v>
      </c>
      <c r="S65" s="311"/>
      <c r="T65" s="392">
        <f t="shared" si="10"/>
        <v>1985</v>
      </c>
      <c r="U65" s="392">
        <f t="shared" si="11"/>
        <v>10</v>
      </c>
      <c r="V65" s="311">
        <f t="shared" ca="1" si="12"/>
        <v>106</v>
      </c>
      <c r="W65" s="269" t="str">
        <f t="shared" ca="1" si="13"/>
        <v>||||||||||</v>
      </c>
      <c r="X65" s="269" t="str">
        <f t="shared" ca="1" si="14"/>
        <v>||||||||||</v>
      </c>
      <c r="Y65" s="434" t="str">
        <f t="shared" ca="1" si="15"/>
        <v/>
      </c>
      <c r="Z65" s="269" t="str">
        <f t="shared" ca="1" si="16"/>
        <v>|||</v>
      </c>
      <c r="AA65" s="270" t="str">
        <f t="shared" ca="1" si="17"/>
        <v>||</v>
      </c>
    </row>
    <row r="66" spans="1:27" x14ac:dyDescent="0.25">
      <c r="A66" s="140">
        <f>+'Esc 2'!A76</f>
        <v>1985</v>
      </c>
      <c r="B66" s="140">
        <f>+'Esc 2'!B76</f>
        <v>11</v>
      </c>
      <c r="C66" s="141">
        <f>+'Esc 2'!O76</f>
        <v>0.34773476772142126</v>
      </c>
      <c r="D66" s="140">
        <f>+'Esc 2'!D76</f>
        <v>3.6</v>
      </c>
      <c r="E66" s="147">
        <f t="shared" si="21"/>
        <v>144.06</v>
      </c>
      <c r="F66" s="146">
        <f t="shared" si="21"/>
        <v>212</v>
      </c>
      <c r="G66" s="144">
        <f t="shared" si="20"/>
        <v>-1.4046E-3</v>
      </c>
      <c r="H66" s="145">
        <f>+F66/100000*'Bal Híd'!$G$4</f>
        <v>2.3319999999999999</v>
      </c>
      <c r="I66" s="145">
        <v>0</v>
      </c>
      <c r="J66" s="145">
        <f t="shared" ca="1" si="2"/>
        <v>5.6525825307893109</v>
      </c>
      <c r="K66" s="145">
        <f t="shared" ca="1" si="3"/>
        <v>243.36555787166196</v>
      </c>
      <c r="L66" s="145">
        <f t="shared" ca="1" si="4"/>
        <v>269.40173861731841</v>
      </c>
      <c r="M66" s="145">
        <f t="shared" ca="1" si="5"/>
        <v>5.2385609434035318</v>
      </c>
      <c r="N66" s="145">
        <f t="shared" ca="1" si="6"/>
        <v>5.2385609434035318</v>
      </c>
      <c r="O66" s="143">
        <f t="shared" ca="1" si="0"/>
        <v>231.72351769814088</v>
      </c>
      <c r="P66" s="145">
        <f t="shared" ca="1" si="7"/>
        <v>0</v>
      </c>
      <c r="Q66" s="145">
        <f t="shared" ca="1" si="8"/>
        <v>2.3319999999999999</v>
      </c>
      <c r="R66" s="592">
        <f t="shared" ca="1" si="9"/>
        <v>-6.6286819664357788E-2</v>
      </c>
      <c r="S66" s="311"/>
      <c r="T66" s="392">
        <f t="shared" si="10"/>
        <v>1985</v>
      </c>
      <c r="U66" s="392">
        <f t="shared" si="11"/>
        <v>11</v>
      </c>
      <c r="V66" s="311">
        <f t="shared" ca="1" si="12"/>
        <v>105.08811533555186</v>
      </c>
      <c r="W66" s="269" t="str">
        <f t="shared" ca="1" si="13"/>
        <v>||||||||</v>
      </c>
      <c r="X66" s="269" t="str">
        <f t="shared" ca="1" si="14"/>
        <v>||||||</v>
      </c>
      <c r="Y66" s="434" t="str">
        <f t="shared" ca="1" si="15"/>
        <v/>
      </c>
      <c r="Z66" s="269" t="str">
        <f t="shared" ca="1" si="16"/>
        <v>|||||||||||</v>
      </c>
      <c r="AA66" s="270" t="str">
        <f t="shared" ca="1" si="17"/>
        <v/>
      </c>
    </row>
    <row r="67" spans="1:27" x14ac:dyDescent="0.25">
      <c r="A67" s="140">
        <f>+'Esc 2'!A77</f>
        <v>1985</v>
      </c>
      <c r="B67" s="140">
        <f>+'Esc 2'!B77</f>
        <v>12</v>
      </c>
      <c r="C67" s="141">
        <f>+'Esc 2'!O77</f>
        <v>7.5138381570113835E-2</v>
      </c>
      <c r="D67" s="140">
        <f>+'Esc 2'!D77</f>
        <v>28.3</v>
      </c>
      <c r="E67" s="147">
        <f t="shared" si="21"/>
        <v>179.62</v>
      </c>
      <c r="F67" s="146">
        <f t="shared" si="21"/>
        <v>388</v>
      </c>
      <c r="G67" s="144">
        <f t="shared" si="20"/>
        <v>-1.5131999999999999E-3</v>
      </c>
      <c r="H67" s="145">
        <f>+F67/100000*'Bal Híd'!$G$4</f>
        <v>4.2679999999999998</v>
      </c>
      <c r="I67" s="145">
        <v>0</v>
      </c>
      <c r="J67" s="145">
        <f t="shared" ca="1" si="2"/>
        <v>1.0456993249736461</v>
      </c>
      <c r="K67" s="145">
        <f t="shared" ca="1" si="3"/>
        <v>82.0328885665417</v>
      </c>
      <c r="L67" s="145">
        <f t="shared" ca="1" si="4"/>
        <v>156.8782031323413</v>
      </c>
      <c r="M67" s="145">
        <f t="shared" ca="1" si="5"/>
        <v>0.80382926058428428</v>
      </c>
      <c r="N67" s="145">
        <f t="shared" ca="1" si="6"/>
        <v>0.80382926058428428</v>
      </c>
      <c r="O67" s="143">
        <f t="shared" ca="1" si="0"/>
        <v>69.241312224744462</v>
      </c>
      <c r="P67" s="145">
        <f t="shared" ca="1" si="7"/>
        <v>0</v>
      </c>
      <c r="Q67" s="145">
        <f t="shared" ca="1" si="8"/>
        <v>4.2679999999999998</v>
      </c>
      <c r="R67" s="592">
        <f t="shared" ca="1" si="9"/>
        <v>-0.16673168281924755</v>
      </c>
      <c r="S67" s="311"/>
      <c r="T67" s="392">
        <f t="shared" si="10"/>
        <v>1985</v>
      </c>
      <c r="U67" s="392">
        <f t="shared" si="11"/>
        <v>12</v>
      </c>
      <c r="V67" s="311">
        <f t="shared" ca="1" si="12"/>
        <v>101.99501390397393</v>
      </c>
      <c r="W67" s="269" t="str">
        <f t="shared" ca="1" si="13"/>
        <v>||</v>
      </c>
      <c r="X67" s="269" t="str">
        <f t="shared" ca="1" si="14"/>
        <v/>
      </c>
      <c r="Y67" s="434" t="str">
        <f t="shared" ca="1" si="15"/>
        <v/>
      </c>
      <c r="Z67" s="269" t="str">
        <f t="shared" ca="1" si="16"/>
        <v>|||||||||||||||||||||</v>
      </c>
      <c r="AA67" s="270" t="str">
        <f t="shared" ca="1" si="17"/>
        <v/>
      </c>
    </row>
    <row r="68" spans="1:27" x14ac:dyDescent="0.25">
      <c r="A68" s="140">
        <f>+'Esc 2'!A78</f>
        <v>1986</v>
      </c>
      <c r="B68" s="140">
        <f>+'Esc 2'!B78</f>
        <v>1</v>
      </c>
      <c r="C68" s="141">
        <f>+'Esc 2'!O78</f>
        <v>2.1435958332752723</v>
      </c>
      <c r="D68" s="140">
        <f>+'Esc 2'!D78</f>
        <v>216.8</v>
      </c>
      <c r="E68" s="147">
        <f t="shared" si="21"/>
        <v>176.89</v>
      </c>
      <c r="F68" s="146">
        <f t="shared" si="21"/>
        <v>318</v>
      </c>
      <c r="G68" s="144">
        <f t="shared" si="20"/>
        <v>3.9910000000000027E-4</v>
      </c>
      <c r="H68" s="145">
        <f>+F68/100000*'Bal Híd'!$G$4</f>
        <v>3.4980000000000002</v>
      </c>
      <c r="I68" s="145">
        <v>0</v>
      </c>
      <c r="J68" s="145">
        <f t="shared" ca="1" si="2"/>
        <v>-0.55057490614044369</v>
      </c>
      <c r="K68" s="145">
        <f t="shared" ca="1" si="3"/>
        <v>0</v>
      </c>
      <c r="L68" s="145">
        <f t="shared" ca="1" si="4"/>
        <v>34.620656112372231</v>
      </c>
      <c r="M68" s="145">
        <f t="shared" ca="1" si="5"/>
        <v>-0.56497555673000255</v>
      </c>
      <c r="N68" s="145">
        <f t="shared" ca="1" si="6"/>
        <v>0.14364725252241328</v>
      </c>
      <c r="O68" s="143">
        <f t="shared" ca="1" si="0"/>
        <v>22.824988701237128</v>
      </c>
      <c r="P68" s="145">
        <f t="shared" ca="1" si="7"/>
        <v>0</v>
      </c>
      <c r="Q68" s="145">
        <f t="shared" ca="1" si="8"/>
        <v>2.7893771907475844</v>
      </c>
      <c r="R68" s="592">
        <f t="shared" ca="1" si="9"/>
        <v>2.1291951826857134</v>
      </c>
      <c r="S68" s="311"/>
      <c r="T68" s="392">
        <f t="shared" si="10"/>
        <v>1986</v>
      </c>
      <c r="U68" s="392">
        <f t="shared" si="11"/>
        <v>1</v>
      </c>
      <c r="V68" s="311">
        <f t="shared" ca="1" si="12"/>
        <v>100.5</v>
      </c>
      <c r="W68" s="269" t="str">
        <f t="shared" ca="1" si="13"/>
        <v/>
      </c>
      <c r="X68" s="269" t="str">
        <f t="shared" ca="1" si="14"/>
        <v/>
      </c>
      <c r="Y68" s="434" t="str">
        <f t="shared" ca="1" si="15"/>
        <v>|||</v>
      </c>
      <c r="Z68" s="269" t="str">
        <f t="shared" ca="1" si="16"/>
        <v>|||||||||||||</v>
      </c>
      <c r="AA68" s="270" t="str">
        <f t="shared" ca="1" si="17"/>
        <v/>
      </c>
    </row>
    <row r="69" spans="1:27" x14ac:dyDescent="0.25">
      <c r="A69" s="140">
        <f>+'Esc 2'!A79</f>
        <v>1986</v>
      </c>
      <c r="B69" s="140">
        <f>+'Esc 2'!B79</f>
        <v>2</v>
      </c>
      <c r="C69" s="141">
        <f>+'Esc 2'!O79</f>
        <v>1.016533595050382</v>
      </c>
      <c r="D69" s="140">
        <f>+'Esc 2'!D79</f>
        <v>76.2</v>
      </c>
      <c r="E69" s="147">
        <f t="shared" si="21"/>
        <v>131.73999999999998</v>
      </c>
      <c r="F69" s="146">
        <f t="shared" si="21"/>
        <v>153</v>
      </c>
      <c r="G69" s="144">
        <f t="shared" si="20"/>
        <v>-5.5539999999999973E-4</v>
      </c>
      <c r="H69" s="145">
        <f>+F69/100000*'Bal Híd'!$G$4</f>
        <v>1.6829999999999998</v>
      </c>
      <c r="I69" s="145">
        <v>0</v>
      </c>
      <c r="J69" s="145">
        <f t="shared" ca="1" si="2"/>
        <v>-0.52281915242720456</v>
      </c>
      <c r="K69" s="145">
        <f t="shared" ca="1" si="3"/>
        <v>0</v>
      </c>
      <c r="L69" s="145">
        <f t="shared" ca="1" si="4"/>
        <v>11.412494350618564</v>
      </c>
      <c r="M69" s="145">
        <f t="shared" ca="1" si="5"/>
        <v>-0.53356874833354051</v>
      </c>
      <c r="N69" s="145">
        <f t="shared" ca="1" si="6"/>
        <v>0.14364725252241328</v>
      </c>
      <c r="O69" s="143">
        <f t="shared" ca="1" si="0"/>
        <v>22.824988701237128</v>
      </c>
      <c r="P69" s="145">
        <f t="shared" ca="1" si="7"/>
        <v>0</v>
      </c>
      <c r="Q69" s="145">
        <f t="shared" ca="1" si="8"/>
        <v>1.005783999144046</v>
      </c>
      <c r="R69" s="592">
        <f t="shared" ca="1" si="9"/>
        <v>1.005783999144046</v>
      </c>
      <c r="S69" s="311"/>
      <c r="T69" s="392">
        <f t="shared" si="10"/>
        <v>1986</v>
      </c>
      <c r="U69" s="392">
        <f t="shared" si="11"/>
        <v>2</v>
      </c>
      <c r="V69" s="311">
        <f t="shared" ca="1" si="12"/>
        <v>100.5</v>
      </c>
      <c r="W69" s="269" t="str">
        <f t="shared" ca="1" si="13"/>
        <v/>
      </c>
      <c r="X69" s="269" t="str">
        <f t="shared" ca="1" si="14"/>
        <v/>
      </c>
      <c r="Y69" s="434" t="str">
        <f t="shared" ca="1" si="15"/>
        <v>|||</v>
      </c>
      <c r="Z69" s="269" t="str">
        <f t="shared" ca="1" si="16"/>
        <v>|||||</v>
      </c>
      <c r="AA69" s="270" t="str">
        <f t="shared" ca="1" si="17"/>
        <v/>
      </c>
    </row>
    <row r="70" spans="1:27" x14ac:dyDescent="0.25">
      <c r="A70" s="140">
        <f>+'Esc 2'!A80</f>
        <v>1986</v>
      </c>
      <c r="B70" s="140">
        <f>+'Esc 2'!B80</f>
        <v>3</v>
      </c>
      <c r="C70" s="141">
        <f>+'Esc 2'!O80</f>
        <v>4.8191979634840951</v>
      </c>
      <c r="D70" s="140">
        <f>+'Esc 2'!D80</f>
        <v>319.2</v>
      </c>
      <c r="E70" s="147">
        <f t="shared" si="21"/>
        <v>118.64999999999999</v>
      </c>
      <c r="F70" s="146">
        <f t="shared" si="21"/>
        <v>47</v>
      </c>
      <c r="G70" s="144">
        <f t="shared" si="20"/>
        <v>2.0054999999999999E-3</v>
      </c>
      <c r="H70" s="145">
        <f>+F70/100000*'Bal Híd'!$G$4</f>
        <v>0.51700000000000002</v>
      </c>
      <c r="I70" s="145">
        <v>0</v>
      </c>
      <c r="J70" s="145">
        <f t="shared" ca="1" si="2"/>
        <v>4.4458452160065081</v>
      </c>
      <c r="K70" s="145">
        <f t="shared" ca="1" si="3"/>
        <v>208.47254068013493</v>
      </c>
      <c r="L70" s="145">
        <f t="shared" ca="1" si="4"/>
        <v>115.64876469068602</v>
      </c>
      <c r="M70" s="145">
        <f t="shared" ca="1" si="5"/>
        <v>4.4658646344009769</v>
      </c>
      <c r="N70" s="145">
        <f t="shared" ca="1" si="6"/>
        <v>4.4658646344009769</v>
      </c>
      <c r="O70" s="143">
        <f t="shared" ca="1" si="0"/>
        <v>209.07701943236472</v>
      </c>
      <c r="P70" s="145">
        <f t="shared" ca="1" si="7"/>
        <v>0</v>
      </c>
      <c r="Q70" s="145">
        <f t="shared" ca="1" si="8"/>
        <v>0.51700000000000002</v>
      </c>
      <c r="R70" s="592">
        <f t="shared" ca="1" si="9"/>
        <v>4.839217381878564</v>
      </c>
      <c r="S70" s="311"/>
      <c r="T70" s="392">
        <f t="shared" si="10"/>
        <v>1986</v>
      </c>
      <c r="U70" s="392">
        <f t="shared" si="11"/>
        <v>3</v>
      </c>
      <c r="V70" s="311">
        <f t="shared" ca="1" si="12"/>
        <v>104.73738918635601</v>
      </c>
      <c r="W70" s="269" t="str">
        <f t="shared" ca="1" si="13"/>
        <v>|||||||</v>
      </c>
      <c r="X70" s="269" t="str">
        <f t="shared" ca="1" si="14"/>
        <v>|||||</v>
      </c>
      <c r="Y70" s="434" t="str">
        <f t="shared" ca="1" si="15"/>
        <v/>
      </c>
      <c r="Z70" s="269" t="str">
        <f t="shared" ca="1" si="16"/>
        <v>||</v>
      </c>
      <c r="AA70" s="270" t="str">
        <f t="shared" ca="1" si="17"/>
        <v/>
      </c>
    </row>
    <row r="71" spans="1:27" x14ac:dyDescent="0.25">
      <c r="A71" s="140">
        <f>+'Esc 2'!A81</f>
        <v>1986</v>
      </c>
      <c r="B71" s="140">
        <f>+'Esc 2'!B81</f>
        <v>4</v>
      </c>
      <c r="C71" s="141">
        <f>+'Esc 2'!O81</f>
        <v>6.0688689174704793</v>
      </c>
      <c r="D71" s="140">
        <f>+'Esc 2'!D81</f>
        <v>310.89999999999998</v>
      </c>
      <c r="E71" s="147">
        <f t="shared" si="21"/>
        <v>73.149999999999991</v>
      </c>
      <c r="F71" s="146">
        <f t="shared" si="21"/>
        <v>0</v>
      </c>
      <c r="G71" s="144">
        <f t="shared" si="20"/>
        <v>2.3774999999999998E-3</v>
      </c>
      <c r="H71" s="145">
        <f>+F71/100000*'Bal Híd'!$G$4</f>
        <v>0</v>
      </c>
      <c r="I71" s="145">
        <v>0</v>
      </c>
      <c r="J71" s="145">
        <f t="shared" ca="1" si="2"/>
        <v>10.534733551871456</v>
      </c>
      <c r="K71" s="145">
        <f t="shared" ca="1" si="3"/>
        <v>363.49673058795634</v>
      </c>
      <c r="L71" s="145">
        <f t="shared" ca="1" si="4"/>
        <v>286.28687501016054</v>
      </c>
      <c r="M71" s="145">
        <f t="shared" ca="1" si="5"/>
        <v>10.554757967083049</v>
      </c>
      <c r="N71" s="145">
        <f t="shared" ca="1" si="6"/>
        <v>7.6368477630678893</v>
      </c>
      <c r="O71" s="143">
        <f t="shared" ref="O71:O134" ca="1" si="22">+g_*N71^h_</f>
        <v>295.43791936297487</v>
      </c>
      <c r="P71" s="145">
        <f t="shared" ca="1" si="7"/>
        <v>2.9179102040151594</v>
      </c>
      <c r="Q71" s="145">
        <f t="shared" ca="1" si="8"/>
        <v>0</v>
      </c>
      <c r="R71" s="592">
        <f t="shared" ca="1" si="9"/>
        <v>6.0888933326820709</v>
      </c>
      <c r="S71" s="311"/>
      <c r="T71" s="392">
        <f t="shared" si="10"/>
        <v>1986</v>
      </c>
      <c r="U71" s="392">
        <f t="shared" si="11"/>
        <v>4</v>
      </c>
      <c r="V71" s="311">
        <f t="shared" ca="1" si="12"/>
        <v>106</v>
      </c>
      <c r="W71" s="269" t="str">
        <f t="shared" ca="1" si="13"/>
        <v>||||||||||</v>
      </c>
      <c r="X71" s="269" t="str">
        <f t="shared" ca="1" si="14"/>
        <v>||||||||||</v>
      </c>
      <c r="Y71" s="434" t="str">
        <f t="shared" ca="1" si="15"/>
        <v/>
      </c>
      <c r="Z71" s="269" t="str">
        <f t="shared" ca="1" si="16"/>
        <v/>
      </c>
      <c r="AA71" s="270" t="str">
        <f t="shared" ca="1" si="17"/>
        <v>||||||||||||||</v>
      </c>
    </row>
    <row r="72" spans="1:27" x14ac:dyDescent="0.25">
      <c r="A72" s="140">
        <f>+'Esc 2'!A82</f>
        <v>1986</v>
      </c>
      <c r="B72" s="140">
        <f>+'Esc 2'!B82</f>
        <v>5</v>
      </c>
      <c r="C72" s="141">
        <f>+'Esc 2'!O82</f>
        <v>5.1492603601121818</v>
      </c>
      <c r="D72" s="140">
        <f>+'Esc 2'!D82</f>
        <v>243.1</v>
      </c>
      <c r="E72" s="147">
        <f t="shared" si="21"/>
        <v>51.24</v>
      </c>
      <c r="F72" s="146">
        <f t="shared" si="21"/>
        <v>0</v>
      </c>
      <c r="G72" s="144">
        <f t="shared" si="20"/>
        <v>1.9185999999999999E-3</v>
      </c>
      <c r="H72" s="145">
        <f>+F72/100000*'Bal Híd'!$G$4</f>
        <v>0</v>
      </c>
      <c r="I72" s="145">
        <v>0</v>
      </c>
      <c r="J72" s="145">
        <f t="shared" ref="J72:J135" ca="1" si="23">+N71+C72-H72-I72</f>
        <v>12.786108123180071</v>
      </c>
      <c r="K72" s="145">
        <f t="shared" ref="K72:K135" ca="1" si="24">+IF(J72&lt;0,0,g_*J72^h_)</f>
        <v>411.81998748697833</v>
      </c>
      <c r="L72" s="145">
        <f t="shared" ref="L72:L135" ca="1" si="25">+(K72+O71)/2</f>
        <v>353.6289534249766</v>
      </c>
      <c r="M72" s="145">
        <f t="shared" ref="M72:M135" ca="1" si="26">+N71+C72*(Ac-L72)/Ac+G72*L72-H72-I72</f>
        <v>12.772212742704429</v>
      </c>
      <c r="N72" s="145">
        <f t="shared" ref="N72:N135" ca="1" si="27">+IF(M72&gt;VolHv,VolHv,IF(M72&lt;VolHt,VolHt,M72))</f>
        <v>7.6368477630678893</v>
      </c>
      <c r="O72" s="143">
        <f t="shared" ca="1" si="22"/>
        <v>295.43791936297487</v>
      </c>
      <c r="P72" s="145">
        <f t="shared" ref="P72:P135" ca="1" si="28">+IF(M72&gt;VolHv,M72-VolHv,0)</f>
        <v>5.1353649796365399</v>
      </c>
      <c r="Q72" s="145">
        <f t="shared" ref="Q72:Q135" ca="1" si="29">+IF(M72&lt;VolHt,IF(H72&lt;(VolHt-M72),0,H72-(VolHt-M72)),H72)</f>
        <v>0</v>
      </c>
      <c r="R72" s="592">
        <f t="shared" ref="R72:R135" ca="1" si="30">+C72*(Ac-L72)/Ac+G72*L72</f>
        <v>5.135364979636539</v>
      </c>
      <c r="S72" s="311"/>
      <c r="T72" s="392">
        <f t="shared" ref="T72:T135" si="31">+A72</f>
        <v>1986</v>
      </c>
      <c r="U72" s="392">
        <f t="shared" ref="U72:U135" si="32">+B72</f>
        <v>5</v>
      </c>
      <c r="V72" s="311">
        <f t="shared" ref="V72:V135" ca="1" si="33">+Hast+e_*N72^f_</f>
        <v>106</v>
      </c>
      <c r="W72" s="269" t="str">
        <f t="shared" ref="W72:W135" ca="1" si="34">+REPT("|",(V72-Ht)/(Hv-Ht)*10)</f>
        <v>||||||||||</v>
      </c>
      <c r="X72" s="269" t="str">
        <f t="shared" ref="X72:X135" ca="1" si="35">+REPT("|",(N72-VolHt)/(VolHv-VolHt)*10)</f>
        <v>||||||||||</v>
      </c>
      <c r="Y72" s="434" t="str">
        <f t="shared" ref="Y72:Y135" ca="1" si="36">+REPT("|",(H72-Q72)*$AA$4)</f>
        <v/>
      </c>
      <c r="Z72" s="269" t="str">
        <f t="shared" ref="Z72:Z135" ca="1" si="37">+REPT("|",Q72*$AA$4)</f>
        <v/>
      </c>
      <c r="AA72" s="270" t="str">
        <f t="shared" ref="AA72:AA135" ca="1" si="38">+REPT("|",P72*$AA$4)</f>
        <v>|||||||||||||||||||||||||</v>
      </c>
    </row>
    <row r="73" spans="1:27" x14ac:dyDescent="0.25">
      <c r="A73" s="140">
        <f>+'Esc 2'!A83</f>
        <v>1986</v>
      </c>
      <c r="B73" s="140">
        <f>+'Esc 2'!B83</f>
        <v>6</v>
      </c>
      <c r="C73" s="141">
        <f>+'Esc 2'!O83</f>
        <v>2.6658623830909933</v>
      </c>
      <c r="D73" s="140">
        <f>+'Esc 2'!D83</f>
        <v>113.5</v>
      </c>
      <c r="E73" s="147">
        <f t="shared" ref="E73:F92" si="39">+E61</f>
        <v>41.019999999999996</v>
      </c>
      <c r="F73" s="146">
        <f t="shared" si="39"/>
        <v>0</v>
      </c>
      <c r="G73" s="144">
        <f t="shared" si="20"/>
        <v>7.2480000000000005E-4</v>
      </c>
      <c r="H73" s="145">
        <f>+F73/100000*'Bal Híd'!$G$4</f>
        <v>0</v>
      </c>
      <c r="I73" s="145">
        <v>0</v>
      </c>
      <c r="J73" s="145">
        <f t="shared" ca="1" si="23"/>
        <v>10.302710146158883</v>
      </c>
      <c r="K73" s="145">
        <f t="shared" ca="1" si="24"/>
        <v>358.31702386456726</v>
      </c>
      <c r="L73" s="145">
        <f t="shared" ca="1" si="25"/>
        <v>326.87747161377104</v>
      </c>
      <c r="M73" s="145">
        <f t="shared" ca="1" si="26"/>
        <v>10.208296201670077</v>
      </c>
      <c r="N73" s="145">
        <f t="shared" ca="1" si="27"/>
        <v>7.6368477630678893</v>
      </c>
      <c r="O73" s="143">
        <f t="shared" ca="1" si="22"/>
        <v>295.43791936297487</v>
      </c>
      <c r="P73" s="145">
        <f t="shared" ca="1" si="28"/>
        <v>2.5714484386021876</v>
      </c>
      <c r="Q73" s="145">
        <f t="shared" ca="1" si="29"/>
        <v>0</v>
      </c>
      <c r="R73" s="592">
        <f t="shared" ca="1" si="30"/>
        <v>2.5714484386021885</v>
      </c>
      <c r="S73" s="311"/>
      <c r="T73" s="392">
        <f t="shared" si="31"/>
        <v>1986</v>
      </c>
      <c r="U73" s="392">
        <f t="shared" si="32"/>
        <v>6</v>
      </c>
      <c r="V73" s="311">
        <f t="shared" ca="1" si="33"/>
        <v>106</v>
      </c>
      <c r="W73" s="269" t="str">
        <f t="shared" ca="1" si="34"/>
        <v>||||||||||</v>
      </c>
      <c r="X73" s="269" t="str">
        <f t="shared" ca="1" si="35"/>
        <v>||||||||||</v>
      </c>
      <c r="Y73" s="434" t="str">
        <f t="shared" ca="1" si="36"/>
        <v/>
      </c>
      <c r="Z73" s="269" t="str">
        <f t="shared" ca="1" si="37"/>
        <v/>
      </c>
      <c r="AA73" s="270" t="str">
        <f t="shared" ca="1" si="38"/>
        <v>||||||||||||</v>
      </c>
    </row>
    <row r="74" spans="1:27" x14ac:dyDescent="0.25">
      <c r="A74" s="140">
        <f>+'Esc 2'!A84</f>
        <v>1986</v>
      </c>
      <c r="B74" s="140">
        <f>+'Esc 2'!B84</f>
        <v>7</v>
      </c>
      <c r="C74" s="141">
        <f>+'Esc 2'!O84</f>
        <v>0.80857784733267313</v>
      </c>
      <c r="D74" s="140">
        <f>+'Esc 2'!D84</f>
        <v>30.6</v>
      </c>
      <c r="E74" s="147">
        <f t="shared" si="39"/>
        <v>50.819999999999993</v>
      </c>
      <c r="F74" s="146">
        <f t="shared" si="39"/>
        <v>0</v>
      </c>
      <c r="G74" s="144">
        <f t="shared" si="20"/>
        <v>-2.0219999999999993E-4</v>
      </c>
      <c r="H74" s="145">
        <f>+F74/100000*'Bal Híd'!$G$4</f>
        <v>0</v>
      </c>
      <c r="I74" s="145">
        <v>0</v>
      </c>
      <c r="J74" s="145">
        <f t="shared" ca="1" si="23"/>
        <v>8.4454256104005623</v>
      </c>
      <c r="K74" s="145">
        <f t="shared" ca="1" si="24"/>
        <v>315.23397391193919</v>
      </c>
      <c r="L74" s="145">
        <f t="shared" ca="1" si="25"/>
        <v>305.33594663745703</v>
      </c>
      <c r="M74" s="145">
        <f t="shared" ca="1" si="26"/>
        <v>8.2898129624294796</v>
      </c>
      <c r="N74" s="145">
        <f t="shared" ca="1" si="27"/>
        <v>7.6368477630678893</v>
      </c>
      <c r="O74" s="143">
        <f t="shared" ca="1" si="22"/>
        <v>295.43791936297487</v>
      </c>
      <c r="P74" s="145">
        <f t="shared" ca="1" si="28"/>
        <v>0.65296519936159036</v>
      </c>
      <c r="Q74" s="145">
        <f t="shared" ca="1" si="29"/>
        <v>0</v>
      </c>
      <c r="R74" s="592">
        <f t="shared" ca="1" si="30"/>
        <v>0.65296519936159125</v>
      </c>
      <c r="S74" s="311"/>
      <c r="T74" s="392">
        <f t="shared" si="31"/>
        <v>1986</v>
      </c>
      <c r="U74" s="392">
        <f t="shared" si="32"/>
        <v>7</v>
      </c>
      <c r="V74" s="311">
        <f t="shared" ca="1" si="33"/>
        <v>106</v>
      </c>
      <c r="W74" s="269" t="str">
        <f t="shared" ca="1" si="34"/>
        <v>||||||||||</v>
      </c>
      <c r="X74" s="269" t="str">
        <f t="shared" ca="1" si="35"/>
        <v>||||||||||</v>
      </c>
      <c r="Y74" s="434" t="str">
        <f t="shared" ca="1" si="36"/>
        <v/>
      </c>
      <c r="Z74" s="269" t="str">
        <f t="shared" ca="1" si="37"/>
        <v/>
      </c>
      <c r="AA74" s="270" t="str">
        <f t="shared" ca="1" si="38"/>
        <v>|||</v>
      </c>
    </row>
    <row r="75" spans="1:27" x14ac:dyDescent="0.25">
      <c r="A75" s="140">
        <f>+'Esc 2'!A85</f>
        <v>1986</v>
      </c>
      <c r="B75" s="140">
        <f>+'Esc 2'!B85</f>
        <v>8</v>
      </c>
      <c r="C75" s="141">
        <f>+'Esc 2'!O85</f>
        <v>0.68750832662350281</v>
      </c>
      <c r="D75" s="140">
        <f>+'Esc 2'!D85</f>
        <v>68.5</v>
      </c>
      <c r="E75" s="147">
        <f t="shared" si="39"/>
        <v>72.449999999999989</v>
      </c>
      <c r="F75" s="146">
        <f t="shared" si="39"/>
        <v>0</v>
      </c>
      <c r="G75" s="144">
        <f t="shared" si="20"/>
        <v>-3.9499999999999889E-5</v>
      </c>
      <c r="H75" s="145">
        <f>+F75/100000*'Bal Híd'!$G$4</f>
        <v>0</v>
      </c>
      <c r="I75" s="145">
        <v>0</v>
      </c>
      <c r="J75" s="145">
        <f t="shared" ca="1" si="23"/>
        <v>8.324356089691392</v>
      </c>
      <c r="K75" s="145">
        <f t="shared" ca="1" si="24"/>
        <v>312.31425463088436</v>
      </c>
      <c r="L75" s="145">
        <f t="shared" ca="1" si="25"/>
        <v>303.87608699692964</v>
      </c>
      <c r="M75" s="145">
        <f t="shared" ca="1" si="26"/>
        <v>8.2329167332770083</v>
      </c>
      <c r="N75" s="145">
        <f t="shared" ca="1" si="27"/>
        <v>7.6368477630678893</v>
      </c>
      <c r="O75" s="143">
        <f t="shared" ca="1" si="22"/>
        <v>295.43791936297487</v>
      </c>
      <c r="P75" s="145">
        <f t="shared" ca="1" si="28"/>
        <v>0.59606897020911909</v>
      </c>
      <c r="Q75" s="145">
        <f t="shared" ca="1" si="29"/>
        <v>0</v>
      </c>
      <c r="R75" s="592">
        <f t="shared" ca="1" si="30"/>
        <v>0.59606897020911753</v>
      </c>
      <c r="S75" s="311"/>
      <c r="T75" s="392">
        <f t="shared" si="31"/>
        <v>1986</v>
      </c>
      <c r="U75" s="392">
        <f t="shared" si="32"/>
        <v>8</v>
      </c>
      <c r="V75" s="311">
        <f t="shared" ca="1" si="33"/>
        <v>106</v>
      </c>
      <c r="W75" s="269" t="str">
        <f t="shared" ca="1" si="34"/>
        <v>||||||||||</v>
      </c>
      <c r="X75" s="269" t="str">
        <f t="shared" ca="1" si="35"/>
        <v>||||||||||</v>
      </c>
      <c r="Y75" s="434" t="str">
        <f t="shared" ca="1" si="36"/>
        <v/>
      </c>
      <c r="Z75" s="269" t="str">
        <f t="shared" ca="1" si="37"/>
        <v/>
      </c>
      <c r="AA75" s="270" t="str">
        <f t="shared" ca="1" si="38"/>
        <v>||</v>
      </c>
    </row>
    <row r="76" spans="1:27" x14ac:dyDescent="0.25">
      <c r="A76" s="140">
        <f>+'Esc 2'!A86</f>
        <v>1986</v>
      </c>
      <c r="B76" s="140">
        <f>+'Esc 2'!B86</f>
        <v>9</v>
      </c>
      <c r="C76" s="141">
        <f>+'Esc 2'!O86</f>
        <v>1.3150027866349794</v>
      </c>
      <c r="D76" s="140">
        <f>+'Esc 2'!D86</f>
        <v>113.4</v>
      </c>
      <c r="E76" s="147">
        <f t="shared" si="39"/>
        <v>85.89</v>
      </c>
      <c r="F76" s="146">
        <f t="shared" si="39"/>
        <v>0</v>
      </c>
      <c r="G76" s="144">
        <f t="shared" si="20"/>
        <v>2.7510000000000007E-4</v>
      </c>
      <c r="H76" s="145">
        <f>+F76/100000*'Bal Híd'!$G$4</f>
        <v>0</v>
      </c>
      <c r="I76" s="145">
        <v>0</v>
      </c>
      <c r="J76" s="145">
        <f t="shared" ca="1" si="23"/>
        <v>8.9518505497028684</v>
      </c>
      <c r="K76" s="145">
        <f t="shared" ca="1" si="24"/>
        <v>327.28923314960292</v>
      </c>
      <c r="L76" s="145">
        <f t="shared" ca="1" si="25"/>
        <v>311.36357625628887</v>
      </c>
      <c r="M76" s="145">
        <f t="shared" ca="1" si="26"/>
        <v>8.8818245514953631</v>
      </c>
      <c r="N76" s="145">
        <f t="shared" ca="1" si="27"/>
        <v>7.6368477630678893</v>
      </c>
      <c r="O76" s="143">
        <f t="shared" ca="1" si="22"/>
        <v>295.43791936297487</v>
      </c>
      <c r="P76" s="145">
        <f t="shared" ca="1" si="28"/>
        <v>1.2449767884274738</v>
      </c>
      <c r="Q76" s="145">
        <f t="shared" ca="1" si="29"/>
        <v>0</v>
      </c>
      <c r="R76" s="592">
        <f t="shared" ca="1" si="30"/>
        <v>1.2449767884274749</v>
      </c>
      <c r="S76" s="311"/>
      <c r="T76" s="392">
        <f t="shared" si="31"/>
        <v>1986</v>
      </c>
      <c r="U76" s="392">
        <f t="shared" si="32"/>
        <v>9</v>
      </c>
      <c r="V76" s="311">
        <f t="shared" ca="1" si="33"/>
        <v>106</v>
      </c>
      <c r="W76" s="269" t="str">
        <f t="shared" ca="1" si="34"/>
        <v>||||||||||</v>
      </c>
      <c r="X76" s="269" t="str">
        <f t="shared" ca="1" si="35"/>
        <v>||||||||||</v>
      </c>
      <c r="Y76" s="434" t="str">
        <f t="shared" ca="1" si="36"/>
        <v/>
      </c>
      <c r="Z76" s="269" t="str">
        <f t="shared" ca="1" si="37"/>
        <v/>
      </c>
      <c r="AA76" s="270" t="str">
        <f t="shared" ca="1" si="38"/>
        <v>||||||</v>
      </c>
    </row>
    <row r="77" spans="1:27" x14ac:dyDescent="0.25">
      <c r="A77" s="140">
        <f>+'Esc 2'!A87</f>
        <v>1986</v>
      </c>
      <c r="B77" s="140">
        <f>+'Esc 2'!B87</f>
        <v>10</v>
      </c>
      <c r="C77" s="141">
        <f>+'Esc 2'!O87</f>
        <v>1.8402389541538222</v>
      </c>
      <c r="D77" s="140">
        <f>+'Esc 2'!D87</f>
        <v>147.9</v>
      </c>
      <c r="E77" s="147">
        <f t="shared" si="39"/>
        <v>114.86999999999999</v>
      </c>
      <c r="F77" s="146">
        <f t="shared" si="39"/>
        <v>59</v>
      </c>
      <c r="G77" s="144">
        <f t="shared" si="20"/>
        <v>3.3030000000000017E-4</v>
      </c>
      <c r="H77" s="145">
        <f>+F77/100000*'Bal Híd'!$G$4</f>
        <v>0.64900000000000002</v>
      </c>
      <c r="I77" s="145">
        <v>0</v>
      </c>
      <c r="J77" s="145">
        <f t="shared" ca="1" si="23"/>
        <v>8.8280867172217121</v>
      </c>
      <c r="K77" s="145">
        <f t="shared" ca="1" si="24"/>
        <v>324.36597170329367</v>
      </c>
      <c r="L77" s="145">
        <f t="shared" ca="1" si="25"/>
        <v>309.90194553313427</v>
      </c>
      <c r="M77" s="145">
        <f t="shared" ca="1" si="26"/>
        <v>8.7136056446076822</v>
      </c>
      <c r="N77" s="145">
        <f t="shared" ca="1" si="27"/>
        <v>7.6368477630678893</v>
      </c>
      <c r="O77" s="143">
        <f t="shared" ca="1" si="22"/>
        <v>295.43791936297487</v>
      </c>
      <c r="P77" s="145">
        <f t="shared" ca="1" si="28"/>
        <v>1.0767578815397929</v>
      </c>
      <c r="Q77" s="145">
        <f t="shared" ca="1" si="29"/>
        <v>0.64900000000000002</v>
      </c>
      <c r="R77" s="592">
        <f t="shared" ca="1" si="30"/>
        <v>1.7257578815397929</v>
      </c>
      <c r="S77" s="311"/>
      <c r="T77" s="392">
        <f t="shared" si="31"/>
        <v>1986</v>
      </c>
      <c r="U77" s="392">
        <f t="shared" si="32"/>
        <v>10</v>
      </c>
      <c r="V77" s="311">
        <f t="shared" ca="1" si="33"/>
        <v>106</v>
      </c>
      <c r="W77" s="269" t="str">
        <f t="shared" ca="1" si="34"/>
        <v>||||||||||</v>
      </c>
      <c r="X77" s="269" t="str">
        <f t="shared" ca="1" si="35"/>
        <v>||||||||||</v>
      </c>
      <c r="Y77" s="434" t="str">
        <f t="shared" ca="1" si="36"/>
        <v/>
      </c>
      <c r="Z77" s="269" t="str">
        <f t="shared" ca="1" si="37"/>
        <v>|||</v>
      </c>
      <c r="AA77" s="270" t="str">
        <f t="shared" ca="1" si="38"/>
        <v>|||||</v>
      </c>
    </row>
    <row r="78" spans="1:27" x14ac:dyDescent="0.25">
      <c r="A78" s="140">
        <f>+'Esc 2'!A88</f>
        <v>1986</v>
      </c>
      <c r="B78" s="140">
        <f>+'Esc 2'!B88</f>
        <v>11</v>
      </c>
      <c r="C78" s="141">
        <f>+'Esc 2'!O88</f>
        <v>4.6768426349767269</v>
      </c>
      <c r="D78" s="140">
        <f>+'Esc 2'!D88</f>
        <v>312.39999999999998</v>
      </c>
      <c r="E78" s="147">
        <f t="shared" si="39"/>
        <v>144.06</v>
      </c>
      <c r="F78" s="146">
        <f t="shared" si="39"/>
        <v>212</v>
      </c>
      <c r="G78" s="144">
        <f t="shared" si="20"/>
        <v>1.6833999999999998E-3</v>
      </c>
      <c r="H78" s="145">
        <f>+F78/100000*'Bal Híd'!$G$4</f>
        <v>2.3319999999999999</v>
      </c>
      <c r="I78" s="145">
        <v>0</v>
      </c>
      <c r="J78" s="145">
        <f t="shared" ca="1" si="23"/>
        <v>9.9816903980446163</v>
      </c>
      <c r="K78" s="145">
        <f t="shared" ca="1" si="24"/>
        <v>351.08161152064554</v>
      </c>
      <c r="L78" s="145">
        <f t="shared" ca="1" si="25"/>
        <v>323.2597654418102</v>
      </c>
      <c r="M78" s="145">
        <f t="shared" ca="1" si="26"/>
        <v>9.9510236616415142</v>
      </c>
      <c r="N78" s="145">
        <f t="shared" ca="1" si="27"/>
        <v>7.6368477630678893</v>
      </c>
      <c r="O78" s="143">
        <f t="shared" ca="1" si="22"/>
        <v>295.43791936297487</v>
      </c>
      <c r="P78" s="145">
        <f t="shared" ca="1" si="28"/>
        <v>2.3141758985736249</v>
      </c>
      <c r="Q78" s="145">
        <f t="shared" ca="1" si="29"/>
        <v>2.3319999999999999</v>
      </c>
      <c r="R78" s="592">
        <f t="shared" ca="1" si="30"/>
        <v>4.6461758985736248</v>
      </c>
      <c r="S78" s="311"/>
      <c r="T78" s="392">
        <f t="shared" si="31"/>
        <v>1986</v>
      </c>
      <c r="U78" s="392">
        <f t="shared" si="32"/>
        <v>11</v>
      </c>
      <c r="V78" s="311">
        <f t="shared" ca="1" si="33"/>
        <v>106</v>
      </c>
      <c r="W78" s="269" t="str">
        <f t="shared" ca="1" si="34"/>
        <v>||||||||||</v>
      </c>
      <c r="X78" s="269" t="str">
        <f t="shared" ca="1" si="35"/>
        <v>||||||||||</v>
      </c>
      <c r="Y78" s="434" t="str">
        <f t="shared" ca="1" si="36"/>
        <v/>
      </c>
      <c r="Z78" s="269" t="str">
        <f t="shared" ca="1" si="37"/>
        <v>|||||||||||</v>
      </c>
      <c r="AA78" s="270" t="str">
        <f t="shared" ca="1" si="38"/>
        <v>|||||||||||</v>
      </c>
    </row>
    <row r="79" spans="1:27" x14ac:dyDescent="0.25">
      <c r="A79" s="140">
        <f>+'Esc 2'!A89</f>
        <v>1986</v>
      </c>
      <c r="B79" s="140">
        <f>+'Esc 2'!B89</f>
        <v>12</v>
      </c>
      <c r="C79" s="141">
        <f>+'Esc 2'!O89</f>
        <v>1.0932403688626386</v>
      </c>
      <c r="D79" s="140">
        <f>+'Esc 2'!D89</f>
        <v>34.799999999999997</v>
      </c>
      <c r="E79" s="147">
        <f t="shared" si="39"/>
        <v>179.62</v>
      </c>
      <c r="F79" s="146">
        <f t="shared" si="39"/>
        <v>388</v>
      </c>
      <c r="G79" s="144">
        <f t="shared" si="20"/>
        <v>-1.4482E-3</v>
      </c>
      <c r="H79" s="145">
        <f>+F79/100000*'Bal Híd'!$G$4</f>
        <v>4.2679999999999998</v>
      </c>
      <c r="I79" s="145">
        <v>0</v>
      </c>
      <c r="J79" s="145">
        <f t="shared" ca="1" si="23"/>
        <v>4.4620881319305274</v>
      </c>
      <c r="K79" s="145">
        <f t="shared" ca="1" si="24"/>
        <v>208.96306322327104</v>
      </c>
      <c r="L79" s="145">
        <f t="shared" ca="1" si="25"/>
        <v>252.20049129312295</v>
      </c>
      <c r="M79" s="145">
        <f t="shared" ca="1" si="26"/>
        <v>3.9920164914175347</v>
      </c>
      <c r="N79" s="145">
        <f t="shared" ca="1" si="27"/>
        <v>3.9920164914175347</v>
      </c>
      <c r="O79" s="143">
        <f t="shared" ca="1" si="22"/>
        <v>194.4972973430651</v>
      </c>
      <c r="P79" s="145">
        <f t="shared" ca="1" si="28"/>
        <v>0</v>
      </c>
      <c r="Q79" s="145">
        <f t="shared" ca="1" si="29"/>
        <v>4.2679999999999998</v>
      </c>
      <c r="R79" s="592">
        <f t="shared" ca="1" si="30"/>
        <v>0.62316872834964432</v>
      </c>
      <c r="S79" s="311"/>
      <c r="T79" s="392">
        <f t="shared" si="31"/>
        <v>1986</v>
      </c>
      <c r="U79" s="392">
        <f t="shared" si="32"/>
        <v>12</v>
      </c>
      <c r="V79" s="311">
        <f t="shared" ca="1" si="33"/>
        <v>104.5025176508275</v>
      </c>
      <c r="W79" s="269" t="str">
        <f t="shared" ca="1" si="34"/>
        <v>|||||||</v>
      </c>
      <c r="X79" s="269" t="str">
        <f t="shared" ca="1" si="35"/>
        <v>|||||</v>
      </c>
      <c r="Y79" s="434" t="str">
        <f t="shared" ca="1" si="36"/>
        <v/>
      </c>
      <c r="Z79" s="269" t="str">
        <f t="shared" ca="1" si="37"/>
        <v>|||||||||||||||||||||</v>
      </c>
      <c r="AA79" s="270" t="str">
        <f t="shared" ca="1" si="38"/>
        <v/>
      </c>
    </row>
    <row r="80" spans="1:27" x14ac:dyDescent="0.25">
      <c r="A80" s="140">
        <f>+'Esc 2'!A90</f>
        <v>1987</v>
      </c>
      <c r="B80" s="140">
        <f>+'Esc 2'!B90</f>
        <v>1</v>
      </c>
      <c r="C80" s="141">
        <f>+'Esc 2'!O90</f>
        <v>1.2563953167350537</v>
      </c>
      <c r="D80" s="140">
        <f>+'Esc 2'!D90</f>
        <v>149.19999999999999</v>
      </c>
      <c r="E80" s="147">
        <f t="shared" si="39"/>
        <v>176.89</v>
      </c>
      <c r="F80" s="146">
        <f t="shared" si="39"/>
        <v>318</v>
      </c>
      <c r="G80" s="144">
        <f t="shared" si="20"/>
        <v>-2.7689999999999995E-4</v>
      </c>
      <c r="H80" s="145">
        <f>+F80/100000*'Bal Híd'!$G$4</f>
        <v>3.4980000000000002</v>
      </c>
      <c r="I80" s="145">
        <v>0</v>
      </c>
      <c r="J80" s="145">
        <f t="shared" ca="1" si="23"/>
        <v>1.7504118081525881</v>
      </c>
      <c r="K80" s="145">
        <f t="shared" ca="1" si="24"/>
        <v>114.33275094228307</v>
      </c>
      <c r="L80" s="145">
        <f t="shared" ca="1" si="25"/>
        <v>154.4150241426741</v>
      </c>
      <c r="M80" s="145">
        <f t="shared" ca="1" si="26"/>
        <v>1.6338876289688553</v>
      </c>
      <c r="N80" s="145">
        <f t="shared" ca="1" si="27"/>
        <v>1.6338876289688553</v>
      </c>
      <c r="O80" s="143">
        <f t="shared" ca="1" si="22"/>
        <v>109.36800231083345</v>
      </c>
      <c r="P80" s="145">
        <f t="shared" ca="1" si="28"/>
        <v>0</v>
      </c>
      <c r="Q80" s="145">
        <f t="shared" ca="1" si="29"/>
        <v>3.4980000000000002</v>
      </c>
      <c r="R80" s="592">
        <f t="shared" ca="1" si="30"/>
        <v>1.1398711375513213</v>
      </c>
      <c r="S80" s="311"/>
      <c r="T80" s="392">
        <f t="shared" si="31"/>
        <v>1987</v>
      </c>
      <c r="U80" s="392">
        <f t="shared" si="32"/>
        <v>1</v>
      </c>
      <c r="V80" s="311">
        <f t="shared" ca="1" si="33"/>
        <v>102.93163593496475</v>
      </c>
      <c r="W80" s="269" t="str">
        <f t="shared" ca="1" si="34"/>
        <v>||||</v>
      </c>
      <c r="X80" s="269" t="str">
        <f t="shared" ca="1" si="35"/>
        <v>|</v>
      </c>
      <c r="Y80" s="434" t="str">
        <f t="shared" ca="1" si="36"/>
        <v/>
      </c>
      <c r="Z80" s="269" t="str">
        <f t="shared" ca="1" si="37"/>
        <v>|||||||||||||||||</v>
      </c>
      <c r="AA80" s="270" t="str">
        <f t="shared" ca="1" si="38"/>
        <v/>
      </c>
    </row>
    <row r="81" spans="1:27" x14ac:dyDescent="0.25">
      <c r="A81" s="140">
        <f>+'Esc 2'!A91</f>
        <v>1987</v>
      </c>
      <c r="B81" s="140">
        <f>+'Esc 2'!B91</f>
        <v>2</v>
      </c>
      <c r="C81" s="141">
        <f>+'Esc 2'!O91</f>
        <v>0.71544185007040983</v>
      </c>
      <c r="D81" s="140">
        <f>+'Esc 2'!D91</f>
        <v>68.8</v>
      </c>
      <c r="E81" s="147">
        <f t="shared" si="39"/>
        <v>131.73999999999998</v>
      </c>
      <c r="F81" s="146">
        <f t="shared" si="39"/>
        <v>153</v>
      </c>
      <c r="G81" s="144">
        <f t="shared" si="20"/>
        <v>-6.2939999999999979E-4</v>
      </c>
      <c r="H81" s="145">
        <f>+F81/100000*'Bal Híd'!$G$4</f>
        <v>1.6829999999999998</v>
      </c>
      <c r="I81" s="145">
        <v>0</v>
      </c>
      <c r="J81" s="145">
        <f t="shared" ca="1" si="23"/>
        <v>0.66632947903926532</v>
      </c>
      <c r="K81" s="145">
        <f t="shared" ca="1" si="24"/>
        <v>61.356378710862067</v>
      </c>
      <c r="L81" s="145">
        <f t="shared" ca="1" si="25"/>
        <v>85.362190510847753</v>
      </c>
      <c r="M81" s="145">
        <f t="shared" ca="1" si="26"/>
        <v>0.58938134389632202</v>
      </c>
      <c r="N81" s="145">
        <f t="shared" ca="1" si="27"/>
        <v>0.58938134389632202</v>
      </c>
      <c r="O81" s="143">
        <f t="shared" ca="1" si="22"/>
        <v>56.691224090654508</v>
      </c>
      <c r="P81" s="145">
        <f t="shared" ca="1" si="28"/>
        <v>0</v>
      </c>
      <c r="Q81" s="145">
        <f t="shared" ca="1" si="29"/>
        <v>1.6829999999999998</v>
      </c>
      <c r="R81" s="592">
        <f t="shared" ca="1" si="30"/>
        <v>0.63849371492746654</v>
      </c>
      <c r="S81" s="311"/>
      <c r="T81" s="392">
        <f t="shared" si="31"/>
        <v>1987</v>
      </c>
      <c r="U81" s="392">
        <f t="shared" si="32"/>
        <v>2</v>
      </c>
      <c r="V81" s="311">
        <f t="shared" ca="1" si="33"/>
        <v>101.653930624243</v>
      </c>
      <c r="W81" s="269" t="str">
        <f t="shared" ca="1" si="34"/>
        <v>||</v>
      </c>
      <c r="X81" s="269" t="str">
        <f t="shared" ca="1" si="35"/>
        <v/>
      </c>
      <c r="Y81" s="434" t="str">
        <f t="shared" ca="1" si="36"/>
        <v/>
      </c>
      <c r="Z81" s="269" t="str">
        <f t="shared" ca="1" si="37"/>
        <v>||||||||</v>
      </c>
      <c r="AA81" s="270" t="str">
        <f t="shared" ca="1" si="38"/>
        <v/>
      </c>
    </row>
    <row r="82" spans="1:27" x14ac:dyDescent="0.25">
      <c r="A82" s="140">
        <f>+'Esc 2'!A92</f>
        <v>1987</v>
      </c>
      <c r="B82" s="140">
        <f>+'Esc 2'!B92</f>
        <v>3</v>
      </c>
      <c r="C82" s="141">
        <f>+'Esc 2'!O92</f>
        <v>5.6076797468613622</v>
      </c>
      <c r="D82" s="140">
        <f>+'Esc 2'!D92</f>
        <v>358.6</v>
      </c>
      <c r="E82" s="147">
        <f t="shared" si="39"/>
        <v>118.64999999999999</v>
      </c>
      <c r="F82" s="146">
        <f t="shared" si="39"/>
        <v>47</v>
      </c>
      <c r="G82" s="144">
        <f t="shared" si="20"/>
        <v>2.3995000000000006E-3</v>
      </c>
      <c r="H82" s="145">
        <f>+F82/100000*'Bal Híd'!$G$4</f>
        <v>0.51700000000000002</v>
      </c>
      <c r="I82" s="145">
        <v>0</v>
      </c>
      <c r="J82" s="145">
        <f t="shared" ca="1" si="23"/>
        <v>5.6800610907576834</v>
      </c>
      <c r="K82" s="145">
        <f t="shared" ca="1" si="24"/>
        <v>244.1273099816386</v>
      </c>
      <c r="L82" s="145">
        <f t="shared" ca="1" si="25"/>
        <v>150.40926703614656</v>
      </c>
      <c r="M82" s="145">
        <f t="shared" ca="1" si="26"/>
        <v>5.7202658454524151</v>
      </c>
      <c r="N82" s="145">
        <f t="shared" ca="1" si="27"/>
        <v>5.7202658454524151</v>
      </c>
      <c r="O82" s="143">
        <f t="shared" ca="1" si="22"/>
        <v>245.23949703663916</v>
      </c>
      <c r="P82" s="145">
        <f t="shared" ca="1" si="28"/>
        <v>0</v>
      </c>
      <c r="Q82" s="145">
        <f t="shared" ca="1" si="29"/>
        <v>0.51700000000000002</v>
      </c>
      <c r="R82" s="592">
        <f t="shared" ca="1" si="30"/>
        <v>5.647884501556093</v>
      </c>
      <c r="S82" s="311"/>
      <c r="T82" s="392">
        <f t="shared" si="31"/>
        <v>1987</v>
      </c>
      <c r="U82" s="392">
        <f t="shared" si="32"/>
        <v>3</v>
      </c>
      <c r="V82" s="311">
        <f t="shared" ca="1" si="33"/>
        <v>105.29012794634488</v>
      </c>
      <c r="W82" s="269" t="str">
        <f t="shared" ca="1" si="34"/>
        <v>||||||||</v>
      </c>
      <c r="X82" s="269" t="str">
        <f t="shared" ca="1" si="35"/>
        <v>|||||||</v>
      </c>
      <c r="Y82" s="434" t="str">
        <f t="shared" ca="1" si="36"/>
        <v/>
      </c>
      <c r="Z82" s="269" t="str">
        <f t="shared" ca="1" si="37"/>
        <v>||</v>
      </c>
      <c r="AA82" s="270" t="str">
        <f t="shared" ca="1" si="38"/>
        <v/>
      </c>
    </row>
    <row r="83" spans="1:27" x14ac:dyDescent="0.25">
      <c r="A83" s="140">
        <f>+'Esc 2'!A93</f>
        <v>1987</v>
      </c>
      <c r="B83" s="140">
        <f>+'Esc 2'!B93</f>
        <v>4</v>
      </c>
      <c r="C83" s="141">
        <f>+'Esc 2'!O93</f>
        <v>3.7131579275384499</v>
      </c>
      <c r="D83" s="140">
        <f>+'Esc 2'!D93</f>
        <v>193.2</v>
      </c>
      <c r="E83" s="147">
        <f t="shared" si="39"/>
        <v>73.149999999999991</v>
      </c>
      <c r="F83" s="146">
        <f t="shared" si="39"/>
        <v>0</v>
      </c>
      <c r="G83" s="144">
        <f t="shared" si="20"/>
        <v>1.2005E-3</v>
      </c>
      <c r="H83" s="145">
        <f>+F83/100000*'Bal Híd'!$G$4</f>
        <v>0</v>
      </c>
      <c r="I83" s="145">
        <v>0</v>
      </c>
      <c r="J83" s="145">
        <f t="shared" ca="1" si="23"/>
        <v>9.4334237729908654</v>
      </c>
      <c r="K83" s="145">
        <f t="shared" ca="1" si="24"/>
        <v>338.52981213393639</v>
      </c>
      <c r="L83" s="145">
        <f t="shared" ca="1" si="25"/>
        <v>291.88465458528776</v>
      </c>
      <c r="M83" s="145">
        <f t="shared" ca="1" si="26"/>
        <v>9.3717347916569356</v>
      </c>
      <c r="N83" s="145">
        <f t="shared" ca="1" si="27"/>
        <v>7.6368477630678893</v>
      </c>
      <c r="O83" s="143">
        <f t="shared" ca="1" si="22"/>
        <v>295.43791936297487</v>
      </c>
      <c r="P83" s="145">
        <f t="shared" ca="1" si="28"/>
        <v>1.7348870285890463</v>
      </c>
      <c r="Q83" s="145">
        <f t="shared" ca="1" si="29"/>
        <v>0</v>
      </c>
      <c r="R83" s="592">
        <f t="shared" ca="1" si="30"/>
        <v>3.65146894620452</v>
      </c>
      <c r="S83" s="311"/>
      <c r="T83" s="392">
        <f t="shared" si="31"/>
        <v>1987</v>
      </c>
      <c r="U83" s="392">
        <f t="shared" si="32"/>
        <v>4</v>
      </c>
      <c r="V83" s="311">
        <f t="shared" ca="1" si="33"/>
        <v>106</v>
      </c>
      <c r="W83" s="269" t="str">
        <f t="shared" ca="1" si="34"/>
        <v>||||||||||</v>
      </c>
      <c r="X83" s="269" t="str">
        <f t="shared" ca="1" si="35"/>
        <v>||||||||||</v>
      </c>
      <c r="Y83" s="434" t="str">
        <f t="shared" ca="1" si="36"/>
        <v/>
      </c>
      <c r="Z83" s="269" t="str">
        <f t="shared" ca="1" si="37"/>
        <v/>
      </c>
      <c r="AA83" s="270" t="str">
        <f t="shared" ca="1" si="38"/>
        <v>||||||||</v>
      </c>
    </row>
    <row r="84" spans="1:27" x14ac:dyDescent="0.25">
      <c r="A84" s="140">
        <f>+'Esc 2'!A94</f>
        <v>1987</v>
      </c>
      <c r="B84" s="140">
        <f>+'Esc 2'!B94</f>
        <v>5</v>
      </c>
      <c r="C84" s="141">
        <f>+'Esc 2'!O94</f>
        <v>1.4424435022225457</v>
      </c>
      <c r="D84" s="140">
        <f>+'Esc 2'!D94</f>
        <v>69.8</v>
      </c>
      <c r="E84" s="147">
        <f t="shared" si="39"/>
        <v>51.24</v>
      </c>
      <c r="F84" s="146">
        <f t="shared" si="39"/>
        <v>0</v>
      </c>
      <c r="G84" s="144">
        <f t="shared" si="20"/>
        <v>1.8559999999999996E-4</v>
      </c>
      <c r="H84" s="145">
        <f>+F84/100000*'Bal Híd'!$G$4</f>
        <v>0</v>
      </c>
      <c r="I84" s="145">
        <v>0</v>
      </c>
      <c r="J84" s="145">
        <f t="shared" ca="1" si="23"/>
        <v>9.0792912652904345</v>
      </c>
      <c r="K84" s="145">
        <f t="shared" ca="1" si="24"/>
        <v>330.28436352493458</v>
      </c>
      <c r="L84" s="145">
        <f t="shared" ca="1" si="25"/>
        <v>312.86114144395469</v>
      </c>
      <c r="M84" s="145">
        <f t="shared" ca="1" si="26"/>
        <v>8.9657672206809256</v>
      </c>
      <c r="N84" s="145">
        <f t="shared" ca="1" si="27"/>
        <v>7.6368477630678893</v>
      </c>
      <c r="O84" s="143">
        <f t="shared" ca="1" si="22"/>
        <v>295.43791936297487</v>
      </c>
      <c r="P84" s="145">
        <f t="shared" ca="1" si="28"/>
        <v>1.3289194576130363</v>
      </c>
      <c r="Q84" s="145">
        <f t="shared" ca="1" si="29"/>
        <v>0</v>
      </c>
      <c r="R84" s="592">
        <f t="shared" ca="1" si="30"/>
        <v>1.3289194576130374</v>
      </c>
      <c r="S84" s="311"/>
      <c r="T84" s="392">
        <f t="shared" si="31"/>
        <v>1987</v>
      </c>
      <c r="U84" s="392">
        <f t="shared" si="32"/>
        <v>5</v>
      </c>
      <c r="V84" s="311">
        <f t="shared" ca="1" si="33"/>
        <v>106</v>
      </c>
      <c r="W84" s="269" t="str">
        <f t="shared" ca="1" si="34"/>
        <v>||||||||||</v>
      </c>
      <c r="X84" s="269" t="str">
        <f t="shared" ca="1" si="35"/>
        <v>||||||||||</v>
      </c>
      <c r="Y84" s="434" t="str">
        <f t="shared" ca="1" si="36"/>
        <v/>
      </c>
      <c r="Z84" s="269" t="str">
        <f t="shared" ca="1" si="37"/>
        <v/>
      </c>
      <c r="AA84" s="270" t="str">
        <f t="shared" ca="1" si="38"/>
        <v>||||||</v>
      </c>
    </row>
    <row r="85" spans="1:27" x14ac:dyDescent="0.25">
      <c r="A85" s="140">
        <f>+'Esc 2'!A95</f>
        <v>1987</v>
      </c>
      <c r="B85" s="140">
        <f>+'Esc 2'!B95</f>
        <v>6</v>
      </c>
      <c r="C85" s="141">
        <f>+'Esc 2'!O95</f>
        <v>0.776170677251249</v>
      </c>
      <c r="D85" s="140">
        <f>+'Esc 2'!D95</f>
        <v>54.3</v>
      </c>
      <c r="E85" s="147">
        <f t="shared" si="39"/>
        <v>41.019999999999996</v>
      </c>
      <c r="F85" s="146">
        <f t="shared" si="39"/>
        <v>0</v>
      </c>
      <c r="G85" s="144">
        <f t="shared" si="20"/>
        <v>1.328E-4</v>
      </c>
      <c r="H85" s="145">
        <f>+F85/100000*'Bal Híd'!$G$4</f>
        <v>0</v>
      </c>
      <c r="I85" s="145">
        <v>0</v>
      </c>
      <c r="J85" s="145">
        <f t="shared" ca="1" si="23"/>
        <v>8.4130184403191386</v>
      </c>
      <c r="K85" s="145">
        <f t="shared" ca="1" si="24"/>
        <v>314.45390776343584</v>
      </c>
      <c r="L85" s="145">
        <f t="shared" ca="1" si="25"/>
        <v>304.94591356320535</v>
      </c>
      <c r="M85" s="145">
        <f t="shared" ca="1" si="26"/>
        <v>8.3635190309272698</v>
      </c>
      <c r="N85" s="145">
        <f t="shared" ca="1" si="27"/>
        <v>7.6368477630678893</v>
      </c>
      <c r="O85" s="143">
        <f t="shared" ca="1" si="22"/>
        <v>295.43791936297487</v>
      </c>
      <c r="P85" s="145">
        <f t="shared" ca="1" si="28"/>
        <v>0.72667126785938052</v>
      </c>
      <c r="Q85" s="145">
        <f t="shared" ca="1" si="29"/>
        <v>0</v>
      </c>
      <c r="R85" s="592">
        <f t="shared" ca="1" si="30"/>
        <v>0.7266712678593803</v>
      </c>
      <c r="S85" s="311"/>
      <c r="T85" s="392">
        <f t="shared" si="31"/>
        <v>1987</v>
      </c>
      <c r="U85" s="392">
        <f t="shared" si="32"/>
        <v>6</v>
      </c>
      <c r="V85" s="311">
        <f t="shared" ca="1" si="33"/>
        <v>106</v>
      </c>
      <c r="W85" s="269" t="str">
        <f t="shared" ca="1" si="34"/>
        <v>||||||||||</v>
      </c>
      <c r="X85" s="269" t="str">
        <f t="shared" ca="1" si="35"/>
        <v>||||||||||</v>
      </c>
      <c r="Y85" s="434" t="str">
        <f t="shared" ca="1" si="36"/>
        <v/>
      </c>
      <c r="Z85" s="269" t="str">
        <f t="shared" ca="1" si="37"/>
        <v/>
      </c>
      <c r="AA85" s="270" t="str">
        <f t="shared" ca="1" si="38"/>
        <v>|||</v>
      </c>
    </row>
    <row r="86" spans="1:27" x14ac:dyDescent="0.25">
      <c r="A86" s="140">
        <f>+'Esc 2'!A96</f>
        <v>1987</v>
      </c>
      <c r="B86" s="140">
        <f>+'Esc 2'!B96</f>
        <v>7</v>
      </c>
      <c r="C86" s="141">
        <f>+'Esc 2'!O96</f>
        <v>2.4351401581393484</v>
      </c>
      <c r="D86" s="140">
        <f>+'Esc 2'!D96</f>
        <v>155.30000000000001</v>
      </c>
      <c r="E86" s="147">
        <f t="shared" si="39"/>
        <v>50.819999999999993</v>
      </c>
      <c r="F86" s="146">
        <f t="shared" si="39"/>
        <v>0</v>
      </c>
      <c r="G86" s="144">
        <f t="shared" si="20"/>
        <v>1.0448000000000002E-3</v>
      </c>
      <c r="H86" s="145">
        <f>+F86/100000*'Bal Híd'!$G$4</f>
        <v>0</v>
      </c>
      <c r="I86" s="145">
        <v>0</v>
      </c>
      <c r="J86" s="145">
        <f t="shared" ca="1" si="23"/>
        <v>10.071987921207239</v>
      </c>
      <c r="K86" s="145">
        <f t="shared" ca="1" si="24"/>
        <v>353.12506998878172</v>
      </c>
      <c r="L86" s="145">
        <f t="shared" ca="1" si="25"/>
        <v>324.28149467587832</v>
      </c>
      <c r="M86" s="145">
        <f t="shared" ca="1" si="26"/>
        <v>10.110542135503652</v>
      </c>
      <c r="N86" s="145">
        <f t="shared" ca="1" si="27"/>
        <v>7.6368477630678893</v>
      </c>
      <c r="O86" s="143">
        <f t="shared" ca="1" si="22"/>
        <v>295.43791936297487</v>
      </c>
      <c r="P86" s="145">
        <f t="shared" ca="1" si="28"/>
        <v>2.4736943724357623</v>
      </c>
      <c r="Q86" s="145">
        <f t="shared" ca="1" si="29"/>
        <v>0</v>
      </c>
      <c r="R86" s="592">
        <f t="shared" ca="1" si="30"/>
        <v>2.4736943724357618</v>
      </c>
      <c r="S86" s="311"/>
      <c r="T86" s="392">
        <f t="shared" si="31"/>
        <v>1987</v>
      </c>
      <c r="U86" s="392">
        <f t="shared" si="32"/>
        <v>7</v>
      </c>
      <c r="V86" s="311">
        <f t="shared" ca="1" si="33"/>
        <v>106</v>
      </c>
      <c r="W86" s="269" t="str">
        <f t="shared" ca="1" si="34"/>
        <v>||||||||||</v>
      </c>
      <c r="X86" s="269" t="str">
        <f t="shared" ca="1" si="35"/>
        <v>||||||||||</v>
      </c>
      <c r="Y86" s="434" t="str">
        <f t="shared" ca="1" si="36"/>
        <v/>
      </c>
      <c r="Z86" s="269" t="str">
        <f t="shared" ca="1" si="37"/>
        <v/>
      </c>
      <c r="AA86" s="270" t="str">
        <f t="shared" ca="1" si="38"/>
        <v>||||||||||||</v>
      </c>
    </row>
    <row r="87" spans="1:27" x14ac:dyDescent="0.25">
      <c r="A87" s="140">
        <f>+'Esc 2'!A97</f>
        <v>1987</v>
      </c>
      <c r="B87" s="140">
        <f>+'Esc 2'!B97</f>
        <v>8</v>
      </c>
      <c r="C87" s="141">
        <f>+'Esc 2'!O97</f>
        <v>1.626200276731576</v>
      </c>
      <c r="D87" s="140">
        <f>+'Esc 2'!D97</f>
        <v>91.4</v>
      </c>
      <c r="E87" s="147">
        <f t="shared" si="39"/>
        <v>72.449999999999989</v>
      </c>
      <c r="F87" s="146">
        <f t="shared" si="39"/>
        <v>0</v>
      </c>
      <c r="G87" s="144">
        <f t="shared" si="20"/>
        <v>1.8950000000000016E-4</v>
      </c>
      <c r="H87" s="145">
        <f>+F87/100000*'Bal Híd'!$G$4</f>
        <v>0</v>
      </c>
      <c r="I87" s="145">
        <v>0</v>
      </c>
      <c r="J87" s="145">
        <f t="shared" ca="1" si="23"/>
        <v>9.2630480397994646</v>
      </c>
      <c r="K87" s="145">
        <f t="shared" ca="1" si="24"/>
        <v>334.57686351151648</v>
      </c>
      <c r="L87" s="145">
        <f t="shared" ca="1" si="25"/>
        <v>315.0073914372457</v>
      </c>
      <c r="M87" s="145">
        <f t="shared" ca="1" si="26"/>
        <v>9.1279643332039182</v>
      </c>
      <c r="N87" s="145">
        <f t="shared" ca="1" si="27"/>
        <v>7.6368477630678893</v>
      </c>
      <c r="O87" s="143">
        <f t="shared" ca="1" si="22"/>
        <v>295.43791936297487</v>
      </c>
      <c r="P87" s="145">
        <f t="shared" ca="1" si="28"/>
        <v>1.4911165701360289</v>
      </c>
      <c r="Q87" s="145">
        <f t="shared" ca="1" si="29"/>
        <v>0</v>
      </c>
      <c r="R87" s="592">
        <f t="shared" ca="1" si="30"/>
        <v>1.4911165701360289</v>
      </c>
      <c r="S87" s="311"/>
      <c r="T87" s="392">
        <f t="shared" si="31"/>
        <v>1987</v>
      </c>
      <c r="U87" s="392">
        <f t="shared" si="32"/>
        <v>8</v>
      </c>
      <c r="V87" s="311">
        <f t="shared" ca="1" si="33"/>
        <v>106</v>
      </c>
      <c r="W87" s="269" t="str">
        <f t="shared" ca="1" si="34"/>
        <v>||||||||||</v>
      </c>
      <c r="X87" s="269" t="str">
        <f t="shared" ca="1" si="35"/>
        <v>||||||||||</v>
      </c>
      <c r="Y87" s="434" t="str">
        <f t="shared" ca="1" si="36"/>
        <v/>
      </c>
      <c r="Z87" s="269" t="str">
        <f t="shared" ca="1" si="37"/>
        <v/>
      </c>
      <c r="AA87" s="270" t="str">
        <f t="shared" ca="1" si="38"/>
        <v>|||||||</v>
      </c>
    </row>
    <row r="88" spans="1:27" x14ac:dyDescent="0.25">
      <c r="A88" s="140">
        <f>+'Esc 2'!A98</f>
        <v>1987</v>
      </c>
      <c r="B88" s="140">
        <f>+'Esc 2'!B98</f>
        <v>9</v>
      </c>
      <c r="C88" s="141">
        <f>+'Esc 2'!O98</f>
        <v>2.9664817526222409</v>
      </c>
      <c r="D88" s="140">
        <f>+'Esc 2'!D98</f>
        <v>196.4</v>
      </c>
      <c r="E88" s="147">
        <f t="shared" si="39"/>
        <v>85.89</v>
      </c>
      <c r="F88" s="146">
        <f t="shared" si="39"/>
        <v>0</v>
      </c>
      <c r="G88" s="144">
        <f t="shared" si="20"/>
        <v>1.1051000000000001E-3</v>
      </c>
      <c r="H88" s="145">
        <f>+F88/100000*'Bal Híd'!$G$4</f>
        <v>0</v>
      </c>
      <c r="I88" s="145">
        <v>0</v>
      </c>
      <c r="J88" s="145">
        <f t="shared" ca="1" si="23"/>
        <v>10.603329515690131</v>
      </c>
      <c r="K88" s="145">
        <f t="shared" ca="1" si="24"/>
        <v>365.02027852959367</v>
      </c>
      <c r="L88" s="145">
        <f t="shared" ca="1" si="25"/>
        <v>330.22909894628424</v>
      </c>
      <c r="M88" s="145">
        <f t="shared" ca="1" si="26"/>
        <v>10.59578713924402</v>
      </c>
      <c r="N88" s="145">
        <f t="shared" ca="1" si="27"/>
        <v>7.6368477630678893</v>
      </c>
      <c r="O88" s="143">
        <f t="shared" ca="1" si="22"/>
        <v>295.43791936297487</v>
      </c>
      <c r="P88" s="145">
        <f t="shared" ca="1" si="28"/>
        <v>2.9589393761761311</v>
      </c>
      <c r="Q88" s="145">
        <f t="shared" ca="1" si="29"/>
        <v>0</v>
      </c>
      <c r="R88" s="592">
        <f t="shared" ca="1" si="30"/>
        <v>2.9589393761761302</v>
      </c>
      <c r="S88" s="311"/>
      <c r="T88" s="392">
        <f t="shared" si="31"/>
        <v>1987</v>
      </c>
      <c r="U88" s="392">
        <f t="shared" si="32"/>
        <v>9</v>
      </c>
      <c r="V88" s="311">
        <f t="shared" ca="1" si="33"/>
        <v>106</v>
      </c>
      <c r="W88" s="269" t="str">
        <f t="shared" ca="1" si="34"/>
        <v>||||||||||</v>
      </c>
      <c r="X88" s="269" t="str">
        <f t="shared" ca="1" si="35"/>
        <v>||||||||||</v>
      </c>
      <c r="Y88" s="434" t="str">
        <f t="shared" ca="1" si="36"/>
        <v/>
      </c>
      <c r="Z88" s="269" t="str">
        <f t="shared" ca="1" si="37"/>
        <v/>
      </c>
      <c r="AA88" s="270" t="str">
        <f t="shared" ca="1" si="38"/>
        <v>||||||||||||||</v>
      </c>
    </row>
    <row r="89" spans="1:27" x14ac:dyDescent="0.25">
      <c r="A89" s="140">
        <f>+'Esc 2'!A99</f>
        <v>1987</v>
      </c>
      <c r="B89" s="140">
        <f>+'Esc 2'!B99</f>
        <v>10</v>
      </c>
      <c r="C89" s="141">
        <f>+'Esc 2'!O99</f>
        <v>0.96385127403454618</v>
      </c>
      <c r="D89" s="140">
        <f>+'Esc 2'!D99</f>
        <v>50.9</v>
      </c>
      <c r="E89" s="147">
        <f t="shared" si="39"/>
        <v>114.86999999999999</v>
      </c>
      <c r="F89" s="146">
        <f t="shared" si="39"/>
        <v>59</v>
      </c>
      <c r="G89" s="144">
        <f t="shared" si="20"/>
        <v>-6.3969999999999988E-4</v>
      </c>
      <c r="H89" s="145">
        <f>+F89/100000*'Bal Híd'!$G$4</f>
        <v>0.64900000000000002</v>
      </c>
      <c r="I89" s="145">
        <v>0</v>
      </c>
      <c r="J89" s="145">
        <f t="shared" ca="1" si="23"/>
        <v>7.9516990371024354</v>
      </c>
      <c r="K89" s="145">
        <f t="shared" ca="1" si="24"/>
        <v>303.23089208466615</v>
      </c>
      <c r="L89" s="145">
        <f t="shared" ca="1" si="25"/>
        <v>299.33440572382051</v>
      </c>
      <c r="M89" s="145">
        <f t="shared" ca="1" si="26"/>
        <v>7.6505137347497749</v>
      </c>
      <c r="N89" s="145">
        <f t="shared" ca="1" si="27"/>
        <v>7.6368477630678893</v>
      </c>
      <c r="O89" s="143">
        <f t="shared" ca="1" si="22"/>
        <v>295.43791936297487</v>
      </c>
      <c r="P89" s="145">
        <f t="shared" ca="1" si="28"/>
        <v>1.3665971681885658E-2</v>
      </c>
      <c r="Q89" s="145">
        <f t="shared" ca="1" si="29"/>
        <v>0.64900000000000002</v>
      </c>
      <c r="R89" s="592">
        <f t="shared" ca="1" si="30"/>
        <v>0.66266597168188579</v>
      </c>
      <c r="S89" s="311"/>
      <c r="T89" s="392">
        <f t="shared" si="31"/>
        <v>1987</v>
      </c>
      <c r="U89" s="392">
        <f t="shared" si="32"/>
        <v>10</v>
      </c>
      <c r="V89" s="311">
        <f t="shared" ca="1" si="33"/>
        <v>106</v>
      </c>
      <c r="W89" s="269" t="str">
        <f t="shared" ca="1" si="34"/>
        <v>||||||||||</v>
      </c>
      <c r="X89" s="269" t="str">
        <f t="shared" ca="1" si="35"/>
        <v>||||||||||</v>
      </c>
      <c r="Y89" s="434" t="str">
        <f t="shared" ca="1" si="36"/>
        <v/>
      </c>
      <c r="Z89" s="269" t="str">
        <f t="shared" ca="1" si="37"/>
        <v>|||</v>
      </c>
      <c r="AA89" s="270" t="str">
        <f t="shared" ca="1" si="38"/>
        <v/>
      </c>
    </row>
    <row r="90" spans="1:27" x14ac:dyDescent="0.25">
      <c r="A90" s="140">
        <f>+'Esc 2'!A100</f>
        <v>1987</v>
      </c>
      <c r="B90" s="140">
        <f>+'Esc 2'!B100</f>
        <v>11</v>
      </c>
      <c r="C90" s="141">
        <f>+'Esc 2'!O100</f>
        <v>0.77396578129949178</v>
      </c>
      <c r="D90" s="140">
        <f>+'Esc 2'!D100</f>
        <v>97.7</v>
      </c>
      <c r="E90" s="147">
        <f t="shared" si="39"/>
        <v>144.06</v>
      </c>
      <c r="F90" s="146">
        <f t="shared" si="39"/>
        <v>212</v>
      </c>
      <c r="G90" s="144">
        <f t="shared" si="20"/>
        <v>-4.6359999999999999E-4</v>
      </c>
      <c r="H90" s="145">
        <f>+F90/100000*'Bal Híd'!$G$4</f>
        <v>2.3319999999999999</v>
      </c>
      <c r="I90" s="145">
        <v>0</v>
      </c>
      <c r="J90" s="145">
        <f t="shared" ca="1" si="23"/>
        <v>6.0788135443673808</v>
      </c>
      <c r="K90" s="145">
        <f t="shared" ca="1" si="24"/>
        <v>255.03823947668002</v>
      </c>
      <c r="L90" s="145">
        <f t="shared" ca="1" si="25"/>
        <v>275.23807941982744</v>
      </c>
      <c r="M90" s="145">
        <f t="shared" ca="1" si="26"/>
        <v>5.8702151269530871</v>
      </c>
      <c r="N90" s="145">
        <f t="shared" ca="1" si="27"/>
        <v>5.8702151269530871</v>
      </c>
      <c r="O90" s="143">
        <f t="shared" ca="1" si="22"/>
        <v>249.36328012625566</v>
      </c>
      <c r="P90" s="145">
        <f t="shared" ca="1" si="28"/>
        <v>0</v>
      </c>
      <c r="Q90" s="145">
        <f t="shared" ca="1" si="29"/>
        <v>2.3319999999999999</v>
      </c>
      <c r="R90" s="592">
        <f t="shared" ca="1" si="30"/>
        <v>0.56536736388519804</v>
      </c>
      <c r="S90" s="311"/>
      <c r="T90" s="392">
        <f t="shared" si="31"/>
        <v>1987</v>
      </c>
      <c r="U90" s="392">
        <f t="shared" si="32"/>
        <v>11</v>
      </c>
      <c r="V90" s="311">
        <f t="shared" ca="1" si="33"/>
        <v>105.35076280162428</v>
      </c>
      <c r="W90" s="269" t="str">
        <f t="shared" ca="1" si="34"/>
        <v>||||||||</v>
      </c>
      <c r="X90" s="269" t="str">
        <f t="shared" ca="1" si="35"/>
        <v>|||||||</v>
      </c>
      <c r="Y90" s="434" t="str">
        <f t="shared" ca="1" si="36"/>
        <v/>
      </c>
      <c r="Z90" s="269" t="str">
        <f t="shared" ca="1" si="37"/>
        <v>|||||||||||</v>
      </c>
      <c r="AA90" s="270" t="str">
        <f t="shared" ca="1" si="38"/>
        <v/>
      </c>
    </row>
    <row r="91" spans="1:27" x14ac:dyDescent="0.25">
      <c r="A91" s="140">
        <f>+'Esc 2'!A101</f>
        <v>1987</v>
      </c>
      <c r="B91" s="140">
        <f>+'Esc 2'!B101</f>
        <v>12</v>
      </c>
      <c r="C91" s="141">
        <f>+'Esc 2'!O101</f>
        <v>0.57210372625474881</v>
      </c>
      <c r="D91" s="140">
        <f>+'Esc 2'!D101</f>
        <v>74.900000000000006</v>
      </c>
      <c r="E91" s="147">
        <f t="shared" si="39"/>
        <v>179.62</v>
      </c>
      <c r="F91" s="146">
        <f t="shared" si="39"/>
        <v>388</v>
      </c>
      <c r="G91" s="144">
        <f t="shared" si="20"/>
        <v>-1.0472000000000001E-3</v>
      </c>
      <c r="H91" s="145">
        <f>+F91/100000*'Bal Híd'!$G$4</f>
        <v>4.2679999999999998</v>
      </c>
      <c r="I91" s="145">
        <v>0</v>
      </c>
      <c r="J91" s="145">
        <f t="shared" ca="1" si="23"/>
        <v>2.1743188532078364</v>
      </c>
      <c r="K91" s="145">
        <f t="shared" ca="1" si="24"/>
        <v>131.48187793843053</v>
      </c>
      <c r="L91" s="145">
        <f t="shared" ca="1" si="25"/>
        <v>190.42257903234309</v>
      </c>
      <c r="M91" s="145">
        <f t="shared" ca="1" si="26"/>
        <v>1.9334857174081153</v>
      </c>
      <c r="N91" s="145">
        <f t="shared" ca="1" si="27"/>
        <v>1.9334857174081153</v>
      </c>
      <c r="O91" s="143">
        <f t="shared" ca="1" si="22"/>
        <v>121.90202309262328</v>
      </c>
      <c r="P91" s="145">
        <f t="shared" ca="1" si="28"/>
        <v>0</v>
      </c>
      <c r="Q91" s="145">
        <f t="shared" ca="1" si="29"/>
        <v>4.2679999999999998</v>
      </c>
      <c r="R91" s="592">
        <f t="shared" ca="1" si="30"/>
        <v>0.3312705904550286</v>
      </c>
      <c r="S91" s="311"/>
      <c r="T91" s="392">
        <f t="shared" si="31"/>
        <v>1987</v>
      </c>
      <c r="U91" s="392">
        <f t="shared" si="32"/>
        <v>12</v>
      </c>
      <c r="V91" s="311">
        <f t="shared" ca="1" si="33"/>
        <v>103.19083920295779</v>
      </c>
      <c r="W91" s="269" t="str">
        <f t="shared" ca="1" si="34"/>
        <v>||||</v>
      </c>
      <c r="X91" s="269" t="str">
        <f t="shared" ca="1" si="35"/>
        <v>||</v>
      </c>
      <c r="Y91" s="434" t="str">
        <f t="shared" ca="1" si="36"/>
        <v/>
      </c>
      <c r="Z91" s="269" t="str">
        <f t="shared" ca="1" si="37"/>
        <v>|||||||||||||||||||||</v>
      </c>
      <c r="AA91" s="270" t="str">
        <f t="shared" ca="1" si="38"/>
        <v/>
      </c>
    </row>
    <row r="92" spans="1:27" x14ac:dyDescent="0.25">
      <c r="A92" s="140">
        <f>+'Esc 2'!A102</f>
        <v>1988</v>
      </c>
      <c r="B92" s="140">
        <f>+'Esc 2'!B102</f>
        <v>1</v>
      </c>
      <c r="C92" s="141">
        <f>+'Esc 2'!O102</f>
        <v>5.3243723446951083</v>
      </c>
      <c r="D92" s="140">
        <f>+'Esc 2'!D102</f>
        <v>381.9</v>
      </c>
      <c r="E92" s="147">
        <f t="shared" si="39"/>
        <v>176.89</v>
      </c>
      <c r="F92" s="146">
        <f t="shared" si="39"/>
        <v>318</v>
      </c>
      <c r="G92" s="144">
        <f t="shared" si="20"/>
        <v>2.0501E-3</v>
      </c>
      <c r="H92" s="145">
        <f>+F92/100000*'Bal Híd'!$G$4</f>
        <v>3.4980000000000002</v>
      </c>
      <c r="I92" s="145">
        <v>0</v>
      </c>
      <c r="J92" s="145">
        <f t="shared" ca="1" si="23"/>
        <v>3.7598580621032234</v>
      </c>
      <c r="K92" s="145">
        <f t="shared" ca="1" si="24"/>
        <v>187.13054818170599</v>
      </c>
      <c r="L92" s="145">
        <f t="shared" ca="1" si="25"/>
        <v>154.51628563716463</v>
      </c>
      <c r="M92" s="145">
        <f t="shared" ca="1" si="26"/>
        <v>3.7638173601048841</v>
      </c>
      <c r="N92" s="145">
        <f t="shared" ca="1" si="27"/>
        <v>3.7638173601048841</v>
      </c>
      <c r="O92" s="143">
        <f t="shared" ca="1" si="22"/>
        <v>187.25751560938556</v>
      </c>
      <c r="P92" s="145">
        <f t="shared" ca="1" si="28"/>
        <v>0</v>
      </c>
      <c r="Q92" s="145">
        <f t="shared" ca="1" si="29"/>
        <v>3.4980000000000002</v>
      </c>
      <c r="R92" s="592">
        <f t="shared" ca="1" si="30"/>
        <v>5.3283316426967691</v>
      </c>
      <c r="S92" s="311"/>
      <c r="T92" s="392">
        <f t="shared" si="31"/>
        <v>1988</v>
      </c>
      <c r="U92" s="392">
        <f t="shared" si="32"/>
        <v>1</v>
      </c>
      <c r="V92" s="311">
        <f t="shared" ca="1" si="33"/>
        <v>104.38295850519367</v>
      </c>
      <c r="W92" s="269" t="str">
        <f t="shared" ca="1" si="34"/>
        <v>|||||||</v>
      </c>
      <c r="X92" s="269" t="str">
        <f t="shared" ca="1" si="35"/>
        <v>||||</v>
      </c>
      <c r="Y92" s="434" t="str">
        <f t="shared" ca="1" si="36"/>
        <v/>
      </c>
      <c r="Z92" s="269" t="str">
        <f t="shared" ca="1" si="37"/>
        <v>|||||||||||||||||</v>
      </c>
      <c r="AA92" s="270" t="str">
        <f t="shared" ca="1" si="38"/>
        <v/>
      </c>
    </row>
    <row r="93" spans="1:27" x14ac:dyDescent="0.25">
      <c r="A93" s="140">
        <f>+'Esc 2'!A103</f>
        <v>1988</v>
      </c>
      <c r="B93" s="140">
        <f>+'Esc 2'!B103</f>
        <v>2</v>
      </c>
      <c r="C93" s="141">
        <f>+'Esc 2'!O103</f>
        <v>1.5362369544855854</v>
      </c>
      <c r="D93" s="140">
        <f>+'Esc 2'!D103</f>
        <v>78.3</v>
      </c>
      <c r="E93" s="147">
        <f t="shared" ref="E93:F112" si="40">+E81</f>
        <v>131.73999999999998</v>
      </c>
      <c r="F93" s="146">
        <f t="shared" si="40"/>
        <v>153</v>
      </c>
      <c r="G93" s="144">
        <f t="shared" si="20"/>
        <v>-5.3439999999999987E-4</v>
      </c>
      <c r="H93" s="145">
        <f>+F93/100000*'Bal Híd'!$G$4</f>
        <v>1.6829999999999998</v>
      </c>
      <c r="I93" s="145">
        <v>0</v>
      </c>
      <c r="J93" s="145">
        <f t="shared" ca="1" si="23"/>
        <v>3.6170543145904697</v>
      </c>
      <c r="K93" s="145">
        <f t="shared" ca="1" si="24"/>
        <v>182.51876615868215</v>
      </c>
      <c r="L93" s="145">
        <f t="shared" ca="1" si="25"/>
        <v>184.88814088403387</v>
      </c>
      <c r="M93" s="145">
        <f t="shared" ca="1" si="26"/>
        <v>3.4102531360289658</v>
      </c>
      <c r="N93" s="145">
        <f t="shared" ca="1" si="27"/>
        <v>3.4102531360289658</v>
      </c>
      <c r="O93" s="143">
        <f t="shared" ca="1" si="22"/>
        <v>175.72365516523598</v>
      </c>
      <c r="P93" s="145">
        <f t="shared" ca="1" si="28"/>
        <v>0</v>
      </c>
      <c r="Q93" s="145">
        <f t="shared" ca="1" si="29"/>
        <v>1.6829999999999998</v>
      </c>
      <c r="R93" s="592">
        <f t="shared" ca="1" si="30"/>
        <v>1.3294357759240816</v>
      </c>
      <c r="S93" s="311"/>
      <c r="T93" s="392">
        <f t="shared" si="31"/>
        <v>1988</v>
      </c>
      <c r="U93" s="392">
        <f t="shared" si="32"/>
        <v>2</v>
      </c>
      <c r="V93" s="311">
        <f t="shared" ca="1" si="33"/>
        <v>104.1881177723991</v>
      </c>
      <c r="W93" s="269" t="str">
        <f t="shared" ca="1" si="34"/>
        <v>||||||</v>
      </c>
      <c r="X93" s="269" t="str">
        <f t="shared" ca="1" si="35"/>
        <v>||||</v>
      </c>
      <c r="Y93" s="434" t="str">
        <f t="shared" ca="1" si="36"/>
        <v/>
      </c>
      <c r="Z93" s="269" t="str">
        <f t="shared" ca="1" si="37"/>
        <v>||||||||</v>
      </c>
      <c r="AA93" s="270" t="str">
        <f t="shared" ca="1" si="38"/>
        <v/>
      </c>
    </row>
    <row r="94" spans="1:27" x14ac:dyDescent="0.25">
      <c r="A94" s="140">
        <f>+'Esc 2'!A104</f>
        <v>1988</v>
      </c>
      <c r="B94" s="140">
        <f>+'Esc 2'!B104</f>
        <v>3</v>
      </c>
      <c r="C94" s="141">
        <f>+'Esc 2'!O104</f>
        <v>0.47828727925989312</v>
      </c>
      <c r="D94" s="140">
        <f>+'Esc 2'!D104</f>
        <v>51.8</v>
      </c>
      <c r="E94" s="147">
        <f t="shared" si="40"/>
        <v>118.64999999999999</v>
      </c>
      <c r="F94" s="146">
        <f t="shared" si="40"/>
        <v>47</v>
      </c>
      <c r="G94" s="144">
        <f t="shared" si="20"/>
        <v>-6.6849999999999993E-4</v>
      </c>
      <c r="H94" s="145">
        <f>+F94/100000*'Bal Híd'!$G$4</f>
        <v>0.51700000000000002</v>
      </c>
      <c r="I94" s="145">
        <v>0</v>
      </c>
      <c r="J94" s="145">
        <f t="shared" ca="1" si="23"/>
        <v>3.3715404152888593</v>
      </c>
      <c r="K94" s="145">
        <f t="shared" ca="1" si="24"/>
        <v>174.43552553727483</v>
      </c>
      <c r="L94" s="145">
        <f t="shared" ca="1" si="25"/>
        <v>175.0795903512554</v>
      </c>
      <c r="M94" s="145">
        <f t="shared" ca="1" si="26"/>
        <v>3.2226600357842772</v>
      </c>
      <c r="N94" s="145">
        <f t="shared" ca="1" si="27"/>
        <v>3.2226600357842772</v>
      </c>
      <c r="O94" s="143">
        <f t="shared" ca="1" si="22"/>
        <v>169.4318219012946</v>
      </c>
      <c r="P94" s="145">
        <f t="shared" ca="1" si="28"/>
        <v>0</v>
      </c>
      <c r="Q94" s="145">
        <f t="shared" ca="1" si="29"/>
        <v>0.51700000000000002</v>
      </c>
      <c r="R94" s="592">
        <f t="shared" ca="1" si="30"/>
        <v>0.32940689975531134</v>
      </c>
      <c r="S94" s="311"/>
      <c r="T94" s="392">
        <f t="shared" si="31"/>
        <v>1988</v>
      </c>
      <c r="U94" s="392">
        <f t="shared" si="32"/>
        <v>3</v>
      </c>
      <c r="V94" s="311">
        <f t="shared" ca="1" si="33"/>
        <v>104.07941173797502</v>
      </c>
      <c r="W94" s="269" t="str">
        <f t="shared" ca="1" si="34"/>
        <v>||||||</v>
      </c>
      <c r="X94" s="269" t="str">
        <f t="shared" ca="1" si="35"/>
        <v>||||</v>
      </c>
      <c r="Y94" s="434" t="str">
        <f t="shared" ca="1" si="36"/>
        <v/>
      </c>
      <c r="Z94" s="269" t="str">
        <f t="shared" ca="1" si="37"/>
        <v>||</v>
      </c>
      <c r="AA94" s="270" t="str">
        <f t="shared" ca="1" si="38"/>
        <v/>
      </c>
    </row>
    <row r="95" spans="1:27" x14ac:dyDescent="0.25">
      <c r="A95" s="140">
        <f>+'Esc 2'!A105</f>
        <v>1988</v>
      </c>
      <c r="B95" s="140">
        <f>+'Esc 2'!B105</f>
        <v>4</v>
      </c>
      <c r="C95" s="141">
        <f>+'Esc 2'!O105</f>
        <v>0.24883947992380465</v>
      </c>
      <c r="D95" s="140">
        <f>+'Esc 2'!D105</f>
        <v>36.200000000000003</v>
      </c>
      <c r="E95" s="147">
        <f t="shared" si="40"/>
        <v>73.149999999999991</v>
      </c>
      <c r="F95" s="146">
        <f t="shared" si="40"/>
        <v>0</v>
      </c>
      <c r="G95" s="144">
        <f t="shared" si="20"/>
        <v>-3.6949999999999987E-4</v>
      </c>
      <c r="H95" s="145">
        <f>+F95/100000*'Bal Híd'!$G$4</f>
        <v>0</v>
      </c>
      <c r="I95" s="145">
        <v>0</v>
      </c>
      <c r="J95" s="145">
        <f t="shared" ca="1" si="23"/>
        <v>3.4714995157080817</v>
      </c>
      <c r="K95" s="145">
        <f t="shared" ca="1" si="24"/>
        <v>177.75100416301933</v>
      </c>
      <c r="L95" s="145">
        <f t="shared" ca="1" si="25"/>
        <v>173.59141303215696</v>
      </c>
      <c r="M95" s="145">
        <f t="shared" ca="1" si="26"/>
        <v>3.3909330030648825</v>
      </c>
      <c r="N95" s="145">
        <f t="shared" ca="1" si="27"/>
        <v>3.3909330030648825</v>
      </c>
      <c r="O95" s="143">
        <f t="shared" ca="1" si="22"/>
        <v>175.08144939814346</v>
      </c>
      <c r="P95" s="145">
        <f t="shared" ca="1" si="28"/>
        <v>0</v>
      </c>
      <c r="Q95" s="145">
        <f t="shared" ca="1" si="29"/>
        <v>0</v>
      </c>
      <c r="R95" s="592">
        <f t="shared" ca="1" si="30"/>
        <v>0.16827296728060503</v>
      </c>
      <c r="S95" s="311"/>
      <c r="T95" s="392">
        <f t="shared" si="31"/>
        <v>1988</v>
      </c>
      <c r="U95" s="392">
        <f t="shared" si="32"/>
        <v>4</v>
      </c>
      <c r="V95" s="311">
        <f t="shared" ca="1" si="33"/>
        <v>104.17710302809378</v>
      </c>
      <c r="W95" s="269" t="str">
        <f t="shared" ca="1" si="34"/>
        <v>||||||</v>
      </c>
      <c r="X95" s="269" t="str">
        <f t="shared" ca="1" si="35"/>
        <v>||||</v>
      </c>
      <c r="Y95" s="434" t="str">
        <f t="shared" ca="1" si="36"/>
        <v/>
      </c>
      <c r="Z95" s="269" t="str">
        <f t="shared" ca="1" si="37"/>
        <v/>
      </c>
      <c r="AA95" s="270" t="str">
        <f t="shared" ca="1" si="38"/>
        <v/>
      </c>
    </row>
    <row r="96" spans="1:27" x14ac:dyDescent="0.25">
      <c r="A96" s="140">
        <f>+'Esc 2'!A106</f>
        <v>1988</v>
      </c>
      <c r="B96" s="140">
        <f>+'Esc 2'!B106</f>
        <v>5</v>
      </c>
      <c r="C96" s="141">
        <f>+'Esc 2'!O106</f>
        <v>7.0021648194232414E-2</v>
      </c>
      <c r="D96" s="140">
        <f>+'Esc 2'!D106</f>
        <v>9.6999999999999993</v>
      </c>
      <c r="E96" s="147">
        <f t="shared" si="40"/>
        <v>51.24</v>
      </c>
      <c r="F96" s="146">
        <f t="shared" si="40"/>
        <v>0</v>
      </c>
      <c r="G96" s="144">
        <f t="shared" si="20"/>
        <v>-4.1540000000000007E-4</v>
      </c>
      <c r="H96" s="145">
        <f>+F96/100000*'Bal Híd'!$G$4</f>
        <v>0</v>
      </c>
      <c r="I96" s="145">
        <v>0</v>
      </c>
      <c r="J96" s="145">
        <f t="shared" ca="1" si="23"/>
        <v>3.4609546512591152</v>
      </c>
      <c r="K96" s="145">
        <f t="shared" ca="1" si="24"/>
        <v>177.40286498085072</v>
      </c>
      <c r="L96" s="145">
        <f t="shared" ca="1" si="25"/>
        <v>176.24215718949711</v>
      </c>
      <c r="M96" s="145">
        <f t="shared" ca="1" si="26"/>
        <v>3.383051352574113</v>
      </c>
      <c r="N96" s="145">
        <f t="shared" ca="1" si="27"/>
        <v>3.383051352574113</v>
      </c>
      <c r="O96" s="143">
        <f t="shared" ca="1" si="22"/>
        <v>174.81908803947434</v>
      </c>
      <c r="P96" s="145">
        <f t="shared" ca="1" si="28"/>
        <v>0</v>
      </c>
      <c r="Q96" s="145">
        <f t="shared" ca="1" si="29"/>
        <v>0</v>
      </c>
      <c r="R96" s="592">
        <f t="shared" ca="1" si="30"/>
        <v>-7.8816504907697066E-3</v>
      </c>
      <c r="S96" s="311"/>
      <c r="T96" s="392">
        <f t="shared" si="31"/>
        <v>1988</v>
      </c>
      <c r="U96" s="392">
        <f t="shared" si="32"/>
        <v>5</v>
      </c>
      <c r="V96" s="311">
        <f t="shared" ca="1" si="33"/>
        <v>104.17259794718672</v>
      </c>
      <c r="W96" s="269" t="str">
        <f t="shared" ca="1" si="34"/>
        <v>||||||</v>
      </c>
      <c r="X96" s="269" t="str">
        <f t="shared" ca="1" si="35"/>
        <v>||||</v>
      </c>
      <c r="Y96" s="434" t="str">
        <f t="shared" ca="1" si="36"/>
        <v/>
      </c>
      <c r="Z96" s="269" t="str">
        <f t="shared" ca="1" si="37"/>
        <v/>
      </c>
      <c r="AA96" s="270" t="str">
        <f t="shared" ca="1" si="38"/>
        <v/>
      </c>
    </row>
    <row r="97" spans="1:27" x14ac:dyDescent="0.25">
      <c r="A97" s="140">
        <f>+'Esc 2'!A107</f>
        <v>1988</v>
      </c>
      <c r="B97" s="140">
        <f>+'Esc 2'!B107</f>
        <v>6</v>
      </c>
      <c r="C97" s="141">
        <f>+'Esc 2'!O107</f>
        <v>0.69257865966307652</v>
      </c>
      <c r="D97" s="140">
        <f>+'Esc 2'!D107</f>
        <v>68.2</v>
      </c>
      <c r="E97" s="147">
        <f t="shared" si="40"/>
        <v>41.019999999999996</v>
      </c>
      <c r="F97" s="146">
        <f t="shared" si="40"/>
        <v>0</v>
      </c>
      <c r="G97" s="144">
        <f t="shared" ref="G97:G160" si="41">+(D97-E97)/100000</f>
        <v>2.7180000000000005E-4</v>
      </c>
      <c r="H97" s="145">
        <f>+F97/100000*'Bal Híd'!$G$4</f>
        <v>0</v>
      </c>
      <c r="I97" s="145">
        <v>0</v>
      </c>
      <c r="J97" s="145">
        <f t="shared" ca="1" si="23"/>
        <v>4.0756300122371893</v>
      </c>
      <c r="K97" s="145">
        <f t="shared" ca="1" si="24"/>
        <v>197.11291897248935</v>
      </c>
      <c r="L97" s="145">
        <f t="shared" ca="1" si="25"/>
        <v>185.96600350598186</v>
      </c>
      <c r="M97" s="145">
        <f t="shared" ca="1" si="26"/>
        <v>4.0772036763813428</v>
      </c>
      <c r="N97" s="145">
        <f t="shared" ca="1" si="27"/>
        <v>4.0772036763813428</v>
      </c>
      <c r="O97" s="143">
        <f t="shared" ca="1" si="22"/>
        <v>197.16196284377259</v>
      </c>
      <c r="P97" s="145">
        <f t="shared" ca="1" si="28"/>
        <v>0</v>
      </c>
      <c r="Q97" s="145">
        <f t="shared" ca="1" si="29"/>
        <v>0</v>
      </c>
      <c r="R97" s="592">
        <f t="shared" ca="1" si="30"/>
        <v>0.69415232380722969</v>
      </c>
      <c r="S97" s="311"/>
      <c r="T97" s="392">
        <f t="shared" si="31"/>
        <v>1988</v>
      </c>
      <c r="U97" s="392">
        <f t="shared" si="32"/>
        <v>6</v>
      </c>
      <c r="V97" s="311">
        <f t="shared" ca="1" si="33"/>
        <v>104.54601861343674</v>
      </c>
      <c r="W97" s="269" t="str">
        <f t="shared" ca="1" si="34"/>
        <v>|||||||</v>
      </c>
      <c r="X97" s="269" t="str">
        <f t="shared" ca="1" si="35"/>
        <v>|||||</v>
      </c>
      <c r="Y97" s="434" t="str">
        <f t="shared" ca="1" si="36"/>
        <v/>
      </c>
      <c r="Z97" s="269" t="str">
        <f t="shared" ca="1" si="37"/>
        <v/>
      </c>
      <c r="AA97" s="270" t="str">
        <f t="shared" ca="1" si="38"/>
        <v/>
      </c>
    </row>
    <row r="98" spans="1:27" x14ac:dyDescent="0.25">
      <c r="A98" s="140">
        <f>+'Esc 2'!A108</f>
        <v>1988</v>
      </c>
      <c r="B98" s="140">
        <f>+'Esc 2'!B108</f>
        <v>7</v>
      </c>
      <c r="C98" s="141">
        <f>+'Esc 2'!O108</f>
        <v>0.44208096174249184</v>
      </c>
      <c r="D98" s="140">
        <f>+'Esc 2'!D108</f>
        <v>33.9</v>
      </c>
      <c r="E98" s="147">
        <f t="shared" si="40"/>
        <v>50.819999999999993</v>
      </c>
      <c r="F98" s="146">
        <f t="shared" si="40"/>
        <v>0</v>
      </c>
      <c r="G98" s="144">
        <f t="shared" si="41"/>
        <v>-1.6919999999999994E-4</v>
      </c>
      <c r="H98" s="145">
        <f>+F98/100000*'Bal Híd'!$G$4</f>
        <v>0</v>
      </c>
      <c r="I98" s="145">
        <v>0</v>
      </c>
      <c r="J98" s="145">
        <f t="shared" ca="1" si="23"/>
        <v>4.5192846381238345</v>
      </c>
      <c r="K98" s="145">
        <f t="shared" ca="1" si="24"/>
        <v>210.68532011122321</v>
      </c>
      <c r="L98" s="145">
        <f t="shared" ca="1" si="25"/>
        <v>203.92364147749788</v>
      </c>
      <c r="M98" s="145">
        <f t="shared" ca="1" si="26"/>
        <v>4.4505029026450043</v>
      </c>
      <c r="N98" s="145">
        <f t="shared" ca="1" si="27"/>
        <v>4.4505029026450043</v>
      </c>
      <c r="O98" s="143">
        <f t="shared" ca="1" si="22"/>
        <v>208.61326400715313</v>
      </c>
      <c r="P98" s="145">
        <f t="shared" ca="1" si="28"/>
        <v>0</v>
      </c>
      <c r="Q98" s="145">
        <f t="shared" ca="1" si="29"/>
        <v>0</v>
      </c>
      <c r="R98" s="592">
        <f t="shared" ca="1" si="30"/>
        <v>0.37329922626366141</v>
      </c>
      <c r="S98" s="311"/>
      <c r="T98" s="392">
        <f t="shared" si="31"/>
        <v>1988</v>
      </c>
      <c r="U98" s="392">
        <f t="shared" si="32"/>
        <v>7</v>
      </c>
      <c r="V98" s="311">
        <f t="shared" ca="1" si="33"/>
        <v>104.7300336240197</v>
      </c>
      <c r="W98" s="269" t="str">
        <f t="shared" ca="1" si="34"/>
        <v>|||||||</v>
      </c>
      <c r="X98" s="269" t="str">
        <f t="shared" ca="1" si="35"/>
        <v>|||||</v>
      </c>
      <c r="Y98" s="434" t="str">
        <f t="shared" ca="1" si="36"/>
        <v/>
      </c>
      <c r="Z98" s="269" t="str">
        <f t="shared" ca="1" si="37"/>
        <v/>
      </c>
      <c r="AA98" s="270" t="str">
        <f t="shared" ca="1" si="38"/>
        <v/>
      </c>
    </row>
    <row r="99" spans="1:27" x14ac:dyDescent="0.25">
      <c r="A99" s="140">
        <f>+'Esc 2'!A109</f>
        <v>1988</v>
      </c>
      <c r="B99" s="140">
        <f>+'Esc 2'!B109</f>
        <v>8</v>
      </c>
      <c r="C99" s="141">
        <f>+'Esc 2'!O109</f>
        <v>0.60164491853797419</v>
      </c>
      <c r="D99" s="140">
        <f>+'Esc 2'!D109</f>
        <v>65</v>
      </c>
      <c r="E99" s="147">
        <f t="shared" si="40"/>
        <v>72.449999999999989</v>
      </c>
      <c r="F99" s="146">
        <f t="shared" si="40"/>
        <v>0</v>
      </c>
      <c r="G99" s="144">
        <f t="shared" si="41"/>
        <v>-7.4499999999999886E-5</v>
      </c>
      <c r="H99" s="145">
        <f>+F99/100000*'Bal Híd'!$G$4</f>
        <v>0</v>
      </c>
      <c r="I99" s="145">
        <v>0</v>
      </c>
      <c r="J99" s="145">
        <f t="shared" ca="1" si="23"/>
        <v>5.0521478211829782</v>
      </c>
      <c r="K99" s="145">
        <f t="shared" ca="1" si="24"/>
        <v>226.37540675907246</v>
      </c>
      <c r="L99" s="145">
        <f t="shared" ca="1" si="25"/>
        <v>217.4943353831128</v>
      </c>
      <c r="M99" s="145">
        <f t="shared" ca="1" si="26"/>
        <v>4.9861899830471099</v>
      </c>
      <c r="N99" s="145">
        <f t="shared" ca="1" si="27"/>
        <v>4.9861899830471099</v>
      </c>
      <c r="O99" s="143">
        <f t="shared" ca="1" si="22"/>
        <v>224.46636874560366</v>
      </c>
      <c r="P99" s="145">
        <f t="shared" ca="1" si="28"/>
        <v>0</v>
      </c>
      <c r="Q99" s="145">
        <f t="shared" ca="1" si="29"/>
        <v>0</v>
      </c>
      <c r="R99" s="592">
        <f t="shared" ca="1" si="30"/>
        <v>0.53568708040210589</v>
      </c>
      <c r="S99" s="311"/>
      <c r="T99" s="392">
        <f t="shared" si="31"/>
        <v>1988</v>
      </c>
      <c r="U99" s="392">
        <f t="shared" si="32"/>
        <v>8</v>
      </c>
      <c r="V99" s="311">
        <f t="shared" ca="1" si="33"/>
        <v>104.9774682072466</v>
      </c>
      <c r="W99" s="269" t="str">
        <f t="shared" ca="1" si="34"/>
        <v>||||||||</v>
      </c>
      <c r="X99" s="269" t="str">
        <f t="shared" ca="1" si="35"/>
        <v>||||||</v>
      </c>
      <c r="Y99" s="434" t="str">
        <f t="shared" ca="1" si="36"/>
        <v/>
      </c>
      <c r="Z99" s="269" t="str">
        <f t="shared" ca="1" si="37"/>
        <v/>
      </c>
      <c r="AA99" s="270" t="str">
        <f t="shared" ca="1" si="38"/>
        <v/>
      </c>
    </row>
    <row r="100" spans="1:27" x14ac:dyDescent="0.25">
      <c r="A100" s="140">
        <f>+'Esc 2'!A110</f>
        <v>1988</v>
      </c>
      <c r="B100" s="140">
        <f>+'Esc 2'!B110</f>
        <v>9</v>
      </c>
      <c r="C100" s="141">
        <f>+'Esc 2'!O110</f>
        <v>2.1288756423945916</v>
      </c>
      <c r="D100" s="140">
        <f>+'Esc 2'!D110</f>
        <v>162.4</v>
      </c>
      <c r="E100" s="147">
        <f t="shared" si="40"/>
        <v>85.89</v>
      </c>
      <c r="F100" s="146">
        <f t="shared" si="40"/>
        <v>0</v>
      </c>
      <c r="G100" s="144">
        <f t="shared" si="41"/>
        <v>7.651E-4</v>
      </c>
      <c r="H100" s="145">
        <f>+F100/100000*'Bal Híd'!$G$4</f>
        <v>0</v>
      </c>
      <c r="I100" s="145">
        <v>0</v>
      </c>
      <c r="J100" s="145">
        <f t="shared" ca="1" si="23"/>
        <v>7.1150656254417015</v>
      </c>
      <c r="K100" s="145">
        <f t="shared" ca="1" si="24"/>
        <v>282.26643861619391</v>
      </c>
      <c r="L100" s="145">
        <f t="shared" ca="1" si="25"/>
        <v>253.36640368089877</v>
      </c>
      <c r="M100" s="145">
        <f t="shared" ca="1" si="26"/>
        <v>7.1038266923057973</v>
      </c>
      <c r="N100" s="145">
        <f t="shared" ca="1" si="27"/>
        <v>7.1038266923057973</v>
      </c>
      <c r="O100" s="143">
        <f t="shared" ca="1" si="22"/>
        <v>281.97902349421247</v>
      </c>
      <c r="P100" s="145">
        <f t="shared" ca="1" si="28"/>
        <v>0</v>
      </c>
      <c r="Q100" s="145">
        <f t="shared" ca="1" si="29"/>
        <v>0</v>
      </c>
      <c r="R100" s="592">
        <f t="shared" ca="1" si="30"/>
        <v>2.1176367092586874</v>
      </c>
      <c r="S100" s="311"/>
      <c r="T100" s="392">
        <f t="shared" si="31"/>
        <v>1988</v>
      </c>
      <c r="U100" s="392">
        <f t="shared" si="32"/>
        <v>9</v>
      </c>
      <c r="V100" s="311">
        <f t="shared" ca="1" si="33"/>
        <v>105.81536241440396</v>
      </c>
      <c r="W100" s="269" t="str">
        <f t="shared" ca="1" si="34"/>
        <v>|||||||||</v>
      </c>
      <c r="X100" s="269" t="str">
        <f t="shared" ca="1" si="35"/>
        <v>|||||||||</v>
      </c>
      <c r="Y100" s="434" t="str">
        <f t="shared" ca="1" si="36"/>
        <v/>
      </c>
      <c r="Z100" s="269" t="str">
        <f t="shared" ca="1" si="37"/>
        <v/>
      </c>
      <c r="AA100" s="270" t="str">
        <f t="shared" ca="1" si="38"/>
        <v/>
      </c>
    </row>
    <row r="101" spans="1:27" x14ac:dyDescent="0.25">
      <c r="A101" s="140">
        <f>+'Esc 2'!A111</f>
        <v>1988</v>
      </c>
      <c r="B101" s="140">
        <f>+'Esc 2'!B111</f>
        <v>10</v>
      </c>
      <c r="C101" s="141">
        <f>+'Esc 2'!O111</f>
        <v>0.90151391774496881</v>
      </c>
      <c r="D101" s="140">
        <f>+'Esc 2'!D111</f>
        <v>60.9</v>
      </c>
      <c r="E101" s="147">
        <f t="shared" si="40"/>
        <v>114.86999999999999</v>
      </c>
      <c r="F101" s="146">
        <f t="shared" si="40"/>
        <v>59</v>
      </c>
      <c r="G101" s="144">
        <f t="shared" si="41"/>
        <v>-5.3969999999999995E-4</v>
      </c>
      <c r="H101" s="145">
        <f>+F101/100000*'Bal Híd'!$G$4</f>
        <v>0.64900000000000002</v>
      </c>
      <c r="I101" s="145">
        <v>0</v>
      </c>
      <c r="J101" s="145">
        <f t="shared" ca="1" si="23"/>
        <v>7.3563406100507658</v>
      </c>
      <c r="K101" s="145">
        <f t="shared" ca="1" si="24"/>
        <v>288.39824242825784</v>
      </c>
      <c r="L101" s="145">
        <f t="shared" ca="1" si="25"/>
        <v>285.18863296123516</v>
      </c>
      <c r="M101" s="145">
        <f t="shared" ca="1" si="26"/>
        <v>7.1046670722190726</v>
      </c>
      <c r="N101" s="145">
        <f t="shared" ca="1" si="27"/>
        <v>7.1046670722190726</v>
      </c>
      <c r="O101" s="143">
        <f t="shared" ca="1" si="22"/>
        <v>282.00052026068903</v>
      </c>
      <c r="P101" s="145">
        <f t="shared" ca="1" si="28"/>
        <v>0</v>
      </c>
      <c r="Q101" s="145">
        <f t="shared" ca="1" si="29"/>
        <v>0.64900000000000002</v>
      </c>
      <c r="R101" s="592">
        <f t="shared" ca="1" si="30"/>
        <v>0.64984037991327503</v>
      </c>
      <c r="S101" s="311"/>
      <c r="T101" s="392">
        <f t="shared" si="31"/>
        <v>1988</v>
      </c>
      <c r="U101" s="392">
        <f t="shared" si="32"/>
        <v>10</v>
      </c>
      <c r="V101" s="311">
        <f t="shared" ca="1" si="33"/>
        <v>105.81566043227457</v>
      </c>
      <c r="W101" s="269" t="str">
        <f t="shared" ca="1" si="34"/>
        <v>|||||||||</v>
      </c>
      <c r="X101" s="269" t="str">
        <f t="shared" ca="1" si="35"/>
        <v>|||||||||</v>
      </c>
      <c r="Y101" s="434" t="str">
        <f t="shared" ca="1" si="36"/>
        <v/>
      </c>
      <c r="Z101" s="269" t="str">
        <f t="shared" ca="1" si="37"/>
        <v>|||</v>
      </c>
      <c r="AA101" s="270" t="str">
        <f t="shared" ca="1" si="38"/>
        <v/>
      </c>
    </row>
    <row r="102" spans="1:27" x14ac:dyDescent="0.25">
      <c r="A102" s="140">
        <f>+'Esc 2'!A112</f>
        <v>1988</v>
      </c>
      <c r="B102" s="140">
        <f>+'Esc 2'!B112</f>
        <v>11</v>
      </c>
      <c r="C102" s="141">
        <f>+'Esc 2'!O112</f>
        <v>0.82924490992781763</v>
      </c>
      <c r="D102" s="140">
        <f>+'Esc 2'!D112</f>
        <v>100.9</v>
      </c>
      <c r="E102" s="147">
        <f t="shared" si="40"/>
        <v>144.06</v>
      </c>
      <c r="F102" s="146">
        <f t="shared" si="40"/>
        <v>212</v>
      </c>
      <c r="G102" s="144">
        <f t="shared" si="41"/>
        <v>-4.3159999999999997E-4</v>
      </c>
      <c r="H102" s="145">
        <f>+F102/100000*'Bal Híd'!$G$4</f>
        <v>2.3319999999999999</v>
      </c>
      <c r="I102" s="145">
        <v>0</v>
      </c>
      <c r="J102" s="145">
        <f t="shared" ca="1" si="23"/>
        <v>5.6019119821468903</v>
      </c>
      <c r="K102" s="145">
        <f t="shared" ca="1" si="24"/>
        <v>241.95742269108032</v>
      </c>
      <c r="L102" s="145">
        <f t="shared" ca="1" si="25"/>
        <v>261.97897147588469</v>
      </c>
      <c r="M102" s="145">
        <f t="shared" ca="1" si="26"/>
        <v>5.4062392996531443</v>
      </c>
      <c r="N102" s="145">
        <f t="shared" ca="1" si="27"/>
        <v>5.4062392996531443</v>
      </c>
      <c r="O102" s="143">
        <f t="shared" ca="1" si="22"/>
        <v>236.4765872252477</v>
      </c>
      <c r="P102" s="145">
        <f t="shared" ca="1" si="28"/>
        <v>0</v>
      </c>
      <c r="Q102" s="145">
        <f t="shared" ca="1" si="29"/>
        <v>2.3319999999999999</v>
      </c>
      <c r="R102" s="592">
        <f t="shared" ca="1" si="30"/>
        <v>0.63357222743407204</v>
      </c>
      <c r="S102" s="311"/>
      <c r="T102" s="392">
        <f t="shared" si="31"/>
        <v>1988</v>
      </c>
      <c r="U102" s="392">
        <f t="shared" si="32"/>
        <v>11</v>
      </c>
      <c r="V102" s="311">
        <f t="shared" ca="1" si="33"/>
        <v>105.15974322999395</v>
      </c>
      <c r="W102" s="269" t="str">
        <f t="shared" ca="1" si="34"/>
        <v>||||||||</v>
      </c>
      <c r="X102" s="269" t="str">
        <f t="shared" ca="1" si="35"/>
        <v>|||||||</v>
      </c>
      <c r="Y102" s="434" t="str">
        <f t="shared" ca="1" si="36"/>
        <v/>
      </c>
      <c r="Z102" s="269" t="str">
        <f t="shared" ca="1" si="37"/>
        <v>|||||||||||</v>
      </c>
      <c r="AA102" s="270" t="str">
        <f t="shared" ca="1" si="38"/>
        <v/>
      </c>
    </row>
    <row r="103" spans="1:27" x14ac:dyDescent="0.25">
      <c r="A103" s="140">
        <f>+'Esc 2'!A113</f>
        <v>1988</v>
      </c>
      <c r="B103" s="140">
        <f>+'Esc 2'!B113</f>
        <v>12</v>
      </c>
      <c r="C103" s="141">
        <f>+'Esc 2'!O113</f>
        <v>0.62513822946527597</v>
      </c>
      <c r="D103" s="140">
        <f>+'Esc 2'!D113</f>
        <v>79.400000000000006</v>
      </c>
      <c r="E103" s="147">
        <f t="shared" si="40"/>
        <v>179.62</v>
      </c>
      <c r="F103" s="146">
        <f t="shared" si="40"/>
        <v>388</v>
      </c>
      <c r="G103" s="144">
        <f t="shared" si="41"/>
        <v>-1.0022E-3</v>
      </c>
      <c r="H103" s="145">
        <f>+F103/100000*'Bal Híd'!$G$4</f>
        <v>4.2679999999999998</v>
      </c>
      <c r="I103" s="145">
        <v>0</v>
      </c>
      <c r="J103" s="145">
        <f t="shared" ca="1" si="23"/>
        <v>1.7633775291184204</v>
      </c>
      <c r="K103" s="145">
        <f t="shared" ca="1" si="24"/>
        <v>114.87780412486714</v>
      </c>
      <c r="L103" s="145">
        <f t="shared" ca="1" si="25"/>
        <v>175.67719567505742</v>
      </c>
      <c r="M103" s="145">
        <f t="shared" ca="1" si="26"/>
        <v>1.5455562272395973</v>
      </c>
      <c r="N103" s="145">
        <f t="shared" ca="1" si="27"/>
        <v>1.5455562272395973</v>
      </c>
      <c r="O103" s="143">
        <f t="shared" ca="1" si="22"/>
        <v>105.52010167770489</v>
      </c>
      <c r="P103" s="145">
        <f t="shared" ca="1" si="28"/>
        <v>0</v>
      </c>
      <c r="Q103" s="145">
        <f t="shared" ca="1" si="29"/>
        <v>4.2679999999999998</v>
      </c>
      <c r="R103" s="592">
        <f t="shared" ca="1" si="30"/>
        <v>0.4073169275864521</v>
      </c>
      <c r="S103" s="311"/>
      <c r="T103" s="392">
        <f t="shared" si="31"/>
        <v>1988</v>
      </c>
      <c r="U103" s="392">
        <f t="shared" si="32"/>
        <v>12</v>
      </c>
      <c r="V103" s="311">
        <f t="shared" ca="1" si="33"/>
        <v>102.84942046312079</v>
      </c>
      <c r="W103" s="269" t="str">
        <f t="shared" ca="1" si="34"/>
        <v>||||</v>
      </c>
      <c r="X103" s="269" t="str">
        <f t="shared" ca="1" si="35"/>
        <v>|</v>
      </c>
      <c r="Y103" s="434" t="str">
        <f t="shared" ca="1" si="36"/>
        <v/>
      </c>
      <c r="Z103" s="269" t="str">
        <f t="shared" ca="1" si="37"/>
        <v>|||||||||||||||||||||</v>
      </c>
      <c r="AA103" s="270" t="str">
        <f t="shared" ca="1" si="38"/>
        <v/>
      </c>
    </row>
    <row r="104" spans="1:27" x14ac:dyDescent="0.25">
      <c r="A104" s="140">
        <f>+'Esc 2'!A114</f>
        <v>1989</v>
      </c>
      <c r="B104" s="140">
        <f>+'Esc 2'!B114</f>
        <v>1</v>
      </c>
      <c r="C104" s="141">
        <f>+'Esc 2'!O114</f>
        <v>0.33036872686975627</v>
      </c>
      <c r="D104" s="140">
        <f>+'Esc 2'!D114</f>
        <v>53.7</v>
      </c>
      <c r="E104" s="147">
        <f t="shared" si="40"/>
        <v>176.89</v>
      </c>
      <c r="F104" s="146">
        <f t="shared" si="40"/>
        <v>318</v>
      </c>
      <c r="G104" s="144">
        <f t="shared" si="41"/>
        <v>-1.2318999999999997E-3</v>
      </c>
      <c r="H104" s="145">
        <f>+F104/100000*'Bal Híd'!$G$4</f>
        <v>3.4980000000000002</v>
      </c>
      <c r="I104" s="145">
        <v>0</v>
      </c>
      <c r="J104" s="145">
        <f t="shared" ca="1" si="23"/>
        <v>-1.6220750458906465</v>
      </c>
      <c r="K104" s="145">
        <f t="shared" ca="1" si="24"/>
        <v>0</v>
      </c>
      <c r="L104" s="145">
        <f t="shared" ca="1" si="25"/>
        <v>52.760050838852443</v>
      </c>
      <c r="M104" s="145">
        <f t="shared" ca="1" si="26"/>
        <v>-1.6936976319202515</v>
      </c>
      <c r="N104" s="145">
        <f t="shared" ca="1" si="27"/>
        <v>0.14364725252241328</v>
      </c>
      <c r="O104" s="143">
        <f t="shared" ca="1" si="22"/>
        <v>22.824988701237128</v>
      </c>
      <c r="P104" s="145">
        <f t="shared" ca="1" si="28"/>
        <v>0</v>
      </c>
      <c r="Q104" s="145">
        <f t="shared" ca="1" si="29"/>
        <v>1.6606551155573355</v>
      </c>
      <c r="R104" s="592">
        <f t="shared" ca="1" si="30"/>
        <v>0.25874614084015141</v>
      </c>
      <c r="S104" s="311"/>
      <c r="T104" s="392">
        <f t="shared" si="31"/>
        <v>1989</v>
      </c>
      <c r="U104" s="392">
        <f t="shared" si="32"/>
        <v>1</v>
      </c>
      <c r="V104" s="311">
        <f t="shared" ca="1" si="33"/>
        <v>100.5</v>
      </c>
      <c r="W104" s="269" t="str">
        <f t="shared" ca="1" si="34"/>
        <v/>
      </c>
      <c r="X104" s="269" t="str">
        <f t="shared" ca="1" si="35"/>
        <v/>
      </c>
      <c r="Y104" s="434" t="str">
        <f t="shared" ca="1" si="36"/>
        <v>|||||||||</v>
      </c>
      <c r="Z104" s="269" t="str">
        <f t="shared" ca="1" si="37"/>
        <v>||||||||</v>
      </c>
      <c r="AA104" s="270" t="str">
        <f t="shared" ca="1" si="38"/>
        <v/>
      </c>
    </row>
    <row r="105" spans="1:27" x14ac:dyDescent="0.25">
      <c r="A105" s="140">
        <f>+'Esc 2'!A115</f>
        <v>1989</v>
      </c>
      <c r="B105" s="140">
        <f>+'Esc 2'!B115</f>
        <v>2</v>
      </c>
      <c r="C105" s="141">
        <f>+'Esc 2'!O115</f>
        <v>8.4743039245574456E-2</v>
      </c>
      <c r="D105" s="140">
        <f>+'Esc 2'!D115</f>
        <v>11.7</v>
      </c>
      <c r="E105" s="147">
        <f t="shared" si="40"/>
        <v>131.73999999999998</v>
      </c>
      <c r="F105" s="146">
        <f t="shared" si="40"/>
        <v>153</v>
      </c>
      <c r="G105" s="144">
        <f t="shared" si="41"/>
        <v>-1.2003999999999997E-3</v>
      </c>
      <c r="H105" s="145">
        <f>+F105/100000*'Bal Híd'!$G$4</f>
        <v>1.6829999999999998</v>
      </c>
      <c r="I105" s="145">
        <v>0</v>
      </c>
      <c r="J105" s="145">
        <f t="shared" ca="1" si="23"/>
        <v>-1.4546097082320122</v>
      </c>
      <c r="K105" s="145">
        <f t="shared" ca="1" si="24"/>
        <v>0</v>
      </c>
      <c r="L105" s="145">
        <f t="shared" ca="1" si="25"/>
        <v>11.412494350618564</v>
      </c>
      <c r="M105" s="145">
        <f t="shared" ca="1" si="26"/>
        <v>-1.4686769962819184</v>
      </c>
      <c r="N105" s="145">
        <f t="shared" ca="1" si="27"/>
        <v>0.14364725252241328</v>
      </c>
      <c r="O105" s="143">
        <f t="shared" ca="1" si="22"/>
        <v>22.824988701237128</v>
      </c>
      <c r="P105" s="145">
        <f t="shared" ca="1" si="28"/>
        <v>0</v>
      </c>
      <c r="Q105" s="145">
        <f t="shared" ca="1" si="29"/>
        <v>7.0675751195668157E-2</v>
      </c>
      <c r="R105" s="592">
        <f t="shared" ca="1" si="30"/>
        <v>7.0675751195668213E-2</v>
      </c>
      <c r="S105" s="311"/>
      <c r="T105" s="392">
        <f t="shared" si="31"/>
        <v>1989</v>
      </c>
      <c r="U105" s="392">
        <f t="shared" si="32"/>
        <v>2</v>
      </c>
      <c r="V105" s="311">
        <f t="shared" ca="1" si="33"/>
        <v>100.5</v>
      </c>
      <c r="W105" s="269" t="str">
        <f t="shared" ca="1" si="34"/>
        <v/>
      </c>
      <c r="X105" s="269" t="str">
        <f t="shared" ca="1" si="35"/>
        <v/>
      </c>
      <c r="Y105" s="434" t="str">
        <f t="shared" ca="1" si="36"/>
        <v>||||||||</v>
      </c>
      <c r="Z105" s="269" t="str">
        <f t="shared" ca="1" si="37"/>
        <v/>
      </c>
      <c r="AA105" s="270" t="str">
        <f t="shared" ca="1" si="38"/>
        <v/>
      </c>
    </row>
    <row r="106" spans="1:27" x14ac:dyDescent="0.25">
      <c r="A106" s="140">
        <f>+'Esc 2'!A116</f>
        <v>1989</v>
      </c>
      <c r="B106" s="140">
        <f>+'Esc 2'!B116</f>
        <v>3</v>
      </c>
      <c r="C106" s="141">
        <f>+'Esc 2'!O116</f>
        <v>1.2452626862407248</v>
      </c>
      <c r="D106" s="140">
        <f>+'Esc 2'!D116</f>
        <v>136.6</v>
      </c>
      <c r="E106" s="147">
        <f t="shared" si="40"/>
        <v>118.64999999999999</v>
      </c>
      <c r="F106" s="146">
        <f t="shared" si="40"/>
        <v>47</v>
      </c>
      <c r="G106" s="144">
        <f t="shared" si="41"/>
        <v>1.7950000000000003E-4</v>
      </c>
      <c r="H106" s="145">
        <f>+F106/100000*'Bal Híd'!$G$4</f>
        <v>0.51700000000000002</v>
      </c>
      <c r="I106" s="145">
        <v>0</v>
      </c>
      <c r="J106" s="145">
        <f t="shared" ca="1" si="23"/>
        <v>0.87190993876313805</v>
      </c>
      <c r="K106" s="145">
        <f t="shared" ca="1" si="24"/>
        <v>72.965748578485318</v>
      </c>
      <c r="L106" s="145">
        <f t="shared" ca="1" si="25"/>
        <v>47.895368639861225</v>
      </c>
      <c r="M106" s="145">
        <f t="shared" ca="1" si="26"/>
        <v>0.85782947096594631</v>
      </c>
      <c r="N106" s="145">
        <f t="shared" ca="1" si="27"/>
        <v>0.85782947096594631</v>
      </c>
      <c r="O106" s="143">
        <f t="shared" ca="1" si="22"/>
        <v>72.204194265206368</v>
      </c>
      <c r="P106" s="145">
        <f t="shared" ca="1" si="28"/>
        <v>0</v>
      </c>
      <c r="Q106" s="145">
        <f t="shared" ca="1" si="29"/>
        <v>0.51700000000000002</v>
      </c>
      <c r="R106" s="592">
        <f t="shared" ca="1" si="30"/>
        <v>1.231182218443533</v>
      </c>
      <c r="S106" s="311"/>
      <c r="T106" s="392">
        <f t="shared" si="31"/>
        <v>1989</v>
      </c>
      <c r="U106" s="392">
        <f t="shared" si="32"/>
        <v>3</v>
      </c>
      <c r="V106" s="311">
        <f t="shared" ca="1" si="33"/>
        <v>102.07137370187328</v>
      </c>
      <c r="W106" s="269" t="str">
        <f t="shared" ca="1" si="34"/>
        <v>||</v>
      </c>
      <c r="X106" s="269" t="str">
        <f t="shared" ca="1" si="35"/>
        <v/>
      </c>
      <c r="Y106" s="434" t="str">
        <f t="shared" ca="1" si="36"/>
        <v/>
      </c>
      <c r="Z106" s="269" t="str">
        <f t="shared" ca="1" si="37"/>
        <v>||</v>
      </c>
      <c r="AA106" s="270" t="str">
        <f t="shared" ca="1" si="38"/>
        <v/>
      </c>
    </row>
    <row r="107" spans="1:27" x14ac:dyDescent="0.25">
      <c r="A107" s="140">
        <f>+'Esc 2'!A117</f>
        <v>1989</v>
      </c>
      <c r="B107" s="140">
        <f>+'Esc 2'!B117</f>
        <v>4</v>
      </c>
      <c r="C107" s="141">
        <f>+'Esc 2'!O117</f>
        <v>2.0675106188007719</v>
      </c>
      <c r="D107" s="140">
        <f>+'Esc 2'!D117</f>
        <v>144.80000000000001</v>
      </c>
      <c r="E107" s="147">
        <f t="shared" si="40"/>
        <v>73.149999999999991</v>
      </c>
      <c r="F107" s="146">
        <f t="shared" si="40"/>
        <v>0</v>
      </c>
      <c r="G107" s="144">
        <f t="shared" si="41"/>
        <v>7.1650000000000023E-4</v>
      </c>
      <c r="H107" s="145">
        <f>+F107/100000*'Bal Híd'!$G$4</f>
        <v>0</v>
      </c>
      <c r="I107" s="145">
        <v>0</v>
      </c>
      <c r="J107" s="145">
        <f t="shared" ca="1" si="23"/>
        <v>2.9253400897667183</v>
      </c>
      <c r="K107" s="145">
        <f t="shared" ca="1" si="24"/>
        <v>159.18566215112938</v>
      </c>
      <c r="L107" s="145">
        <f t="shared" ca="1" si="25"/>
        <v>115.69492820816788</v>
      </c>
      <c r="M107" s="145">
        <f t="shared" ca="1" si="26"/>
        <v>2.9172847481808062</v>
      </c>
      <c r="N107" s="145">
        <f t="shared" ca="1" si="27"/>
        <v>2.9172847481808062</v>
      </c>
      <c r="O107" s="143">
        <f t="shared" ca="1" si="22"/>
        <v>158.9030397839461</v>
      </c>
      <c r="P107" s="145">
        <f t="shared" ca="1" si="28"/>
        <v>0</v>
      </c>
      <c r="Q107" s="145">
        <f t="shared" ca="1" si="29"/>
        <v>0</v>
      </c>
      <c r="R107" s="592">
        <f t="shared" ca="1" si="30"/>
        <v>2.0594552772148598</v>
      </c>
      <c r="S107" s="311"/>
      <c r="T107" s="392">
        <f t="shared" si="31"/>
        <v>1989</v>
      </c>
      <c r="U107" s="392">
        <f t="shared" si="32"/>
        <v>4</v>
      </c>
      <c r="V107" s="311">
        <f t="shared" ca="1" si="33"/>
        <v>103.89336860730802</v>
      </c>
      <c r="W107" s="269" t="str">
        <f t="shared" ca="1" si="34"/>
        <v>||||||</v>
      </c>
      <c r="X107" s="269" t="str">
        <f t="shared" ca="1" si="35"/>
        <v>|||</v>
      </c>
      <c r="Y107" s="434" t="str">
        <f t="shared" ca="1" si="36"/>
        <v/>
      </c>
      <c r="Z107" s="269" t="str">
        <f t="shared" ca="1" si="37"/>
        <v/>
      </c>
      <c r="AA107" s="270" t="str">
        <f t="shared" ca="1" si="38"/>
        <v/>
      </c>
    </row>
    <row r="108" spans="1:27" x14ac:dyDescent="0.25">
      <c r="A108" s="140">
        <f>+'Esc 2'!A118</f>
        <v>1989</v>
      </c>
      <c r="B108" s="140">
        <f>+'Esc 2'!B118</f>
        <v>5</v>
      </c>
      <c r="C108" s="141">
        <f>+'Esc 2'!O118</f>
        <v>0.58445778420664352</v>
      </c>
      <c r="D108" s="140">
        <f>+'Esc 2'!D118</f>
        <v>16.600000000000001</v>
      </c>
      <c r="E108" s="147">
        <f t="shared" si="40"/>
        <v>51.24</v>
      </c>
      <c r="F108" s="146">
        <f t="shared" si="40"/>
        <v>0</v>
      </c>
      <c r="G108" s="144">
        <f t="shared" si="41"/>
        <v>-3.4640000000000002E-4</v>
      </c>
      <c r="H108" s="145">
        <f>+F108/100000*'Bal Híd'!$G$4</f>
        <v>0</v>
      </c>
      <c r="I108" s="145">
        <v>0</v>
      </c>
      <c r="J108" s="145">
        <f t="shared" ca="1" si="23"/>
        <v>3.5017425323874498</v>
      </c>
      <c r="K108" s="145">
        <f t="shared" ca="1" si="24"/>
        <v>178.74739956461366</v>
      </c>
      <c r="L108" s="145">
        <f t="shared" ca="1" si="25"/>
        <v>168.82521967427988</v>
      </c>
      <c r="M108" s="145">
        <f t="shared" ca="1" si="26"/>
        <v>3.4057439045017737</v>
      </c>
      <c r="N108" s="145">
        <f t="shared" ca="1" si="27"/>
        <v>3.4057439045017737</v>
      </c>
      <c r="O108" s="143">
        <f t="shared" ca="1" si="22"/>
        <v>175.57388322724663</v>
      </c>
      <c r="P108" s="145">
        <f t="shared" ca="1" si="28"/>
        <v>0</v>
      </c>
      <c r="Q108" s="145">
        <f t="shared" ca="1" si="29"/>
        <v>0</v>
      </c>
      <c r="R108" s="592">
        <f t="shared" ca="1" si="30"/>
        <v>0.48845915632096754</v>
      </c>
      <c r="S108" s="311"/>
      <c r="T108" s="392">
        <f t="shared" si="31"/>
        <v>1989</v>
      </c>
      <c r="U108" s="392">
        <f t="shared" si="32"/>
        <v>5</v>
      </c>
      <c r="V108" s="311">
        <f t="shared" ca="1" si="33"/>
        <v>104.18555058580833</v>
      </c>
      <c r="W108" s="269" t="str">
        <f t="shared" ca="1" si="34"/>
        <v>||||||</v>
      </c>
      <c r="X108" s="269" t="str">
        <f t="shared" ca="1" si="35"/>
        <v>||||</v>
      </c>
      <c r="Y108" s="434" t="str">
        <f t="shared" ca="1" si="36"/>
        <v/>
      </c>
      <c r="Z108" s="269" t="str">
        <f t="shared" ca="1" si="37"/>
        <v/>
      </c>
      <c r="AA108" s="270" t="str">
        <f t="shared" ca="1" si="38"/>
        <v/>
      </c>
    </row>
    <row r="109" spans="1:27" x14ac:dyDescent="0.25">
      <c r="A109" s="140">
        <f>+'Esc 2'!A119</f>
        <v>1989</v>
      </c>
      <c r="B109" s="140">
        <f>+'Esc 2'!B119</f>
        <v>6</v>
      </c>
      <c r="C109" s="141">
        <f>+'Esc 2'!O119</f>
        <v>0.13060266637193654</v>
      </c>
      <c r="D109" s="140">
        <f>+'Esc 2'!D119</f>
        <v>20.5</v>
      </c>
      <c r="E109" s="147">
        <f t="shared" si="40"/>
        <v>41.019999999999996</v>
      </c>
      <c r="F109" s="146">
        <f t="shared" si="40"/>
        <v>0</v>
      </c>
      <c r="G109" s="144">
        <f t="shared" si="41"/>
        <v>-2.0519999999999997E-4</v>
      </c>
      <c r="H109" s="145">
        <f>+F109/100000*'Bal Híd'!$G$4</f>
        <v>0</v>
      </c>
      <c r="I109" s="145">
        <v>0</v>
      </c>
      <c r="J109" s="145">
        <f t="shared" ca="1" si="23"/>
        <v>3.5363465708737101</v>
      </c>
      <c r="K109" s="145">
        <f t="shared" ca="1" si="24"/>
        <v>179.88372890037053</v>
      </c>
      <c r="L109" s="145">
        <f t="shared" ca="1" si="25"/>
        <v>177.72880606380858</v>
      </c>
      <c r="M109" s="145">
        <f t="shared" ca="1" si="26"/>
        <v>3.4910508191230161</v>
      </c>
      <c r="N109" s="145">
        <f t="shared" ca="1" si="27"/>
        <v>3.4910508191230161</v>
      </c>
      <c r="O109" s="143">
        <f t="shared" ca="1" si="22"/>
        <v>178.39549816930003</v>
      </c>
      <c r="P109" s="145">
        <f t="shared" ca="1" si="28"/>
        <v>0</v>
      </c>
      <c r="Q109" s="145">
        <f t="shared" ca="1" si="29"/>
        <v>0</v>
      </c>
      <c r="R109" s="592">
        <f t="shared" ca="1" si="30"/>
        <v>8.5306914621242208E-2</v>
      </c>
      <c r="S109" s="311"/>
      <c r="T109" s="392">
        <f t="shared" si="31"/>
        <v>1989</v>
      </c>
      <c r="U109" s="392">
        <f t="shared" si="32"/>
        <v>6</v>
      </c>
      <c r="V109" s="311">
        <f t="shared" ca="1" si="33"/>
        <v>104.23375120941037</v>
      </c>
      <c r="W109" s="269" t="str">
        <f t="shared" ca="1" si="34"/>
        <v>||||||</v>
      </c>
      <c r="X109" s="269" t="str">
        <f t="shared" ca="1" si="35"/>
        <v>||||</v>
      </c>
      <c r="Y109" s="434" t="str">
        <f t="shared" ca="1" si="36"/>
        <v/>
      </c>
      <c r="Z109" s="269" t="str">
        <f t="shared" ca="1" si="37"/>
        <v/>
      </c>
      <c r="AA109" s="270" t="str">
        <f t="shared" ca="1" si="38"/>
        <v/>
      </c>
    </row>
    <row r="110" spans="1:27" x14ac:dyDescent="0.25">
      <c r="A110" s="140">
        <f>+'Esc 2'!A120</f>
        <v>1989</v>
      </c>
      <c r="B110" s="140">
        <f>+'Esc 2'!B120</f>
        <v>7</v>
      </c>
      <c r="C110" s="141">
        <f>+'Esc 2'!O120</f>
        <v>0.12612396158848768</v>
      </c>
      <c r="D110" s="140">
        <f>+'Esc 2'!D120</f>
        <v>24.9</v>
      </c>
      <c r="E110" s="147">
        <f t="shared" si="40"/>
        <v>50.819999999999993</v>
      </c>
      <c r="F110" s="146">
        <f t="shared" si="40"/>
        <v>0</v>
      </c>
      <c r="G110" s="144">
        <f t="shared" si="41"/>
        <v>-2.5919999999999996E-4</v>
      </c>
      <c r="H110" s="145">
        <f>+F110/100000*'Bal Híd'!$G$4</f>
        <v>0</v>
      </c>
      <c r="I110" s="145">
        <v>0</v>
      </c>
      <c r="J110" s="145">
        <f t="shared" ca="1" si="23"/>
        <v>3.6171747807115038</v>
      </c>
      <c r="K110" s="145">
        <f t="shared" ca="1" si="24"/>
        <v>182.52268355051123</v>
      </c>
      <c r="L110" s="145">
        <f t="shared" ca="1" si="25"/>
        <v>180.45909085990564</v>
      </c>
      <c r="M110" s="145">
        <f t="shared" ca="1" si="26"/>
        <v>3.5617457100473429</v>
      </c>
      <c r="N110" s="145">
        <f t="shared" ca="1" si="27"/>
        <v>3.5617457100473429</v>
      </c>
      <c r="O110" s="143">
        <f t="shared" ca="1" si="22"/>
        <v>180.71527269012063</v>
      </c>
      <c r="P110" s="145">
        <f t="shared" ca="1" si="28"/>
        <v>0</v>
      </c>
      <c r="Q110" s="145">
        <f t="shared" ca="1" si="29"/>
        <v>0</v>
      </c>
      <c r="R110" s="592">
        <f t="shared" ca="1" si="30"/>
        <v>7.0694890924327097E-2</v>
      </c>
      <c r="S110" s="311"/>
      <c r="T110" s="392">
        <f t="shared" si="31"/>
        <v>1989</v>
      </c>
      <c r="U110" s="392">
        <f t="shared" si="32"/>
        <v>7</v>
      </c>
      <c r="V110" s="311">
        <f t="shared" ca="1" si="33"/>
        <v>104.27312364680959</v>
      </c>
      <c r="W110" s="269" t="str">
        <f t="shared" ca="1" si="34"/>
        <v>||||||</v>
      </c>
      <c r="X110" s="269" t="str">
        <f t="shared" ca="1" si="35"/>
        <v>||||</v>
      </c>
      <c r="Y110" s="434" t="str">
        <f t="shared" ca="1" si="36"/>
        <v/>
      </c>
      <c r="Z110" s="269" t="str">
        <f t="shared" ca="1" si="37"/>
        <v/>
      </c>
      <c r="AA110" s="270" t="str">
        <f t="shared" ca="1" si="38"/>
        <v/>
      </c>
    </row>
    <row r="111" spans="1:27" x14ac:dyDescent="0.25">
      <c r="A111" s="140">
        <f>+'Esc 2'!A121</f>
        <v>1989</v>
      </c>
      <c r="B111" s="140">
        <f>+'Esc 2'!B121</f>
        <v>8</v>
      </c>
      <c r="C111" s="141">
        <f>+'Esc 2'!O121</f>
        <v>1.5024548150498713</v>
      </c>
      <c r="D111" s="140">
        <f>+'Esc 2'!D121</f>
        <v>125.5</v>
      </c>
      <c r="E111" s="147">
        <f t="shared" si="40"/>
        <v>72.449999999999989</v>
      </c>
      <c r="F111" s="146">
        <f t="shared" si="40"/>
        <v>0</v>
      </c>
      <c r="G111" s="144">
        <f t="shared" si="41"/>
        <v>5.3050000000000016E-4</v>
      </c>
      <c r="H111" s="145">
        <f>+F111/100000*'Bal Híd'!$G$4</f>
        <v>0</v>
      </c>
      <c r="I111" s="145">
        <v>0</v>
      </c>
      <c r="J111" s="145">
        <f t="shared" ca="1" si="23"/>
        <v>5.0642005250972142</v>
      </c>
      <c r="K111" s="145">
        <f t="shared" ca="1" si="24"/>
        <v>226.72329184570245</v>
      </c>
      <c r="L111" s="145">
        <f t="shared" ca="1" si="25"/>
        <v>203.71928226791152</v>
      </c>
      <c r="M111" s="145">
        <f t="shared" ca="1" si="26"/>
        <v>5.0558937501342847</v>
      </c>
      <c r="N111" s="145">
        <f t="shared" ca="1" si="27"/>
        <v>5.0558937501342847</v>
      </c>
      <c r="O111" s="143">
        <f t="shared" ca="1" si="22"/>
        <v>226.48355953309598</v>
      </c>
      <c r="P111" s="145">
        <f t="shared" ca="1" si="28"/>
        <v>0</v>
      </c>
      <c r="Q111" s="145">
        <f t="shared" ca="1" si="29"/>
        <v>0</v>
      </c>
      <c r="R111" s="592">
        <f t="shared" ca="1" si="30"/>
        <v>1.494148040086942</v>
      </c>
      <c r="S111" s="311"/>
      <c r="T111" s="392">
        <f t="shared" si="31"/>
        <v>1989</v>
      </c>
      <c r="U111" s="392">
        <f t="shared" si="32"/>
        <v>8</v>
      </c>
      <c r="V111" s="311">
        <f t="shared" ca="1" si="33"/>
        <v>105.00838249334437</v>
      </c>
      <c r="W111" s="269" t="str">
        <f t="shared" ca="1" si="34"/>
        <v>||||||||</v>
      </c>
      <c r="X111" s="269" t="str">
        <f t="shared" ca="1" si="35"/>
        <v>||||||</v>
      </c>
      <c r="Y111" s="434" t="str">
        <f t="shared" ca="1" si="36"/>
        <v/>
      </c>
      <c r="Z111" s="269" t="str">
        <f t="shared" ca="1" si="37"/>
        <v/>
      </c>
      <c r="AA111" s="270" t="str">
        <f t="shared" ca="1" si="38"/>
        <v/>
      </c>
    </row>
    <row r="112" spans="1:27" x14ac:dyDescent="0.25">
      <c r="A112" s="140">
        <f>+'Esc 2'!A122</f>
        <v>1989</v>
      </c>
      <c r="B112" s="140">
        <f>+'Esc 2'!B122</f>
        <v>9</v>
      </c>
      <c r="C112" s="141">
        <f>+'Esc 2'!O122</f>
        <v>0.51029773958707625</v>
      </c>
      <c r="D112" s="140">
        <f>+'Esc 2'!D122</f>
        <v>21.4</v>
      </c>
      <c r="E112" s="147">
        <f t="shared" si="40"/>
        <v>85.89</v>
      </c>
      <c r="F112" s="146">
        <f t="shared" si="40"/>
        <v>0</v>
      </c>
      <c r="G112" s="144">
        <f t="shared" si="41"/>
        <v>-6.4490000000000012E-4</v>
      </c>
      <c r="H112" s="145">
        <f>+F112/100000*'Bal Híd'!$G$4</f>
        <v>0</v>
      </c>
      <c r="I112" s="145">
        <v>0</v>
      </c>
      <c r="J112" s="145">
        <f t="shared" ca="1" si="23"/>
        <v>5.5661914897213611</v>
      </c>
      <c r="K112" s="145">
        <f t="shared" ca="1" si="24"/>
        <v>240.96202704819925</v>
      </c>
      <c r="L112" s="145">
        <f t="shared" ca="1" si="25"/>
        <v>233.72279329064762</v>
      </c>
      <c r="M112" s="145">
        <f t="shared" ca="1" si="26"/>
        <v>5.3701145298695927</v>
      </c>
      <c r="N112" s="145">
        <f t="shared" ca="1" si="27"/>
        <v>5.3701145298695927</v>
      </c>
      <c r="O112" s="143">
        <f t="shared" ca="1" si="22"/>
        <v>235.45706357122125</v>
      </c>
      <c r="P112" s="145">
        <f t="shared" ca="1" si="28"/>
        <v>0</v>
      </c>
      <c r="Q112" s="145">
        <f t="shared" ca="1" si="29"/>
        <v>0</v>
      </c>
      <c r="R112" s="592">
        <f t="shared" ca="1" si="30"/>
        <v>0.31422077973530832</v>
      </c>
      <c r="S112" s="311"/>
      <c r="T112" s="392">
        <f t="shared" si="31"/>
        <v>1989</v>
      </c>
      <c r="U112" s="392">
        <f t="shared" si="32"/>
        <v>9</v>
      </c>
      <c r="V112" s="311">
        <f t="shared" ca="1" si="33"/>
        <v>105.14443396144998</v>
      </c>
      <c r="W112" s="269" t="str">
        <f t="shared" ca="1" si="34"/>
        <v>||||||||</v>
      </c>
      <c r="X112" s="269" t="str">
        <f t="shared" ca="1" si="35"/>
        <v>||||||</v>
      </c>
      <c r="Y112" s="434" t="str">
        <f t="shared" ca="1" si="36"/>
        <v/>
      </c>
      <c r="Z112" s="269" t="str">
        <f t="shared" ca="1" si="37"/>
        <v/>
      </c>
      <c r="AA112" s="270" t="str">
        <f t="shared" ca="1" si="38"/>
        <v/>
      </c>
    </row>
    <row r="113" spans="1:27" x14ac:dyDescent="0.25">
      <c r="A113" s="140">
        <f>+'Esc 2'!A123</f>
        <v>1989</v>
      </c>
      <c r="B113" s="140">
        <f>+'Esc 2'!B123</f>
        <v>10</v>
      </c>
      <c r="C113" s="141">
        <f>+'Esc 2'!O123</f>
        <v>0.77296632702223811</v>
      </c>
      <c r="D113" s="140">
        <f>+'Esc 2'!D123</f>
        <v>97</v>
      </c>
      <c r="E113" s="147">
        <f t="shared" ref="E113:F132" si="42">+E101</f>
        <v>114.86999999999999</v>
      </c>
      <c r="F113" s="146">
        <f t="shared" si="42"/>
        <v>59</v>
      </c>
      <c r="G113" s="144">
        <f t="shared" si="41"/>
        <v>-1.786999999999999E-4</v>
      </c>
      <c r="H113" s="145">
        <f>+F113/100000*'Bal Híd'!$G$4</f>
        <v>0.64900000000000002</v>
      </c>
      <c r="I113" s="145">
        <v>0</v>
      </c>
      <c r="J113" s="145">
        <f t="shared" ca="1" si="23"/>
        <v>5.4940808568918307</v>
      </c>
      <c r="K113" s="145">
        <f t="shared" ca="1" si="24"/>
        <v>238.94562595800946</v>
      </c>
      <c r="L113" s="145">
        <f t="shared" ca="1" si="25"/>
        <v>237.20134476461536</v>
      </c>
      <c r="M113" s="145">
        <f t="shared" ca="1" si="26"/>
        <v>5.381978660146105</v>
      </c>
      <c r="N113" s="145">
        <f t="shared" ca="1" si="27"/>
        <v>5.381978660146105</v>
      </c>
      <c r="O113" s="143">
        <f t="shared" ca="1" si="22"/>
        <v>235.79216463479318</v>
      </c>
      <c r="P113" s="145">
        <f t="shared" ca="1" si="28"/>
        <v>0</v>
      </c>
      <c r="Q113" s="145">
        <f t="shared" ca="1" si="29"/>
        <v>0.64900000000000002</v>
      </c>
      <c r="R113" s="592">
        <f t="shared" ca="1" si="30"/>
        <v>0.66086413027651225</v>
      </c>
      <c r="S113" s="311"/>
      <c r="T113" s="392">
        <f t="shared" si="31"/>
        <v>1989</v>
      </c>
      <c r="U113" s="392">
        <f t="shared" si="32"/>
        <v>10</v>
      </c>
      <c r="V113" s="311">
        <f t="shared" ca="1" si="33"/>
        <v>105.14946914472999</v>
      </c>
      <c r="W113" s="269" t="str">
        <f t="shared" ca="1" si="34"/>
        <v>||||||||</v>
      </c>
      <c r="X113" s="269" t="str">
        <f t="shared" ca="1" si="35"/>
        <v>||||||</v>
      </c>
      <c r="Y113" s="434" t="str">
        <f t="shared" ca="1" si="36"/>
        <v/>
      </c>
      <c r="Z113" s="269" t="str">
        <f t="shared" ca="1" si="37"/>
        <v>|||</v>
      </c>
      <c r="AA113" s="270" t="str">
        <f t="shared" ca="1" si="38"/>
        <v/>
      </c>
    </row>
    <row r="114" spans="1:27" x14ac:dyDescent="0.25">
      <c r="A114" s="140">
        <f>+'Esc 2'!A124</f>
        <v>1989</v>
      </c>
      <c r="B114" s="140">
        <f>+'Esc 2'!B124</f>
        <v>11</v>
      </c>
      <c r="C114" s="141">
        <f>+'Esc 2'!O124</f>
        <v>1.0190348154765727</v>
      </c>
      <c r="D114" s="140">
        <f>+'Esc 2'!D124</f>
        <v>109.6</v>
      </c>
      <c r="E114" s="147">
        <f t="shared" si="42"/>
        <v>144.06</v>
      </c>
      <c r="F114" s="146">
        <f t="shared" si="42"/>
        <v>212</v>
      </c>
      <c r="G114" s="144">
        <f t="shared" si="41"/>
        <v>-3.4460000000000008E-4</v>
      </c>
      <c r="H114" s="145">
        <f>+F114/100000*'Bal Híd'!$G$4</f>
        <v>2.3319999999999999</v>
      </c>
      <c r="I114" s="145">
        <v>0</v>
      </c>
      <c r="J114" s="145">
        <f t="shared" ca="1" si="23"/>
        <v>4.0690134756226781</v>
      </c>
      <c r="K114" s="145">
        <f t="shared" ca="1" si="24"/>
        <v>196.90663825185996</v>
      </c>
      <c r="L114" s="145">
        <f t="shared" ca="1" si="25"/>
        <v>216.34940144332657</v>
      </c>
      <c r="M114" s="145">
        <f t="shared" ca="1" si="26"/>
        <v>3.9106314975969925</v>
      </c>
      <c r="N114" s="145">
        <f t="shared" ca="1" si="27"/>
        <v>3.9106314975969925</v>
      </c>
      <c r="O114" s="143">
        <f t="shared" ca="1" si="22"/>
        <v>191.93261503734226</v>
      </c>
      <c r="P114" s="145">
        <f t="shared" ca="1" si="28"/>
        <v>0</v>
      </c>
      <c r="Q114" s="145">
        <f t="shared" ca="1" si="29"/>
        <v>2.3319999999999999</v>
      </c>
      <c r="R114" s="592">
        <f t="shared" ca="1" si="30"/>
        <v>0.86065283745088783</v>
      </c>
      <c r="S114" s="311"/>
      <c r="T114" s="392">
        <f t="shared" si="31"/>
        <v>1989</v>
      </c>
      <c r="U114" s="392">
        <f t="shared" si="32"/>
        <v>11</v>
      </c>
      <c r="V114" s="311">
        <f t="shared" ca="1" si="33"/>
        <v>104.46039589633888</v>
      </c>
      <c r="W114" s="269" t="str">
        <f t="shared" ca="1" si="34"/>
        <v>|||||||</v>
      </c>
      <c r="X114" s="269" t="str">
        <f t="shared" ca="1" si="35"/>
        <v>|||||</v>
      </c>
      <c r="Y114" s="434" t="str">
        <f t="shared" ca="1" si="36"/>
        <v/>
      </c>
      <c r="Z114" s="269" t="str">
        <f t="shared" ca="1" si="37"/>
        <v>|||||||||||</v>
      </c>
      <c r="AA114" s="270" t="str">
        <f t="shared" ca="1" si="38"/>
        <v/>
      </c>
    </row>
    <row r="115" spans="1:27" x14ac:dyDescent="0.25">
      <c r="A115" s="140">
        <f>+'Esc 2'!A125</f>
        <v>1989</v>
      </c>
      <c r="B115" s="140">
        <f>+'Esc 2'!B125</f>
        <v>12</v>
      </c>
      <c r="C115" s="141">
        <f>+'Esc 2'!O125</f>
        <v>2.169429384334451</v>
      </c>
      <c r="D115" s="140">
        <f>+'Esc 2'!D125</f>
        <v>197.7</v>
      </c>
      <c r="E115" s="147">
        <f t="shared" si="42"/>
        <v>179.62</v>
      </c>
      <c r="F115" s="146">
        <f t="shared" si="42"/>
        <v>388</v>
      </c>
      <c r="G115" s="144">
        <f t="shared" si="41"/>
        <v>1.8079999999999984E-4</v>
      </c>
      <c r="H115" s="145">
        <f>+F115/100000*'Bal Híd'!$G$4</f>
        <v>4.2679999999999998</v>
      </c>
      <c r="I115" s="145">
        <v>0</v>
      </c>
      <c r="J115" s="145">
        <f t="shared" ca="1" si="23"/>
        <v>1.8120608819314432</v>
      </c>
      <c r="K115" s="145">
        <f t="shared" ca="1" si="24"/>
        <v>116.91176656012331</v>
      </c>
      <c r="L115" s="145">
        <f t="shared" ca="1" si="25"/>
        <v>154.4221907987328</v>
      </c>
      <c r="M115" s="145">
        <f t="shared" ca="1" si="26"/>
        <v>1.7126009317799182</v>
      </c>
      <c r="N115" s="145">
        <f t="shared" ca="1" si="27"/>
        <v>1.7126009317799182</v>
      </c>
      <c r="O115" s="143">
        <f t="shared" ca="1" si="22"/>
        <v>112.73499530387144</v>
      </c>
      <c r="P115" s="145">
        <f t="shared" ca="1" si="28"/>
        <v>0</v>
      </c>
      <c r="Q115" s="145">
        <f t="shared" ca="1" si="29"/>
        <v>4.2679999999999998</v>
      </c>
      <c r="R115" s="592">
        <f t="shared" ca="1" si="30"/>
        <v>2.0699694341829251</v>
      </c>
      <c r="S115" s="311"/>
      <c r="T115" s="392">
        <f t="shared" si="31"/>
        <v>1989</v>
      </c>
      <c r="U115" s="392">
        <f t="shared" si="32"/>
        <v>12</v>
      </c>
      <c r="V115" s="311">
        <f t="shared" ca="1" si="33"/>
        <v>103.00251836954857</v>
      </c>
      <c r="W115" s="269" t="str">
        <f t="shared" ca="1" si="34"/>
        <v>||||</v>
      </c>
      <c r="X115" s="269" t="str">
        <f t="shared" ca="1" si="35"/>
        <v>||</v>
      </c>
      <c r="Y115" s="434" t="str">
        <f t="shared" ca="1" si="36"/>
        <v/>
      </c>
      <c r="Z115" s="269" t="str">
        <f t="shared" ca="1" si="37"/>
        <v>|||||||||||||||||||||</v>
      </c>
      <c r="AA115" s="270" t="str">
        <f t="shared" ca="1" si="38"/>
        <v/>
      </c>
    </row>
    <row r="116" spans="1:27" x14ac:dyDescent="0.25">
      <c r="A116" s="140">
        <f>+'Esc 2'!A126</f>
        <v>1990</v>
      </c>
      <c r="B116" s="140">
        <f>+'Esc 2'!B126</f>
        <v>1</v>
      </c>
      <c r="C116" s="141">
        <f>+'Esc 2'!O126</f>
        <v>1.9117418686128513</v>
      </c>
      <c r="D116" s="140">
        <f>+'Esc 2'!D126</f>
        <v>163.1</v>
      </c>
      <c r="E116" s="147">
        <f t="shared" si="42"/>
        <v>176.89</v>
      </c>
      <c r="F116" s="146">
        <f t="shared" si="42"/>
        <v>318</v>
      </c>
      <c r="G116" s="144">
        <f t="shared" si="41"/>
        <v>-1.3789999999999991E-4</v>
      </c>
      <c r="H116" s="145">
        <f>+F116/100000*'Bal Híd'!$G$4</f>
        <v>3.4980000000000002</v>
      </c>
      <c r="I116" s="145">
        <v>0</v>
      </c>
      <c r="J116" s="145">
        <f t="shared" ca="1" si="23"/>
        <v>0.12634280039276913</v>
      </c>
      <c r="K116" s="145">
        <f t="shared" ca="1" si="24"/>
        <v>21.012857443756161</v>
      </c>
      <c r="L116" s="145">
        <f t="shared" ca="1" si="25"/>
        <v>66.873926373813802</v>
      </c>
      <c r="M116" s="145">
        <f t="shared" ca="1" si="26"/>
        <v>6.8510359342263794E-2</v>
      </c>
      <c r="N116" s="145">
        <f t="shared" ca="1" si="27"/>
        <v>0.14364725252241328</v>
      </c>
      <c r="O116" s="143">
        <f t="shared" ca="1" si="22"/>
        <v>22.824988701237128</v>
      </c>
      <c r="P116" s="145">
        <f t="shared" ca="1" si="28"/>
        <v>0</v>
      </c>
      <c r="Q116" s="145">
        <f t="shared" ca="1" si="29"/>
        <v>3.4228631068198507</v>
      </c>
      <c r="R116" s="592">
        <f t="shared" ca="1" si="30"/>
        <v>1.853909427562346</v>
      </c>
      <c r="S116" s="311"/>
      <c r="T116" s="392">
        <f t="shared" si="31"/>
        <v>1990</v>
      </c>
      <c r="U116" s="392">
        <f t="shared" si="32"/>
        <v>1</v>
      </c>
      <c r="V116" s="311">
        <f t="shared" ca="1" si="33"/>
        <v>100.5</v>
      </c>
      <c r="W116" s="269" t="str">
        <f t="shared" ca="1" si="34"/>
        <v/>
      </c>
      <c r="X116" s="269" t="str">
        <f t="shared" ca="1" si="35"/>
        <v/>
      </c>
      <c r="Y116" s="434" t="str">
        <f t="shared" ca="1" si="36"/>
        <v/>
      </c>
      <c r="Z116" s="269" t="str">
        <f t="shared" ca="1" si="37"/>
        <v>|||||||||||||||||</v>
      </c>
      <c r="AA116" s="270" t="str">
        <f t="shared" ca="1" si="38"/>
        <v/>
      </c>
    </row>
    <row r="117" spans="1:27" x14ac:dyDescent="0.25">
      <c r="A117" s="140">
        <f>+'Esc 2'!A127</f>
        <v>1990</v>
      </c>
      <c r="B117" s="140">
        <f>+'Esc 2'!B127</f>
        <v>2</v>
      </c>
      <c r="C117" s="141">
        <f>+'Esc 2'!O127</f>
        <v>3.2987880374625029</v>
      </c>
      <c r="D117" s="140">
        <f>+'Esc 2'!D127</f>
        <v>240.3</v>
      </c>
      <c r="E117" s="147">
        <f t="shared" si="42"/>
        <v>131.73999999999998</v>
      </c>
      <c r="F117" s="146">
        <f t="shared" si="42"/>
        <v>153</v>
      </c>
      <c r="G117" s="144">
        <f t="shared" si="41"/>
        <v>1.0856000000000004E-3</v>
      </c>
      <c r="H117" s="145">
        <f>+F117/100000*'Bal Híd'!$G$4</f>
        <v>1.6829999999999998</v>
      </c>
      <c r="I117" s="145">
        <v>0</v>
      </c>
      <c r="J117" s="145">
        <f t="shared" ca="1" si="23"/>
        <v>1.7594352899849164</v>
      </c>
      <c r="K117" s="145">
        <f t="shared" ca="1" si="24"/>
        <v>114.71223143581118</v>
      </c>
      <c r="L117" s="145">
        <f t="shared" ca="1" si="25"/>
        <v>68.768610068524154</v>
      </c>
      <c r="M117" s="145">
        <f t="shared" ca="1" si="26"/>
        <v>1.7478345735897656</v>
      </c>
      <c r="N117" s="145">
        <f t="shared" ca="1" si="27"/>
        <v>1.7478345735897656</v>
      </c>
      <c r="O117" s="143">
        <f t="shared" ca="1" si="22"/>
        <v>114.22423831716868</v>
      </c>
      <c r="P117" s="145">
        <f t="shared" ca="1" si="28"/>
        <v>0</v>
      </c>
      <c r="Q117" s="145">
        <f t="shared" ca="1" si="29"/>
        <v>1.6829999999999998</v>
      </c>
      <c r="R117" s="592">
        <f t="shared" ca="1" si="30"/>
        <v>3.2871873210673521</v>
      </c>
      <c r="S117" s="311"/>
      <c r="T117" s="392">
        <f t="shared" si="31"/>
        <v>1990</v>
      </c>
      <c r="U117" s="392">
        <f t="shared" si="32"/>
        <v>2</v>
      </c>
      <c r="V117" s="311">
        <f t="shared" ca="1" si="33"/>
        <v>103.03356700143507</v>
      </c>
      <c r="W117" s="269" t="str">
        <f t="shared" ca="1" si="34"/>
        <v>||||</v>
      </c>
      <c r="X117" s="269" t="str">
        <f t="shared" ca="1" si="35"/>
        <v>||</v>
      </c>
      <c r="Y117" s="434" t="str">
        <f t="shared" ca="1" si="36"/>
        <v/>
      </c>
      <c r="Z117" s="269" t="str">
        <f t="shared" ca="1" si="37"/>
        <v>||||||||</v>
      </c>
      <c r="AA117" s="270" t="str">
        <f t="shared" ca="1" si="38"/>
        <v/>
      </c>
    </row>
    <row r="118" spans="1:27" x14ac:dyDescent="0.25">
      <c r="A118" s="140">
        <f>+'Esc 2'!A128</f>
        <v>1990</v>
      </c>
      <c r="B118" s="140">
        <f>+'Esc 2'!B128</f>
        <v>3</v>
      </c>
      <c r="C118" s="141">
        <f>+'Esc 2'!O128</f>
        <v>3.2755427124288121</v>
      </c>
      <c r="D118" s="140">
        <f>+'Esc 2'!D128</f>
        <v>210.4</v>
      </c>
      <c r="E118" s="147">
        <f t="shared" si="42"/>
        <v>118.64999999999999</v>
      </c>
      <c r="F118" s="146">
        <f t="shared" si="42"/>
        <v>47</v>
      </c>
      <c r="G118" s="144">
        <f t="shared" si="41"/>
        <v>9.1750000000000013E-4</v>
      </c>
      <c r="H118" s="145">
        <f>+F118/100000*'Bal Híd'!$G$4</f>
        <v>0.51700000000000002</v>
      </c>
      <c r="I118" s="145">
        <v>0</v>
      </c>
      <c r="J118" s="145">
        <f t="shared" ca="1" si="23"/>
        <v>4.5063772860185773</v>
      </c>
      <c r="K118" s="145">
        <f t="shared" ca="1" si="24"/>
        <v>210.29734430417975</v>
      </c>
      <c r="L118" s="145">
        <f t="shared" ca="1" si="25"/>
        <v>162.26079131067422</v>
      </c>
      <c r="M118" s="145">
        <f t="shared" ca="1" si="26"/>
        <v>4.4531632911371437</v>
      </c>
      <c r="N118" s="145">
        <f t="shared" ca="1" si="27"/>
        <v>4.4531632911371437</v>
      </c>
      <c r="O118" s="143">
        <f t="shared" ca="1" si="22"/>
        <v>208.69361919318908</v>
      </c>
      <c r="P118" s="145">
        <f t="shared" ca="1" si="28"/>
        <v>0</v>
      </c>
      <c r="Q118" s="145">
        <f t="shared" ca="1" si="29"/>
        <v>0.51700000000000002</v>
      </c>
      <c r="R118" s="592">
        <f t="shared" ca="1" si="30"/>
        <v>3.2223287175473785</v>
      </c>
      <c r="S118" s="311"/>
      <c r="T118" s="392">
        <f t="shared" si="31"/>
        <v>1990</v>
      </c>
      <c r="U118" s="392">
        <f t="shared" si="32"/>
        <v>3</v>
      </c>
      <c r="V118" s="311">
        <f t="shared" ca="1" si="33"/>
        <v>104.73130865139834</v>
      </c>
      <c r="W118" s="269" t="str">
        <f t="shared" ca="1" si="34"/>
        <v>|||||||</v>
      </c>
      <c r="X118" s="269" t="str">
        <f t="shared" ca="1" si="35"/>
        <v>|||||</v>
      </c>
      <c r="Y118" s="434" t="str">
        <f t="shared" ca="1" si="36"/>
        <v/>
      </c>
      <c r="Z118" s="269" t="str">
        <f t="shared" ca="1" si="37"/>
        <v>||</v>
      </c>
      <c r="AA118" s="270" t="str">
        <f t="shared" ca="1" si="38"/>
        <v/>
      </c>
    </row>
    <row r="119" spans="1:27" x14ac:dyDescent="0.25">
      <c r="A119" s="140">
        <f>+'Esc 2'!A129</f>
        <v>1990</v>
      </c>
      <c r="B119" s="140">
        <f>+'Esc 2'!B129</f>
        <v>4</v>
      </c>
      <c r="C119" s="141">
        <f>+'Esc 2'!O129</f>
        <v>5.1031988500854801</v>
      </c>
      <c r="D119" s="140">
        <f>+'Esc 2'!D129</f>
        <v>279.60000000000002</v>
      </c>
      <c r="E119" s="147">
        <f t="shared" si="42"/>
        <v>73.149999999999991</v>
      </c>
      <c r="F119" s="146">
        <f t="shared" si="42"/>
        <v>0</v>
      </c>
      <c r="G119" s="144">
        <f t="shared" si="41"/>
        <v>2.0645000000000004E-3</v>
      </c>
      <c r="H119" s="145">
        <f>+F119/100000*'Bal Híd'!$G$4</f>
        <v>0</v>
      </c>
      <c r="I119" s="145">
        <v>0</v>
      </c>
      <c r="J119" s="145">
        <f t="shared" ca="1" si="23"/>
        <v>9.5563621412226247</v>
      </c>
      <c r="K119" s="145">
        <f t="shared" ca="1" si="24"/>
        <v>341.36639651292012</v>
      </c>
      <c r="L119" s="145">
        <f t="shared" ca="1" si="25"/>
        <v>275.0300078530546</v>
      </c>
      <c r="M119" s="145">
        <f t="shared" ca="1" si="26"/>
        <v>9.5904989233041871</v>
      </c>
      <c r="N119" s="145">
        <f t="shared" ca="1" si="27"/>
        <v>7.6368477630678893</v>
      </c>
      <c r="O119" s="143">
        <f t="shared" ca="1" si="22"/>
        <v>295.43791936297487</v>
      </c>
      <c r="P119" s="145">
        <f t="shared" ca="1" si="28"/>
        <v>1.9536511602362978</v>
      </c>
      <c r="Q119" s="145">
        <f t="shared" ca="1" si="29"/>
        <v>0</v>
      </c>
      <c r="R119" s="592">
        <f t="shared" ca="1" si="30"/>
        <v>5.1373356321670443</v>
      </c>
      <c r="S119" s="311"/>
      <c r="T119" s="392">
        <f t="shared" si="31"/>
        <v>1990</v>
      </c>
      <c r="U119" s="392">
        <f t="shared" si="32"/>
        <v>4</v>
      </c>
      <c r="V119" s="311">
        <f t="shared" ca="1" si="33"/>
        <v>106</v>
      </c>
      <c r="W119" s="269" t="str">
        <f t="shared" ca="1" si="34"/>
        <v>||||||||||</v>
      </c>
      <c r="X119" s="269" t="str">
        <f t="shared" ca="1" si="35"/>
        <v>||||||||||</v>
      </c>
      <c r="Y119" s="434" t="str">
        <f t="shared" ca="1" si="36"/>
        <v/>
      </c>
      <c r="Z119" s="269" t="str">
        <f t="shared" ca="1" si="37"/>
        <v/>
      </c>
      <c r="AA119" s="270" t="str">
        <f t="shared" ca="1" si="38"/>
        <v>|||||||||</v>
      </c>
    </row>
    <row r="120" spans="1:27" x14ac:dyDescent="0.25">
      <c r="A120" s="140">
        <f>+'Esc 2'!A130</f>
        <v>1990</v>
      </c>
      <c r="B120" s="140">
        <f>+'Esc 2'!B130</f>
        <v>5</v>
      </c>
      <c r="C120" s="141">
        <f>+'Esc 2'!O130</f>
        <v>1.7273007222502474</v>
      </c>
      <c r="D120" s="140">
        <f>+'Esc 2'!D130</f>
        <v>72</v>
      </c>
      <c r="E120" s="147">
        <f t="shared" si="42"/>
        <v>51.24</v>
      </c>
      <c r="F120" s="146">
        <f t="shared" si="42"/>
        <v>0</v>
      </c>
      <c r="G120" s="144">
        <f t="shared" si="41"/>
        <v>2.0759999999999998E-4</v>
      </c>
      <c r="H120" s="145">
        <f>+F120/100000*'Bal Híd'!$G$4</f>
        <v>0</v>
      </c>
      <c r="I120" s="145">
        <v>0</v>
      </c>
      <c r="J120" s="145">
        <f t="shared" ca="1" si="23"/>
        <v>9.364148485318136</v>
      </c>
      <c r="K120" s="145">
        <f t="shared" ca="1" si="24"/>
        <v>336.92561924468964</v>
      </c>
      <c r="L120" s="145">
        <f t="shared" ca="1" si="25"/>
        <v>316.18176930383225</v>
      </c>
      <c r="M120" s="145">
        <f t="shared" ca="1" si="26"/>
        <v>9.2221296462982849</v>
      </c>
      <c r="N120" s="145">
        <f t="shared" ca="1" si="27"/>
        <v>7.6368477630678893</v>
      </c>
      <c r="O120" s="143">
        <f t="shared" ca="1" si="22"/>
        <v>295.43791936297487</v>
      </c>
      <c r="P120" s="145">
        <f t="shared" ca="1" si="28"/>
        <v>1.5852818832303956</v>
      </c>
      <c r="Q120" s="145">
        <f t="shared" ca="1" si="29"/>
        <v>0</v>
      </c>
      <c r="R120" s="592">
        <f t="shared" ca="1" si="30"/>
        <v>1.5852818832303956</v>
      </c>
      <c r="S120" s="311"/>
      <c r="T120" s="392">
        <f t="shared" si="31"/>
        <v>1990</v>
      </c>
      <c r="U120" s="392">
        <f t="shared" si="32"/>
        <v>5</v>
      </c>
      <c r="V120" s="311">
        <f t="shared" ca="1" si="33"/>
        <v>106</v>
      </c>
      <c r="W120" s="269" t="str">
        <f t="shared" ca="1" si="34"/>
        <v>||||||||||</v>
      </c>
      <c r="X120" s="269" t="str">
        <f t="shared" ca="1" si="35"/>
        <v>||||||||||</v>
      </c>
      <c r="Y120" s="434" t="str">
        <f t="shared" ca="1" si="36"/>
        <v/>
      </c>
      <c r="Z120" s="269" t="str">
        <f t="shared" ca="1" si="37"/>
        <v/>
      </c>
      <c r="AA120" s="270" t="str">
        <f t="shared" ca="1" si="38"/>
        <v>|||||||</v>
      </c>
    </row>
    <row r="121" spans="1:27" x14ac:dyDescent="0.25">
      <c r="A121" s="140">
        <f>+'Esc 2'!A131</f>
        <v>1990</v>
      </c>
      <c r="B121" s="140">
        <f>+'Esc 2'!B131</f>
        <v>6</v>
      </c>
      <c r="C121" s="141">
        <f>+'Esc 2'!O131</f>
        <v>0.43089573194331665</v>
      </c>
      <c r="D121" s="140">
        <f>+'Esc 2'!D131</f>
        <v>23.4</v>
      </c>
      <c r="E121" s="147">
        <f t="shared" si="42"/>
        <v>41.019999999999996</v>
      </c>
      <c r="F121" s="146">
        <f t="shared" si="42"/>
        <v>0</v>
      </c>
      <c r="G121" s="144">
        <f t="shared" si="41"/>
        <v>-1.7619999999999997E-4</v>
      </c>
      <c r="H121" s="145">
        <f>+F121/100000*'Bal Híd'!$G$4</f>
        <v>0</v>
      </c>
      <c r="I121" s="145">
        <v>0</v>
      </c>
      <c r="J121" s="145">
        <f t="shared" ca="1" si="23"/>
        <v>8.0677434950112055</v>
      </c>
      <c r="K121" s="145">
        <f t="shared" ca="1" si="24"/>
        <v>306.07534819640159</v>
      </c>
      <c r="L121" s="145">
        <f t="shared" ca="1" si="25"/>
        <v>300.75663377968823</v>
      </c>
      <c r="M121" s="145">
        <f t="shared" ca="1" si="26"/>
        <v>7.9654746058543173</v>
      </c>
      <c r="N121" s="145">
        <f t="shared" ca="1" si="27"/>
        <v>7.6368477630678893</v>
      </c>
      <c r="O121" s="143">
        <f t="shared" ca="1" si="22"/>
        <v>295.43791936297487</v>
      </c>
      <c r="P121" s="145">
        <f t="shared" ca="1" si="28"/>
        <v>0.32862684278642806</v>
      </c>
      <c r="Q121" s="145">
        <f t="shared" ca="1" si="29"/>
        <v>0</v>
      </c>
      <c r="R121" s="592">
        <f t="shared" ca="1" si="30"/>
        <v>0.32862684278642806</v>
      </c>
      <c r="S121" s="311"/>
      <c r="T121" s="392">
        <f t="shared" si="31"/>
        <v>1990</v>
      </c>
      <c r="U121" s="392">
        <f t="shared" si="32"/>
        <v>6</v>
      </c>
      <c r="V121" s="311">
        <f t="shared" ca="1" si="33"/>
        <v>106</v>
      </c>
      <c r="W121" s="269" t="str">
        <f t="shared" ca="1" si="34"/>
        <v>||||||||||</v>
      </c>
      <c r="X121" s="269" t="str">
        <f t="shared" ca="1" si="35"/>
        <v>||||||||||</v>
      </c>
      <c r="Y121" s="434" t="str">
        <f t="shared" ca="1" si="36"/>
        <v/>
      </c>
      <c r="Z121" s="269" t="str">
        <f t="shared" ca="1" si="37"/>
        <v/>
      </c>
      <c r="AA121" s="270" t="str">
        <f t="shared" ca="1" si="38"/>
        <v>|</v>
      </c>
    </row>
    <row r="122" spans="1:27" x14ac:dyDescent="0.25">
      <c r="A122" s="140">
        <f>+'Esc 2'!A132</f>
        <v>1990</v>
      </c>
      <c r="B122" s="140">
        <f>+'Esc 2'!B132</f>
        <v>7</v>
      </c>
      <c r="C122" s="141">
        <f>+'Esc 2'!O132</f>
        <v>0.31522565825328502</v>
      </c>
      <c r="D122" s="140">
        <f>+'Esc 2'!D132</f>
        <v>39.5</v>
      </c>
      <c r="E122" s="147">
        <f t="shared" si="42"/>
        <v>50.819999999999993</v>
      </c>
      <c r="F122" s="146">
        <f t="shared" si="42"/>
        <v>0</v>
      </c>
      <c r="G122" s="144">
        <f t="shared" si="41"/>
        <v>-1.1319999999999993E-4</v>
      </c>
      <c r="H122" s="145">
        <f>+F122/100000*'Bal Híd'!$G$4</f>
        <v>0</v>
      </c>
      <c r="I122" s="145">
        <v>0</v>
      </c>
      <c r="J122" s="145">
        <f t="shared" ca="1" si="23"/>
        <v>7.9520734213211739</v>
      </c>
      <c r="K122" s="145">
        <f t="shared" ca="1" si="24"/>
        <v>303.24009254531825</v>
      </c>
      <c r="L122" s="145">
        <f t="shared" ca="1" si="25"/>
        <v>299.33900595414656</v>
      </c>
      <c r="M122" s="145">
        <f t="shared" ca="1" si="26"/>
        <v>7.8823101716293777</v>
      </c>
      <c r="N122" s="145">
        <f t="shared" ca="1" si="27"/>
        <v>7.6368477630678893</v>
      </c>
      <c r="O122" s="143">
        <f t="shared" ca="1" si="22"/>
        <v>295.43791936297487</v>
      </c>
      <c r="P122" s="145">
        <f t="shared" ca="1" si="28"/>
        <v>0.24546240856148849</v>
      </c>
      <c r="Q122" s="145">
        <f t="shared" ca="1" si="29"/>
        <v>0</v>
      </c>
      <c r="R122" s="592">
        <f t="shared" ca="1" si="30"/>
        <v>0.2454624085614886</v>
      </c>
      <c r="S122" s="311"/>
      <c r="T122" s="392">
        <f t="shared" si="31"/>
        <v>1990</v>
      </c>
      <c r="U122" s="392">
        <f t="shared" si="32"/>
        <v>7</v>
      </c>
      <c r="V122" s="311">
        <f t="shared" ca="1" si="33"/>
        <v>106</v>
      </c>
      <c r="W122" s="269" t="str">
        <f t="shared" ca="1" si="34"/>
        <v>||||||||||</v>
      </c>
      <c r="X122" s="269" t="str">
        <f t="shared" ca="1" si="35"/>
        <v>||||||||||</v>
      </c>
      <c r="Y122" s="434" t="str">
        <f t="shared" ca="1" si="36"/>
        <v/>
      </c>
      <c r="Z122" s="269" t="str">
        <f t="shared" ca="1" si="37"/>
        <v/>
      </c>
      <c r="AA122" s="270" t="str">
        <f t="shared" ca="1" si="38"/>
        <v>|</v>
      </c>
    </row>
    <row r="123" spans="1:27" x14ac:dyDescent="0.25">
      <c r="A123" s="140">
        <f>+'Esc 2'!A133</f>
        <v>1990</v>
      </c>
      <c r="B123" s="140">
        <f>+'Esc 2'!B133</f>
        <v>8</v>
      </c>
      <c r="C123" s="141">
        <f>+'Esc 2'!O133</f>
        <v>0.14954038095261399</v>
      </c>
      <c r="D123" s="140">
        <f>+'Esc 2'!D133</f>
        <v>20.9</v>
      </c>
      <c r="E123" s="147">
        <f t="shared" si="42"/>
        <v>72.449999999999989</v>
      </c>
      <c r="F123" s="146">
        <f t="shared" si="42"/>
        <v>0</v>
      </c>
      <c r="G123" s="144">
        <f t="shared" si="41"/>
        <v>-5.154999999999999E-4</v>
      </c>
      <c r="H123" s="145">
        <f>+F123/100000*'Bal Híd'!$G$4</f>
        <v>0</v>
      </c>
      <c r="I123" s="145">
        <v>0</v>
      </c>
      <c r="J123" s="145">
        <f t="shared" ca="1" si="23"/>
        <v>7.7863881440205036</v>
      </c>
      <c r="K123" s="145">
        <f t="shared" ca="1" si="24"/>
        <v>299.15319911445005</v>
      </c>
      <c r="L123" s="145">
        <f t="shared" ca="1" si="25"/>
        <v>297.29555923871249</v>
      </c>
      <c r="M123" s="145">
        <f t="shared" ca="1" si="26"/>
        <v>7.6162282181439442</v>
      </c>
      <c r="N123" s="145">
        <f t="shared" ca="1" si="27"/>
        <v>7.6162282181439442</v>
      </c>
      <c r="O123" s="143">
        <f t="shared" ca="1" si="22"/>
        <v>294.92361286366878</v>
      </c>
      <c r="P123" s="145">
        <f t="shared" ca="1" si="28"/>
        <v>0</v>
      </c>
      <c r="Q123" s="145">
        <f t="shared" ca="1" si="29"/>
        <v>0</v>
      </c>
      <c r="R123" s="592">
        <f t="shared" ca="1" si="30"/>
        <v>-2.0619544923945105E-2</v>
      </c>
      <c r="S123" s="311"/>
      <c r="T123" s="392">
        <f t="shared" si="31"/>
        <v>1990</v>
      </c>
      <c r="U123" s="392">
        <f t="shared" si="32"/>
        <v>8</v>
      </c>
      <c r="V123" s="311">
        <f t="shared" ca="1" si="33"/>
        <v>105.9930146033789</v>
      </c>
      <c r="W123" s="269" t="str">
        <f t="shared" ca="1" si="34"/>
        <v>|||||||||</v>
      </c>
      <c r="X123" s="269" t="str">
        <f t="shared" ca="1" si="35"/>
        <v>|||||||||</v>
      </c>
      <c r="Y123" s="434" t="str">
        <f t="shared" ca="1" si="36"/>
        <v/>
      </c>
      <c r="Z123" s="269" t="str">
        <f t="shared" ca="1" si="37"/>
        <v/>
      </c>
      <c r="AA123" s="270" t="str">
        <f t="shared" ca="1" si="38"/>
        <v/>
      </c>
    </row>
    <row r="124" spans="1:27" x14ac:dyDescent="0.25">
      <c r="A124" s="140">
        <f>+'Esc 2'!A134</f>
        <v>1990</v>
      </c>
      <c r="B124" s="140">
        <f>+'Esc 2'!B134</f>
        <v>9</v>
      </c>
      <c r="C124" s="141">
        <f>+'Esc 2'!O134</f>
        <v>0.72726937618778598</v>
      </c>
      <c r="D124" s="140">
        <f>+'Esc 2'!D134</f>
        <v>86.4</v>
      </c>
      <c r="E124" s="147">
        <f t="shared" si="42"/>
        <v>85.89</v>
      </c>
      <c r="F124" s="146">
        <f t="shared" si="42"/>
        <v>0</v>
      </c>
      <c r="G124" s="144">
        <f t="shared" si="41"/>
        <v>5.1000000000000511E-6</v>
      </c>
      <c r="H124" s="145">
        <f>+F124/100000*'Bal Híd'!$G$4</f>
        <v>0</v>
      </c>
      <c r="I124" s="145">
        <v>0</v>
      </c>
      <c r="J124" s="145">
        <f t="shared" ca="1" si="23"/>
        <v>8.3434975943317298</v>
      </c>
      <c r="K124" s="145">
        <f t="shared" ca="1" si="24"/>
        <v>312.77687207345218</v>
      </c>
      <c r="L124" s="145">
        <f t="shared" ca="1" si="25"/>
        <v>303.85024246856051</v>
      </c>
      <c r="M124" s="145">
        <f t="shared" ca="1" si="26"/>
        <v>8.2610240456654225</v>
      </c>
      <c r="N124" s="145">
        <f t="shared" ca="1" si="27"/>
        <v>7.6368477630678893</v>
      </c>
      <c r="O124" s="143">
        <f t="shared" ca="1" si="22"/>
        <v>295.43791936297487</v>
      </c>
      <c r="P124" s="145">
        <f t="shared" ca="1" si="28"/>
        <v>0.62417628259753322</v>
      </c>
      <c r="Q124" s="145">
        <f t="shared" ca="1" si="29"/>
        <v>0</v>
      </c>
      <c r="R124" s="592">
        <f t="shared" ca="1" si="30"/>
        <v>0.64479582752147935</v>
      </c>
      <c r="S124" s="311"/>
      <c r="T124" s="392">
        <f t="shared" si="31"/>
        <v>1990</v>
      </c>
      <c r="U124" s="392">
        <f t="shared" si="32"/>
        <v>9</v>
      </c>
      <c r="V124" s="311">
        <f t="shared" ca="1" si="33"/>
        <v>106</v>
      </c>
      <c r="W124" s="269" t="str">
        <f t="shared" ca="1" si="34"/>
        <v>||||||||||</v>
      </c>
      <c r="X124" s="269" t="str">
        <f t="shared" ca="1" si="35"/>
        <v>||||||||||</v>
      </c>
      <c r="Y124" s="434" t="str">
        <f t="shared" ca="1" si="36"/>
        <v/>
      </c>
      <c r="Z124" s="269" t="str">
        <f t="shared" ca="1" si="37"/>
        <v/>
      </c>
      <c r="AA124" s="270" t="str">
        <f t="shared" ca="1" si="38"/>
        <v>|||</v>
      </c>
    </row>
    <row r="125" spans="1:27" x14ac:dyDescent="0.25">
      <c r="A125" s="140">
        <f>+'Esc 2'!A135</f>
        <v>1990</v>
      </c>
      <c r="B125" s="140">
        <f>+'Esc 2'!B135</f>
        <v>10</v>
      </c>
      <c r="C125" s="141">
        <f>+'Esc 2'!O135</f>
        <v>1.502943783055201</v>
      </c>
      <c r="D125" s="140">
        <f>+'Esc 2'!D135</f>
        <v>135.1</v>
      </c>
      <c r="E125" s="147">
        <f t="shared" si="42"/>
        <v>114.86999999999999</v>
      </c>
      <c r="F125" s="146">
        <f t="shared" si="42"/>
        <v>59</v>
      </c>
      <c r="G125" s="144">
        <f t="shared" si="41"/>
        <v>2.0230000000000004E-4</v>
      </c>
      <c r="H125" s="145">
        <f>+F125/100000*'Bal Híd'!$G$4</f>
        <v>0.64900000000000002</v>
      </c>
      <c r="I125" s="145">
        <v>0</v>
      </c>
      <c r="J125" s="145">
        <f t="shared" ca="1" si="23"/>
        <v>8.4907915461230914</v>
      </c>
      <c r="K125" s="145">
        <f t="shared" ca="1" si="24"/>
        <v>316.3241824509256</v>
      </c>
      <c r="L125" s="145">
        <f t="shared" ca="1" si="25"/>
        <v>305.88105090695024</v>
      </c>
      <c r="M125" s="145">
        <f t="shared" ca="1" si="26"/>
        <v>8.37787203412271</v>
      </c>
      <c r="N125" s="145">
        <f t="shared" ca="1" si="27"/>
        <v>7.6368477630678893</v>
      </c>
      <c r="O125" s="143">
        <f t="shared" ca="1" si="22"/>
        <v>295.43791936297487</v>
      </c>
      <c r="P125" s="145">
        <f t="shared" ca="1" si="28"/>
        <v>0.74102427105482072</v>
      </c>
      <c r="Q125" s="145">
        <f t="shared" ca="1" si="29"/>
        <v>0.64900000000000002</v>
      </c>
      <c r="R125" s="592">
        <f t="shared" ca="1" si="30"/>
        <v>1.3900242710548205</v>
      </c>
      <c r="S125" s="311"/>
      <c r="T125" s="392">
        <f t="shared" si="31"/>
        <v>1990</v>
      </c>
      <c r="U125" s="392">
        <f t="shared" si="32"/>
        <v>10</v>
      </c>
      <c r="V125" s="311">
        <f t="shared" ca="1" si="33"/>
        <v>106</v>
      </c>
      <c r="W125" s="269" t="str">
        <f t="shared" ca="1" si="34"/>
        <v>||||||||||</v>
      </c>
      <c r="X125" s="269" t="str">
        <f t="shared" ca="1" si="35"/>
        <v>||||||||||</v>
      </c>
      <c r="Y125" s="434" t="str">
        <f t="shared" ca="1" si="36"/>
        <v/>
      </c>
      <c r="Z125" s="269" t="str">
        <f t="shared" ca="1" si="37"/>
        <v>|||</v>
      </c>
      <c r="AA125" s="270" t="str">
        <f t="shared" ca="1" si="38"/>
        <v>|||</v>
      </c>
    </row>
    <row r="126" spans="1:27" x14ac:dyDescent="0.25">
      <c r="A126" s="140">
        <f>+'Esc 2'!A136</f>
        <v>1990</v>
      </c>
      <c r="B126" s="140">
        <f>+'Esc 2'!B136</f>
        <v>11</v>
      </c>
      <c r="C126" s="141">
        <f>+'Esc 2'!O136</f>
        <v>2.1142006927963881</v>
      </c>
      <c r="D126" s="140">
        <f>+'Esc 2'!D136</f>
        <v>174.7</v>
      </c>
      <c r="E126" s="147">
        <f t="shared" si="42"/>
        <v>144.06</v>
      </c>
      <c r="F126" s="146">
        <f t="shared" si="42"/>
        <v>212</v>
      </c>
      <c r="G126" s="144">
        <f t="shared" si="41"/>
        <v>3.0639999999999986E-4</v>
      </c>
      <c r="H126" s="145">
        <f>+F126/100000*'Bal Híd'!$G$4</f>
        <v>2.3319999999999999</v>
      </c>
      <c r="I126" s="145">
        <v>0</v>
      </c>
      <c r="J126" s="145">
        <f t="shared" ca="1" si="23"/>
        <v>7.4190484558642771</v>
      </c>
      <c r="K126" s="145">
        <f t="shared" ca="1" si="24"/>
        <v>289.98014123442135</v>
      </c>
      <c r="L126" s="145">
        <f t="shared" ca="1" si="25"/>
        <v>292.70903029869811</v>
      </c>
      <c r="M126" s="145">
        <f t="shared" ca="1" si="26"/>
        <v>7.2734319800689908</v>
      </c>
      <c r="N126" s="145">
        <f t="shared" ca="1" si="27"/>
        <v>7.2734319800689908</v>
      </c>
      <c r="O126" s="143">
        <f t="shared" ca="1" si="22"/>
        <v>286.29936809144033</v>
      </c>
      <c r="P126" s="145">
        <f t="shared" ca="1" si="28"/>
        <v>0</v>
      </c>
      <c r="Q126" s="145">
        <f t="shared" ca="1" si="29"/>
        <v>2.3319999999999999</v>
      </c>
      <c r="R126" s="592">
        <f t="shared" ca="1" si="30"/>
        <v>1.9685842170011005</v>
      </c>
      <c r="S126" s="311"/>
      <c r="T126" s="392">
        <f t="shared" si="31"/>
        <v>1990</v>
      </c>
      <c r="U126" s="392">
        <f t="shared" si="32"/>
        <v>11</v>
      </c>
      <c r="V126" s="311">
        <f t="shared" ca="1" si="33"/>
        <v>105.87505384559969</v>
      </c>
      <c r="W126" s="269" t="str">
        <f t="shared" ca="1" si="34"/>
        <v>|||||||||</v>
      </c>
      <c r="X126" s="269" t="str">
        <f t="shared" ca="1" si="35"/>
        <v>|||||||||</v>
      </c>
      <c r="Y126" s="434" t="str">
        <f t="shared" ca="1" si="36"/>
        <v/>
      </c>
      <c r="Z126" s="269" t="str">
        <f t="shared" ca="1" si="37"/>
        <v>|||||||||||</v>
      </c>
      <c r="AA126" s="270" t="str">
        <f t="shared" ca="1" si="38"/>
        <v/>
      </c>
    </row>
    <row r="127" spans="1:27" x14ac:dyDescent="0.25">
      <c r="A127" s="140">
        <f>+'Esc 2'!A137</f>
        <v>1990</v>
      </c>
      <c r="B127" s="140">
        <f>+'Esc 2'!B137</f>
        <v>12</v>
      </c>
      <c r="C127" s="141">
        <f>+'Esc 2'!O137</f>
        <v>4.3775984045470135</v>
      </c>
      <c r="D127" s="140">
        <f>+'Esc 2'!D137</f>
        <v>308.39999999999998</v>
      </c>
      <c r="E127" s="147">
        <f t="shared" si="42"/>
        <v>179.62</v>
      </c>
      <c r="F127" s="146">
        <f t="shared" si="42"/>
        <v>388</v>
      </c>
      <c r="G127" s="144">
        <f t="shared" si="41"/>
        <v>1.2877999999999998E-3</v>
      </c>
      <c r="H127" s="145">
        <f>+F127/100000*'Bal Híd'!$G$4</f>
        <v>4.2679999999999998</v>
      </c>
      <c r="I127" s="145">
        <v>0</v>
      </c>
      <c r="J127" s="145">
        <f t="shared" ca="1" si="23"/>
        <v>7.3830303846160037</v>
      </c>
      <c r="K127" s="145">
        <f t="shared" ca="1" si="24"/>
        <v>289.07211548632762</v>
      </c>
      <c r="L127" s="145">
        <f t="shared" ca="1" si="25"/>
        <v>287.685741788884</v>
      </c>
      <c r="M127" s="145">
        <f t="shared" ca="1" si="26"/>
        <v>7.2746631687221699</v>
      </c>
      <c r="N127" s="145">
        <f t="shared" ca="1" si="27"/>
        <v>7.2746631687221699</v>
      </c>
      <c r="O127" s="143">
        <f t="shared" ca="1" si="22"/>
        <v>286.33059828728335</v>
      </c>
      <c r="P127" s="145">
        <f t="shared" ca="1" si="28"/>
        <v>0</v>
      </c>
      <c r="Q127" s="145">
        <f t="shared" ca="1" si="29"/>
        <v>4.2679999999999998</v>
      </c>
      <c r="R127" s="592">
        <f t="shared" ca="1" si="30"/>
        <v>4.269231188653178</v>
      </c>
      <c r="S127" s="311"/>
      <c r="T127" s="392">
        <f t="shared" si="31"/>
        <v>1990</v>
      </c>
      <c r="U127" s="392">
        <f t="shared" si="32"/>
        <v>12</v>
      </c>
      <c r="V127" s="311">
        <f t="shared" ca="1" si="33"/>
        <v>105.87548385755366</v>
      </c>
      <c r="W127" s="269" t="str">
        <f t="shared" ca="1" si="34"/>
        <v>|||||||||</v>
      </c>
      <c r="X127" s="269" t="str">
        <f t="shared" ca="1" si="35"/>
        <v>|||||||||</v>
      </c>
      <c r="Y127" s="434" t="str">
        <f t="shared" ca="1" si="36"/>
        <v/>
      </c>
      <c r="Z127" s="269" t="str">
        <f t="shared" ca="1" si="37"/>
        <v>|||||||||||||||||||||</v>
      </c>
      <c r="AA127" s="270" t="str">
        <f t="shared" ca="1" si="38"/>
        <v/>
      </c>
    </row>
    <row r="128" spans="1:27" x14ac:dyDescent="0.25">
      <c r="A128" s="140">
        <f>+'Esc 2'!A138</f>
        <v>1991</v>
      </c>
      <c r="B128" s="140">
        <f>+'Esc 2'!B138</f>
        <v>1</v>
      </c>
      <c r="C128" s="141">
        <f>+'Esc 2'!O138</f>
        <v>1.064710329664095</v>
      </c>
      <c r="D128" s="140">
        <f>+'Esc 2'!D138</f>
        <v>39.5</v>
      </c>
      <c r="E128" s="147">
        <f t="shared" si="42"/>
        <v>176.89</v>
      </c>
      <c r="F128" s="146">
        <f t="shared" si="42"/>
        <v>318</v>
      </c>
      <c r="G128" s="144">
        <f t="shared" si="41"/>
        <v>-1.3738999999999999E-3</v>
      </c>
      <c r="H128" s="145">
        <f>+F128/100000*'Bal Híd'!$G$4</f>
        <v>3.4980000000000002</v>
      </c>
      <c r="I128" s="145">
        <v>0</v>
      </c>
      <c r="J128" s="145">
        <f t="shared" ca="1" si="23"/>
        <v>4.8413734983862655</v>
      </c>
      <c r="K128" s="145">
        <f t="shared" ca="1" si="24"/>
        <v>220.24309666211835</v>
      </c>
      <c r="L128" s="145">
        <f t="shared" ca="1" si="25"/>
        <v>253.28684747470083</v>
      </c>
      <c r="M128" s="145">
        <f t="shared" ca="1" si="26"/>
        <v>4.3908438686505189</v>
      </c>
      <c r="N128" s="145">
        <f t="shared" ca="1" si="27"/>
        <v>4.3908438686505189</v>
      </c>
      <c r="O128" s="143">
        <f t="shared" ca="1" si="22"/>
        <v>206.80679185797695</v>
      </c>
      <c r="P128" s="145">
        <f t="shared" ca="1" si="28"/>
        <v>0</v>
      </c>
      <c r="Q128" s="145">
        <f t="shared" ca="1" si="29"/>
        <v>3.4980000000000002</v>
      </c>
      <c r="R128" s="592">
        <f t="shared" ca="1" si="30"/>
        <v>0.61418069992834945</v>
      </c>
      <c r="S128" s="311"/>
      <c r="T128" s="392">
        <f t="shared" si="31"/>
        <v>1991</v>
      </c>
      <c r="U128" s="392">
        <f t="shared" si="32"/>
        <v>1</v>
      </c>
      <c r="V128" s="311">
        <f t="shared" ca="1" si="33"/>
        <v>104.70131127336668</v>
      </c>
      <c r="W128" s="269" t="str">
        <f t="shared" ca="1" si="34"/>
        <v>|||||||</v>
      </c>
      <c r="X128" s="269" t="str">
        <f t="shared" ca="1" si="35"/>
        <v>|||||</v>
      </c>
      <c r="Y128" s="434" t="str">
        <f t="shared" ca="1" si="36"/>
        <v/>
      </c>
      <c r="Z128" s="269" t="str">
        <f t="shared" ca="1" si="37"/>
        <v>|||||||||||||||||</v>
      </c>
      <c r="AA128" s="270" t="str">
        <f t="shared" ca="1" si="38"/>
        <v/>
      </c>
    </row>
    <row r="129" spans="1:27" x14ac:dyDescent="0.25">
      <c r="A129" s="140">
        <f>+'Esc 2'!A139</f>
        <v>1991</v>
      </c>
      <c r="B129" s="140">
        <f>+'Esc 2'!B139</f>
        <v>2</v>
      </c>
      <c r="C129" s="141">
        <f>+'Esc 2'!O139</f>
        <v>0.35954223353442671</v>
      </c>
      <c r="D129" s="140">
        <f>+'Esc 2'!D139</f>
        <v>57.7</v>
      </c>
      <c r="E129" s="147">
        <f t="shared" si="42"/>
        <v>131.73999999999998</v>
      </c>
      <c r="F129" s="146">
        <f t="shared" si="42"/>
        <v>153</v>
      </c>
      <c r="G129" s="144">
        <f t="shared" si="41"/>
        <v>-7.4039999999999978E-4</v>
      </c>
      <c r="H129" s="145">
        <f>+F129/100000*'Bal Híd'!$G$4</f>
        <v>1.6829999999999998</v>
      </c>
      <c r="I129" s="145">
        <v>0</v>
      </c>
      <c r="J129" s="145">
        <f t="shared" ca="1" si="23"/>
        <v>3.0673861021849458</v>
      </c>
      <c r="K129" s="145">
        <f t="shared" ca="1" si="24"/>
        <v>164.12483408614028</v>
      </c>
      <c r="L129" s="145">
        <f t="shared" ca="1" si="25"/>
        <v>185.46581297205861</v>
      </c>
      <c r="M129" s="145">
        <f t="shared" ca="1" si="26"/>
        <v>2.9047125402527332</v>
      </c>
      <c r="N129" s="145">
        <f t="shared" ca="1" si="27"/>
        <v>2.9047125402527332</v>
      </c>
      <c r="O129" s="143">
        <f t="shared" ca="1" si="22"/>
        <v>158.46138762144588</v>
      </c>
      <c r="P129" s="145">
        <f t="shared" ca="1" si="28"/>
        <v>0</v>
      </c>
      <c r="Q129" s="145">
        <f t="shared" ca="1" si="29"/>
        <v>1.6829999999999998</v>
      </c>
      <c r="R129" s="592">
        <f t="shared" ca="1" si="30"/>
        <v>0.19686867160221408</v>
      </c>
      <c r="S129" s="311"/>
      <c r="T129" s="392">
        <f t="shared" si="31"/>
        <v>1991</v>
      </c>
      <c r="U129" s="392">
        <f t="shared" si="32"/>
        <v>2</v>
      </c>
      <c r="V129" s="311">
        <f t="shared" ca="1" si="33"/>
        <v>103.88544572088442</v>
      </c>
      <c r="W129" s="269" t="str">
        <f t="shared" ca="1" si="34"/>
        <v>||||||</v>
      </c>
      <c r="X129" s="269" t="str">
        <f t="shared" ca="1" si="35"/>
        <v>|||</v>
      </c>
      <c r="Y129" s="434" t="str">
        <f t="shared" ca="1" si="36"/>
        <v/>
      </c>
      <c r="Z129" s="269" t="str">
        <f t="shared" ca="1" si="37"/>
        <v>||||||||</v>
      </c>
      <c r="AA129" s="270" t="str">
        <f t="shared" ca="1" si="38"/>
        <v/>
      </c>
    </row>
    <row r="130" spans="1:27" x14ac:dyDescent="0.25">
      <c r="A130" s="140">
        <f>+'Esc 2'!A140</f>
        <v>1991</v>
      </c>
      <c r="B130" s="140">
        <f>+'Esc 2'!B140</f>
        <v>3</v>
      </c>
      <c r="C130" s="141">
        <f>+'Esc 2'!O140</f>
        <v>0.59268656891053217</v>
      </c>
      <c r="D130" s="140">
        <f>+'Esc 2'!D140</f>
        <v>80.3</v>
      </c>
      <c r="E130" s="147">
        <f t="shared" si="42"/>
        <v>118.64999999999999</v>
      </c>
      <c r="F130" s="146">
        <f t="shared" si="42"/>
        <v>47</v>
      </c>
      <c r="G130" s="144">
        <f t="shared" si="41"/>
        <v>-3.8349999999999994E-4</v>
      </c>
      <c r="H130" s="145">
        <f>+F130/100000*'Bal Híd'!$G$4</f>
        <v>0.51700000000000002</v>
      </c>
      <c r="I130" s="145">
        <v>0</v>
      </c>
      <c r="J130" s="145">
        <f t="shared" ca="1" si="23"/>
        <v>2.9803991091632653</v>
      </c>
      <c r="K130" s="145">
        <f t="shared" ca="1" si="24"/>
        <v>161.11006002189126</v>
      </c>
      <c r="L130" s="145">
        <f t="shared" ca="1" si="25"/>
        <v>159.78572382166857</v>
      </c>
      <c r="M130" s="145">
        <f t="shared" ca="1" si="26"/>
        <v>2.883112594947332</v>
      </c>
      <c r="N130" s="145">
        <f t="shared" ca="1" si="27"/>
        <v>2.883112594947332</v>
      </c>
      <c r="O130" s="143">
        <f t="shared" ca="1" si="22"/>
        <v>157.70100741036828</v>
      </c>
      <c r="P130" s="145">
        <f t="shared" ca="1" si="28"/>
        <v>0</v>
      </c>
      <c r="Q130" s="145">
        <f t="shared" ca="1" si="29"/>
        <v>0.51700000000000002</v>
      </c>
      <c r="R130" s="592">
        <f t="shared" ca="1" si="30"/>
        <v>0.49540005469459891</v>
      </c>
      <c r="S130" s="311"/>
      <c r="T130" s="392">
        <f t="shared" si="31"/>
        <v>1991</v>
      </c>
      <c r="U130" s="392">
        <f t="shared" si="32"/>
        <v>3</v>
      </c>
      <c r="V130" s="311">
        <f t="shared" ca="1" si="33"/>
        <v>103.8717818795717</v>
      </c>
      <c r="W130" s="269" t="str">
        <f t="shared" ca="1" si="34"/>
        <v>||||||</v>
      </c>
      <c r="X130" s="269" t="str">
        <f t="shared" ca="1" si="35"/>
        <v>|||</v>
      </c>
      <c r="Y130" s="434" t="str">
        <f t="shared" ca="1" si="36"/>
        <v/>
      </c>
      <c r="Z130" s="269" t="str">
        <f t="shared" ca="1" si="37"/>
        <v>||</v>
      </c>
      <c r="AA130" s="270" t="str">
        <f t="shared" ca="1" si="38"/>
        <v/>
      </c>
    </row>
    <row r="131" spans="1:27" x14ac:dyDescent="0.25">
      <c r="A131" s="140">
        <f>+'Esc 2'!A141</f>
        <v>1991</v>
      </c>
      <c r="B131" s="140">
        <f>+'Esc 2'!B141</f>
        <v>4</v>
      </c>
      <c r="C131" s="141">
        <f>+'Esc 2'!O141</f>
        <v>10.055145195650462</v>
      </c>
      <c r="D131" s="140">
        <f>+'Esc 2'!D141</f>
        <v>520.6</v>
      </c>
      <c r="E131" s="147">
        <f t="shared" si="42"/>
        <v>73.149999999999991</v>
      </c>
      <c r="F131" s="146">
        <f t="shared" si="42"/>
        <v>0</v>
      </c>
      <c r="G131" s="144">
        <f t="shared" si="41"/>
        <v>4.4745000000000002E-3</v>
      </c>
      <c r="H131" s="145">
        <f>+F131/100000*'Bal Híd'!$G$4</f>
        <v>0</v>
      </c>
      <c r="I131" s="145">
        <v>0</v>
      </c>
      <c r="J131" s="145">
        <f t="shared" ca="1" si="23"/>
        <v>12.938257790597795</v>
      </c>
      <c r="K131" s="145">
        <f t="shared" ca="1" si="24"/>
        <v>414.97141561011284</v>
      </c>
      <c r="L131" s="145">
        <f t="shared" ca="1" si="25"/>
        <v>286.33621151024056</v>
      </c>
      <c r="M131" s="145">
        <f t="shared" ca="1" si="26"/>
        <v>13.124734499225479</v>
      </c>
      <c r="N131" s="145">
        <f t="shared" ca="1" si="27"/>
        <v>7.6368477630678893</v>
      </c>
      <c r="O131" s="143">
        <f t="shared" ca="1" si="22"/>
        <v>295.43791936297487</v>
      </c>
      <c r="P131" s="145">
        <f t="shared" ca="1" si="28"/>
        <v>5.4878867361575896</v>
      </c>
      <c r="Q131" s="145">
        <f t="shared" ca="1" si="29"/>
        <v>0</v>
      </c>
      <c r="R131" s="592">
        <f t="shared" ca="1" si="30"/>
        <v>10.241621904278148</v>
      </c>
      <c r="S131" s="311"/>
      <c r="T131" s="392">
        <f t="shared" si="31"/>
        <v>1991</v>
      </c>
      <c r="U131" s="392">
        <f t="shared" si="32"/>
        <v>4</v>
      </c>
      <c r="V131" s="311">
        <f t="shared" ca="1" si="33"/>
        <v>106</v>
      </c>
      <c r="W131" s="269" t="str">
        <f t="shared" ca="1" si="34"/>
        <v>||||||||||</v>
      </c>
      <c r="X131" s="269" t="str">
        <f t="shared" ca="1" si="35"/>
        <v>||||||||||</v>
      </c>
      <c r="Y131" s="434" t="str">
        <f t="shared" ca="1" si="36"/>
        <v/>
      </c>
      <c r="Z131" s="269" t="str">
        <f t="shared" ca="1" si="37"/>
        <v/>
      </c>
      <c r="AA131" s="270" t="str">
        <f t="shared" ca="1" si="38"/>
        <v>|||||||||||||||||||||||||||</v>
      </c>
    </row>
    <row r="132" spans="1:27" x14ac:dyDescent="0.25">
      <c r="A132" s="140">
        <f>+'Esc 2'!A142</f>
        <v>1991</v>
      </c>
      <c r="B132" s="140">
        <f>+'Esc 2'!B142</f>
        <v>5</v>
      </c>
      <c r="C132" s="141">
        <f>+'Esc 2'!O142</f>
        <v>2.845310997850055</v>
      </c>
      <c r="D132" s="140">
        <f>+'Esc 2'!D142</f>
        <v>106.5</v>
      </c>
      <c r="E132" s="147">
        <f t="shared" si="42"/>
        <v>51.24</v>
      </c>
      <c r="F132" s="146">
        <f t="shared" si="42"/>
        <v>0</v>
      </c>
      <c r="G132" s="144">
        <f t="shared" si="41"/>
        <v>5.5259999999999999E-4</v>
      </c>
      <c r="H132" s="145">
        <f>+F132/100000*'Bal Híd'!$G$4</f>
        <v>0</v>
      </c>
      <c r="I132" s="145">
        <v>0</v>
      </c>
      <c r="J132" s="145">
        <f t="shared" ca="1" si="23"/>
        <v>10.482158760917944</v>
      </c>
      <c r="K132" s="145">
        <f t="shared" ca="1" si="24"/>
        <v>362.32663136205156</v>
      </c>
      <c r="L132" s="145">
        <f t="shared" ca="1" si="25"/>
        <v>328.88227536251321</v>
      </c>
      <c r="M132" s="145">
        <f t="shared" ca="1" si="26"/>
        <v>10.308092127162771</v>
      </c>
      <c r="N132" s="145">
        <f t="shared" ca="1" si="27"/>
        <v>7.6368477630678893</v>
      </c>
      <c r="O132" s="143">
        <f t="shared" ca="1" si="22"/>
        <v>295.43791936297487</v>
      </c>
      <c r="P132" s="145">
        <f t="shared" ca="1" si="28"/>
        <v>2.671244364094882</v>
      </c>
      <c r="Q132" s="145">
        <f t="shared" ca="1" si="29"/>
        <v>0</v>
      </c>
      <c r="R132" s="592">
        <f t="shared" ca="1" si="30"/>
        <v>2.6712443640948824</v>
      </c>
      <c r="S132" s="311"/>
      <c r="T132" s="392">
        <f t="shared" si="31"/>
        <v>1991</v>
      </c>
      <c r="U132" s="392">
        <f t="shared" si="32"/>
        <v>5</v>
      </c>
      <c r="V132" s="311">
        <f t="shared" ca="1" si="33"/>
        <v>106</v>
      </c>
      <c r="W132" s="269" t="str">
        <f t="shared" ca="1" si="34"/>
        <v>||||||||||</v>
      </c>
      <c r="X132" s="269" t="str">
        <f t="shared" ca="1" si="35"/>
        <v>||||||||||</v>
      </c>
      <c r="Y132" s="434" t="str">
        <f t="shared" ca="1" si="36"/>
        <v/>
      </c>
      <c r="Z132" s="269" t="str">
        <f t="shared" ca="1" si="37"/>
        <v/>
      </c>
      <c r="AA132" s="270" t="str">
        <f t="shared" ca="1" si="38"/>
        <v>|||||||||||||</v>
      </c>
    </row>
    <row r="133" spans="1:27" x14ac:dyDescent="0.25">
      <c r="A133" s="140">
        <f>+'Esc 2'!A143</f>
        <v>1991</v>
      </c>
      <c r="B133" s="140">
        <f>+'Esc 2'!B143</f>
        <v>6</v>
      </c>
      <c r="C133" s="141">
        <f>+'Esc 2'!O143</f>
        <v>3.1772496412462048</v>
      </c>
      <c r="D133" s="140">
        <f>+'Esc 2'!D143</f>
        <v>168.1</v>
      </c>
      <c r="E133" s="147">
        <f t="shared" ref="E133:F152" si="43">+E121</f>
        <v>41.019999999999996</v>
      </c>
      <c r="F133" s="146">
        <f t="shared" si="43"/>
        <v>0</v>
      </c>
      <c r="G133" s="144">
        <f t="shared" si="41"/>
        <v>1.2707999999999999E-3</v>
      </c>
      <c r="H133" s="145">
        <f>+F133/100000*'Bal Híd'!$G$4</f>
        <v>0</v>
      </c>
      <c r="I133" s="145">
        <v>0</v>
      </c>
      <c r="J133" s="145">
        <f t="shared" ca="1" si="23"/>
        <v>10.814097404314094</v>
      </c>
      <c r="K133" s="145">
        <f t="shared" ca="1" si="24"/>
        <v>369.67975985538993</v>
      </c>
      <c r="L133" s="145">
        <f t="shared" ca="1" si="25"/>
        <v>332.55883960918243</v>
      </c>
      <c r="M133" s="145">
        <f t="shared" ca="1" si="26"/>
        <v>10.834955590677454</v>
      </c>
      <c r="N133" s="145">
        <f t="shared" ca="1" si="27"/>
        <v>7.6368477630678893</v>
      </c>
      <c r="O133" s="143">
        <f t="shared" ca="1" si="22"/>
        <v>295.43791936297487</v>
      </c>
      <c r="P133" s="145">
        <f t="shared" ca="1" si="28"/>
        <v>3.1981078276095651</v>
      </c>
      <c r="Q133" s="145">
        <f t="shared" ca="1" si="29"/>
        <v>0</v>
      </c>
      <c r="R133" s="592">
        <f t="shared" ca="1" si="30"/>
        <v>3.1981078276095656</v>
      </c>
      <c r="S133" s="311"/>
      <c r="T133" s="392">
        <f t="shared" si="31"/>
        <v>1991</v>
      </c>
      <c r="U133" s="392">
        <f t="shared" si="32"/>
        <v>6</v>
      </c>
      <c r="V133" s="311">
        <f t="shared" ca="1" si="33"/>
        <v>106</v>
      </c>
      <c r="W133" s="269" t="str">
        <f t="shared" ca="1" si="34"/>
        <v>||||||||||</v>
      </c>
      <c r="X133" s="269" t="str">
        <f t="shared" ca="1" si="35"/>
        <v>||||||||||</v>
      </c>
      <c r="Y133" s="434" t="str">
        <f t="shared" ca="1" si="36"/>
        <v/>
      </c>
      <c r="Z133" s="269" t="str">
        <f t="shared" ca="1" si="37"/>
        <v/>
      </c>
      <c r="AA133" s="270" t="str">
        <f t="shared" ca="1" si="38"/>
        <v>|||||||||||||||</v>
      </c>
    </row>
    <row r="134" spans="1:27" x14ac:dyDescent="0.25">
      <c r="A134" s="140">
        <f>+'Esc 2'!A144</f>
        <v>1991</v>
      </c>
      <c r="B134" s="140">
        <f>+'Esc 2'!B144</f>
        <v>7</v>
      </c>
      <c r="C134" s="141">
        <f>+'Esc 2'!O144</f>
        <v>2.6732909213366023</v>
      </c>
      <c r="D134" s="140">
        <f>+'Esc 2'!D144</f>
        <v>130.19999999999999</v>
      </c>
      <c r="E134" s="147">
        <f t="shared" si="43"/>
        <v>50.819999999999993</v>
      </c>
      <c r="F134" s="146">
        <f t="shared" si="43"/>
        <v>0</v>
      </c>
      <c r="G134" s="144">
        <f t="shared" si="41"/>
        <v>7.938E-4</v>
      </c>
      <c r="H134" s="145">
        <f>+F134/100000*'Bal Híd'!$G$4</f>
        <v>0</v>
      </c>
      <c r="I134" s="145">
        <v>0</v>
      </c>
      <c r="J134" s="145">
        <f t="shared" ca="1" si="23"/>
        <v>10.310138684404492</v>
      </c>
      <c r="K134" s="145">
        <f t="shared" ca="1" si="24"/>
        <v>358.48349764161446</v>
      </c>
      <c r="L134" s="145">
        <f t="shared" ca="1" si="25"/>
        <v>326.96070850229466</v>
      </c>
      <c r="M134" s="145">
        <f t="shared" ca="1" si="26"/>
        <v>10.237337473645185</v>
      </c>
      <c r="N134" s="145">
        <f t="shared" ca="1" si="27"/>
        <v>7.6368477630678893</v>
      </c>
      <c r="O134" s="143">
        <f t="shared" ca="1" si="22"/>
        <v>295.43791936297487</v>
      </c>
      <c r="P134" s="145">
        <f t="shared" ca="1" si="28"/>
        <v>2.6004897105772962</v>
      </c>
      <c r="Q134" s="145">
        <f t="shared" ca="1" si="29"/>
        <v>0</v>
      </c>
      <c r="R134" s="592">
        <f t="shared" ca="1" si="30"/>
        <v>2.6004897105772953</v>
      </c>
      <c r="S134" s="311"/>
      <c r="T134" s="392">
        <f t="shared" si="31"/>
        <v>1991</v>
      </c>
      <c r="U134" s="392">
        <f t="shared" si="32"/>
        <v>7</v>
      </c>
      <c r="V134" s="311">
        <f t="shared" ca="1" si="33"/>
        <v>106</v>
      </c>
      <c r="W134" s="269" t="str">
        <f t="shared" ca="1" si="34"/>
        <v>||||||||||</v>
      </c>
      <c r="X134" s="269" t="str">
        <f t="shared" ca="1" si="35"/>
        <v>||||||||||</v>
      </c>
      <c r="Y134" s="434" t="str">
        <f t="shared" ca="1" si="36"/>
        <v/>
      </c>
      <c r="Z134" s="269" t="str">
        <f t="shared" ca="1" si="37"/>
        <v/>
      </c>
      <c r="AA134" s="270" t="str">
        <f t="shared" ca="1" si="38"/>
        <v>|||||||||||||</v>
      </c>
    </row>
    <row r="135" spans="1:27" x14ac:dyDescent="0.25">
      <c r="A135" s="140">
        <f>+'Esc 2'!A145</f>
        <v>1991</v>
      </c>
      <c r="B135" s="140">
        <f>+'Esc 2'!B145</f>
        <v>8</v>
      </c>
      <c r="C135" s="141">
        <f>+'Esc 2'!O145</f>
        <v>0.85434156071895118</v>
      </c>
      <c r="D135" s="140">
        <f>+'Esc 2'!D145</f>
        <v>35.9</v>
      </c>
      <c r="E135" s="147">
        <f t="shared" si="43"/>
        <v>72.449999999999989</v>
      </c>
      <c r="F135" s="146">
        <f t="shared" si="43"/>
        <v>0</v>
      </c>
      <c r="G135" s="144">
        <f t="shared" si="41"/>
        <v>-3.6549999999999989E-4</v>
      </c>
      <c r="H135" s="145">
        <f>+F135/100000*'Bal Híd'!$G$4</f>
        <v>0</v>
      </c>
      <c r="I135" s="145">
        <v>0</v>
      </c>
      <c r="J135" s="145">
        <f t="shared" ca="1" si="23"/>
        <v>8.4911893237868412</v>
      </c>
      <c r="K135" s="145">
        <f t="shared" ca="1" si="24"/>
        <v>316.33373244616882</v>
      </c>
      <c r="L135" s="145">
        <f t="shared" ca="1" si="25"/>
        <v>305.88582590457185</v>
      </c>
      <c r="M135" s="145">
        <f t="shared" ca="1" si="26"/>
        <v>8.2800226651011855</v>
      </c>
      <c r="N135" s="145">
        <f t="shared" ca="1" si="27"/>
        <v>7.6368477630678893</v>
      </c>
      <c r="O135" s="143">
        <f t="shared" ref="O135:O198" ca="1" si="44">+g_*N135^h_</f>
        <v>295.43791936297487</v>
      </c>
      <c r="P135" s="145">
        <f t="shared" ca="1" si="28"/>
        <v>0.64317490203329619</v>
      </c>
      <c r="Q135" s="145">
        <f t="shared" ca="1" si="29"/>
        <v>0</v>
      </c>
      <c r="R135" s="592">
        <f t="shared" ca="1" si="30"/>
        <v>0.64317490203329519</v>
      </c>
      <c r="S135" s="311"/>
      <c r="T135" s="392">
        <f t="shared" si="31"/>
        <v>1991</v>
      </c>
      <c r="U135" s="392">
        <f t="shared" si="32"/>
        <v>8</v>
      </c>
      <c r="V135" s="311">
        <f t="shared" ca="1" si="33"/>
        <v>106</v>
      </c>
      <c r="W135" s="269" t="str">
        <f t="shared" ca="1" si="34"/>
        <v>||||||||||</v>
      </c>
      <c r="X135" s="269" t="str">
        <f t="shared" ca="1" si="35"/>
        <v>||||||||||</v>
      </c>
      <c r="Y135" s="434" t="str">
        <f t="shared" ca="1" si="36"/>
        <v/>
      </c>
      <c r="Z135" s="269" t="str">
        <f t="shared" ca="1" si="37"/>
        <v/>
      </c>
      <c r="AA135" s="270" t="str">
        <f t="shared" ca="1" si="38"/>
        <v>|||</v>
      </c>
    </row>
    <row r="136" spans="1:27" x14ac:dyDescent="0.25">
      <c r="A136" s="140">
        <f>+'Esc 2'!A146</f>
        <v>1991</v>
      </c>
      <c r="B136" s="140">
        <f>+'Esc 2'!B146</f>
        <v>9</v>
      </c>
      <c r="C136" s="141">
        <f>+'Esc 2'!O146</f>
        <v>0.31559661562587105</v>
      </c>
      <c r="D136" s="140">
        <f>+'Esc 2'!D146</f>
        <v>40.700000000000003</v>
      </c>
      <c r="E136" s="147">
        <f t="shared" si="43"/>
        <v>85.89</v>
      </c>
      <c r="F136" s="146">
        <f t="shared" si="43"/>
        <v>0</v>
      </c>
      <c r="G136" s="144">
        <f t="shared" si="41"/>
        <v>-4.5189999999999998E-4</v>
      </c>
      <c r="H136" s="145">
        <f>+F136/100000*'Bal Híd'!$G$4</f>
        <v>0</v>
      </c>
      <c r="I136" s="145">
        <v>0</v>
      </c>
      <c r="J136" s="145">
        <f t="shared" ref="J136:J199" ca="1" si="45">+N135+C136-H136-I136</f>
        <v>7.9524443786937606</v>
      </c>
      <c r="K136" s="145">
        <f t="shared" ref="K136:K199" ca="1" si="46">+IF(J136&lt;0,0,g_*J136^h_)</f>
        <v>303.24920863961012</v>
      </c>
      <c r="L136" s="145">
        <f t="shared" ref="L136:L199" ca="1" si="47">+(K136+O135)/2</f>
        <v>299.34356400129252</v>
      </c>
      <c r="M136" s="145">
        <f t="shared" ref="M136:M199" ca="1" si="48">+N135+C136*(Ac-L136)/Ac+G136*L136-H136-I136</f>
        <v>7.7812501796469773</v>
      </c>
      <c r="N136" s="145">
        <f t="shared" ref="N136:N199" ca="1" si="49">+IF(M136&gt;VolHv,VolHv,IF(M136&lt;VolHt,VolHt,M136))</f>
        <v>7.6368477630678893</v>
      </c>
      <c r="O136" s="143">
        <f t="shared" ca="1" si="44"/>
        <v>295.43791936297487</v>
      </c>
      <c r="P136" s="145">
        <f t="shared" ref="P136:P199" ca="1" si="50">+IF(M136&gt;VolHv,M136-VolHv,0)</f>
        <v>0.14440241657908803</v>
      </c>
      <c r="Q136" s="145">
        <f t="shared" ref="Q136:Q199" ca="1" si="51">+IF(M136&lt;VolHt,IF(H136&lt;(VolHt-M136),0,H136-(VolHt-M136)),H136)</f>
        <v>0</v>
      </c>
      <c r="R136" s="592">
        <f t="shared" ref="R136:R199" ca="1" si="52">+C136*(Ac-L136)/Ac+G136*L136</f>
        <v>0.14440241657908837</v>
      </c>
      <c r="S136" s="311"/>
      <c r="T136" s="392">
        <f t="shared" ref="T136:T199" si="53">+A136</f>
        <v>1991</v>
      </c>
      <c r="U136" s="392">
        <f t="shared" ref="U136:U199" si="54">+B136</f>
        <v>9</v>
      </c>
      <c r="V136" s="311">
        <f t="shared" ref="V136:V199" ca="1" si="55">+Hast+e_*N136^f_</f>
        <v>106</v>
      </c>
      <c r="W136" s="269" t="str">
        <f t="shared" ref="W136:W199" ca="1" si="56">+REPT("|",(V136-Ht)/(Hv-Ht)*10)</f>
        <v>||||||||||</v>
      </c>
      <c r="X136" s="269" t="str">
        <f t="shared" ref="X136:X199" ca="1" si="57">+REPT("|",(N136-VolHt)/(VolHv-VolHt)*10)</f>
        <v>||||||||||</v>
      </c>
      <c r="Y136" s="434" t="str">
        <f t="shared" ref="Y136:Y199" ca="1" si="58">+REPT("|",(H136-Q136)*$AA$4)</f>
        <v/>
      </c>
      <c r="Z136" s="269" t="str">
        <f t="shared" ref="Z136:Z199" ca="1" si="59">+REPT("|",Q136*$AA$4)</f>
        <v/>
      </c>
      <c r="AA136" s="270" t="str">
        <f t="shared" ref="AA136:AA199" ca="1" si="60">+REPT("|",P136*$AA$4)</f>
        <v/>
      </c>
    </row>
    <row r="137" spans="1:27" x14ac:dyDescent="0.25">
      <c r="A137" s="140">
        <f>+'Esc 2'!A147</f>
        <v>1991</v>
      </c>
      <c r="B137" s="140">
        <f>+'Esc 2'!B147</f>
        <v>10</v>
      </c>
      <c r="C137" s="141">
        <f>+'Esc 2'!O147</f>
        <v>2.0995902407617644</v>
      </c>
      <c r="D137" s="140">
        <f>+'Esc 2'!D147</f>
        <v>182</v>
      </c>
      <c r="E137" s="147">
        <f t="shared" si="43"/>
        <v>114.86999999999999</v>
      </c>
      <c r="F137" s="146">
        <f t="shared" si="43"/>
        <v>59</v>
      </c>
      <c r="G137" s="144">
        <f t="shared" si="41"/>
        <v>6.7130000000000011E-4</v>
      </c>
      <c r="H137" s="145">
        <f>+F137/100000*'Bal Híd'!$G$4</f>
        <v>0.64900000000000002</v>
      </c>
      <c r="I137" s="145">
        <v>0</v>
      </c>
      <c r="J137" s="145">
        <f t="shared" ca="1" si="45"/>
        <v>9.0874380038296536</v>
      </c>
      <c r="K137" s="145">
        <f t="shared" ca="1" si="46"/>
        <v>330.4753192798313</v>
      </c>
      <c r="L137" s="145">
        <f t="shared" ca="1" si="47"/>
        <v>312.95661932140308</v>
      </c>
      <c r="M137" s="145">
        <f t="shared" ca="1" si="48"/>
        <v>9.0476852258367586</v>
      </c>
      <c r="N137" s="145">
        <f t="shared" ca="1" si="49"/>
        <v>7.6368477630678893</v>
      </c>
      <c r="O137" s="143">
        <f t="shared" ca="1" si="44"/>
        <v>295.43791936297487</v>
      </c>
      <c r="P137" s="145">
        <f t="shared" ca="1" si="50"/>
        <v>1.4108374627688693</v>
      </c>
      <c r="Q137" s="145">
        <f t="shared" ca="1" si="51"/>
        <v>0.64900000000000002</v>
      </c>
      <c r="R137" s="592">
        <f t="shared" ca="1" si="52"/>
        <v>2.0598374627688711</v>
      </c>
      <c r="S137" s="311"/>
      <c r="T137" s="392">
        <f t="shared" si="53"/>
        <v>1991</v>
      </c>
      <c r="U137" s="392">
        <f t="shared" si="54"/>
        <v>10</v>
      </c>
      <c r="V137" s="311">
        <f t="shared" ca="1" si="55"/>
        <v>106</v>
      </c>
      <c r="W137" s="269" t="str">
        <f t="shared" ca="1" si="56"/>
        <v>||||||||||</v>
      </c>
      <c r="X137" s="269" t="str">
        <f t="shared" ca="1" si="57"/>
        <v>||||||||||</v>
      </c>
      <c r="Y137" s="434" t="str">
        <f t="shared" ca="1" si="58"/>
        <v/>
      </c>
      <c r="Z137" s="269" t="str">
        <f t="shared" ca="1" si="59"/>
        <v>|||</v>
      </c>
      <c r="AA137" s="270" t="str">
        <f t="shared" ca="1" si="60"/>
        <v>|||||||</v>
      </c>
    </row>
    <row r="138" spans="1:27" x14ac:dyDescent="0.25">
      <c r="A138" s="140">
        <f>+'Esc 2'!A148</f>
        <v>1991</v>
      </c>
      <c r="B138" s="140">
        <f>+'Esc 2'!B148</f>
        <v>11</v>
      </c>
      <c r="C138" s="141">
        <f>+'Esc 2'!O148</f>
        <v>0.85112764119659046</v>
      </c>
      <c r="D138" s="140">
        <f>+'Esc 2'!D148</f>
        <v>59.9</v>
      </c>
      <c r="E138" s="147">
        <f t="shared" si="43"/>
        <v>144.06</v>
      </c>
      <c r="F138" s="146">
        <f t="shared" si="43"/>
        <v>212</v>
      </c>
      <c r="G138" s="144">
        <f t="shared" si="41"/>
        <v>-8.4159999999999997E-4</v>
      </c>
      <c r="H138" s="145">
        <f>+F138/100000*'Bal Híd'!$G$4</f>
        <v>2.3319999999999999</v>
      </c>
      <c r="I138" s="145">
        <v>0</v>
      </c>
      <c r="J138" s="145">
        <f t="shared" ca="1" si="45"/>
        <v>6.1559754042644803</v>
      </c>
      <c r="K138" s="145">
        <f t="shared" ca="1" si="46"/>
        <v>257.11983218387502</v>
      </c>
      <c r="L138" s="145">
        <f t="shared" ca="1" si="47"/>
        <v>276.27887577342494</v>
      </c>
      <c r="M138" s="145">
        <f t="shared" ca="1" si="48"/>
        <v>5.8340489929650934</v>
      </c>
      <c r="N138" s="145">
        <f t="shared" ca="1" si="49"/>
        <v>5.8340489929650934</v>
      </c>
      <c r="O138" s="143">
        <f t="shared" ca="1" si="44"/>
        <v>248.3721299004628</v>
      </c>
      <c r="P138" s="145">
        <f t="shared" ca="1" si="50"/>
        <v>0</v>
      </c>
      <c r="Q138" s="145">
        <f t="shared" ca="1" si="51"/>
        <v>2.3319999999999999</v>
      </c>
      <c r="R138" s="592">
        <f t="shared" ca="1" si="52"/>
        <v>0.52920122989720408</v>
      </c>
      <c r="S138" s="311"/>
      <c r="T138" s="392">
        <f t="shared" si="53"/>
        <v>1991</v>
      </c>
      <c r="U138" s="392">
        <f t="shared" si="54"/>
        <v>11</v>
      </c>
      <c r="V138" s="311">
        <f t="shared" ca="1" si="55"/>
        <v>105.33623052013969</v>
      </c>
      <c r="W138" s="269" t="str">
        <f t="shared" ca="1" si="56"/>
        <v>||||||||</v>
      </c>
      <c r="X138" s="269" t="str">
        <f t="shared" ca="1" si="57"/>
        <v>|||||||</v>
      </c>
      <c r="Y138" s="434" t="str">
        <f t="shared" ca="1" si="58"/>
        <v/>
      </c>
      <c r="Z138" s="269" t="str">
        <f t="shared" ca="1" si="59"/>
        <v>|||||||||||</v>
      </c>
      <c r="AA138" s="270" t="str">
        <f t="shared" ca="1" si="60"/>
        <v/>
      </c>
    </row>
    <row r="139" spans="1:27" x14ac:dyDescent="0.25">
      <c r="A139" s="140">
        <f>+'Esc 2'!A149</f>
        <v>1991</v>
      </c>
      <c r="B139" s="140">
        <f>+'Esc 2'!B149</f>
        <v>12</v>
      </c>
      <c r="C139" s="141">
        <f>+'Esc 2'!O149</f>
        <v>3.6672163746130648</v>
      </c>
      <c r="D139" s="140">
        <f>+'Esc 2'!D149</f>
        <v>292.39999999999998</v>
      </c>
      <c r="E139" s="147">
        <f t="shared" si="43"/>
        <v>179.62</v>
      </c>
      <c r="F139" s="146">
        <f t="shared" si="43"/>
        <v>388</v>
      </c>
      <c r="G139" s="144">
        <f t="shared" si="41"/>
        <v>1.1277999999999998E-3</v>
      </c>
      <c r="H139" s="145">
        <f>+F139/100000*'Bal Híd'!$G$4</f>
        <v>4.2679999999999998</v>
      </c>
      <c r="I139" s="145">
        <v>0</v>
      </c>
      <c r="J139" s="145">
        <f t="shared" ca="1" si="45"/>
        <v>5.2332653675781584</v>
      </c>
      <c r="K139" s="145">
        <f t="shared" ca="1" si="46"/>
        <v>231.57253348323766</v>
      </c>
      <c r="L139" s="145">
        <f t="shared" ca="1" si="47"/>
        <v>239.97233169185023</v>
      </c>
      <c r="M139" s="145">
        <f t="shared" ca="1" si="48"/>
        <v>5.1692938194448539</v>
      </c>
      <c r="N139" s="145">
        <f t="shared" ca="1" si="49"/>
        <v>5.1692938194448539</v>
      </c>
      <c r="O139" s="143">
        <f t="shared" ca="1" si="44"/>
        <v>229.74430136515954</v>
      </c>
      <c r="P139" s="145">
        <f t="shared" ca="1" si="50"/>
        <v>0</v>
      </c>
      <c r="Q139" s="145">
        <f t="shared" ca="1" si="51"/>
        <v>4.2679999999999998</v>
      </c>
      <c r="R139" s="592">
        <f t="shared" ca="1" si="52"/>
        <v>3.6032448264797603</v>
      </c>
      <c r="S139" s="311"/>
      <c r="T139" s="392">
        <f t="shared" si="53"/>
        <v>1991</v>
      </c>
      <c r="U139" s="392">
        <f t="shared" si="54"/>
        <v>12</v>
      </c>
      <c r="V139" s="311">
        <f t="shared" ca="1" si="55"/>
        <v>105.0580949044456</v>
      </c>
      <c r="W139" s="269" t="str">
        <f t="shared" ca="1" si="56"/>
        <v>||||||||</v>
      </c>
      <c r="X139" s="269" t="str">
        <f t="shared" ca="1" si="57"/>
        <v>||||||</v>
      </c>
      <c r="Y139" s="434" t="str">
        <f t="shared" ca="1" si="58"/>
        <v/>
      </c>
      <c r="Z139" s="269" t="str">
        <f t="shared" ca="1" si="59"/>
        <v>|||||||||||||||||||||</v>
      </c>
      <c r="AA139" s="270" t="str">
        <f t="shared" ca="1" si="60"/>
        <v/>
      </c>
    </row>
    <row r="140" spans="1:27" x14ac:dyDescent="0.25">
      <c r="A140" s="140">
        <f>+'Esc 2'!A150</f>
        <v>1992</v>
      </c>
      <c r="B140" s="140">
        <f>+'Esc 2'!B150</f>
        <v>1</v>
      </c>
      <c r="C140" s="141">
        <f>+'Esc 2'!O150</f>
        <v>1.123995307352069</v>
      </c>
      <c r="D140" s="140">
        <f>+'Esc 2'!D150</f>
        <v>63.6</v>
      </c>
      <c r="E140" s="147">
        <f t="shared" si="43"/>
        <v>176.89</v>
      </c>
      <c r="F140" s="146">
        <f t="shared" si="43"/>
        <v>318</v>
      </c>
      <c r="G140" s="144">
        <f t="shared" si="41"/>
        <v>-1.1328999999999998E-3</v>
      </c>
      <c r="H140" s="145">
        <f>+F140/100000*'Bal Híd'!$G$4</f>
        <v>3.4980000000000002</v>
      </c>
      <c r="I140" s="145">
        <v>0</v>
      </c>
      <c r="J140" s="145">
        <f t="shared" ca="1" si="45"/>
        <v>2.7952891267969227</v>
      </c>
      <c r="K140" s="145">
        <f t="shared" ca="1" si="46"/>
        <v>154.58825956690069</v>
      </c>
      <c r="L140" s="145">
        <f t="shared" ca="1" si="47"/>
        <v>192.16628046603012</v>
      </c>
      <c r="M140" s="145">
        <f t="shared" ca="1" si="48"/>
        <v>2.4954569524192687</v>
      </c>
      <c r="N140" s="145">
        <f t="shared" ca="1" si="49"/>
        <v>2.4954569524192687</v>
      </c>
      <c r="O140" s="143">
        <f t="shared" ca="1" si="44"/>
        <v>143.68806139092544</v>
      </c>
      <c r="P140" s="145">
        <f t="shared" ca="1" si="50"/>
        <v>0</v>
      </c>
      <c r="Q140" s="145">
        <f t="shared" ca="1" si="51"/>
        <v>3.4980000000000002</v>
      </c>
      <c r="R140" s="592">
        <f t="shared" ca="1" si="52"/>
        <v>0.82416313297441557</v>
      </c>
      <c r="S140" s="311"/>
      <c r="T140" s="392">
        <f t="shared" si="53"/>
        <v>1992</v>
      </c>
      <c r="U140" s="392">
        <f t="shared" si="54"/>
        <v>1</v>
      </c>
      <c r="V140" s="311">
        <f t="shared" ca="1" si="55"/>
        <v>103.61445272815949</v>
      </c>
      <c r="W140" s="269" t="str">
        <f t="shared" ca="1" si="56"/>
        <v>|||||</v>
      </c>
      <c r="X140" s="269" t="str">
        <f t="shared" ca="1" si="57"/>
        <v>|||</v>
      </c>
      <c r="Y140" s="434" t="str">
        <f t="shared" ca="1" si="58"/>
        <v/>
      </c>
      <c r="Z140" s="269" t="str">
        <f t="shared" ca="1" si="59"/>
        <v>|||||||||||||||||</v>
      </c>
      <c r="AA140" s="270" t="str">
        <f t="shared" ca="1" si="60"/>
        <v/>
      </c>
    </row>
    <row r="141" spans="1:27" x14ac:dyDescent="0.25">
      <c r="A141" s="140">
        <f>+'Esc 2'!A151</f>
        <v>1992</v>
      </c>
      <c r="B141" s="140">
        <f>+'Esc 2'!B151</f>
        <v>2</v>
      </c>
      <c r="C141" s="141">
        <f>+'Esc 2'!O151</f>
        <v>2.9485198087141691</v>
      </c>
      <c r="D141" s="140">
        <f>+'Esc 2'!D151</f>
        <v>238.1</v>
      </c>
      <c r="E141" s="147">
        <f t="shared" si="43"/>
        <v>131.73999999999998</v>
      </c>
      <c r="F141" s="146">
        <f t="shared" si="43"/>
        <v>153</v>
      </c>
      <c r="G141" s="144">
        <f t="shared" si="41"/>
        <v>1.0636E-3</v>
      </c>
      <c r="H141" s="145">
        <f>+F141/100000*'Bal Híd'!$G$4</f>
        <v>1.6829999999999998</v>
      </c>
      <c r="I141" s="145">
        <v>0</v>
      </c>
      <c r="J141" s="145">
        <f t="shared" ca="1" si="45"/>
        <v>3.7609767611334384</v>
      </c>
      <c r="K141" s="145">
        <f t="shared" ca="1" si="46"/>
        <v>187.16642762494448</v>
      </c>
      <c r="L141" s="145">
        <f t="shared" ca="1" si="47"/>
        <v>165.42724450793497</v>
      </c>
      <c r="M141" s="145">
        <f t="shared" ca="1" si="48"/>
        <v>3.7514630083036185</v>
      </c>
      <c r="N141" s="145">
        <f t="shared" ca="1" si="49"/>
        <v>3.7514630083036185</v>
      </c>
      <c r="O141" s="143">
        <f t="shared" ca="1" si="44"/>
        <v>186.86117682083952</v>
      </c>
      <c r="P141" s="145">
        <f t="shared" ca="1" si="50"/>
        <v>0</v>
      </c>
      <c r="Q141" s="145">
        <f t="shared" ca="1" si="51"/>
        <v>1.6829999999999998</v>
      </c>
      <c r="R141" s="592">
        <f t="shared" ca="1" si="52"/>
        <v>2.9390060558843492</v>
      </c>
      <c r="S141" s="311"/>
      <c r="T141" s="392">
        <f t="shared" si="53"/>
        <v>1992</v>
      </c>
      <c r="U141" s="392">
        <f t="shared" si="54"/>
        <v>2</v>
      </c>
      <c r="V141" s="311">
        <f t="shared" ca="1" si="55"/>
        <v>104.37635399484813</v>
      </c>
      <c r="W141" s="269" t="str">
        <f t="shared" ca="1" si="56"/>
        <v>|||||||</v>
      </c>
      <c r="X141" s="269" t="str">
        <f t="shared" ca="1" si="57"/>
        <v>||||</v>
      </c>
      <c r="Y141" s="434" t="str">
        <f t="shared" ca="1" si="58"/>
        <v/>
      </c>
      <c r="Z141" s="269" t="str">
        <f t="shared" ca="1" si="59"/>
        <v>||||||||</v>
      </c>
      <c r="AA141" s="270" t="str">
        <f t="shared" ca="1" si="60"/>
        <v/>
      </c>
    </row>
    <row r="142" spans="1:27" x14ac:dyDescent="0.25">
      <c r="A142" s="140">
        <f>+'Esc 2'!A152</f>
        <v>1992</v>
      </c>
      <c r="B142" s="140">
        <f>+'Esc 2'!B152</f>
        <v>3</v>
      </c>
      <c r="C142" s="141">
        <f>+'Esc 2'!O152</f>
        <v>2.450702405132164</v>
      </c>
      <c r="D142" s="140">
        <f>+'Esc 2'!D152</f>
        <v>165</v>
      </c>
      <c r="E142" s="147">
        <f t="shared" si="43"/>
        <v>118.64999999999999</v>
      </c>
      <c r="F142" s="146">
        <f t="shared" si="43"/>
        <v>47</v>
      </c>
      <c r="G142" s="144">
        <f t="shared" si="41"/>
        <v>4.635000000000001E-4</v>
      </c>
      <c r="H142" s="145">
        <f>+F142/100000*'Bal Híd'!$G$4</f>
        <v>0.51700000000000002</v>
      </c>
      <c r="I142" s="145">
        <v>0</v>
      </c>
      <c r="J142" s="145">
        <f t="shared" ca="1" si="45"/>
        <v>5.6851654134357821</v>
      </c>
      <c r="K142" s="145">
        <f t="shared" ca="1" si="46"/>
        <v>244.26866599358945</v>
      </c>
      <c r="L142" s="145">
        <f t="shared" ca="1" si="47"/>
        <v>215.56492140721448</v>
      </c>
      <c r="M142" s="145">
        <f t="shared" ca="1" si="48"/>
        <v>5.584210753992898</v>
      </c>
      <c r="N142" s="145">
        <f t="shared" ca="1" si="49"/>
        <v>5.584210753992898</v>
      </c>
      <c r="O142" s="143">
        <f t="shared" ca="1" si="44"/>
        <v>241.46443907925024</v>
      </c>
      <c r="P142" s="145">
        <f t="shared" ca="1" si="50"/>
        <v>0</v>
      </c>
      <c r="Q142" s="145">
        <f t="shared" ca="1" si="51"/>
        <v>0.51700000000000002</v>
      </c>
      <c r="R142" s="592">
        <f t="shared" ca="1" si="52"/>
        <v>2.3497477456892799</v>
      </c>
      <c r="S142" s="311"/>
      <c r="T142" s="392">
        <f t="shared" si="53"/>
        <v>1992</v>
      </c>
      <c r="U142" s="392">
        <f t="shared" si="54"/>
        <v>3</v>
      </c>
      <c r="V142" s="311">
        <f t="shared" ca="1" si="55"/>
        <v>105.23421867401539</v>
      </c>
      <c r="W142" s="269" t="str">
        <f t="shared" ca="1" si="56"/>
        <v>||||||||</v>
      </c>
      <c r="X142" s="269" t="str">
        <f t="shared" ca="1" si="57"/>
        <v>|||||||</v>
      </c>
      <c r="Y142" s="434" t="str">
        <f t="shared" ca="1" si="58"/>
        <v/>
      </c>
      <c r="Z142" s="269" t="str">
        <f t="shared" ca="1" si="59"/>
        <v>||</v>
      </c>
      <c r="AA142" s="270" t="str">
        <f t="shared" ca="1" si="60"/>
        <v/>
      </c>
    </row>
    <row r="143" spans="1:27" x14ac:dyDescent="0.25">
      <c r="A143" s="140">
        <f>+'Esc 2'!A153</f>
        <v>1992</v>
      </c>
      <c r="B143" s="140">
        <f>+'Esc 2'!B153</f>
        <v>4</v>
      </c>
      <c r="C143" s="141">
        <f>+'Esc 2'!O153</f>
        <v>7.4961555014323569</v>
      </c>
      <c r="D143" s="140">
        <f>+'Esc 2'!D153</f>
        <v>394.7</v>
      </c>
      <c r="E143" s="147">
        <f t="shared" si="43"/>
        <v>73.149999999999991</v>
      </c>
      <c r="F143" s="146">
        <f t="shared" si="43"/>
        <v>0</v>
      </c>
      <c r="G143" s="144">
        <f t="shared" si="41"/>
        <v>3.2155E-3</v>
      </c>
      <c r="H143" s="145">
        <f>+F143/100000*'Bal Híd'!$G$4</f>
        <v>0</v>
      </c>
      <c r="I143" s="145">
        <v>0</v>
      </c>
      <c r="J143" s="145">
        <f t="shared" ca="1" si="45"/>
        <v>13.080366255425254</v>
      </c>
      <c r="K143" s="145">
        <f t="shared" ca="1" si="46"/>
        <v>417.90298260610831</v>
      </c>
      <c r="L143" s="145">
        <f t="shared" ca="1" si="47"/>
        <v>329.68371084267926</v>
      </c>
      <c r="M143" s="145">
        <f t="shared" ca="1" si="48"/>
        <v>13.200783481341036</v>
      </c>
      <c r="N143" s="145">
        <f t="shared" ca="1" si="49"/>
        <v>7.6368477630678893</v>
      </c>
      <c r="O143" s="143">
        <f t="shared" ca="1" si="44"/>
        <v>295.43791936297487</v>
      </c>
      <c r="P143" s="145">
        <f t="shared" ca="1" si="50"/>
        <v>5.5639357182731466</v>
      </c>
      <c r="Q143" s="145">
        <f t="shared" ca="1" si="51"/>
        <v>0</v>
      </c>
      <c r="R143" s="592">
        <f t="shared" ca="1" si="52"/>
        <v>7.6165727273481378</v>
      </c>
      <c r="S143" s="311"/>
      <c r="T143" s="392">
        <f t="shared" si="53"/>
        <v>1992</v>
      </c>
      <c r="U143" s="392">
        <f t="shared" si="54"/>
        <v>4</v>
      </c>
      <c r="V143" s="311">
        <f t="shared" ca="1" si="55"/>
        <v>106</v>
      </c>
      <c r="W143" s="269" t="str">
        <f t="shared" ca="1" si="56"/>
        <v>||||||||||</v>
      </c>
      <c r="X143" s="269" t="str">
        <f t="shared" ca="1" si="57"/>
        <v>||||||||||</v>
      </c>
      <c r="Y143" s="434" t="str">
        <f t="shared" ca="1" si="58"/>
        <v/>
      </c>
      <c r="Z143" s="269" t="str">
        <f t="shared" ca="1" si="59"/>
        <v/>
      </c>
      <c r="AA143" s="270" t="str">
        <f t="shared" ca="1" si="60"/>
        <v>|||||||||||||||||||||||||||</v>
      </c>
    </row>
    <row r="144" spans="1:27" x14ac:dyDescent="0.25">
      <c r="A144" s="140">
        <f>+'Esc 2'!A154</f>
        <v>1992</v>
      </c>
      <c r="B144" s="140">
        <f>+'Esc 2'!B154</f>
        <v>5</v>
      </c>
      <c r="C144" s="141">
        <f>+'Esc 2'!O154</f>
        <v>6.3437471900394513</v>
      </c>
      <c r="D144" s="140">
        <f>+'Esc 2'!D154</f>
        <v>287.2</v>
      </c>
      <c r="E144" s="147">
        <f t="shared" si="43"/>
        <v>51.24</v>
      </c>
      <c r="F144" s="146">
        <f t="shared" si="43"/>
        <v>0</v>
      </c>
      <c r="G144" s="144">
        <f t="shared" si="41"/>
        <v>2.3595999999999999E-3</v>
      </c>
      <c r="H144" s="145">
        <f>+F144/100000*'Bal Híd'!$G$4</f>
        <v>0</v>
      </c>
      <c r="I144" s="145">
        <v>0</v>
      </c>
      <c r="J144" s="145">
        <f t="shared" ca="1" si="45"/>
        <v>13.980594953107341</v>
      </c>
      <c r="K144" s="145">
        <f t="shared" ca="1" si="46"/>
        <v>436.21789493585698</v>
      </c>
      <c r="L144" s="145">
        <f t="shared" ca="1" si="47"/>
        <v>365.82790714941592</v>
      </c>
      <c r="M144" s="145">
        <f t="shared" ca="1" si="48"/>
        <v>13.961399533000707</v>
      </c>
      <c r="N144" s="145">
        <f t="shared" ca="1" si="49"/>
        <v>7.6368477630678893</v>
      </c>
      <c r="O144" s="143">
        <f t="shared" ca="1" si="44"/>
        <v>295.43791936297487</v>
      </c>
      <c r="P144" s="145">
        <f t="shared" ca="1" si="50"/>
        <v>6.3245517699328175</v>
      </c>
      <c r="Q144" s="145">
        <f t="shared" ca="1" si="51"/>
        <v>0</v>
      </c>
      <c r="R144" s="592">
        <f t="shared" ca="1" si="52"/>
        <v>6.3245517699328175</v>
      </c>
      <c r="S144" s="311"/>
      <c r="T144" s="392">
        <f t="shared" si="53"/>
        <v>1992</v>
      </c>
      <c r="U144" s="392">
        <f t="shared" si="54"/>
        <v>5</v>
      </c>
      <c r="V144" s="311">
        <f t="shared" ca="1" si="55"/>
        <v>106</v>
      </c>
      <c r="W144" s="269" t="str">
        <f t="shared" ca="1" si="56"/>
        <v>||||||||||</v>
      </c>
      <c r="X144" s="269" t="str">
        <f t="shared" ca="1" si="57"/>
        <v>||||||||||</v>
      </c>
      <c r="Y144" s="434" t="str">
        <f t="shared" ca="1" si="58"/>
        <v/>
      </c>
      <c r="Z144" s="269" t="str">
        <f t="shared" ca="1" si="59"/>
        <v/>
      </c>
      <c r="AA144" s="270" t="str">
        <f t="shared" ca="1" si="60"/>
        <v>|||||||||||||||||||||||||||||||</v>
      </c>
    </row>
    <row r="145" spans="1:27" x14ac:dyDescent="0.25">
      <c r="A145" s="140">
        <f>+'Esc 2'!A155</f>
        <v>1992</v>
      </c>
      <c r="B145" s="140">
        <f>+'Esc 2'!B155</f>
        <v>6</v>
      </c>
      <c r="C145" s="141">
        <f>+'Esc 2'!O155</f>
        <v>5.7114258684301751</v>
      </c>
      <c r="D145" s="140">
        <f>+'Esc 2'!D155</f>
        <v>247.9</v>
      </c>
      <c r="E145" s="147">
        <f t="shared" si="43"/>
        <v>41.019999999999996</v>
      </c>
      <c r="F145" s="146">
        <f t="shared" si="43"/>
        <v>0</v>
      </c>
      <c r="G145" s="144">
        <f t="shared" si="41"/>
        <v>2.0688E-3</v>
      </c>
      <c r="H145" s="145">
        <f>+F145/100000*'Bal Híd'!$G$4</f>
        <v>0</v>
      </c>
      <c r="I145" s="145">
        <v>0</v>
      </c>
      <c r="J145" s="145">
        <f t="shared" ca="1" si="45"/>
        <v>13.348273631498063</v>
      </c>
      <c r="K145" s="145">
        <f t="shared" ca="1" si="46"/>
        <v>423.39905775178556</v>
      </c>
      <c r="L145" s="145">
        <f t="shared" ca="1" si="47"/>
        <v>359.41848855738021</v>
      </c>
      <c r="M145" s="145">
        <f t="shared" ca="1" si="48"/>
        <v>13.311309302854205</v>
      </c>
      <c r="N145" s="145">
        <f t="shared" ca="1" si="49"/>
        <v>7.6368477630678893</v>
      </c>
      <c r="O145" s="143">
        <f t="shared" ca="1" si="44"/>
        <v>295.43791936297487</v>
      </c>
      <c r="P145" s="145">
        <f t="shared" ca="1" si="50"/>
        <v>5.6744615397863161</v>
      </c>
      <c r="Q145" s="145">
        <f t="shared" ca="1" si="51"/>
        <v>0</v>
      </c>
      <c r="R145" s="592">
        <f t="shared" ca="1" si="52"/>
        <v>5.6744615397863152</v>
      </c>
      <c r="S145" s="311"/>
      <c r="T145" s="392">
        <f t="shared" si="53"/>
        <v>1992</v>
      </c>
      <c r="U145" s="392">
        <f t="shared" si="54"/>
        <v>6</v>
      </c>
      <c r="V145" s="311">
        <f t="shared" ca="1" si="55"/>
        <v>106</v>
      </c>
      <c r="W145" s="269" t="str">
        <f t="shared" ca="1" si="56"/>
        <v>||||||||||</v>
      </c>
      <c r="X145" s="269" t="str">
        <f t="shared" ca="1" si="57"/>
        <v>||||||||||</v>
      </c>
      <c r="Y145" s="434" t="str">
        <f t="shared" ca="1" si="58"/>
        <v/>
      </c>
      <c r="Z145" s="269" t="str">
        <f t="shared" ca="1" si="59"/>
        <v/>
      </c>
      <c r="AA145" s="270" t="str">
        <f t="shared" ca="1" si="60"/>
        <v>||||||||||||||||||||||||||||</v>
      </c>
    </row>
    <row r="146" spans="1:27" x14ac:dyDescent="0.25">
      <c r="A146" s="140">
        <f>+'Esc 2'!A156</f>
        <v>1992</v>
      </c>
      <c r="B146" s="140">
        <f>+'Esc 2'!B156</f>
        <v>7</v>
      </c>
      <c r="C146" s="141">
        <f>+'Esc 2'!O156</f>
        <v>2.5595847651183505</v>
      </c>
      <c r="D146" s="140">
        <f>+'Esc 2'!D156</f>
        <v>102.5</v>
      </c>
      <c r="E146" s="147">
        <f t="shared" si="43"/>
        <v>50.819999999999993</v>
      </c>
      <c r="F146" s="146">
        <f t="shared" si="43"/>
        <v>0</v>
      </c>
      <c r="G146" s="144">
        <f t="shared" si="41"/>
        <v>5.1680000000000009E-4</v>
      </c>
      <c r="H146" s="145">
        <f>+F146/100000*'Bal Híd'!$G$4</f>
        <v>0</v>
      </c>
      <c r="I146" s="145">
        <v>0</v>
      </c>
      <c r="J146" s="145">
        <f t="shared" ca="1" si="45"/>
        <v>10.196432528186239</v>
      </c>
      <c r="K146" s="145">
        <f t="shared" ca="1" si="46"/>
        <v>355.93064505084106</v>
      </c>
      <c r="L146" s="145">
        <f t="shared" ca="1" si="47"/>
        <v>325.68428220690794</v>
      </c>
      <c r="M146" s="145">
        <f t="shared" ca="1" si="48"/>
        <v>10.047781706304798</v>
      </c>
      <c r="N146" s="145">
        <f t="shared" ca="1" si="49"/>
        <v>7.6368477630678893</v>
      </c>
      <c r="O146" s="143">
        <f t="shared" ca="1" si="44"/>
        <v>295.43791936297487</v>
      </c>
      <c r="P146" s="145">
        <f t="shared" ca="1" si="50"/>
        <v>2.410933943236909</v>
      </c>
      <c r="Q146" s="145">
        <f t="shared" ca="1" si="51"/>
        <v>0</v>
      </c>
      <c r="R146" s="592">
        <f t="shared" ca="1" si="52"/>
        <v>2.4109339432369086</v>
      </c>
      <c r="S146" s="311"/>
      <c r="T146" s="392">
        <f t="shared" si="53"/>
        <v>1992</v>
      </c>
      <c r="U146" s="392">
        <f t="shared" si="54"/>
        <v>7</v>
      </c>
      <c r="V146" s="311">
        <f t="shared" ca="1" si="55"/>
        <v>106</v>
      </c>
      <c r="W146" s="269" t="str">
        <f t="shared" ca="1" si="56"/>
        <v>||||||||||</v>
      </c>
      <c r="X146" s="269" t="str">
        <f t="shared" ca="1" si="57"/>
        <v>||||||||||</v>
      </c>
      <c r="Y146" s="434" t="str">
        <f t="shared" ca="1" si="58"/>
        <v/>
      </c>
      <c r="Z146" s="269" t="str">
        <f t="shared" ca="1" si="59"/>
        <v/>
      </c>
      <c r="AA146" s="270" t="str">
        <f t="shared" ca="1" si="60"/>
        <v>||||||||||||</v>
      </c>
    </row>
    <row r="147" spans="1:27" x14ac:dyDescent="0.25">
      <c r="A147" s="140">
        <f>+'Esc 2'!A157</f>
        <v>1992</v>
      </c>
      <c r="B147" s="140">
        <f>+'Esc 2'!B157</f>
        <v>8</v>
      </c>
      <c r="C147" s="141">
        <f>+'Esc 2'!O157</f>
        <v>0.60839622693770046</v>
      </c>
      <c r="D147" s="140">
        <f>+'Esc 2'!D157</f>
        <v>16.2</v>
      </c>
      <c r="E147" s="147">
        <f t="shared" si="43"/>
        <v>72.449999999999989</v>
      </c>
      <c r="F147" s="146">
        <f t="shared" si="43"/>
        <v>0</v>
      </c>
      <c r="G147" s="144">
        <f t="shared" si="41"/>
        <v>-5.6249999999999985E-4</v>
      </c>
      <c r="H147" s="145">
        <f>+F147/100000*'Bal Híd'!$G$4</f>
        <v>0</v>
      </c>
      <c r="I147" s="145">
        <v>0</v>
      </c>
      <c r="J147" s="145">
        <f t="shared" ca="1" si="45"/>
        <v>8.2452439900055889</v>
      </c>
      <c r="K147" s="145">
        <f t="shared" ca="1" si="46"/>
        <v>310.39822356313209</v>
      </c>
      <c r="L147" s="145">
        <f t="shared" ca="1" si="47"/>
        <v>302.91807146305348</v>
      </c>
      <c r="M147" s="145">
        <f t="shared" ca="1" si="48"/>
        <v>8.0047787300359996</v>
      </c>
      <c r="N147" s="145">
        <f t="shared" ca="1" si="49"/>
        <v>7.6368477630678893</v>
      </c>
      <c r="O147" s="143">
        <f t="shared" ca="1" si="44"/>
        <v>295.43791936297487</v>
      </c>
      <c r="P147" s="145">
        <f t="shared" ca="1" si="50"/>
        <v>0.36793096696811034</v>
      </c>
      <c r="Q147" s="145">
        <f t="shared" ca="1" si="51"/>
        <v>0</v>
      </c>
      <c r="R147" s="592">
        <f t="shared" ca="1" si="52"/>
        <v>0.36793096696811078</v>
      </c>
      <c r="S147" s="311"/>
      <c r="T147" s="392">
        <f t="shared" si="53"/>
        <v>1992</v>
      </c>
      <c r="U147" s="392">
        <f t="shared" si="54"/>
        <v>8</v>
      </c>
      <c r="V147" s="311">
        <f t="shared" ca="1" si="55"/>
        <v>106</v>
      </c>
      <c r="W147" s="269" t="str">
        <f t="shared" ca="1" si="56"/>
        <v>||||||||||</v>
      </c>
      <c r="X147" s="269" t="str">
        <f t="shared" ca="1" si="57"/>
        <v>||||||||||</v>
      </c>
      <c r="Y147" s="434" t="str">
        <f t="shared" ca="1" si="58"/>
        <v/>
      </c>
      <c r="Z147" s="269" t="str">
        <f t="shared" ca="1" si="59"/>
        <v/>
      </c>
      <c r="AA147" s="270" t="str">
        <f t="shared" ca="1" si="60"/>
        <v>|</v>
      </c>
    </row>
    <row r="148" spans="1:27" x14ac:dyDescent="0.25">
      <c r="A148" s="140">
        <f>+'Esc 2'!A158</f>
        <v>1992</v>
      </c>
      <c r="B148" s="140">
        <f>+'Esc 2'!B158</f>
        <v>9</v>
      </c>
      <c r="C148" s="141">
        <f>+'Esc 2'!O158</f>
        <v>0.94481338279087956</v>
      </c>
      <c r="D148" s="140">
        <f>+'Esc 2'!D158</f>
        <v>98.6</v>
      </c>
      <c r="E148" s="147">
        <f t="shared" si="43"/>
        <v>85.89</v>
      </c>
      <c r="F148" s="146">
        <f t="shared" si="43"/>
        <v>0</v>
      </c>
      <c r="G148" s="144">
        <f t="shared" si="41"/>
        <v>1.2709999999999995E-4</v>
      </c>
      <c r="H148" s="145">
        <f>+F148/100000*'Bal Híd'!$G$4</f>
        <v>0</v>
      </c>
      <c r="I148" s="145">
        <v>0</v>
      </c>
      <c r="J148" s="145">
        <f t="shared" ca="1" si="45"/>
        <v>8.581661145858769</v>
      </c>
      <c r="K148" s="145">
        <f t="shared" ca="1" si="46"/>
        <v>318.50170110942764</v>
      </c>
      <c r="L148" s="145">
        <f t="shared" ca="1" si="47"/>
        <v>306.96981023620128</v>
      </c>
      <c r="M148" s="145">
        <f t="shared" ca="1" si="48"/>
        <v>8.5103997521527397</v>
      </c>
      <c r="N148" s="145">
        <f t="shared" ca="1" si="49"/>
        <v>7.6368477630678893</v>
      </c>
      <c r="O148" s="143">
        <f t="shared" ca="1" si="44"/>
        <v>295.43791936297487</v>
      </c>
      <c r="P148" s="145">
        <f t="shared" ca="1" si="50"/>
        <v>0.87355198908485043</v>
      </c>
      <c r="Q148" s="145">
        <f t="shared" ca="1" si="51"/>
        <v>0</v>
      </c>
      <c r="R148" s="592">
        <f t="shared" ca="1" si="52"/>
        <v>0.87355198908485143</v>
      </c>
      <c r="S148" s="311"/>
      <c r="T148" s="392">
        <f t="shared" si="53"/>
        <v>1992</v>
      </c>
      <c r="U148" s="392">
        <f t="shared" si="54"/>
        <v>9</v>
      </c>
      <c r="V148" s="311">
        <f t="shared" ca="1" si="55"/>
        <v>106</v>
      </c>
      <c r="W148" s="269" t="str">
        <f t="shared" ca="1" si="56"/>
        <v>||||||||||</v>
      </c>
      <c r="X148" s="269" t="str">
        <f t="shared" ca="1" si="57"/>
        <v>||||||||||</v>
      </c>
      <c r="Y148" s="434" t="str">
        <f t="shared" ca="1" si="58"/>
        <v/>
      </c>
      <c r="Z148" s="269" t="str">
        <f t="shared" ca="1" si="59"/>
        <v/>
      </c>
      <c r="AA148" s="270" t="str">
        <f t="shared" ca="1" si="60"/>
        <v>||||</v>
      </c>
    </row>
    <row r="149" spans="1:27" x14ac:dyDescent="0.25">
      <c r="A149" s="140">
        <f>+'Esc 2'!A159</f>
        <v>1992</v>
      </c>
      <c r="B149" s="140">
        <f>+'Esc 2'!B159</f>
        <v>10</v>
      </c>
      <c r="C149" s="141">
        <f>+'Esc 2'!O159</f>
        <v>0.92435160460304922</v>
      </c>
      <c r="D149" s="140">
        <f>+'Esc 2'!D159</f>
        <v>89.1</v>
      </c>
      <c r="E149" s="147">
        <f t="shared" si="43"/>
        <v>114.86999999999999</v>
      </c>
      <c r="F149" s="146">
        <f t="shared" si="43"/>
        <v>59</v>
      </c>
      <c r="G149" s="144">
        <f t="shared" si="41"/>
        <v>-2.5769999999999998E-4</v>
      </c>
      <c r="H149" s="145">
        <f>+F149/100000*'Bal Híd'!$G$4</f>
        <v>0.64900000000000002</v>
      </c>
      <c r="I149" s="145">
        <v>0</v>
      </c>
      <c r="J149" s="145">
        <f t="shared" ca="1" si="45"/>
        <v>7.9121993676709392</v>
      </c>
      <c r="K149" s="145">
        <f t="shared" ca="1" si="46"/>
        <v>302.25932373219035</v>
      </c>
      <c r="L149" s="145">
        <f t="shared" ca="1" si="47"/>
        <v>298.84862154758264</v>
      </c>
      <c r="M149" s="145">
        <f t="shared" ca="1" si="48"/>
        <v>7.7301514000042415</v>
      </c>
      <c r="N149" s="145">
        <f t="shared" ca="1" si="49"/>
        <v>7.6368477630678893</v>
      </c>
      <c r="O149" s="143">
        <f t="shared" ca="1" si="44"/>
        <v>295.43791936297487</v>
      </c>
      <c r="P149" s="145">
        <f t="shared" ca="1" si="50"/>
        <v>9.3303636936352241E-2</v>
      </c>
      <c r="Q149" s="145">
        <f t="shared" ca="1" si="51"/>
        <v>0.64900000000000002</v>
      </c>
      <c r="R149" s="592">
        <f t="shared" ca="1" si="52"/>
        <v>0.74230363693635215</v>
      </c>
      <c r="S149" s="311"/>
      <c r="T149" s="392">
        <f t="shared" si="53"/>
        <v>1992</v>
      </c>
      <c r="U149" s="392">
        <f t="shared" si="54"/>
        <v>10</v>
      </c>
      <c r="V149" s="311">
        <f t="shared" ca="1" si="55"/>
        <v>106</v>
      </c>
      <c r="W149" s="269" t="str">
        <f t="shared" ca="1" si="56"/>
        <v>||||||||||</v>
      </c>
      <c r="X149" s="269" t="str">
        <f t="shared" ca="1" si="57"/>
        <v>||||||||||</v>
      </c>
      <c r="Y149" s="434" t="str">
        <f t="shared" ca="1" si="58"/>
        <v/>
      </c>
      <c r="Z149" s="269" t="str">
        <f t="shared" ca="1" si="59"/>
        <v>|||</v>
      </c>
      <c r="AA149" s="270" t="str">
        <f t="shared" ca="1" si="60"/>
        <v/>
      </c>
    </row>
    <row r="150" spans="1:27" x14ac:dyDescent="0.25">
      <c r="A150" s="140">
        <f>+'Esc 2'!A160</f>
        <v>1992</v>
      </c>
      <c r="B150" s="140">
        <f>+'Esc 2'!B160</f>
        <v>11</v>
      </c>
      <c r="C150" s="141">
        <f>+'Esc 2'!O160</f>
        <v>0.49495101196294117</v>
      </c>
      <c r="D150" s="140">
        <f>+'Esc 2'!D160</f>
        <v>59.4</v>
      </c>
      <c r="E150" s="147">
        <f t="shared" si="43"/>
        <v>144.06</v>
      </c>
      <c r="F150" s="146">
        <f t="shared" si="43"/>
        <v>212</v>
      </c>
      <c r="G150" s="144">
        <f t="shared" si="41"/>
        <v>-8.4659999999999998E-4</v>
      </c>
      <c r="H150" s="145">
        <f>+F150/100000*'Bal Híd'!$G$4</f>
        <v>2.3319999999999999</v>
      </c>
      <c r="I150" s="145">
        <v>0</v>
      </c>
      <c r="J150" s="145">
        <f t="shared" ca="1" si="45"/>
        <v>5.7997987750308306</v>
      </c>
      <c r="K150" s="145">
        <f t="shared" ca="1" si="46"/>
        <v>247.43147020467532</v>
      </c>
      <c r="L150" s="145">
        <f t="shared" ca="1" si="47"/>
        <v>271.43469478382508</v>
      </c>
      <c r="M150" s="145">
        <f t="shared" ca="1" si="48"/>
        <v>5.5189196997404917</v>
      </c>
      <c r="N150" s="145">
        <f t="shared" ca="1" si="49"/>
        <v>5.5189196997404917</v>
      </c>
      <c r="O150" s="143">
        <f t="shared" ca="1" si="44"/>
        <v>239.64124116929554</v>
      </c>
      <c r="P150" s="145">
        <f t="shared" ca="1" si="50"/>
        <v>0</v>
      </c>
      <c r="Q150" s="145">
        <f t="shared" ca="1" si="51"/>
        <v>2.3319999999999999</v>
      </c>
      <c r="R150" s="592">
        <f t="shared" ca="1" si="52"/>
        <v>0.21407193667260271</v>
      </c>
      <c r="S150" s="311"/>
      <c r="T150" s="392">
        <f t="shared" si="53"/>
        <v>1992</v>
      </c>
      <c r="U150" s="392">
        <f t="shared" si="54"/>
        <v>11</v>
      </c>
      <c r="V150" s="311">
        <f t="shared" ca="1" si="55"/>
        <v>105.20707653163859</v>
      </c>
      <c r="W150" s="269" t="str">
        <f t="shared" ca="1" si="56"/>
        <v>||||||||</v>
      </c>
      <c r="X150" s="269" t="str">
        <f t="shared" ca="1" si="57"/>
        <v>|||||||</v>
      </c>
      <c r="Y150" s="434" t="str">
        <f t="shared" ca="1" si="58"/>
        <v/>
      </c>
      <c r="Z150" s="269" t="str">
        <f t="shared" ca="1" si="59"/>
        <v>|||||||||||</v>
      </c>
      <c r="AA150" s="270" t="str">
        <f t="shared" ca="1" si="60"/>
        <v/>
      </c>
    </row>
    <row r="151" spans="1:27" x14ac:dyDescent="0.25">
      <c r="A151" s="140">
        <f>+'Esc 2'!A161</f>
        <v>1992</v>
      </c>
      <c r="B151" s="140">
        <f>+'Esc 2'!B161</f>
        <v>12</v>
      </c>
      <c r="C151" s="141">
        <f>+'Esc 2'!O161</f>
        <v>0.87608838647687404</v>
      </c>
      <c r="D151" s="140">
        <f>+'Esc 2'!D161</f>
        <v>116.8</v>
      </c>
      <c r="E151" s="147">
        <f t="shared" si="43"/>
        <v>179.62</v>
      </c>
      <c r="F151" s="146">
        <f t="shared" si="43"/>
        <v>388</v>
      </c>
      <c r="G151" s="144">
        <f t="shared" si="41"/>
        <v>-6.2820000000000009E-4</v>
      </c>
      <c r="H151" s="145">
        <f>+F151/100000*'Bal Híd'!$G$4</f>
        <v>4.2679999999999998</v>
      </c>
      <c r="I151" s="145">
        <v>0</v>
      </c>
      <c r="J151" s="145">
        <f t="shared" ca="1" si="45"/>
        <v>2.1270080862173657</v>
      </c>
      <c r="K151" s="145">
        <f t="shared" ca="1" si="46"/>
        <v>129.63099808669978</v>
      </c>
      <c r="L151" s="145">
        <f t="shared" ca="1" si="47"/>
        <v>184.63611962799766</v>
      </c>
      <c r="M151" s="145">
        <f t="shared" ca="1" si="48"/>
        <v>1.9495149001521366</v>
      </c>
      <c r="N151" s="145">
        <f t="shared" ca="1" si="49"/>
        <v>1.9495149001521366</v>
      </c>
      <c r="O151" s="143">
        <f t="shared" ca="1" si="44"/>
        <v>122.55234041284977</v>
      </c>
      <c r="P151" s="145">
        <f t="shared" ca="1" si="50"/>
        <v>0</v>
      </c>
      <c r="Q151" s="145">
        <f t="shared" ca="1" si="51"/>
        <v>4.2679999999999998</v>
      </c>
      <c r="R151" s="592">
        <f t="shared" ca="1" si="52"/>
        <v>0.69859520041164436</v>
      </c>
      <c r="S151" s="311"/>
      <c r="T151" s="392">
        <f t="shared" si="53"/>
        <v>1992</v>
      </c>
      <c r="U151" s="392">
        <f t="shared" si="54"/>
        <v>12</v>
      </c>
      <c r="V151" s="311">
        <f t="shared" ca="1" si="55"/>
        <v>103.20395347055734</v>
      </c>
      <c r="W151" s="269" t="str">
        <f t="shared" ca="1" si="56"/>
        <v>||||</v>
      </c>
      <c r="X151" s="269" t="str">
        <f t="shared" ca="1" si="57"/>
        <v>||</v>
      </c>
      <c r="Y151" s="434" t="str">
        <f t="shared" ca="1" si="58"/>
        <v/>
      </c>
      <c r="Z151" s="269" t="str">
        <f t="shared" ca="1" si="59"/>
        <v>|||||||||||||||||||||</v>
      </c>
      <c r="AA151" s="270" t="str">
        <f t="shared" ca="1" si="60"/>
        <v/>
      </c>
    </row>
    <row r="152" spans="1:27" x14ac:dyDescent="0.25">
      <c r="A152" s="140">
        <f>+'Esc 2'!A162</f>
        <v>1993</v>
      </c>
      <c r="B152" s="140">
        <f>+'Esc 2'!B162</f>
        <v>1</v>
      </c>
      <c r="C152" s="141">
        <f>+'Esc 2'!O162</f>
        <v>3.0157966842199424</v>
      </c>
      <c r="D152" s="140">
        <f>+'Esc 2'!D162</f>
        <v>253.3</v>
      </c>
      <c r="E152" s="147">
        <f t="shared" si="43"/>
        <v>176.89</v>
      </c>
      <c r="F152" s="146">
        <f t="shared" si="43"/>
        <v>318</v>
      </c>
      <c r="G152" s="144">
        <f t="shared" si="41"/>
        <v>7.641000000000003E-4</v>
      </c>
      <c r="H152" s="145">
        <f>+F152/100000*'Bal Híd'!$G$4</f>
        <v>3.4980000000000002</v>
      </c>
      <c r="I152" s="145">
        <v>0</v>
      </c>
      <c r="J152" s="145">
        <f t="shared" ca="1" si="45"/>
        <v>1.4673115843720792</v>
      </c>
      <c r="K152" s="145">
        <f t="shared" ca="1" si="46"/>
        <v>102.04578202639583</v>
      </c>
      <c r="L152" s="145">
        <f t="shared" ca="1" si="47"/>
        <v>112.2990612196228</v>
      </c>
      <c r="M152" s="145">
        <f t="shared" ca="1" si="48"/>
        <v>1.4243470018153355</v>
      </c>
      <c r="N152" s="145">
        <f t="shared" ca="1" si="49"/>
        <v>1.4243470018153355</v>
      </c>
      <c r="O152" s="143">
        <f t="shared" ca="1" si="44"/>
        <v>100.11002583881591</v>
      </c>
      <c r="P152" s="145">
        <f t="shared" ca="1" si="50"/>
        <v>0</v>
      </c>
      <c r="Q152" s="145">
        <f t="shared" ca="1" si="51"/>
        <v>3.4980000000000002</v>
      </c>
      <c r="R152" s="592">
        <f t="shared" ca="1" si="52"/>
        <v>2.9728321016631987</v>
      </c>
      <c r="S152" s="311"/>
      <c r="T152" s="392">
        <f t="shared" si="53"/>
        <v>1993</v>
      </c>
      <c r="U152" s="392">
        <f t="shared" si="54"/>
        <v>1</v>
      </c>
      <c r="V152" s="311">
        <f t="shared" ca="1" si="55"/>
        <v>102.73151773459143</v>
      </c>
      <c r="W152" s="269" t="str">
        <f t="shared" ca="1" si="56"/>
        <v>||||</v>
      </c>
      <c r="X152" s="269" t="str">
        <f t="shared" ca="1" si="57"/>
        <v>|</v>
      </c>
      <c r="Y152" s="434" t="str">
        <f t="shared" ca="1" si="58"/>
        <v/>
      </c>
      <c r="Z152" s="269" t="str">
        <f t="shared" ca="1" si="59"/>
        <v>|||||||||||||||||</v>
      </c>
      <c r="AA152" s="270" t="str">
        <f t="shared" ca="1" si="60"/>
        <v/>
      </c>
    </row>
    <row r="153" spans="1:27" x14ac:dyDescent="0.25">
      <c r="A153" s="140">
        <f>+'Esc 2'!A163</f>
        <v>1993</v>
      </c>
      <c r="B153" s="140">
        <f>+'Esc 2'!B163</f>
        <v>2</v>
      </c>
      <c r="C153" s="141">
        <f>+'Esc 2'!O163</f>
        <v>1.1391347941772403</v>
      </c>
      <c r="D153" s="140">
        <f>+'Esc 2'!D163</f>
        <v>73.599999999999994</v>
      </c>
      <c r="E153" s="147">
        <f t="shared" ref="E153:F172" si="61">+E141</f>
        <v>131.73999999999998</v>
      </c>
      <c r="F153" s="146">
        <f t="shared" si="61"/>
        <v>153</v>
      </c>
      <c r="G153" s="144">
        <f t="shared" si="41"/>
        <v>-5.8139999999999982E-4</v>
      </c>
      <c r="H153" s="145">
        <f>+F153/100000*'Bal Híd'!$G$4</f>
        <v>1.6829999999999998</v>
      </c>
      <c r="I153" s="145">
        <v>0</v>
      </c>
      <c r="J153" s="145">
        <f t="shared" ca="1" si="45"/>
        <v>0.88048179599257592</v>
      </c>
      <c r="K153" s="145">
        <f t="shared" ca="1" si="46"/>
        <v>73.427223548566118</v>
      </c>
      <c r="L153" s="145">
        <f t="shared" ca="1" si="47"/>
        <v>86.768624693691009</v>
      </c>
      <c r="M153" s="145">
        <f t="shared" ca="1" si="48"/>
        <v>0.79245232769775908</v>
      </c>
      <c r="N153" s="145">
        <f t="shared" ca="1" si="49"/>
        <v>0.79245232769775908</v>
      </c>
      <c r="O153" s="143">
        <f t="shared" ca="1" si="44"/>
        <v>68.608161268416993</v>
      </c>
      <c r="P153" s="145">
        <f t="shared" ca="1" si="50"/>
        <v>0</v>
      </c>
      <c r="Q153" s="145">
        <f t="shared" ca="1" si="51"/>
        <v>1.6829999999999998</v>
      </c>
      <c r="R153" s="592">
        <f t="shared" ca="1" si="52"/>
        <v>1.0511053258824234</v>
      </c>
      <c r="S153" s="311"/>
      <c r="T153" s="392">
        <f t="shared" si="53"/>
        <v>1993</v>
      </c>
      <c r="U153" s="392">
        <f t="shared" si="54"/>
        <v>2</v>
      </c>
      <c r="V153" s="311">
        <f t="shared" ca="1" si="55"/>
        <v>101.97850753879</v>
      </c>
      <c r="W153" s="269" t="str">
        <f t="shared" ca="1" si="56"/>
        <v>||</v>
      </c>
      <c r="X153" s="269" t="str">
        <f t="shared" ca="1" si="57"/>
        <v/>
      </c>
      <c r="Y153" s="434" t="str">
        <f t="shared" ca="1" si="58"/>
        <v/>
      </c>
      <c r="Z153" s="269" t="str">
        <f t="shared" ca="1" si="59"/>
        <v>||||||||</v>
      </c>
      <c r="AA153" s="270" t="str">
        <f t="shared" ca="1" si="60"/>
        <v/>
      </c>
    </row>
    <row r="154" spans="1:27" x14ac:dyDescent="0.25">
      <c r="A154" s="140">
        <f>+'Esc 2'!A164</f>
        <v>1993</v>
      </c>
      <c r="B154" s="140">
        <f>+'Esc 2'!B164</f>
        <v>3</v>
      </c>
      <c r="C154" s="141">
        <f>+'Esc 2'!O164</f>
        <v>0.54525131074230671</v>
      </c>
      <c r="D154" s="140">
        <f>+'Esc 2'!D164</f>
        <v>64.900000000000006</v>
      </c>
      <c r="E154" s="147">
        <f t="shared" si="61"/>
        <v>118.64999999999999</v>
      </c>
      <c r="F154" s="146">
        <f t="shared" si="61"/>
        <v>47</v>
      </c>
      <c r="G154" s="144">
        <f t="shared" si="41"/>
        <v>-5.3749999999999989E-4</v>
      </c>
      <c r="H154" s="145">
        <f>+F154/100000*'Bal Híd'!$G$4</f>
        <v>0.51700000000000002</v>
      </c>
      <c r="I154" s="145">
        <v>0</v>
      </c>
      <c r="J154" s="145">
        <f t="shared" ca="1" si="45"/>
        <v>0.82070363844006577</v>
      </c>
      <c r="K154" s="145">
        <f t="shared" ca="1" si="46"/>
        <v>70.174572575297589</v>
      </c>
      <c r="L154" s="145">
        <f t="shared" ca="1" si="47"/>
        <v>69.391366921857298</v>
      </c>
      <c r="M154" s="145">
        <f t="shared" ca="1" si="48"/>
        <v>0.76901956816126227</v>
      </c>
      <c r="N154" s="145">
        <f t="shared" ca="1" si="49"/>
        <v>0.76901956816126227</v>
      </c>
      <c r="O154" s="143">
        <f t="shared" ca="1" si="44"/>
        <v>67.293795614281706</v>
      </c>
      <c r="P154" s="145">
        <f t="shared" ca="1" si="50"/>
        <v>0</v>
      </c>
      <c r="Q154" s="145">
        <f t="shared" ca="1" si="51"/>
        <v>0.51700000000000002</v>
      </c>
      <c r="R154" s="592">
        <f t="shared" ca="1" si="52"/>
        <v>0.4935672404635032</v>
      </c>
      <c r="S154" s="311"/>
      <c r="T154" s="392">
        <f t="shared" si="53"/>
        <v>1993</v>
      </c>
      <c r="U154" s="392">
        <f t="shared" si="54"/>
        <v>3</v>
      </c>
      <c r="V154" s="311">
        <f t="shared" ca="1" si="55"/>
        <v>101.94402225603109</v>
      </c>
      <c r="W154" s="269" t="str">
        <f t="shared" ca="1" si="56"/>
        <v>||</v>
      </c>
      <c r="X154" s="269" t="str">
        <f t="shared" ca="1" si="57"/>
        <v/>
      </c>
      <c r="Y154" s="434" t="str">
        <f t="shared" ca="1" si="58"/>
        <v/>
      </c>
      <c r="Z154" s="269" t="str">
        <f t="shared" ca="1" si="59"/>
        <v>||</v>
      </c>
      <c r="AA154" s="270" t="str">
        <f t="shared" ca="1" si="60"/>
        <v/>
      </c>
    </row>
    <row r="155" spans="1:27" x14ac:dyDescent="0.25">
      <c r="A155" s="140">
        <f>+'Esc 2'!A165</f>
        <v>1993</v>
      </c>
      <c r="B155" s="140">
        <f>+'Esc 2'!B165</f>
        <v>4</v>
      </c>
      <c r="C155" s="141">
        <f>+'Esc 2'!O165</f>
        <v>1.380005780457698</v>
      </c>
      <c r="D155" s="140">
        <f>+'Esc 2'!D165</f>
        <v>119.8</v>
      </c>
      <c r="E155" s="147">
        <f t="shared" si="61"/>
        <v>73.149999999999991</v>
      </c>
      <c r="F155" s="146">
        <f t="shared" si="61"/>
        <v>0</v>
      </c>
      <c r="G155" s="144">
        <f t="shared" si="41"/>
        <v>4.6650000000000006E-4</v>
      </c>
      <c r="H155" s="145">
        <f>+F155/100000*'Bal Híd'!$G$4</f>
        <v>0</v>
      </c>
      <c r="I155" s="145">
        <v>0</v>
      </c>
      <c r="J155" s="145">
        <f t="shared" ca="1" si="45"/>
        <v>2.1490253486189603</v>
      </c>
      <c r="K155" s="145">
        <f t="shared" ca="1" si="46"/>
        <v>130.49415346411942</v>
      </c>
      <c r="L155" s="145">
        <f t="shared" ca="1" si="47"/>
        <v>98.89397453920057</v>
      </c>
      <c r="M155" s="145">
        <f t="shared" ca="1" si="48"/>
        <v>2.143268035453842</v>
      </c>
      <c r="N155" s="145">
        <f t="shared" ca="1" si="49"/>
        <v>2.143268035453842</v>
      </c>
      <c r="O155" s="143">
        <f t="shared" ca="1" si="44"/>
        <v>130.26875104097056</v>
      </c>
      <c r="P155" s="145">
        <f t="shared" ca="1" si="50"/>
        <v>0</v>
      </c>
      <c r="Q155" s="145">
        <f t="shared" ca="1" si="51"/>
        <v>0</v>
      </c>
      <c r="R155" s="592">
        <f t="shared" ca="1" si="52"/>
        <v>1.3742484672925799</v>
      </c>
      <c r="S155" s="311"/>
      <c r="T155" s="392">
        <f t="shared" si="53"/>
        <v>1993</v>
      </c>
      <c r="U155" s="392">
        <f t="shared" si="54"/>
        <v>4</v>
      </c>
      <c r="V155" s="311">
        <f t="shared" ca="1" si="55"/>
        <v>103.35724773344559</v>
      </c>
      <c r="W155" s="269" t="str">
        <f t="shared" ca="1" si="56"/>
        <v>|||||</v>
      </c>
      <c r="X155" s="269" t="str">
        <f t="shared" ca="1" si="57"/>
        <v>||</v>
      </c>
      <c r="Y155" s="434" t="str">
        <f t="shared" ca="1" si="58"/>
        <v/>
      </c>
      <c r="Z155" s="269" t="str">
        <f t="shared" ca="1" si="59"/>
        <v/>
      </c>
      <c r="AA155" s="270" t="str">
        <f t="shared" ca="1" si="60"/>
        <v/>
      </c>
    </row>
    <row r="156" spans="1:27" x14ac:dyDescent="0.25">
      <c r="A156" s="140">
        <f>+'Esc 2'!A166</f>
        <v>1993</v>
      </c>
      <c r="B156" s="140">
        <f>+'Esc 2'!B166</f>
        <v>5</v>
      </c>
      <c r="C156" s="141">
        <f>+'Esc 2'!O166</f>
        <v>7.1774993841081658</v>
      </c>
      <c r="D156" s="140">
        <f>+'Esc 2'!D166</f>
        <v>367.4</v>
      </c>
      <c r="E156" s="147">
        <f t="shared" si="61"/>
        <v>51.24</v>
      </c>
      <c r="F156" s="146">
        <f t="shared" si="61"/>
        <v>0</v>
      </c>
      <c r="G156" s="144">
        <f t="shared" si="41"/>
        <v>3.1615999999999997E-3</v>
      </c>
      <c r="H156" s="145">
        <f>+F156/100000*'Bal Híd'!$G$4</f>
        <v>0</v>
      </c>
      <c r="I156" s="145">
        <v>0</v>
      </c>
      <c r="J156" s="145">
        <f t="shared" ca="1" si="45"/>
        <v>9.3207674195620083</v>
      </c>
      <c r="K156" s="145">
        <f t="shared" ca="1" si="46"/>
        <v>335.91890454009467</v>
      </c>
      <c r="L156" s="145">
        <f t="shared" ca="1" si="47"/>
        <v>233.0938277905326</v>
      </c>
      <c r="M156" s="145">
        <f t="shared" ca="1" si="48"/>
        <v>9.4215834794186382</v>
      </c>
      <c r="N156" s="145">
        <f t="shared" ca="1" si="49"/>
        <v>7.6368477630678893</v>
      </c>
      <c r="O156" s="143">
        <f t="shared" ca="1" si="44"/>
        <v>295.43791936297487</v>
      </c>
      <c r="P156" s="145">
        <f t="shared" ca="1" si="50"/>
        <v>1.7847357163507489</v>
      </c>
      <c r="Q156" s="145">
        <f t="shared" ca="1" si="51"/>
        <v>0</v>
      </c>
      <c r="R156" s="592">
        <f t="shared" ca="1" si="52"/>
        <v>7.2783154439647966</v>
      </c>
      <c r="S156" s="311"/>
      <c r="T156" s="392">
        <f t="shared" si="53"/>
        <v>1993</v>
      </c>
      <c r="U156" s="392">
        <f t="shared" si="54"/>
        <v>5</v>
      </c>
      <c r="V156" s="311">
        <f t="shared" ca="1" si="55"/>
        <v>106</v>
      </c>
      <c r="W156" s="269" t="str">
        <f t="shared" ca="1" si="56"/>
        <v>||||||||||</v>
      </c>
      <c r="X156" s="269" t="str">
        <f t="shared" ca="1" si="57"/>
        <v>||||||||||</v>
      </c>
      <c r="Y156" s="434" t="str">
        <f t="shared" ca="1" si="58"/>
        <v/>
      </c>
      <c r="Z156" s="269" t="str">
        <f t="shared" ca="1" si="59"/>
        <v/>
      </c>
      <c r="AA156" s="270" t="str">
        <f t="shared" ca="1" si="60"/>
        <v>||||||||</v>
      </c>
    </row>
    <row r="157" spans="1:27" x14ac:dyDescent="0.25">
      <c r="A157" s="140">
        <f>+'Esc 2'!A167</f>
        <v>1993</v>
      </c>
      <c r="B157" s="140">
        <f>+'Esc 2'!B167</f>
        <v>6</v>
      </c>
      <c r="C157" s="141">
        <f>+'Esc 2'!O167</f>
        <v>2.2085488624040517</v>
      </c>
      <c r="D157" s="140">
        <f>+'Esc 2'!D167</f>
        <v>72.8</v>
      </c>
      <c r="E157" s="147">
        <f t="shared" si="61"/>
        <v>41.019999999999996</v>
      </c>
      <c r="F157" s="146">
        <f t="shared" si="61"/>
        <v>0</v>
      </c>
      <c r="G157" s="144">
        <f t="shared" si="41"/>
        <v>3.1780000000000003E-4</v>
      </c>
      <c r="H157" s="145">
        <f>+F157/100000*'Bal Híd'!$G$4</f>
        <v>0</v>
      </c>
      <c r="I157" s="145">
        <v>0</v>
      </c>
      <c r="J157" s="145">
        <f t="shared" ca="1" si="45"/>
        <v>9.8453966254719418</v>
      </c>
      <c r="K157" s="145">
        <f t="shared" ca="1" si="46"/>
        <v>347.98475083137606</v>
      </c>
      <c r="L157" s="145">
        <f t="shared" ca="1" si="47"/>
        <v>321.71133509717549</v>
      </c>
      <c r="M157" s="145">
        <f t="shared" ca="1" si="48"/>
        <v>9.6774786158451551</v>
      </c>
      <c r="N157" s="145">
        <f t="shared" ca="1" si="49"/>
        <v>7.6368477630678893</v>
      </c>
      <c r="O157" s="143">
        <f t="shared" ca="1" si="44"/>
        <v>295.43791936297487</v>
      </c>
      <c r="P157" s="145">
        <f t="shared" ca="1" si="50"/>
        <v>2.0406308527772659</v>
      </c>
      <c r="Q157" s="145">
        <f t="shared" ca="1" si="51"/>
        <v>0</v>
      </c>
      <c r="R157" s="592">
        <f t="shared" ca="1" si="52"/>
        <v>2.0406308527772667</v>
      </c>
      <c r="S157" s="311"/>
      <c r="T157" s="392">
        <f t="shared" si="53"/>
        <v>1993</v>
      </c>
      <c r="U157" s="392">
        <f t="shared" si="54"/>
        <v>6</v>
      </c>
      <c r="V157" s="311">
        <f t="shared" ca="1" si="55"/>
        <v>106</v>
      </c>
      <c r="W157" s="269" t="str">
        <f t="shared" ca="1" si="56"/>
        <v>||||||||||</v>
      </c>
      <c r="X157" s="269" t="str">
        <f t="shared" ca="1" si="57"/>
        <v>||||||||||</v>
      </c>
      <c r="Y157" s="434" t="str">
        <f t="shared" ca="1" si="58"/>
        <v/>
      </c>
      <c r="Z157" s="269" t="str">
        <f t="shared" ca="1" si="59"/>
        <v/>
      </c>
      <c r="AA157" s="270" t="str">
        <f t="shared" ca="1" si="60"/>
        <v>||||||||||</v>
      </c>
    </row>
    <row r="158" spans="1:27" x14ac:dyDescent="0.25">
      <c r="A158" s="140">
        <f>+'Esc 2'!A168</f>
        <v>1993</v>
      </c>
      <c r="B158" s="140">
        <f>+'Esc 2'!B168</f>
        <v>7</v>
      </c>
      <c r="C158" s="141">
        <f>+'Esc 2'!O168</f>
        <v>0.8995147004337436</v>
      </c>
      <c r="D158" s="140">
        <f>+'Esc 2'!D168</f>
        <v>51</v>
      </c>
      <c r="E158" s="147">
        <f t="shared" si="61"/>
        <v>50.819999999999993</v>
      </c>
      <c r="F158" s="146">
        <f t="shared" si="61"/>
        <v>0</v>
      </c>
      <c r="G158" s="144">
        <f t="shared" si="41"/>
        <v>1.8000000000000683E-6</v>
      </c>
      <c r="H158" s="145">
        <f>+F158/100000*'Bal Híd'!$G$4</f>
        <v>0</v>
      </c>
      <c r="I158" s="145">
        <v>0</v>
      </c>
      <c r="J158" s="145">
        <f t="shared" ca="1" si="45"/>
        <v>8.5363624635016322</v>
      </c>
      <c r="K158" s="145">
        <f t="shared" ca="1" si="46"/>
        <v>317.41723380769184</v>
      </c>
      <c r="L158" s="145">
        <f t="shared" ca="1" si="47"/>
        <v>306.42757658533333</v>
      </c>
      <c r="M158" s="145">
        <f t="shared" ca="1" si="48"/>
        <v>8.4321094286692215</v>
      </c>
      <c r="N158" s="145">
        <f t="shared" ca="1" si="49"/>
        <v>7.6368477630678893</v>
      </c>
      <c r="O158" s="143">
        <f t="shared" ca="1" si="44"/>
        <v>295.43791936297487</v>
      </c>
      <c r="P158" s="145">
        <f t="shared" ca="1" si="50"/>
        <v>0.79526166560133227</v>
      </c>
      <c r="Q158" s="145">
        <f t="shared" ca="1" si="51"/>
        <v>0</v>
      </c>
      <c r="R158" s="592">
        <f t="shared" ca="1" si="52"/>
        <v>0.79526166560133327</v>
      </c>
      <c r="S158" s="311"/>
      <c r="T158" s="392">
        <f t="shared" si="53"/>
        <v>1993</v>
      </c>
      <c r="U158" s="392">
        <f t="shared" si="54"/>
        <v>7</v>
      </c>
      <c r="V158" s="311">
        <f t="shared" ca="1" si="55"/>
        <v>106</v>
      </c>
      <c r="W158" s="269" t="str">
        <f t="shared" ca="1" si="56"/>
        <v>||||||||||</v>
      </c>
      <c r="X158" s="269" t="str">
        <f t="shared" ca="1" si="57"/>
        <v>||||||||||</v>
      </c>
      <c r="Y158" s="434" t="str">
        <f t="shared" ca="1" si="58"/>
        <v/>
      </c>
      <c r="Z158" s="269" t="str">
        <f t="shared" ca="1" si="59"/>
        <v/>
      </c>
      <c r="AA158" s="270" t="str">
        <f t="shared" ca="1" si="60"/>
        <v>|||</v>
      </c>
    </row>
    <row r="159" spans="1:27" x14ac:dyDescent="0.25">
      <c r="A159" s="140">
        <f>+'Esc 2'!A169</f>
        <v>1993</v>
      </c>
      <c r="B159" s="140">
        <f>+'Esc 2'!B169</f>
        <v>8</v>
      </c>
      <c r="C159" s="141">
        <f>+'Esc 2'!O169</f>
        <v>0.21850563953958732</v>
      </c>
      <c r="D159" s="140">
        <f>+'Esc 2'!D169</f>
        <v>9.5</v>
      </c>
      <c r="E159" s="147">
        <f t="shared" si="61"/>
        <v>72.449999999999989</v>
      </c>
      <c r="F159" s="146">
        <f t="shared" si="61"/>
        <v>0</v>
      </c>
      <c r="G159" s="144">
        <f t="shared" si="41"/>
        <v>-6.2949999999999985E-4</v>
      </c>
      <c r="H159" s="145">
        <f>+F159/100000*'Bal Híd'!$G$4</f>
        <v>0</v>
      </c>
      <c r="I159" s="145">
        <v>0</v>
      </c>
      <c r="J159" s="145">
        <f t="shared" ca="1" si="45"/>
        <v>7.8553534026074763</v>
      </c>
      <c r="K159" s="145">
        <f t="shared" ca="1" si="46"/>
        <v>300.85805813378533</v>
      </c>
      <c r="L159" s="145">
        <f t="shared" ca="1" si="47"/>
        <v>298.1479887483801</v>
      </c>
      <c r="M159" s="145">
        <f t="shared" ca="1" si="48"/>
        <v>7.6428985148086577</v>
      </c>
      <c r="N159" s="145">
        <f t="shared" ca="1" si="49"/>
        <v>7.6368477630678893</v>
      </c>
      <c r="O159" s="143">
        <f t="shared" ca="1" si="44"/>
        <v>295.43791936297487</v>
      </c>
      <c r="P159" s="145">
        <f t="shared" ca="1" si="50"/>
        <v>6.0507517407684119E-3</v>
      </c>
      <c r="Q159" s="145">
        <f t="shared" ca="1" si="51"/>
        <v>0</v>
      </c>
      <c r="R159" s="592">
        <f t="shared" ca="1" si="52"/>
        <v>6.0507517407685785E-3</v>
      </c>
      <c r="S159" s="311"/>
      <c r="T159" s="392">
        <f t="shared" si="53"/>
        <v>1993</v>
      </c>
      <c r="U159" s="392">
        <f t="shared" si="54"/>
        <v>8</v>
      </c>
      <c r="V159" s="311">
        <f t="shared" ca="1" si="55"/>
        <v>106</v>
      </c>
      <c r="W159" s="269" t="str">
        <f t="shared" ca="1" si="56"/>
        <v>||||||||||</v>
      </c>
      <c r="X159" s="269" t="str">
        <f t="shared" ca="1" si="57"/>
        <v>||||||||||</v>
      </c>
      <c r="Y159" s="434" t="str">
        <f t="shared" ca="1" si="58"/>
        <v/>
      </c>
      <c r="Z159" s="269" t="str">
        <f t="shared" ca="1" si="59"/>
        <v/>
      </c>
      <c r="AA159" s="270" t="str">
        <f t="shared" ca="1" si="60"/>
        <v/>
      </c>
    </row>
    <row r="160" spans="1:27" x14ac:dyDescent="0.25">
      <c r="A160" s="140">
        <f>+'Esc 2'!A170</f>
        <v>1993</v>
      </c>
      <c r="B160" s="140">
        <f>+'Esc 2'!B170</f>
        <v>9</v>
      </c>
      <c r="C160" s="141">
        <f>+'Esc 2'!O170</f>
        <v>0.20359504800048703</v>
      </c>
      <c r="D160" s="140">
        <f>+'Esc 2'!D170</f>
        <v>41.9</v>
      </c>
      <c r="E160" s="147">
        <f t="shared" si="61"/>
        <v>85.89</v>
      </c>
      <c r="F160" s="146">
        <f t="shared" si="61"/>
        <v>0</v>
      </c>
      <c r="G160" s="144">
        <f t="shared" si="41"/>
        <v>-4.3990000000000001E-4</v>
      </c>
      <c r="H160" s="145">
        <f>+F160/100000*'Bal Híd'!$G$4</f>
        <v>0</v>
      </c>
      <c r="I160" s="145">
        <v>0</v>
      </c>
      <c r="J160" s="145">
        <f t="shared" ca="1" si="45"/>
        <v>7.8404428110683764</v>
      </c>
      <c r="K160" s="145">
        <f t="shared" ca="1" si="46"/>
        <v>300.48991253555863</v>
      </c>
      <c r="L160" s="145">
        <f t="shared" ca="1" si="47"/>
        <v>297.96391594926672</v>
      </c>
      <c r="M160" s="145">
        <f t="shared" ca="1" si="48"/>
        <v>7.686302333198908</v>
      </c>
      <c r="N160" s="145">
        <f t="shared" ca="1" si="49"/>
        <v>7.6368477630678893</v>
      </c>
      <c r="O160" s="143">
        <f t="shared" ca="1" si="44"/>
        <v>295.43791936297487</v>
      </c>
      <c r="P160" s="145">
        <f t="shared" ca="1" si="50"/>
        <v>4.9454570131018727E-2</v>
      </c>
      <c r="Q160" s="145">
        <f t="shared" ca="1" si="51"/>
        <v>0</v>
      </c>
      <c r="R160" s="592">
        <f t="shared" ca="1" si="52"/>
        <v>4.9454570131019032E-2</v>
      </c>
      <c r="S160" s="311"/>
      <c r="T160" s="392">
        <f t="shared" si="53"/>
        <v>1993</v>
      </c>
      <c r="U160" s="392">
        <f t="shared" si="54"/>
        <v>9</v>
      </c>
      <c r="V160" s="311">
        <f t="shared" ca="1" si="55"/>
        <v>106</v>
      </c>
      <c r="W160" s="269" t="str">
        <f t="shared" ca="1" si="56"/>
        <v>||||||||||</v>
      </c>
      <c r="X160" s="269" t="str">
        <f t="shared" ca="1" si="57"/>
        <v>||||||||||</v>
      </c>
      <c r="Y160" s="434" t="str">
        <f t="shared" ca="1" si="58"/>
        <v/>
      </c>
      <c r="Z160" s="269" t="str">
        <f t="shared" ca="1" si="59"/>
        <v/>
      </c>
      <c r="AA160" s="270" t="str">
        <f t="shared" ca="1" si="60"/>
        <v/>
      </c>
    </row>
    <row r="161" spans="1:27" x14ac:dyDescent="0.25">
      <c r="A161" s="140">
        <f>+'Esc 2'!A171</f>
        <v>1993</v>
      </c>
      <c r="B161" s="140">
        <f>+'Esc 2'!B171</f>
        <v>10</v>
      </c>
      <c r="C161" s="141">
        <f>+'Esc 2'!O171</f>
        <v>4.0399405482483672</v>
      </c>
      <c r="D161" s="140">
        <f>+'Esc 2'!D171</f>
        <v>284.3</v>
      </c>
      <c r="E161" s="147">
        <f t="shared" si="61"/>
        <v>114.86999999999999</v>
      </c>
      <c r="F161" s="146">
        <f t="shared" si="61"/>
        <v>59</v>
      </c>
      <c r="G161" s="144">
        <f t="shared" ref="G161:G224" si="62">+(D161-E161)/100000</f>
        <v>1.6943000000000001E-3</v>
      </c>
      <c r="H161" s="145">
        <f>+F161/100000*'Bal Híd'!$G$4</f>
        <v>0.64900000000000002</v>
      </c>
      <c r="I161" s="145">
        <v>0</v>
      </c>
      <c r="J161" s="145">
        <f t="shared" ca="1" si="45"/>
        <v>11.027788311316257</v>
      </c>
      <c r="K161" s="145">
        <f t="shared" ca="1" si="46"/>
        <v>374.37101171636175</v>
      </c>
      <c r="L161" s="145">
        <f t="shared" ca="1" si="47"/>
        <v>334.90446553966831</v>
      </c>
      <c r="M161" s="145">
        <f t="shared" ca="1" si="48"/>
        <v>11.080770509970932</v>
      </c>
      <c r="N161" s="145">
        <f t="shared" ca="1" si="49"/>
        <v>7.6368477630678893</v>
      </c>
      <c r="O161" s="143">
        <f t="shared" ca="1" si="44"/>
        <v>295.43791936297487</v>
      </c>
      <c r="P161" s="145">
        <f t="shared" ca="1" si="50"/>
        <v>3.4439227469030431</v>
      </c>
      <c r="Q161" s="145">
        <f t="shared" ca="1" si="51"/>
        <v>0.64900000000000002</v>
      </c>
      <c r="R161" s="592">
        <f t="shared" ca="1" si="52"/>
        <v>4.0929227469030431</v>
      </c>
      <c r="S161" s="311"/>
      <c r="T161" s="392">
        <f t="shared" si="53"/>
        <v>1993</v>
      </c>
      <c r="U161" s="392">
        <f t="shared" si="54"/>
        <v>10</v>
      </c>
      <c r="V161" s="311">
        <f t="shared" ca="1" si="55"/>
        <v>106</v>
      </c>
      <c r="W161" s="269" t="str">
        <f t="shared" ca="1" si="56"/>
        <v>||||||||||</v>
      </c>
      <c r="X161" s="269" t="str">
        <f t="shared" ca="1" si="57"/>
        <v>||||||||||</v>
      </c>
      <c r="Y161" s="434" t="str">
        <f t="shared" ca="1" si="58"/>
        <v/>
      </c>
      <c r="Z161" s="269" t="str">
        <f t="shared" ca="1" si="59"/>
        <v>|||</v>
      </c>
      <c r="AA161" s="270" t="str">
        <f t="shared" ca="1" si="60"/>
        <v>|||||||||||||||||</v>
      </c>
    </row>
    <row r="162" spans="1:27" x14ac:dyDescent="0.25">
      <c r="A162" s="140">
        <f>+'Esc 2'!A172</f>
        <v>1993</v>
      </c>
      <c r="B162" s="140">
        <f>+'Esc 2'!B172</f>
        <v>11</v>
      </c>
      <c r="C162" s="141">
        <f>+'Esc 2'!O172</f>
        <v>3.5196205700245167</v>
      </c>
      <c r="D162" s="140">
        <f>+'Esc 2'!D172</f>
        <v>227.5</v>
      </c>
      <c r="E162" s="147">
        <f t="shared" si="61"/>
        <v>144.06</v>
      </c>
      <c r="F162" s="146">
        <f t="shared" si="61"/>
        <v>212</v>
      </c>
      <c r="G162" s="144">
        <f t="shared" si="62"/>
        <v>8.3440000000000001E-4</v>
      </c>
      <c r="H162" s="145">
        <f>+F162/100000*'Bal Híd'!$G$4</f>
        <v>2.3319999999999999</v>
      </c>
      <c r="I162" s="145">
        <v>0</v>
      </c>
      <c r="J162" s="145">
        <f t="shared" ca="1" si="45"/>
        <v>8.8244683330924047</v>
      </c>
      <c r="K162" s="145">
        <f t="shared" ca="1" si="46"/>
        <v>324.28028820663064</v>
      </c>
      <c r="L162" s="145">
        <f t="shared" ca="1" si="47"/>
        <v>309.85910378480276</v>
      </c>
      <c r="M162" s="145">
        <f t="shared" ca="1" si="48"/>
        <v>8.6683431056058993</v>
      </c>
      <c r="N162" s="145">
        <f t="shared" ca="1" si="49"/>
        <v>7.6368477630678893</v>
      </c>
      <c r="O162" s="143">
        <f t="shared" ca="1" si="44"/>
        <v>295.43791936297487</v>
      </c>
      <c r="P162" s="145">
        <f t="shared" ca="1" si="50"/>
        <v>1.03149534253801</v>
      </c>
      <c r="Q162" s="145">
        <f t="shared" ca="1" si="51"/>
        <v>2.3319999999999999</v>
      </c>
      <c r="R162" s="592">
        <f t="shared" ca="1" si="52"/>
        <v>3.3634953425380112</v>
      </c>
      <c r="S162" s="311"/>
      <c r="T162" s="392">
        <f t="shared" si="53"/>
        <v>1993</v>
      </c>
      <c r="U162" s="392">
        <f t="shared" si="54"/>
        <v>11</v>
      </c>
      <c r="V162" s="311">
        <f t="shared" ca="1" si="55"/>
        <v>106</v>
      </c>
      <c r="W162" s="269" t="str">
        <f t="shared" ca="1" si="56"/>
        <v>||||||||||</v>
      </c>
      <c r="X162" s="269" t="str">
        <f t="shared" ca="1" si="57"/>
        <v>||||||||||</v>
      </c>
      <c r="Y162" s="434" t="str">
        <f t="shared" ca="1" si="58"/>
        <v/>
      </c>
      <c r="Z162" s="269" t="str">
        <f t="shared" ca="1" si="59"/>
        <v>|||||||||||</v>
      </c>
      <c r="AA162" s="270" t="str">
        <f t="shared" ca="1" si="60"/>
        <v>|||||</v>
      </c>
    </row>
    <row r="163" spans="1:27" x14ac:dyDescent="0.25">
      <c r="A163" s="140">
        <f>+'Esc 2'!A173</f>
        <v>1993</v>
      </c>
      <c r="B163" s="140">
        <f>+'Esc 2'!B173</f>
        <v>12</v>
      </c>
      <c r="C163" s="141">
        <f>+'Esc 2'!O173</f>
        <v>1.7754616934199599</v>
      </c>
      <c r="D163" s="140">
        <f>+'Esc 2'!D173</f>
        <v>134.4</v>
      </c>
      <c r="E163" s="147">
        <f t="shared" si="61"/>
        <v>179.62</v>
      </c>
      <c r="F163" s="146">
        <f t="shared" si="61"/>
        <v>388</v>
      </c>
      <c r="G163" s="144">
        <f t="shared" si="62"/>
        <v>-4.5219999999999999E-4</v>
      </c>
      <c r="H163" s="145">
        <f>+F163/100000*'Bal Híd'!$G$4</f>
        <v>4.2679999999999998</v>
      </c>
      <c r="I163" s="145">
        <v>0</v>
      </c>
      <c r="J163" s="145">
        <f t="shared" ca="1" si="45"/>
        <v>5.1443094564878491</v>
      </c>
      <c r="K163" s="145">
        <f t="shared" ca="1" si="46"/>
        <v>229.02809562192644</v>
      </c>
      <c r="L163" s="145">
        <f t="shared" ca="1" si="47"/>
        <v>262.23300749245067</v>
      </c>
      <c r="M163" s="145">
        <f t="shared" ca="1" si="48"/>
        <v>4.8486993028369669</v>
      </c>
      <c r="N163" s="145">
        <f t="shared" ca="1" si="49"/>
        <v>4.8486993028369669</v>
      </c>
      <c r="O163" s="143">
        <f t="shared" ca="1" si="44"/>
        <v>220.45780773208386</v>
      </c>
      <c r="P163" s="145">
        <f t="shared" ca="1" si="50"/>
        <v>0</v>
      </c>
      <c r="Q163" s="145">
        <f t="shared" ca="1" si="51"/>
        <v>4.2679999999999998</v>
      </c>
      <c r="R163" s="592">
        <f t="shared" ca="1" si="52"/>
        <v>1.479851539769077</v>
      </c>
      <c r="S163" s="311"/>
      <c r="T163" s="392">
        <f t="shared" si="53"/>
        <v>1993</v>
      </c>
      <c r="U163" s="392">
        <f t="shared" si="54"/>
        <v>12</v>
      </c>
      <c r="V163" s="311">
        <f t="shared" ca="1" si="55"/>
        <v>104.91566336267815</v>
      </c>
      <c r="W163" s="269" t="str">
        <f t="shared" ca="1" si="56"/>
        <v>||||||||</v>
      </c>
      <c r="X163" s="269" t="str">
        <f t="shared" ca="1" si="57"/>
        <v>||||||</v>
      </c>
      <c r="Y163" s="434" t="str">
        <f t="shared" ca="1" si="58"/>
        <v/>
      </c>
      <c r="Z163" s="269" t="str">
        <f t="shared" ca="1" si="59"/>
        <v>|||||||||||||||||||||</v>
      </c>
      <c r="AA163" s="270" t="str">
        <f t="shared" ca="1" si="60"/>
        <v/>
      </c>
    </row>
    <row r="164" spans="1:27" x14ac:dyDescent="0.25">
      <c r="A164" s="140">
        <f>+'Esc 2'!A174</f>
        <v>1994</v>
      </c>
      <c r="B164" s="140">
        <f>+'Esc 2'!B174</f>
        <v>1</v>
      </c>
      <c r="C164" s="141">
        <f>+'Esc 2'!O174</f>
        <v>0.41876719818921965</v>
      </c>
      <c r="D164" s="140">
        <f>+'Esc 2'!D174</f>
        <v>14.4</v>
      </c>
      <c r="E164" s="147">
        <f t="shared" si="61"/>
        <v>176.89</v>
      </c>
      <c r="F164" s="146">
        <f t="shared" si="61"/>
        <v>318</v>
      </c>
      <c r="G164" s="144">
        <f t="shared" si="62"/>
        <v>-1.6248999999999999E-3</v>
      </c>
      <c r="H164" s="145">
        <f>+F164/100000*'Bal Híd'!$G$4</f>
        <v>3.4980000000000002</v>
      </c>
      <c r="I164" s="145">
        <v>0</v>
      </c>
      <c r="J164" s="145">
        <f t="shared" ca="1" si="45"/>
        <v>1.7694665010261863</v>
      </c>
      <c r="K164" s="145">
        <f t="shared" ca="1" si="46"/>
        <v>115.1332804658548</v>
      </c>
      <c r="L164" s="145">
        <f t="shared" ca="1" si="47"/>
        <v>167.79554409896934</v>
      </c>
      <c r="M164" s="145">
        <f t="shared" ca="1" si="48"/>
        <v>1.4700979283129421</v>
      </c>
      <c r="N164" s="145">
        <f t="shared" ca="1" si="49"/>
        <v>1.4700979283129421</v>
      </c>
      <c r="O164" s="143">
        <f t="shared" ca="1" si="44"/>
        <v>102.17061895794535</v>
      </c>
      <c r="P164" s="145">
        <f t="shared" ca="1" si="50"/>
        <v>0</v>
      </c>
      <c r="Q164" s="145">
        <f t="shared" ca="1" si="51"/>
        <v>3.4980000000000002</v>
      </c>
      <c r="R164" s="592">
        <f t="shared" ca="1" si="52"/>
        <v>0.11939862547597513</v>
      </c>
      <c r="S164" s="311"/>
      <c r="T164" s="392">
        <f t="shared" si="53"/>
        <v>1994</v>
      </c>
      <c r="U164" s="392">
        <f t="shared" si="54"/>
        <v>1</v>
      </c>
      <c r="V164" s="311">
        <f t="shared" ca="1" si="55"/>
        <v>102.77675353653191</v>
      </c>
      <c r="W164" s="269" t="str">
        <f t="shared" ca="1" si="56"/>
        <v>||||</v>
      </c>
      <c r="X164" s="269" t="str">
        <f t="shared" ca="1" si="57"/>
        <v>|</v>
      </c>
      <c r="Y164" s="434" t="str">
        <f t="shared" ca="1" si="58"/>
        <v/>
      </c>
      <c r="Z164" s="269" t="str">
        <f t="shared" ca="1" si="59"/>
        <v>|||||||||||||||||</v>
      </c>
      <c r="AA164" s="270" t="str">
        <f t="shared" ca="1" si="60"/>
        <v/>
      </c>
    </row>
    <row r="165" spans="1:27" x14ac:dyDescent="0.25">
      <c r="A165" s="140">
        <f>+'Esc 2'!A175</f>
        <v>1994</v>
      </c>
      <c r="B165" s="140">
        <f>+'Esc 2'!B175</f>
        <v>2</v>
      </c>
      <c r="C165" s="141">
        <f>+'Esc 2'!O175</f>
        <v>2.2368779178405997</v>
      </c>
      <c r="D165" s="140">
        <f>+'Esc 2'!D175</f>
        <v>205.4</v>
      </c>
      <c r="E165" s="147">
        <f t="shared" si="61"/>
        <v>131.73999999999998</v>
      </c>
      <c r="F165" s="146">
        <f t="shared" si="61"/>
        <v>153</v>
      </c>
      <c r="G165" s="144">
        <f t="shared" si="62"/>
        <v>7.3660000000000023E-4</v>
      </c>
      <c r="H165" s="145">
        <f>+F165/100000*'Bal Híd'!$G$4</f>
        <v>1.6829999999999998</v>
      </c>
      <c r="I165" s="145">
        <v>0</v>
      </c>
      <c r="J165" s="145">
        <f t="shared" ca="1" si="45"/>
        <v>2.023975846153542</v>
      </c>
      <c r="K165" s="145">
        <f t="shared" ca="1" si="46"/>
        <v>125.54872018103079</v>
      </c>
      <c r="L165" s="145">
        <f t="shared" ca="1" si="47"/>
        <v>113.85966956948806</v>
      </c>
      <c r="M165" s="145">
        <f t="shared" ca="1" si="48"/>
        <v>2.0110045059095234</v>
      </c>
      <c r="N165" s="145">
        <f t="shared" ca="1" si="49"/>
        <v>2.0110045059095234</v>
      </c>
      <c r="O165" s="143">
        <f t="shared" ca="1" si="44"/>
        <v>125.02959755858008</v>
      </c>
      <c r="P165" s="145">
        <f t="shared" ca="1" si="50"/>
        <v>0</v>
      </c>
      <c r="Q165" s="145">
        <f t="shared" ca="1" si="51"/>
        <v>1.6829999999999998</v>
      </c>
      <c r="R165" s="592">
        <f t="shared" ca="1" si="52"/>
        <v>2.2239065775965812</v>
      </c>
      <c r="S165" s="311"/>
      <c r="T165" s="392">
        <f t="shared" si="53"/>
        <v>1994</v>
      </c>
      <c r="U165" s="392">
        <f t="shared" si="54"/>
        <v>2</v>
      </c>
      <c r="V165" s="311">
        <f t="shared" ca="1" si="55"/>
        <v>103.25362633938693</v>
      </c>
      <c r="W165" s="269" t="str">
        <f t="shared" ca="1" si="56"/>
        <v>|||||</v>
      </c>
      <c r="X165" s="269" t="str">
        <f t="shared" ca="1" si="57"/>
        <v>||</v>
      </c>
      <c r="Y165" s="434" t="str">
        <f t="shared" ca="1" si="58"/>
        <v/>
      </c>
      <c r="Z165" s="269" t="str">
        <f t="shared" ca="1" si="59"/>
        <v>||||||||</v>
      </c>
      <c r="AA165" s="270" t="str">
        <f t="shared" ca="1" si="60"/>
        <v/>
      </c>
    </row>
    <row r="166" spans="1:27" x14ac:dyDescent="0.25">
      <c r="A166" s="140">
        <f>+'Esc 2'!A176</f>
        <v>1994</v>
      </c>
      <c r="B166" s="140">
        <f>+'Esc 2'!B176</f>
        <v>3</v>
      </c>
      <c r="C166" s="141">
        <f>+'Esc 2'!O176</f>
        <v>1.3738967012974468</v>
      </c>
      <c r="D166" s="140">
        <f>+'Esc 2'!D176</f>
        <v>100.6</v>
      </c>
      <c r="E166" s="147">
        <f t="shared" si="61"/>
        <v>118.64999999999999</v>
      </c>
      <c r="F166" s="146">
        <f t="shared" si="61"/>
        <v>47</v>
      </c>
      <c r="G166" s="144">
        <f t="shared" si="62"/>
        <v>-1.8049999999999997E-4</v>
      </c>
      <c r="H166" s="145">
        <f>+F166/100000*'Bal Híd'!$G$4</f>
        <v>0.51700000000000002</v>
      </c>
      <c r="I166" s="145">
        <v>0</v>
      </c>
      <c r="J166" s="145">
        <f t="shared" ca="1" si="45"/>
        <v>2.8679012072069701</v>
      </c>
      <c r="K166" s="145">
        <f t="shared" ca="1" si="46"/>
        <v>157.16430690483648</v>
      </c>
      <c r="L166" s="145">
        <f t="shared" ca="1" si="47"/>
        <v>141.09695223170829</v>
      </c>
      <c r="M166" s="145">
        <f t="shared" ca="1" si="48"/>
        <v>2.7687249802438743</v>
      </c>
      <c r="N166" s="145">
        <f t="shared" ca="1" si="49"/>
        <v>2.7687249802438743</v>
      </c>
      <c r="O166" s="143">
        <f t="shared" ca="1" si="44"/>
        <v>153.63991954452231</v>
      </c>
      <c r="P166" s="145">
        <f t="shared" ca="1" si="50"/>
        <v>0</v>
      </c>
      <c r="Q166" s="145">
        <f t="shared" ca="1" si="51"/>
        <v>0.51700000000000002</v>
      </c>
      <c r="R166" s="592">
        <f t="shared" ca="1" si="52"/>
        <v>1.2747204743343508</v>
      </c>
      <c r="S166" s="311"/>
      <c r="T166" s="392">
        <f t="shared" si="53"/>
        <v>1994</v>
      </c>
      <c r="U166" s="392">
        <f t="shared" si="54"/>
        <v>3</v>
      </c>
      <c r="V166" s="311">
        <f t="shared" ca="1" si="55"/>
        <v>103.79829939586351</v>
      </c>
      <c r="W166" s="269" t="str">
        <f t="shared" ca="1" si="56"/>
        <v>|||||</v>
      </c>
      <c r="X166" s="269" t="str">
        <f t="shared" ca="1" si="57"/>
        <v>|||</v>
      </c>
      <c r="Y166" s="434" t="str">
        <f t="shared" ca="1" si="58"/>
        <v/>
      </c>
      <c r="Z166" s="269" t="str">
        <f t="shared" ca="1" si="59"/>
        <v>||</v>
      </c>
      <c r="AA166" s="270" t="str">
        <f t="shared" ca="1" si="60"/>
        <v/>
      </c>
    </row>
    <row r="167" spans="1:27" x14ac:dyDescent="0.25">
      <c r="A167" s="140">
        <f>+'Esc 2'!A177</f>
        <v>1994</v>
      </c>
      <c r="B167" s="140">
        <f>+'Esc 2'!B177</f>
        <v>4</v>
      </c>
      <c r="C167" s="141">
        <f>+'Esc 2'!O177</f>
        <v>0.8450054134208721</v>
      </c>
      <c r="D167" s="140">
        <f>+'Esc 2'!D177</f>
        <v>71.599999999999994</v>
      </c>
      <c r="E167" s="147">
        <f t="shared" si="61"/>
        <v>73.149999999999991</v>
      </c>
      <c r="F167" s="146">
        <f t="shared" si="61"/>
        <v>0</v>
      </c>
      <c r="G167" s="144">
        <f t="shared" si="62"/>
        <v>-1.549999999999997E-5</v>
      </c>
      <c r="H167" s="145">
        <f>+F167/100000*'Bal Híd'!$G$4</f>
        <v>0</v>
      </c>
      <c r="I167" s="145">
        <v>0</v>
      </c>
      <c r="J167" s="145">
        <f t="shared" ca="1" si="45"/>
        <v>3.6137303936647465</v>
      </c>
      <c r="K167" s="145">
        <f t="shared" ca="1" si="46"/>
        <v>182.41065853599761</v>
      </c>
      <c r="L167" s="145">
        <f t="shared" ca="1" si="47"/>
        <v>168.02528904025996</v>
      </c>
      <c r="M167" s="145">
        <f t="shared" ca="1" si="48"/>
        <v>3.5571403443345742</v>
      </c>
      <c r="N167" s="145">
        <f t="shared" ca="1" si="49"/>
        <v>3.5571403443345742</v>
      </c>
      <c r="O167" s="143">
        <f t="shared" ca="1" si="44"/>
        <v>180.56465426104586</v>
      </c>
      <c r="P167" s="145">
        <f t="shared" ca="1" si="50"/>
        <v>0</v>
      </c>
      <c r="Q167" s="145">
        <f t="shared" ca="1" si="51"/>
        <v>0</v>
      </c>
      <c r="R167" s="592">
        <f t="shared" ca="1" si="52"/>
        <v>0.78841536409070001</v>
      </c>
      <c r="S167" s="311"/>
      <c r="T167" s="392">
        <f t="shared" si="53"/>
        <v>1994</v>
      </c>
      <c r="U167" s="392">
        <f t="shared" si="54"/>
        <v>4</v>
      </c>
      <c r="V167" s="311">
        <f t="shared" ca="1" si="55"/>
        <v>104.27057417450914</v>
      </c>
      <c r="W167" s="269" t="str">
        <f t="shared" ca="1" si="56"/>
        <v>||||||</v>
      </c>
      <c r="X167" s="269" t="str">
        <f t="shared" ca="1" si="57"/>
        <v>||||</v>
      </c>
      <c r="Y167" s="434" t="str">
        <f t="shared" ca="1" si="58"/>
        <v/>
      </c>
      <c r="Z167" s="269" t="str">
        <f t="shared" ca="1" si="59"/>
        <v/>
      </c>
      <c r="AA167" s="270" t="str">
        <f t="shared" ca="1" si="60"/>
        <v/>
      </c>
    </row>
    <row r="168" spans="1:27" x14ac:dyDescent="0.25">
      <c r="A168" s="140">
        <f>+'Esc 2'!A178</f>
        <v>1994</v>
      </c>
      <c r="B168" s="140">
        <f>+'Esc 2'!B178</f>
        <v>5</v>
      </c>
      <c r="C168" s="141">
        <f>+'Esc 2'!O178</f>
        <v>0.8745357486316041</v>
      </c>
      <c r="D168" s="140">
        <f>+'Esc 2'!D178</f>
        <v>71.8</v>
      </c>
      <c r="E168" s="147">
        <f t="shared" si="61"/>
        <v>51.24</v>
      </c>
      <c r="F168" s="146">
        <f t="shared" si="61"/>
        <v>0</v>
      </c>
      <c r="G168" s="144">
        <f t="shared" si="62"/>
        <v>2.0559999999999996E-4</v>
      </c>
      <c r="H168" s="145">
        <f>+F168/100000*'Bal Híd'!$G$4</f>
        <v>0</v>
      </c>
      <c r="I168" s="145">
        <v>0</v>
      </c>
      <c r="J168" s="145">
        <f t="shared" ca="1" si="45"/>
        <v>4.4316760929661783</v>
      </c>
      <c r="K168" s="145">
        <f t="shared" ca="1" si="46"/>
        <v>208.04412435621398</v>
      </c>
      <c r="L168" s="145">
        <f t="shared" ca="1" si="47"/>
        <v>194.30438930862994</v>
      </c>
      <c r="M168" s="145">
        <f t="shared" ca="1" si="48"/>
        <v>4.4070143778542565</v>
      </c>
      <c r="N168" s="145">
        <f t="shared" ca="1" si="49"/>
        <v>4.4070143778542565</v>
      </c>
      <c r="O168" s="143">
        <f t="shared" ca="1" si="44"/>
        <v>207.29729150451655</v>
      </c>
      <c r="P168" s="145">
        <f t="shared" ca="1" si="50"/>
        <v>0</v>
      </c>
      <c r="Q168" s="145">
        <f t="shared" ca="1" si="51"/>
        <v>0</v>
      </c>
      <c r="R168" s="592">
        <f t="shared" ca="1" si="52"/>
        <v>0.84987403351968294</v>
      </c>
      <c r="S168" s="311"/>
      <c r="T168" s="392">
        <f t="shared" si="53"/>
        <v>1994</v>
      </c>
      <c r="U168" s="392">
        <f t="shared" si="54"/>
        <v>5</v>
      </c>
      <c r="V168" s="311">
        <f t="shared" ca="1" si="55"/>
        <v>104.70912115172499</v>
      </c>
      <c r="W168" s="269" t="str">
        <f t="shared" ca="1" si="56"/>
        <v>|||||||</v>
      </c>
      <c r="X168" s="269" t="str">
        <f t="shared" ca="1" si="57"/>
        <v>|||||</v>
      </c>
      <c r="Y168" s="434" t="str">
        <f t="shared" ca="1" si="58"/>
        <v/>
      </c>
      <c r="Z168" s="269" t="str">
        <f t="shared" ca="1" si="59"/>
        <v/>
      </c>
      <c r="AA168" s="270" t="str">
        <f t="shared" ca="1" si="60"/>
        <v/>
      </c>
    </row>
    <row r="169" spans="1:27" x14ac:dyDescent="0.25">
      <c r="A169" s="140">
        <f>+'Esc 2'!A179</f>
        <v>1994</v>
      </c>
      <c r="B169" s="140">
        <f>+'Esc 2'!B179</f>
        <v>6</v>
      </c>
      <c r="C169" s="141">
        <f>+'Esc 2'!O179</f>
        <v>2.0541116506810591</v>
      </c>
      <c r="D169" s="140">
        <f>+'Esc 2'!D179</f>
        <v>129.80000000000001</v>
      </c>
      <c r="E169" s="147">
        <f t="shared" si="61"/>
        <v>41.019999999999996</v>
      </c>
      <c r="F169" s="146">
        <f t="shared" si="61"/>
        <v>0</v>
      </c>
      <c r="G169" s="144">
        <f t="shared" si="62"/>
        <v>8.8780000000000011E-4</v>
      </c>
      <c r="H169" s="145">
        <f>+F169/100000*'Bal Híd'!$G$4</f>
        <v>0</v>
      </c>
      <c r="I169" s="145">
        <v>0</v>
      </c>
      <c r="J169" s="145">
        <f t="shared" ca="1" si="45"/>
        <v>6.4611260285353156</v>
      </c>
      <c r="K169" s="145">
        <f t="shared" ca="1" si="46"/>
        <v>265.26265456909903</v>
      </c>
      <c r="L169" s="145">
        <f t="shared" ca="1" si="47"/>
        <v>236.2799730368078</v>
      </c>
      <c r="M169" s="145">
        <f t="shared" ca="1" si="48"/>
        <v>6.4863533941344604</v>
      </c>
      <c r="N169" s="145">
        <f t="shared" ca="1" si="49"/>
        <v>6.4863533941344604</v>
      </c>
      <c r="O169" s="143">
        <f t="shared" ca="1" si="44"/>
        <v>265.92964703675437</v>
      </c>
      <c r="P169" s="145">
        <f t="shared" ca="1" si="50"/>
        <v>0</v>
      </c>
      <c r="Q169" s="145">
        <f t="shared" ca="1" si="51"/>
        <v>0</v>
      </c>
      <c r="R169" s="592">
        <f t="shared" ca="1" si="52"/>
        <v>2.0793390162802043</v>
      </c>
      <c r="S169" s="311"/>
      <c r="T169" s="392">
        <f t="shared" si="53"/>
        <v>1994</v>
      </c>
      <c r="U169" s="392">
        <f t="shared" si="54"/>
        <v>6</v>
      </c>
      <c r="V169" s="311">
        <f t="shared" ca="1" si="55"/>
        <v>105.58994072541181</v>
      </c>
      <c r="W169" s="269" t="str">
        <f t="shared" ca="1" si="56"/>
        <v>|||||||||</v>
      </c>
      <c r="X169" s="269" t="str">
        <f t="shared" ca="1" si="57"/>
        <v>||||||||</v>
      </c>
      <c r="Y169" s="434" t="str">
        <f t="shared" ca="1" si="58"/>
        <v/>
      </c>
      <c r="Z169" s="269" t="str">
        <f t="shared" ca="1" si="59"/>
        <v/>
      </c>
      <c r="AA169" s="270" t="str">
        <f t="shared" ca="1" si="60"/>
        <v/>
      </c>
    </row>
    <row r="170" spans="1:27" x14ac:dyDescent="0.25">
      <c r="A170" s="140">
        <f>+'Esc 2'!A180</f>
        <v>1994</v>
      </c>
      <c r="B170" s="140">
        <f>+'Esc 2'!B180</f>
        <v>7</v>
      </c>
      <c r="C170" s="141">
        <f>+'Esc 2'!O180</f>
        <v>1.1870659107322468</v>
      </c>
      <c r="D170" s="140">
        <f>+'Esc 2'!D180</f>
        <v>60.9</v>
      </c>
      <c r="E170" s="147">
        <f t="shared" si="61"/>
        <v>50.819999999999993</v>
      </c>
      <c r="F170" s="146">
        <f t="shared" si="61"/>
        <v>0</v>
      </c>
      <c r="G170" s="144">
        <f t="shared" si="62"/>
        <v>1.0080000000000005E-4</v>
      </c>
      <c r="H170" s="145">
        <f>+F170/100000*'Bal Híd'!$G$4</f>
        <v>0</v>
      </c>
      <c r="I170" s="145">
        <v>0</v>
      </c>
      <c r="J170" s="145">
        <f t="shared" ca="1" si="45"/>
        <v>7.673419304866707</v>
      </c>
      <c r="K170" s="145">
        <f t="shared" ca="1" si="46"/>
        <v>296.34889851365426</v>
      </c>
      <c r="L170" s="145">
        <f t="shared" ca="1" si="47"/>
        <v>281.13927277520429</v>
      </c>
      <c r="M170" s="145">
        <f t="shared" ca="1" si="48"/>
        <v>7.5748642854333603</v>
      </c>
      <c r="N170" s="145">
        <f t="shared" ca="1" si="49"/>
        <v>7.5748642854333603</v>
      </c>
      <c r="O170" s="143">
        <f t="shared" ca="1" si="44"/>
        <v>293.89039064574638</v>
      </c>
      <c r="P170" s="145">
        <f t="shared" ca="1" si="50"/>
        <v>0</v>
      </c>
      <c r="Q170" s="145">
        <f t="shared" ca="1" si="51"/>
        <v>0</v>
      </c>
      <c r="R170" s="592">
        <f t="shared" ca="1" si="52"/>
        <v>1.0885108912989001</v>
      </c>
      <c r="S170" s="311"/>
      <c r="T170" s="392">
        <f t="shared" si="53"/>
        <v>1994</v>
      </c>
      <c r="U170" s="392">
        <f t="shared" si="54"/>
        <v>7</v>
      </c>
      <c r="V170" s="311">
        <f t="shared" ca="1" si="55"/>
        <v>105.97896468218298</v>
      </c>
      <c r="W170" s="269" t="str">
        <f t="shared" ca="1" si="56"/>
        <v>|||||||||</v>
      </c>
      <c r="X170" s="269" t="str">
        <f t="shared" ca="1" si="57"/>
        <v>|||||||||</v>
      </c>
      <c r="Y170" s="434" t="str">
        <f t="shared" ca="1" si="58"/>
        <v/>
      </c>
      <c r="Z170" s="269" t="str">
        <f t="shared" ca="1" si="59"/>
        <v/>
      </c>
      <c r="AA170" s="270" t="str">
        <f t="shared" ca="1" si="60"/>
        <v/>
      </c>
    </row>
    <row r="171" spans="1:27" x14ac:dyDescent="0.25">
      <c r="A171" s="140">
        <f>+'Esc 2'!A181</f>
        <v>1994</v>
      </c>
      <c r="B171" s="140">
        <f>+'Esc 2'!B181</f>
        <v>8</v>
      </c>
      <c r="C171" s="141">
        <f>+'Esc 2'!O181</f>
        <v>0.76644238197810455</v>
      </c>
      <c r="D171" s="140">
        <f>+'Esc 2'!D181</f>
        <v>63</v>
      </c>
      <c r="E171" s="147">
        <f t="shared" si="61"/>
        <v>72.449999999999989</v>
      </c>
      <c r="F171" s="146">
        <f t="shared" si="61"/>
        <v>0</v>
      </c>
      <c r="G171" s="144">
        <f t="shared" si="62"/>
        <v>-9.4499999999999885E-5</v>
      </c>
      <c r="H171" s="145">
        <f>+F171/100000*'Bal Híd'!$G$4</f>
        <v>0</v>
      </c>
      <c r="I171" s="145">
        <v>0</v>
      </c>
      <c r="J171" s="145">
        <f t="shared" ca="1" si="45"/>
        <v>8.3413066674114642</v>
      </c>
      <c r="K171" s="145">
        <f t="shared" ca="1" si="46"/>
        <v>312.72394025439758</v>
      </c>
      <c r="L171" s="145">
        <f t="shared" ca="1" si="47"/>
        <v>303.30716545007198</v>
      </c>
      <c r="M171" s="145">
        <f t="shared" ca="1" si="48"/>
        <v>8.2242534686572011</v>
      </c>
      <c r="N171" s="145">
        <f t="shared" ca="1" si="49"/>
        <v>7.6368477630678893</v>
      </c>
      <c r="O171" s="143">
        <f t="shared" ca="1" si="44"/>
        <v>295.43791936297487</v>
      </c>
      <c r="P171" s="145">
        <f t="shared" ca="1" si="50"/>
        <v>0.58740570558931182</v>
      </c>
      <c r="Q171" s="145">
        <f t="shared" ca="1" si="51"/>
        <v>0</v>
      </c>
      <c r="R171" s="592">
        <f t="shared" ca="1" si="52"/>
        <v>0.64938918322384076</v>
      </c>
      <c r="S171" s="311"/>
      <c r="T171" s="392">
        <f t="shared" si="53"/>
        <v>1994</v>
      </c>
      <c r="U171" s="392">
        <f t="shared" si="54"/>
        <v>8</v>
      </c>
      <c r="V171" s="311">
        <f t="shared" ca="1" si="55"/>
        <v>106</v>
      </c>
      <c r="W171" s="269" t="str">
        <f t="shared" ca="1" si="56"/>
        <v>||||||||||</v>
      </c>
      <c r="X171" s="269" t="str">
        <f t="shared" ca="1" si="57"/>
        <v>||||||||||</v>
      </c>
      <c r="Y171" s="434" t="str">
        <f t="shared" ca="1" si="58"/>
        <v/>
      </c>
      <c r="Z171" s="269" t="str">
        <f t="shared" ca="1" si="59"/>
        <v/>
      </c>
      <c r="AA171" s="270" t="str">
        <f t="shared" ca="1" si="60"/>
        <v>||</v>
      </c>
    </row>
    <row r="172" spans="1:27" x14ac:dyDescent="0.25">
      <c r="A172" s="140">
        <f>+'Esc 2'!A182</f>
        <v>1994</v>
      </c>
      <c r="B172" s="140">
        <f>+'Esc 2'!B182</f>
        <v>9</v>
      </c>
      <c r="C172" s="141">
        <f>+'Esc 2'!O182</f>
        <v>0.73081880291737267</v>
      </c>
      <c r="D172" s="140">
        <f>+'Esc 2'!D182</f>
        <v>73.099999999999994</v>
      </c>
      <c r="E172" s="147">
        <f t="shared" si="61"/>
        <v>85.89</v>
      </c>
      <c r="F172" s="146">
        <f t="shared" si="61"/>
        <v>0</v>
      </c>
      <c r="G172" s="144">
        <f t="shared" si="62"/>
        <v>-1.2790000000000007E-4</v>
      </c>
      <c r="H172" s="145">
        <f>+F172/100000*'Bal Híd'!$G$4</f>
        <v>0</v>
      </c>
      <c r="I172" s="145">
        <v>0</v>
      </c>
      <c r="J172" s="145">
        <f t="shared" ca="1" si="45"/>
        <v>8.367666565985262</v>
      </c>
      <c r="K172" s="145">
        <f t="shared" ca="1" si="46"/>
        <v>313.36045611023309</v>
      </c>
      <c r="L172" s="145">
        <f t="shared" ca="1" si="47"/>
        <v>304.39918773660395</v>
      </c>
      <c r="M172" s="145">
        <f t="shared" ca="1" si="48"/>
        <v>8.2441481113982054</v>
      </c>
      <c r="N172" s="145">
        <f t="shared" ca="1" si="49"/>
        <v>7.6368477630678893</v>
      </c>
      <c r="O172" s="143">
        <f t="shared" ca="1" si="44"/>
        <v>295.43791936297487</v>
      </c>
      <c r="P172" s="145">
        <f t="shared" ca="1" si="50"/>
        <v>0.6073003483303161</v>
      </c>
      <c r="Q172" s="145">
        <f t="shared" ca="1" si="51"/>
        <v>0</v>
      </c>
      <c r="R172" s="592">
        <f t="shared" ca="1" si="52"/>
        <v>0.60730034833031521</v>
      </c>
      <c r="S172" s="311"/>
      <c r="T172" s="392">
        <f t="shared" si="53"/>
        <v>1994</v>
      </c>
      <c r="U172" s="392">
        <f t="shared" si="54"/>
        <v>9</v>
      </c>
      <c r="V172" s="311">
        <f t="shared" ca="1" si="55"/>
        <v>106</v>
      </c>
      <c r="W172" s="269" t="str">
        <f t="shared" ca="1" si="56"/>
        <v>||||||||||</v>
      </c>
      <c r="X172" s="269" t="str">
        <f t="shared" ca="1" si="57"/>
        <v>||||||||||</v>
      </c>
      <c r="Y172" s="434" t="str">
        <f t="shared" ca="1" si="58"/>
        <v/>
      </c>
      <c r="Z172" s="269" t="str">
        <f t="shared" ca="1" si="59"/>
        <v/>
      </c>
      <c r="AA172" s="270" t="str">
        <f t="shared" ca="1" si="60"/>
        <v>|||</v>
      </c>
    </row>
    <row r="173" spans="1:27" x14ac:dyDescent="0.25">
      <c r="A173" s="140">
        <f>+'Esc 2'!A183</f>
        <v>1994</v>
      </c>
      <c r="B173" s="140">
        <f>+'Esc 2'!B183</f>
        <v>10</v>
      </c>
      <c r="C173" s="141">
        <f>+'Esc 2'!O183</f>
        <v>2.2283668943362724</v>
      </c>
      <c r="D173" s="140">
        <f>+'Esc 2'!D183</f>
        <v>181.8</v>
      </c>
      <c r="E173" s="147">
        <f t="shared" ref="E173:F192" si="63">+E161</f>
        <v>114.86999999999999</v>
      </c>
      <c r="F173" s="146">
        <f t="shared" si="63"/>
        <v>59</v>
      </c>
      <c r="G173" s="144">
        <f t="shared" si="62"/>
        <v>6.6930000000000017E-4</v>
      </c>
      <c r="H173" s="145">
        <f>+F173/100000*'Bal Híd'!$G$4</f>
        <v>0.64900000000000002</v>
      </c>
      <c r="I173" s="145">
        <v>0</v>
      </c>
      <c r="J173" s="145">
        <f t="shared" ca="1" si="45"/>
        <v>9.2162146574041621</v>
      </c>
      <c r="K173" s="145">
        <f t="shared" ca="1" si="46"/>
        <v>333.48574792466934</v>
      </c>
      <c r="L173" s="145">
        <f t="shared" ca="1" si="47"/>
        <v>314.4618336438221</v>
      </c>
      <c r="M173" s="145">
        <f t="shared" ca="1" si="48"/>
        <v>9.1602442898010707</v>
      </c>
      <c r="N173" s="145">
        <f t="shared" ca="1" si="49"/>
        <v>7.6368477630678893</v>
      </c>
      <c r="O173" s="143">
        <f t="shared" ca="1" si="44"/>
        <v>295.43791936297487</v>
      </c>
      <c r="P173" s="145">
        <f t="shared" ca="1" si="50"/>
        <v>1.5233965267331815</v>
      </c>
      <c r="Q173" s="145">
        <f t="shared" ca="1" si="51"/>
        <v>0.64900000000000002</v>
      </c>
      <c r="R173" s="592">
        <f t="shared" ca="1" si="52"/>
        <v>2.1723965267331802</v>
      </c>
      <c r="S173" s="311"/>
      <c r="T173" s="392">
        <f t="shared" si="53"/>
        <v>1994</v>
      </c>
      <c r="U173" s="392">
        <f t="shared" si="54"/>
        <v>10</v>
      </c>
      <c r="V173" s="311">
        <f t="shared" ca="1" si="55"/>
        <v>106</v>
      </c>
      <c r="W173" s="269" t="str">
        <f t="shared" ca="1" si="56"/>
        <v>||||||||||</v>
      </c>
      <c r="X173" s="269" t="str">
        <f t="shared" ca="1" si="57"/>
        <v>||||||||||</v>
      </c>
      <c r="Y173" s="434" t="str">
        <f t="shared" ca="1" si="58"/>
        <v/>
      </c>
      <c r="Z173" s="269" t="str">
        <f t="shared" ca="1" si="59"/>
        <v>|||</v>
      </c>
      <c r="AA173" s="270" t="str">
        <f t="shared" ca="1" si="60"/>
        <v>|||||||</v>
      </c>
    </row>
    <row r="174" spans="1:27" x14ac:dyDescent="0.25">
      <c r="A174" s="140">
        <f>+'Esc 2'!A184</f>
        <v>1994</v>
      </c>
      <c r="B174" s="140">
        <f>+'Esc 2'!B184</f>
        <v>11</v>
      </c>
      <c r="C174" s="141">
        <f>+'Esc 2'!O184</f>
        <v>0.77002237604564638</v>
      </c>
      <c r="D174" s="140">
        <f>+'Esc 2'!D184</f>
        <v>47.3</v>
      </c>
      <c r="E174" s="147">
        <f t="shared" si="63"/>
        <v>144.06</v>
      </c>
      <c r="F174" s="146">
        <f t="shared" si="63"/>
        <v>212</v>
      </c>
      <c r="G174" s="144">
        <f t="shared" si="62"/>
        <v>-9.676000000000001E-4</v>
      </c>
      <c r="H174" s="145">
        <f>+F174/100000*'Bal Híd'!$G$4</f>
        <v>2.3319999999999999</v>
      </c>
      <c r="I174" s="145">
        <v>0</v>
      </c>
      <c r="J174" s="145">
        <f t="shared" ca="1" si="45"/>
        <v>6.0748701391135365</v>
      </c>
      <c r="K174" s="145">
        <f t="shared" ca="1" si="46"/>
        <v>254.93160683891037</v>
      </c>
      <c r="L174" s="145">
        <f t="shared" ca="1" si="47"/>
        <v>275.18476310094263</v>
      </c>
      <c r="M174" s="145">
        <f t="shared" ca="1" si="48"/>
        <v>5.7280316189398972</v>
      </c>
      <c r="N174" s="145">
        <f t="shared" ca="1" si="49"/>
        <v>5.7280316189398972</v>
      </c>
      <c r="O174" s="143">
        <f t="shared" ca="1" si="44"/>
        <v>245.45400149366154</v>
      </c>
      <c r="P174" s="145">
        <f t="shared" ca="1" si="50"/>
        <v>0</v>
      </c>
      <c r="Q174" s="145">
        <f t="shared" ca="1" si="51"/>
        <v>2.3319999999999999</v>
      </c>
      <c r="R174" s="592">
        <f t="shared" ca="1" si="52"/>
        <v>0.42318385587200846</v>
      </c>
      <c r="S174" s="311"/>
      <c r="T174" s="392">
        <f t="shared" si="53"/>
        <v>1994</v>
      </c>
      <c r="U174" s="392">
        <f t="shared" si="54"/>
        <v>11</v>
      </c>
      <c r="V174" s="311">
        <f t="shared" ca="1" si="55"/>
        <v>105.29329317014853</v>
      </c>
      <c r="W174" s="269" t="str">
        <f t="shared" ca="1" si="56"/>
        <v>||||||||</v>
      </c>
      <c r="X174" s="269" t="str">
        <f t="shared" ca="1" si="57"/>
        <v>|||||||</v>
      </c>
      <c r="Y174" s="434" t="str">
        <f t="shared" ca="1" si="58"/>
        <v/>
      </c>
      <c r="Z174" s="269" t="str">
        <f t="shared" ca="1" si="59"/>
        <v>|||||||||||</v>
      </c>
      <c r="AA174" s="270" t="str">
        <f t="shared" ca="1" si="60"/>
        <v/>
      </c>
    </row>
    <row r="175" spans="1:27" x14ac:dyDescent="0.25">
      <c r="A175" s="140">
        <f>+'Esc 2'!A185</f>
        <v>1994</v>
      </c>
      <c r="B175" s="140">
        <f>+'Esc 2'!B185</f>
        <v>12</v>
      </c>
      <c r="C175" s="141">
        <f>+'Esc 2'!O185</f>
        <v>1.2067068538325647</v>
      </c>
      <c r="D175" s="140">
        <f>+'Esc 2'!D185</f>
        <v>143.30000000000001</v>
      </c>
      <c r="E175" s="147">
        <f t="shared" si="63"/>
        <v>179.62</v>
      </c>
      <c r="F175" s="146">
        <f t="shared" si="63"/>
        <v>388</v>
      </c>
      <c r="G175" s="144">
        <f t="shared" si="62"/>
        <v>-3.6319999999999994E-4</v>
      </c>
      <c r="H175" s="145">
        <f>+F175/100000*'Bal Híd'!$G$4</f>
        <v>4.2679999999999998</v>
      </c>
      <c r="I175" s="145">
        <v>0</v>
      </c>
      <c r="J175" s="145">
        <f t="shared" ca="1" si="45"/>
        <v>2.6667384727724626</v>
      </c>
      <c r="K175" s="145">
        <f t="shared" ca="1" si="46"/>
        <v>149.96851752219811</v>
      </c>
      <c r="L175" s="145">
        <f t="shared" ca="1" si="47"/>
        <v>197.71125950792981</v>
      </c>
      <c r="M175" s="145">
        <f t="shared" ca="1" si="48"/>
        <v>2.5042150923959552</v>
      </c>
      <c r="N175" s="145">
        <f t="shared" ca="1" si="49"/>
        <v>2.5042150923959552</v>
      </c>
      <c r="O175" s="143">
        <f t="shared" ca="1" si="44"/>
        <v>144.01284493632903</v>
      </c>
      <c r="P175" s="145">
        <f t="shared" ca="1" si="50"/>
        <v>0</v>
      </c>
      <c r="Q175" s="145">
        <f t="shared" ca="1" si="51"/>
        <v>4.2679999999999998</v>
      </c>
      <c r="R175" s="592">
        <f t="shared" ca="1" si="52"/>
        <v>1.0441834734560573</v>
      </c>
      <c r="S175" s="311"/>
      <c r="T175" s="392">
        <f t="shared" si="53"/>
        <v>1994</v>
      </c>
      <c r="U175" s="392">
        <f t="shared" si="54"/>
        <v>12</v>
      </c>
      <c r="V175" s="311">
        <f t="shared" ca="1" si="55"/>
        <v>103.62054109385583</v>
      </c>
      <c r="W175" s="269" t="str">
        <f t="shared" ca="1" si="56"/>
        <v>|||||</v>
      </c>
      <c r="X175" s="269" t="str">
        <f t="shared" ca="1" si="57"/>
        <v>|||</v>
      </c>
      <c r="Y175" s="434" t="str">
        <f t="shared" ca="1" si="58"/>
        <v/>
      </c>
      <c r="Z175" s="269" t="str">
        <f t="shared" ca="1" si="59"/>
        <v>|||||||||||||||||||||</v>
      </c>
      <c r="AA175" s="270" t="str">
        <f t="shared" ca="1" si="60"/>
        <v/>
      </c>
    </row>
    <row r="176" spans="1:27" x14ac:dyDescent="0.25">
      <c r="A176" s="140">
        <f>+'Esc 2'!A186</f>
        <v>1995</v>
      </c>
      <c r="B176" s="140">
        <f>+'Esc 2'!B186</f>
        <v>1</v>
      </c>
      <c r="C176" s="141">
        <f>+'Esc 2'!O186</f>
        <v>0.52572956517308989</v>
      </c>
      <c r="D176" s="140">
        <f>+'Esc 2'!D186</f>
        <v>50.9</v>
      </c>
      <c r="E176" s="147">
        <f t="shared" si="63"/>
        <v>176.89</v>
      </c>
      <c r="F176" s="146">
        <f t="shared" si="63"/>
        <v>318</v>
      </c>
      <c r="G176" s="144">
        <f t="shared" si="62"/>
        <v>-1.2598999999999998E-3</v>
      </c>
      <c r="H176" s="145">
        <f>+F176/100000*'Bal Híd'!$G$4</f>
        <v>3.4980000000000002</v>
      </c>
      <c r="I176" s="145">
        <v>0</v>
      </c>
      <c r="J176" s="145">
        <f t="shared" ca="1" si="45"/>
        <v>-0.46805534243095526</v>
      </c>
      <c r="K176" s="145">
        <f t="shared" ca="1" si="46"/>
        <v>0</v>
      </c>
      <c r="L176" s="145">
        <f t="shared" ca="1" si="47"/>
        <v>72.006422468164516</v>
      </c>
      <c r="M176" s="145">
        <f t="shared" ca="1" si="48"/>
        <v>-0.57317011439283805</v>
      </c>
      <c r="N176" s="145">
        <f t="shared" ca="1" si="49"/>
        <v>0.14364725252241328</v>
      </c>
      <c r="O176" s="143">
        <f t="shared" ca="1" si="44"/>
        <v>22.824988701237128</v>
      </c>
      <c r="P176" s="145">
        <f t="shared" ca="1" si="50"/>
        <v>0</v>
      </c>
      <c r="Q176" s="145">
        <f t="shared" ca="1" si="51"/>
        <v>2.7811826330847489</v>
      </c>
      <c r="R176" s="592">
        <f t="shared" ca="1" si="52"/>
        <v>0.42061479321120682</v>
      </c>
      <c r="S176" s="311"/>
      <c r="T176" s="392">
        <f t="shared" si="53"/>
        <v>1995</v>
      </c>
      <c r="U176" s="392">
        <f t="shared" si="54"/>
        <v>1</v>
      </c>
      <c r="V176" s="311">
        <f t="shared" ca="1" si="55"/>
        <v>100.5</v>
      </c>
      <c r="W176" s="269" t="str">
        <f t="shared" ca="1" si="56"/>
        <v/>
      </c>
      <c r="X176" s="269" t="str">
        <f t="shared" ca="1" si="57"/>
        <v/>
      </c>
      <c r="Y176" s="434" t="str">
        <f t="shared" ca="1" si="58"/>
        <v>|||</v>
      </c>
      <c r="Z176" s="269" t="str">
        <f t="shared" ca="1" si="59"/>
        <v>|||||||||||||</v>
      </c>
      <c r="AA176" s="270" t="str">
        <f t="shared" ca="1" si="60"/>
        <v/>
      </c>
    </row>
    <row r="177" spans="1:27" x14ac:dyDescent="0.25">
      <c r="A177" s="140">
        <f>+'Esc 2'!A187</f>
        <v>1995</v>
      </c>
      <c r="B177" s="140">
        <f>+'Esc 2'!B187</f>
        <v>2</v>
      </c>
      <c r="C177" s="141">
        <f>+'Esc 2'!O187</f>
        <v>2.0082099557297304</v>
      </c>
      <c r="D177" s="140">
        <f>+'Esc 2'!D187</f>
        <v>188.6</v>
      </c>
      <c r="E177" s="147">
        <f t="shared" si="63"/>
        <v>131.73999999999998</v>
      </c>
      <c r="F177" s="146">
        <f t="shared" si="63"/>
        <v>153</v>
      </c>
      <c r="G177" s="144">
        <f t="shared" si="62"/>
        <v>5.6860000000000016E-4</v>
      </c>
      <c r="H177" s="145">
        <f>+F177/100000*'Bal Híd'!$G$4</f>
        <v>1.6829999999999998</v>
      </c>
      <c r="I177" s="145">
        <v>0</v>
      </c>
      <c r="J177" s="145">
        <f t="shared" ca="1" si="45"/>
        <v>0.46885720825214383</v>
      </c>
      <c r="K177" s="145">
        <f t="shared" ca="1" si="46"/>
        <v>48.920066499823989</v>
      </c>
      <c r="L177" s="145">
        <f t="shared" ca="1" si="47"/>
        <v>35.87252760053056</v>
      </c>
      <c r="M177" s="145">
        <f t="shared" ca="1" si="48"/>
        <v>0.46186285707904684</v>
      </c>
      <c r="N177" s="145">
        <f t="shared" ca="1" si="49"/>
        <v>0.46186285707904684</v>
      </c>
      <c r="O177" s="143">
        <f t="shared" ca="1" si="44"/>
        <v>48.448509582325997</v>
      </c>
      <c r="P177" s="145">
        <f t="shared" ca="1" si="50"/>
        <v>0</v>
      </c>
      <c r="Q177" s="145">
        <f t="shared" ca="1" si="51"/>
        <v>1.6829999999999998</v>
      </c>
      <c r="R177" s="592">
        <f t="shared" ca="1" si="52"/>
        <v>2.0012156045566334</v>
      </c>
      <c r="S177" s="311"/>
      <c r="T177" s="392">
        <f t="shared" si="53"/>
        <v>1995</v>
      </c>
      <c r="U177" s="392">
        <f t="shared" si="54"/>
        <v>2</v>
      </c>
      <c r="V177" s="311">
        <f t="shared" ca="1" si="55"/>
        <v>101.41113776597975</v>
      </c>
      <c r="W177" s="269" t="str">
        <f t="shared" ca="1" si="56"/>
        <v>|</v>
      </c>
      <c r="X177" s="269" t="str">
        <f t="shared" ca="1" si="57"/>
        <v/>
      </c>
      <c r="Y177" s="434" t="str">
        <f t="shared" ca="1" si="58"/>
        <v/>
      </c>
      <c r="Z177" s="269" t="str">
        <f t="shared" ca="1" si="59"/>
        <v>||||||||</v>
      </c>
      <c r="AA177" s="270" t="str">
        <f t="shared" ca="1" si="60"/>
        <v/>
      </c>
    </row>
    <row r="178" spans="1:27" x14ac:dyDescent="0.25">
      <c r="A178" s="140">
        <f>+'Esc 2'!A188</f>
        <v>1995</v>
      </c>
      <c r="B178" s="140">
        <f>+'Esc 2'!B188</f>
        <v>3</v>
      </c>
      <c r="C178" s="141">
        <f>+'Esc 2'!O188</f>
        <v>1.7798740888773319</v>
      </c>
      <c r="D178" s="140">
        <f>+'Esc 2'!D188</f>
        <v>133.9</v>
      </c>
      <c r="E178" s="147">
        <f t="shared" si="63"/>
        <v>118.64999999999999</v>
      </c>
      <c r="F178" s="146">
        <f t="shared" si="63"/>
        <v>47</v>
      </c>
      <c r="G178" s="144">
        <f t="shared" si="62"/>
        <v>1.5250000000000013E-4</v>
      </c>
      <c r="H178" s="145">
        <f>+F178/100000*'Bal Híd'!$G$4</f>
        <v>0.51700000000000002</v>
      </c>
      <c r="I178" s="145">
        <v>0</v>
      </c>
      <c r="J178" s="145">
        <f t="shared" ca="1" si="45"/>
        <v>1.7247369459563786</v>
      </c>
      <c r="K178" s="145">
        <f t="shared" ca="1" si="46"/>
        <v>113.24917519714732</v>
      </c>
      <c r="L178" s="145">
        <f t="shared" ca="1" si="47"/>
        <v>80.84884238973666</v>
      </c>
      <c r="M178" s="145">
        <f t="shared" ca="1" si="48"/>
        <v>1.6823512766697797</v>
      </c>
      <c r="N178" s="145">
        <f t="shared" ca="1" si="49"/>
        <v>1.6823512766697797</v>
      </c>
      <c r="O178" s="143">
        <f t="shared" ca="1" si="44"/>
        <v>111.44770133176556</v>
      </c>
      <c r="P178" s="145">
        <f t="shared" ca="1" si="50"/>
        <v>0</v>
      </c>
      <c r="Q178" s="145">
        <f t="shared" ca="1" si="51"/>
        <v>0.51700000000000002</v>
      </c>
      <c r="R178" s="592">
        <f t="shared" ca="1" si="52"/>
        <v>1.737488419590733</v>
      </c>
      <c r="S178" s="311"/>
      <c r="T178" s="392">
        <f t="shared" si="53"/>
        <v>1995</v>
      </c>
      <c r="U178" s="392">
        <f t="shared" si="54"/>
        <v>3</v>
      </c>
      <c r="V178" s="311">
        <f t="shared" ca="1" si="55"/>
        <v>102.97553162650399</v>
      </c>
      <c r="W178" s="269" t="str">
        <f t="shared" ca="1" si="56"/>
        <v>||||</v>
      </c>
      <c r="X178" s="269" t="str">
        <f t="shared" ca="1" si="57"/>
        <v>||</v>
      </c>
      <c r="Y178" s="434" t="str">
        <f t="shared" ca="1" si="58"/>
        <v/>
      </c>
      <c r="Z178" s="269" t="str">
        <f t="shared" ca="1" si="59"/>
        <v>||</v>
      </c>
      <c r="AA178" s="270" t="str">
        <f t="shared" ca="1" si="60"/>
        <v/>
      </c>
    </row>
    <row r="179" spans="1:27" x14ac:dyDescent="0.25">
      <c r="A179" s="140">
        <f>+'Esc 2'!A189</f>
        <v>1995</v>
      </c>
      <c r="B179" s="140">
        <f>+'Esc 2'!B189</f>
        <v>4</v>
      </c>
      <c r="C179" s="141">
        <f>+'Esc 2'!O189</f>
        <v>0.86305963052308188</v>
      </c>
      <c r="D179" s="140">
        <f>+'Esc 2'!D189</f>
        <v>62.6</v>
      </c>
      <c r="E179" s="147">
        <f t="shared" si="63"/>
        <v>73.149999999999991</v>
      </c>
      <c r="F179" s="146">
        <f t="shared" si="63"/>
        <v>0</v>
      </c>
      <c r="G179" s="144">
        <f t="shared" si="62"/>
        <v>-1.0549999999999989E-4</v>
      </c>
      <c r="H179" s="145">
        <f>+F179/100000*'Bal Híd'!$G$4</f>
        <v>0</v>
      </c>
      <c r="I179" s="145">
        <v>0</v>
      </c>
      <c r="J179" s="145">
        <f t="shared" ca="1" si="45"/>
        <v>2.5454109071928617</v>
      </c>
      <c r="K179" s="145">
        <f t="shared" ca="1" si="46"/>
        <v>145.53515194318038</v>
      </c>
      <c r="L179" s="145">
        <f t="shared" ca="1" si="47"/>
        <v>128.49142663747296</v>
      </c>
      <c r="M179" s="145">
        <f t="shared" ca="1" si="48"/>
        <v>2.4896893722532845</v>
      </c>
      <c r="N179" s="145">
        <f t="shared" ca="1" si="49"/>
        <v>2.4896893722532845</v>
      </c>
      <c r="O179" s="143">
        <f t="shared" ca="1" si="44"/>
        <v>143.47395728079783</v>
      </c>
      <c r="P179" s="145">
        <f t="shared" ca="1" si="50"/>
        <v>0</v>
      </c>
      <c r="Q179" s="145">
        <f t="shared" ca="1" si="51"/>
        <v>0</v>
      </c>
      <c r="R179" s="592">
        <f t="shared" ca="1" si="52"/>
        <v>0.80733809558350489</v>
      </c>
      <c r="S179" s="311"/>
      <c r="T179" s="392">
        <f t="shared" si="53"/>
        <v>1995</v>
      </c>
      <c r="U179" s="392">
        <f t="shared" si="54"/>
        <v>4</v>
      </c>
      <c r="V179" s="311">
        <f t="shared" ca="1" si="55"/>
        <v>103.61043577586773</v>
      </c>
      <c r="W179" s="269" t="str">
        <f t="shared" ca="1" si="56"/>
        <v>|||||</v>
      </c>
      <c r="X179" s="269" t="str">
        <f t="shared" ca="1" si="57"/>
        <v>|||</v>
      </c>
      <c r="Y179" s="434" t="str">
        <f t="shared" ca="1" si="58"/>
        <v/>
      </c>
      <c r="Z179" s="269" t="str">
        <f t="shared" ca="1" si="59"/>
        <v/>
      </c>
      <c r="AA179" s="270" t="str">
        <f t="shared" ca="1" si="60"/>
        <v/>
      </c>
    </row>
    <row r="180" spans="1:27" x14ac:dyDescent="0.25">
      <c r="A180" s="140">
        <f>+'Esc 2'!A190</f>
        <v>1995</v>
      </c>
      <c r="B180" s="140">
        <f>+'Esc 2'!B190</f>
        <v>5</v>
      </c>
      <c r="C180" s="141">
        <f>+'Esc 2'!O190</f>
        <v>0.65727743455393761</v>
      </c>
      <c r="D180" s="140">
        <f>+'Esc 2'!D190</f>
        <v>58.5</v>
      </c>
      <c r="E180" s="147">
        <f t="shared" si="63"/>
        <v>51.24</v>
      </c>
      <c r="F180" s="146">
        <f t="shared" si="63"/>
        <v>0</v>
      </c>
      <c r="G180" s="144">
        <f t="shared" si="62"/>
        <v>7.2599999999999976E-5</v>
      </c>
      <c r="H180" s="145">
        <f>+F180/100000*'Bal Híd'!$G$4</f>
        <v>0</v>
      </c>
      <c r="I180" s="145">
        <v>0</v>
      </c>
      <c r="J180" s="145">
        <f t="shared" ca="1" si="45"/>
        <v>3.1469668068072219</v>
      </c>
      <c r="K180" s="145">
        <f t="shared" ca="1" si="46"/>
        <v>166.85639745879882</v>
      </c>
      <c r="L180" s="145">
        <f t="shared" ca="1" si="47"/>
        <v>155.16517736979833</v>
      </c>
      <c r="M180" s="145">
        <f t="shared" ca="1" si="48"/>
        <v>3.1194536352950193</v>
      </c>
      <c r="N180" s="145">
        <f t="shared" ca="1" si="49"/>
        <v>3.1194536352950193</v>
      </c>
      <c r="O180" s="143">
        <f t="shared" ca="1" si="44"/>
        <v>165.91483162333108</v>
      </c>
      <c r="P180" s="145">
        <f t="shared" ca="1" si="50"/>
        <v>0</v>
      </c>
      <c r="Q180" s="145">
        <f t="shared" ca="1" si="51"/>
        <v>0</v>
      </c>
      <c r="R180" s="592">
        <f t="shared" ca="1" si="52"/>
        <v>0.62976426304173483</v>
      </c>
      <c r="S180" s="311"/>
      <c r="T180" s="392">
        <f t="shared" si="53"/>
        <v>1995</v>
      </c>
      <c r="U180" s="392">
        <f t="shared" si="54"/>
        <v>5</v>
      </c>
      <c r="V180" s="311">
        <f t="shared" ca="1" si="55"/>
        <v>104.01785865810086</v>
      </c>
      <c r="W180" s="269" t="str">
        <f t="shared" ca="1" si="56"/>
        <v>||||||</v>
      </c>
      <c r="X180" s="269" t="str">
        <f t="shared" ca="1" si="57"/>
        <v>|||</v>
      </c>
      <c r="Y180" s="434" t="str">
        <f t="shared" ca="1" si="58"/>
        <v/>
      </c>
      <c r="Z180" s="269" t="str">
        <f t="shared" ca="1" si="59"/>
        <v/>
      </c>
      <c r="AA180" s="270" t="str">
        <f t="shared" ca="1" si="60"/>
        <v/>
      </c>
    </row>
    <row r="181" spans="1:27" x14ac:dyDescent="0.25">
      <c r="A181" s="140">
        <f>+'Esc 2'!A191</f>
        <v>1995</v>
      </c>
      <c r="B181" s="140">
        <f>+'Esc 2'!B191</f>
        <v>6</v>
      </c>
      <c r="C181" s="141">
        <f>+'Esc 2'!O191</f>
        <v>0.98094142699067477</v>
      </c>
      <c r="D181" s="140">
        <f>+'Esc 2'!D191</f>
        <v>74.599999999999994</v>
      </c>
      <c r="E181" s="147">
        <f t="shared" si="63"/>
        <v>41.019999999999996</v>
      </c>
      <c r="F181" s="146">
        <f t="shared" si="63"/>
        <v>0</v>
      </c>
      <c r="G181" s="144">
        <f t="shared" si="62"/>
        <v>3.3579999999999998E-4</v>
      </c>
      <c r="H181" s="145">
        <f>+F181/100000*'Bal Híd'!$G$4</f>
        <v>0</v>
      </c>
      <c r="I181" s="145">
        <v>0</v>
      </c>
      <c r="J181" s="145">
        <f t="shared" ca="1" si="45"/>
        <v>4.1003950622856937</v>
      </c>
      <c r="K181" s="145">
        <f t="shared" ca="1" si="46"/>
        <v>197.88395308459206</v>
      </c>
      <c r="L181" s="145">
        <f t="shared" ca="1" si="47"/>
        <v>181.89939235396156</v>
      </c>
      <c r="M181" s="145">
        <f t="shared" ca="1" si="48"/>
        <v>4.0936317643581424</v>
      </c>
      <c r="N181" s="145">
        <f t="shared" ca="1" si="49"/>
        <v>4.0936317643581424</v>
      </c>
      <c r="O181" s="143">
        <f t="shared" ca="1" si="44"/>
        <v>197.67354957220829</v>
      </c>
      <c r="P181" s="145">
        <f t="shared" ca="1" si="50"/>
        <v>0</v>
      </c>
      <c r="Q181" s="145">
        <f t="shared" ca="1" si="51"/>
        <v>0</v>
      </c>
      <c r="R181" s="592">
        <f t="shared" ca="1" si="52"/>
        <v>0.97417812906312307</v>
      </c>
      <c r="S181" s="311"/>
      <c r="T181" s="392">
        <f t="shared" si="53"/>
        <v>1995</v>
      </c>
      <c r="U181" s="392">
        <f t="shared" si="54"/>
        <v>6</v>
      </c>
      <c r="V181" s="311">
        <f t="shared" ca="1" si="55"/>
        <v>104.55434010002102</v>
      </c>
      <c r="W181" s="269" t="str">
        <f t="shared" ca="1" si="56"/>
        <v>|||||||</v>
      </c>
      <c r="X181" s="269" t="str">
        <f t="shared" ca="1" si="57"/>
        <v>|||||</v>
      </c>
      <c r="Y181" s="434" t="str">
        <f t="shared" ca="1" si="58"/>
        <v/>
      </c>
      <c r="Z181" s="269" t="str">
        <f t="shared" ca="1" si="59"/>
        <v/>
      </c>
      <c r="AA181" s="270" t="str">
        <f t="shared" ca="1" si="60"/>
        <v/>
      </c>
    </row>
    <row r="182" spans="1:27" x14ac:dyDescent="0.25">
      <c r="A182" s="140">
        <f>+'Esc 2'!A192</f>
        <v>1995</v>
      </c>
      <c r="B182" s="140">
        <f>+'Esc 2'!B192</f>
        <v>7</v>
      </c>
      <c r="C182" s="141">
        <f>+'Esc 2'!O192</f>
        <v>1.7330227172185215</v>
      </c>
      <c r="D182" s="140">
        <f>+'Esc 2'!D192</f>
        <v>111.8</v>
      </c>
      <c r="E182" s="147">
        <f t="shared" si="63"/>
        <v>50.819999999999993</v>
      </c>
      <c r="F182" s="146">
        <f t="shared" si="63"/>
        <v>0</v>
      </c>
      <c r="G182" s="144">
        <f t="shared" si="62"/>
        <v>6.0980000000000008E-4</v>
      </c>
      <c r="H182" s="145">
        <f>+F182/100000*'Bal Híd'!$G$4</f>
        <v>0</v>
      </c>
      <c r="I182" s="145">
        <v>0</v>
      </c>
      <c r="J182" s="145">
        <f t="shared" ca="1" si="45"/>
        <v>5.8266544815766643</v>
      </c>
      <c r="K182" s="145">
        <f t="shared" ca="1" si="46"/>
        <v>248.16921107424045</v>
      </c>
      <c r="L182" s="145">
        <f t="shared" ca="1" si="47"/>
        <v>222.92138032322435</v>
      </c>
      <c r="M182" s="145">
        <f t="shared" ca="1" si="48"/>
        <v>5.8156992334978206</v>
      </c>
      <c r="N182" s="145">
        <f t="shared" ca="1" si="49"/>
        <v>5.8156992334978206</v>
      </c>
      <c r="O182" s="143">
        <f t="shared" ca="1" si="44"/>
        <v>247.8684107621558</v>
      </c>
      <c r="P182" s="145">
        <f t="shared" ca="1" si="50"/>
        <v>0</v>
      </c>
      <c r="Q182" s="145">
        <f t="shared" ca="1" si="51"/>
        <v>0</v>
      </c>
      <c r="R182" s="592">
        <f t="shared" ca="1" si="52"/>
        <v>1.7220674691396782</v>
      </c>
      <c r="S182" s="311"/>
      <c r="T182" s="392">
        <f t="shared" si="53"/>
        <v>1995</v>
      </c>
      <c r="U182" s="392">
        <f t="shared" si="54"/>
        <v>7</v>
      </c>
      <c r="V182" s="311">
        <f t="shared" ca="1" si="55"/>
        <v>105.32883500897574</v>
      </c>
      <c r="W182" s="269" t="str">
        <f t="shared" ca="1" si="56"/>
        <v>||||||||</v>
      </c>
      <c r="X182" s="269" t="str">
        <f t="shared" ca="1" si="57"/>
        <v>|||||||</v>
      </c>
      <c r="Y182" s="434" t="str">
        <f t="shared" ca="1" si="58"/>
        <v/>
      </c>
      <c r="Z182" s="269" t="str">
        <f t="shared" ca="1" si="59"/>
        <v/>
      </c>
      <c r="AA182" s="270" t="str">
        <f t="shared" ca="1" si="60"/>
        <v/>
      </c>
    </row>
    <row r="183" spans="1:27" x14ac:dyDescent="0.25">
      <c r="A183" s="140">
        <f>+'Esc 2'!A193</f>
        <v>1995</v>
      </c>
      <c r="B183" s="140">
        <f>+'Esc 2'!B193</f>
        <v>8</v>
      </c>
      <c r="C183" s="141">
        <f>+'Esc 2'!O193</f>
        <v>0.48965447857490396</v>
      </c>
      <c r="D183" s="140">
        <f>+'Esc 2'!D193</f>
        <v>3</v>
      </c>
      <c r="E183" s="147">
        <f t="shared" si="63"/>
        <v>72.449999999999989</v>
      </c>
      <c r="F183" s="146">
        <f t="shared" si="63"/>
        <v>0</v>
      </c>
      <c r="G183" s="144">
        <f t="shared" si="62"/>
        <v>-6.9449999999999991E-4</v>
      </c>
      <c r="H183" s="145">
        <f>+F183/100000*'Bal Híd'!$G$4</f>
        <v>0</v>
      </c>
      <c r="I183" s="145">
        <v>0</v>
      </c>
      <c r="J183" s="145">
        <f t="shared" ca="1" si="45"/>
        <v>6.3053537120727245</v>
      </c>
      <c r="K183" s="145">
        <f t="shared" ca="1" si="46"/>
        <v>261.12343666590129</v>
      </c>
      <c r="L183" s="145">
        <f t="shared" ca="1" si="47"/>
        <v>254.49592371402855</v>
      </c>
      <c r="M183" s="145">
        <f t="shared" ca="1" si="48"/>
        <v>6.0812241376063234</v>
      </c>
      <c r="N183" s="145">
        <f t="shared" ca="1" si="49"/>
        <v>6.0812241376063234</v>
      </c>
      <c r="O183" s="143">
        <f t="shared" ca="1" si="44"/>
        <v>255.10341161406132</v>
      </c>
      <c r="P183" s="145">
        <f t="shared" ca="1" si="50"/>
        <v>0</v>
      </c>
      <c r="Q183" s="145">
        <f t="shared" ca="1" si="51"/>
        <v>0</v>
      </c>
      <c r="R183" s="592">
        <f t="shared" ca="1" si="52"/>
        <v>0.26552490410850316</v>
      </c>
      <c r="S183" s="311"/>
      <c r="T183" s="392">
        <f t="shared" si="53"/>
        <v>1995</v>
      </c>
      <c r="U183" s="392">
        <f t="shared" si="54"/>
        <v>8</v>
      </c>
      <c r="V183" s="311">
        <f t="shared" ca="1" si="55"/>
        <v>105.43442069083629</v>
      </c>
      <c r="W183" s="269" t="str">
        <f t="shared" ca="1" si="56"/>
        <v>||||||||</v>
      </c>
      <c r="X183" s="269" t="str">
        <f t="shared" ca="1" si="57"/>
        <v>|||||||</v>
      </c>
      <c r="Y183" s="434" t="str">
        <f t="shared" ca="1" si="58"/>
        <v/>
      </c>
      <c r="Z183" s="269" t="str">
        <f t="shared" ca="1" si="59"/>
        <v/>
      </c>
      <c r="AA183" s="270" t="str">
        <f t="shared" ca="1" si="60"/>
        <v/>
      </c>
    </row>
    <row r="184" spans="1:27" x14ac:dyDescent="0.25">
      <c r="A184" s="140">
        <f>+'Esc 2'!A194</f>
        <v>1995</v>
      </c>
      <c r="B184" s="140">
        <f>+'Esc 2'!B194</f>
        <v>9</v>
      </c>
      <c r="C184" s="141">
        <f>+'Esc 2'!O194</f>
        <v>0.89281672080141983</v>
      </c>
      <c r="D184" s="140">
        <f>+'Esc 2'!D194</f>
        <v>96.7</v>
      </c>
      <c r="E184" s="147">
        <f t="shared" si="63"/>
        <v>85.89</v>
      </c>
      <c r="F184" s="146">
        <f t="shared" si="63"/>
        <v>0</v>
      </c>
      <c r="G184" s="144">
        <f t="shared" si="62"/>
        <v>1.0810000000000003E-4</v>
      </c>
      <c r="H184" s="145">
        <f>+F184/100000*'Bal Híd'!$G$4</f>
        <v>0</v>
      </c>
      <c r="I184" s="145">
        <v>0</v>
      </c>
      <c r="J184" s="145">
        <f t="shared" ca="1" si="45"/>
        <v>6.9740408584077436</v>
      </c>
      <c r="K184" s="145">
        <f t="shared" ca="1" si="46"/>
        <v>278.64818216742543</v>
      </c>
      <c r="L184" s="145">
        <f t="shared" ca="1" si="47"/>
        <v>266.87579689074335</v>
      </c>
      <c r="M184" s="145">
        <f t="shared" ca="1" si="48"/>
        <v>6.9122927275492518</v>
      </c>
      <c r="N184" s="145">
        <f t="shared" ca="1" si="49"/>
        <v>6.9122927275492518</v>
      </c>
      <c r="O184" s="143">
        <f t="shared" ca="1" si="44"/>
        <v>277.05574053842298</v>
      </c>
      <c r="P184" s="145">
        <f t="shared" ca="1" si="50"/>
        <v>0</v>
      </c>
      <c r="Q184" s="145">
        <f t="shared" ca="1" si="51"/>
        <v>0</v>
      </c>
      <c r="R184" s="592">
        <f t="shared" ca="1" si="52"/>
        <v>0.83106858994292909</v>
      </c>
      <c r="S184" s="311"/>
      <c r="T184" s="392">
        <f t="shared" si="53"/>
        <v>1995</v>
      </c>
      <c r="U184" s="392">
        <f t="shared" si="54"/>
        <v>9</v>
      </c>
      <c r="V184" s="311">
        <f t="shared" ca="1" si="55"/>
        <v>105.74683852400294</v>
      </c>
      <c r="W184" s="269" t="str">
        <f t="shared" ca="1" si="56"/>
        <v>|||||||||</v>
      </c>
      <c r="X184" s="269" t="str">
        <f t="shared" ca="1" si="57"/>
        <v>|||||||||</v>
      </c>
      <c r="Y184" s="434" t="str">
        <f t="shared" ca="1" si="58"/>
        <v/>
      </c>
      <c r="Z184" s="269" t="str">
        <f t="shared" ca="1" si="59"/>
        <v/>
      </c>
      <c r="AA184" s="270" t="str">
        <f t="shared" ca="1" si="60"/>
        <v/>
      </c>
    </row>
    <row r="185" spans="1:27" x14ac:dyDescent="0.25">
      <c r="A185" s="140">
        <f>+'Esc 2'!A195</f>
        <v>1995</v>
      </c>
      <c r="B185" s="140">
        <f>+'Esc 2'!B195</f>
        <v>10</v>
      </c>
      <c r="C185" s="141">
        <f>+'Esc 2'!O195</f>
        <v>2.272372124129153</v>
      </c>
      <c r="D185" s="140">
        <f>+'Esc 2'!D195</f>
        <v>179.3</v>
      </c>
      <c r="E185" s="147">
        <f t="shared" si="63"/>
        <v>114.86999999999999</v>
      </c>
      <c r="F185" s="146">
        <f t="shared" si="63"/>
        <v>59</v>
      </c>
      <c r="G185" s="144">
        <f t="shared" si="62"/>
        <v>6.4430000000000021E-4</v>
      </c>
      <c r="H185" s="145">
        <f>+F185/100000*'Bal Híd'!$G$4</f>
        <v>0.64900000000000002</v>
      </c>
      <c r="I185" s="145">
        <v>0</v>
      </c>
      <c r="J185" s="145">
        <f t="shared" ca="1" si="45"/>
        <v>8.5356648516784048</v>
      </c>
      <c r="K185" s="145">
        <f t="shared" ca="1" si="46"/>
        <v>317.400516745365</v>
      </c>
      <c r="L185" s="145">
        <f t="shared" ca="1" si="47"/>
        <v>297.22812864189399</v>
      </c>
      <c r="M185" s="145">
        <f t="shared" ca="1" si="48"/>
        <v>8.4703579410335124</v>
      </c>
      <c r="N185" s="145">
        <f t="shared" ca="1" si="49"/>
        <v>7.6368477630678893</v>
      </c>
      <c r="O185" s="143">
        <f t="shared" ca="1" si="44"/>
        <v>295.43791936297487</v>
      </c>
      <c r="P185" s="145">
        <f t="shared" ca="1" si="50"/>
        <v>0.8335101779656231</v>
      </c>
      <c r="Q185" s="145">
        <f t="shared" ca="1" si="51"/>
        <v>0.64900000000000002</v>
      </c>
      <c r="R185" s="592">
        <f t="shared" ca="1" si="52"/>
        <v>2.207065213484261</v>
      </c>
      <c r="S185" s="311"/>
      <c r="T185" s="392">
        <f t="shared" si="53"/>
        <v>1995</v>
      </c>
      <c r="U185" s="392">
        <f t="shared" si="54"/>
        <v>10</v>
      </c>
      <c r="V185" s="311">
        <f t="shared" ca="1" si="55"/>
        <v>106</v>
      </c>
      <c r="W185" s="269" t="str">
        <f t="shared" ca="1" si="56"/>
        <v>||||||||||</v>
      </c>
      <c r="X185" s="269" t="str">
        <f t="shared" ca="1" si="57"/>
        <v>||||||||||</v>
      </c>
      <c r="Y185" s="434" t="str">
        <f t="shared" ca="1" si="58"/>
        <v/>
      </c>
      <c r="Z185" s="269" t="str">
        <f t="shared" ca="1" si="59"/>
        <v>|||</v>
      </c>
      <c r="AA185" s="270" t="str">
        <f t="shared" ca="1" si="60"/>
        <v>||||</v>
      </c>
    </row>
    <row r="186" spans="1:27" x14ac:dyDescent="0.25">
      <c r="A186" s="140">
        <f>+'Esc 2'!A196</f>
        <v>1995</v>
      </c>
      <c r="B186" s="140">
        <f>+'Esc 2'!B196</f>
        <v>11</v>
      </c>
      <c r="C186" s="141">
        <f>+'Esc 2'!O196</f>
        <v>0.8178666112538413</v>
      </c>
      <c r="D186" s="140">
        <f>+'Esc 2'!D196</f>
        <v>54.2</v>
      </c>
      <c r="E186" s="147">
        <f t="shared" si="63"/>
        <v>144.06</v>
      </c>
      <c r="F186" s="146">
        <f t="shared" si="63"/>
        <v>212</v>
      </c>
      <c r="G186" s="144">
        <f t="shared" si="62"/>
        <v>-8.9859999999999994E-4</v>
      </c>
      <c r="H186" s="145">
        <f>+F186/100000*'Bal Híd'!$G$4</f>
        <v>2.3319999999999999</v>
      </c>
      <c r="I186" s="145">
        <v>0</v>
      </c>
      <c r="J186" s="145">
        <f t="shared" ca="1" si="45"/>
        <v>6.1227143743217303</v>
      </c>
      <c r="K186" s="145">
        <f t="shared" ca="1" si="46"/>
        <v>256.2236949100984</v>
      </c>
      <c r="L186" s="145">
        <f t="shared" ca="1" si="47"/>
        <v>275.83080713653663</v>
      </c>
      <c r="M186" s="145">
        <f t="shared" ca="1" si="48"/>
        <v>5.7890760781344772</v>
      </c>
      <c r="N186" s="145">
        <f t="shared" ca="1" si="49"/>
        <v>5.7890760781344772</v>
      </c>
      <c r="O186" s="143">
        <f t="shared" ca="1" si="44"/>
        <v>247.13657273654977</v>
      </c>
      <c r="P186" s="145">
        <f t="shared" ca="1" si="50"/>
        <v>0</v>
      </c>
      <c r="Q186" s="145">
        <f t="shared" ca="1" si="51"/>
        <v>2.3319999999999999</v>
      </c>
      <c r="R186" s="592">
        <f t="shared" ca="1" si="52"/>
        <v>0.48422831506658792</v>
      </c>
      <c r="S186" s="311"/>
      <c r="T186" s="392">
        <f t="shared" si="53"/>
        <v>1995</v>
      </c>
      <c r="U186" s="392">
        <f t="shared" si="54"/>
        <v>11</v>
      </c>
      <c r="V186" s="311">
        <f t="shared" ca="1" si="55"/>
        <v>105.31807828330787</v>
      </c>
      <c r="W186" s="269" t="str">
        <f t="shared" ca="1" si="56"/>
        <v>||||||||</v>
      </c>
      <c r="X186" s="269" t="str">
        <f t="shared" ca="1" si="57"/>
        <v>|||||||</v>
      </c>
      <c r="Y186" s="434" t="str">
        <f t="shared" ca="1" si="58"/>
        <v/>
      </c>
      <c r="Z186" s="269" t="str">
        <f t="shared" ca="1" si="59"/>
        <v>|||||||||||</v>
      </c>
      <c r="AA186" s="270" t="str">
        <f t="shared" ca="1" si="60"/>
        <v/>
      </c>
    </row>
    <row r="187" spans="1:27" x14ac:dyDescent="0.25">
      <c r="A187" s="140">
        <f>+'Esc 2'!A197</f>
        <v>1995</v>
      </c>
      <c r="B187" s="140">
        <f>+'Esc 2'!B197</f>
        <v>12</v>
      </c>
      <c r="C187" s="141">
        <f>+'Esc 2'!O197</f>
        <v>0.14152461496823857</v>
      </c>
      <c r="D187" s="140">
        <f>+'Esc 2'!D197</f>
        <v>11</v>
      </c>
      <c r="E187" s="147">
        <f t="shared" si="63"/>
        <v>179.62</v>
      </c>
      <c r="F187" s="146">
        <f t="shared" si="63"/>
        <v>388</v>
      </c>
      <c r="G187" s="144">
        <f t="shared" si="62"/>
        <v>-1.6862000000000001E-3</v>
      </c>
      <c r="H187" s="145">
        <f>+F187/100000*'Bal Híd'!$G$4</f>
        <v>4.2679999999999998</v>
      </c>
      <c r="I187" s="145">
        <v>0</v>
      </c>
      <c r="J187" s="145">
        <f t="shared" ca="1" si="45"/>
        <v>1.662600693102716</v>
      </c>
      <c r="K187" s="145">
        <f t="shared" ca="1" si="46"/>
        <v>110.60275944530049</v>
      </c>
      <c r="L187" s="145">
        <f t="shared" ca="1" si="47"/>
        <v>178.86966609092514</v>
      </c>
      <c r="M187" s="145">
        <f t="shared" ca="1" si="48"/>
        <v>1.3513653919413331</v>
      </c>
      <c r="N187" s="145">
        <f t="shared" ca="1" si="49"/>
        <v>1.3513653919413331</v>
      </c>
      <c r="O187" s="143">
        <f t="shared" ca="1" si="44"/>
        <v>96.773541144296189</v>
      </c>
      <c r="P187" s="145">
        <f t="shared" ca="1" si="50"/>
        <v>0</v>
      </c>
      <c r="Q187" s="145">
        <f t="shared" ca="1" si="51"/>
        <v>4.2679999999999998</v>
      </c>
      <c r="R187" s="592">
        <f t="shared" ca="1" si="52"/>
        <v>-0.16971068619314467</v>
      </c>
      <c r="S187" s="311"/>
      <c r="T187" s="392">
        <f t="shared" si="53"/>
        <v>1995</v>
      </c>
      <c r="U187" s="392">
        <f t="shared" si="54"/>
        <v>12</v>
      </c>
      <c r="V187" s="311">
        <f t="shared" ca="1" si="55"/>
        <v>102.65737773084598</v>
      </c>
      <c r="W187" s="269" t="str">
        <f t="shared" ca="1" si="56"/>
        <v>|||</v>
      </c>
      <c r="X187" s="269" t="str">
        <f t="shared" ca="1" si="57"/>
        <v>|</v>
      </c>
      <c r="Y187" s="434" t="str">
        <f t="shared" ca="1" si="58"/>
        <v/>
      </c>
      <c r="Z187" s="269" t="str">
        <f t="shared" ca="1" si="59"/>
        <v>|||||||||||||||||||||</v>
      </c>
      <c r="AA187" s="270" t="str">
        <f t="shared" ca="1" si="60"/>
        <v/>
      </c>
    </row>
    <row r="188" spans="1:27" x14ac:dyDescent="0.25">
      <c r="A188" s="140">
        <f>+'Esc 2'!A198</f>
        <v>1996</v>
      </c>
      <c r="B188" s="140">
        <f>+'Esc 2'!B198</f>
        <v>1</v>
      </c>
      <c r="C188" s="141">
        <f>+'Esc 2'!O198</f>
        <v>4.721192703338625</v>
      </c>
      <c r="D188" s="140">
        <f>+'Esc 2'!D198</f>
        <v>358.7</v>
      </c>
      <c r="E188" s="147">
        <f t="shared" si="63"/>
        <v>176.89</v>
      </c>
      <c r="F188" s="146">
        <f t="shared" si="63"/>
        <v>318</v>
      </c>
      <c r="G188" s="144">
        <f t="shared" si="62"/>
        <v>1.8181E-3</v>
      </c>
      <c r="H188" s="145">
        <f>+F188/100000*'Bal Híd'!$G$4</f>
        <v>3.4980000000000002</v>
      </c>
      <c r="I188" s="145">
        <v>0</v>
      </c>
      <c r="J188" s="145">
        <f t="shared" ca="1" si="45"/>
        <v>2.5745580952799578</v>
      </c>
      <c r="K188" s="145">
        <f t="shared" ca="1" si="46"/>
        <v>146.60693866411805</v>
      </c>
      <c r="L188" s="145">
        <f t="shared" ca="1" si="47"/>
        <v>121.69023990420712</v>
      </c>
      <c r="M188" s="145">
        <f t="shared" ca="1" si="48"/>
        <v>2.5773532829200372</v>
      </c>
      <c r="N188" s="145">
        <f t="shared" ca="1" si="49"/>
        <v>2.5773532829200372</v>
      </c>
      <c r="O188" s="143">
        <f t="shared" ca="1" si="44"/>
        <v>146.70949468638489</v>
      </c>
      <c r="P188" s="145">
        <f t="shared" ca="1" si="50"/>
        <v>0</v>
      </c>
      <c r="Q188" s="145">
        <f t="shared" ca="1" si="51"/>
        <v>3.4980000000000002</v>
      </c>
      <c r="R188" s="592">
        <f t="shared" ca="1" si="52"/>
        <v>4.7239878909787043</v>
      </c>
      <c r="S188" s="311"/>
      <c r="T188" s="392">
        <f t="shared" si="53"/>
        <v>1996</v>
      </c>
      <c r="U188" s="392">
        <f t="shared" si="54"/>
        <v>1</v>
      </c>
      <c r="V188" s="311">
        <f t="shared" ca="1" si="55"/>
        <v>103.67085654667825</v>
      </c>
      <c r="W188" s="269" t="str">
        <f t="shared" ca="1" si="56"/>
        <v>|||||</v>
      </c>
      <c r="X188" s="269" t="str">
        <f t="shared" ca="1" si="57"/>
        <v>|||</v>
      </c>
      <c r="Y188" s="434" t="str">
        <f t="shared" ca="1" si="58"/>
        <v/>
      </c>
      <c r="Z188" s="269" t="str">
        <f t="shared" ca="1" si="59"/>
        <v>|||||||||||||||||</v>
      </c>
      <c r="AA188" s="270" t="str">
        <f t="shared" ca="1" si="60"/>
        <v/>
      </c>
    </row>
    <row r="189" spans="1:27" x14ac:dyDescent="0.25">
      <c r="A189" s="140">
        <f>+'Esc 2'!A199</f>
        <v>1996</v>
      </c>
      <c r="B189" s="140">
        <f>+'Esc 2'!B199</f>
        <v>2</v>
      </c>
      <c r="C189" s="141">
        <f>+'Esc 2'!O199</f>
        <v>1.5984929857180759</v>
      </c>
      <c r="D189" s="140">
        <f>+'Esc 2'!D199</f>
        <v>91.1</v>
      </c>
      <c r="E189" s="147">
        <f t="shared" si="63"/>
        <v>131.73999999999998</v>
      </c>
      <c r="F189" s="146">
        <f t="shared" si="63"/>
        <v>153</v>
      </c>
      <c r="G189" s="144">
        <f t="shared" si="62"/>
        <v>-4.0639999999999985E-4</v>
      </c>
      <c r="H189" s="145">
        <f>+F189/100000*'Bal Híd'!$G$4</f>
        <v>1.6829999999999998</v>
      </c>
      <c r="I189" s="145">
        <v>0</v>
      </c>
      <c r="J189" s="145">
        <f t="shared" ca="1" si="45"/>
        <v>2.4928462686381128</v>
      </c>
      <c r="K189" s="145">
        <f t="shared" ca="1" si="46"/>
        <v>143.59116940823216</v>
      </c>
      <c r="L189" s="145">
        <f t="shared" ca="1" si="47"/>
        <v>145.15033204730852</v>
      </c>
      <c r="M189" s="145">
        <f t="shared" ca="1" si="48"/>
        <v>2.3456359616590028</v>
      </c>
      <c r="N189" s="145">
        <f t="shared" ca="1" si="49"/>
        <v>2.3456359616590028</v>
      </c>
      <c r="O189" s="143">
        <f t="shared" ca="1" si="44"/>
        <v>138.06768643349073</v>
      </c>
      <c r="P189" s="145">
        <f t="shared" ca="1" si="50"/>
        <v>0</v>
      </c>
      <c r="Q189" s="145">
        <f t="shared" ca="1" si="51"/>
        <v>1.6829999999999998</v>
      </c>
      <c r="R189" s="592">
        <f t="shared" ca="1" si="52"/>
        <v>1.4512826787389652</v>
      </c>
      <c r="S189" s="311"/>
      <c r="T189" s="392">
        <f t="shared" si="53"/>
        <v>1996</v>
      </c>
      <c r="U189" s="392">
        <f t="shared" si="54"/>
        <v>2</v>
      </c>
      <c r="V189" s="311">
        <f t="shared" ca="1" si="55"/>
        <v>103.50809826964938</v>
      </c>
      <c r="W189" s="269" t="str">
        <f t="shared" ca="1" si="56"/>
        <v>|||||</v>
      </c>
      <c r="X189" s="269" t="str">
        <f t="shared" ca="1" si="57"/>
        <v>||</v>
      </c>
      <c r="Y189" s="434" t="str">
        <f t="shared" ca="1" si="58"/>
        <v/>
      </c>
      <c r="Z189" s="269" t="str">
        <f t="shared" ca="1" si="59"/>
        <v>||||||||</v>
      </c>
      <c r="AA189" s="270" t="str">
        <f t="shared" ca="1" si="60"/>
        <v/>
      </c>
    </row>
    <row r="190" spans="1:27" x14ac:dyDescent="0.25">
      <c r="A190" s="140">
        <f>+'Esc 2'!A200</f>
        <v>1996</v>
      </c>
      <c r="B190" s="140">
        <f>+'Esc 2'!B200</f>
        <v>3</v>
      </c>
      <c r="C190" s="141">
        <f>+'Esc 2'!O200</f>
        <v>1.0094538423990449</v>
      </c>
      <c r="D190" s="140">
        <f>+'Esc 2'!D200</f>
        <v>98.3</v>
      </c>
      <c r="E190" s="147">
        <f t="shared" si="63"/>
        <v>118.64999999999999</v>
      </c>
      <c r="F190" s="146">
        <f t="shared" si="63"/>
        <v>47</v>
      </c>
      <c r="G190" s="144">
        <f t="shared" si="62"/>
        <v>-2.0349999999999993E-4</v>
      </c>
      <c r="H190" s="145">
        <f>+F190/100000*'Bal Híd'!$G$4</f>
        <v>0.51700000000000002</v>
      </c>
      <c r="I190" s="145">
        <v>0</v>
      </c>
      <c r="J190" s="145">
        <f t="shared" ca="1" si="45"/>
        <v>2.8380898040580478</v>
      </c>
      <c r="K190" s="145">
        <f t="shared" ca="1" si="46"/>
        <v>156.10953163780945</v>
      </c>
      <c r="L190" s="145">
        <f t="shared" ca="1" si="47"/>
        <v>147.08860903565011</v>
      </c>
      <c r="M190" s="145">
        <f t="shared" ca="1" si="48"/>
        <v>2.7517013171519289</v>
      </c>
      <c r="N190" s="145">
        <f t="shared" ca="1" si="49"/>
        <v>2.7517013171519289</v>
      </c>
      <c r="O190" s="143">
        <f t="shared" ca="1" si="44"/>
        <v>153.03047356174034</v>
      </c>
      <c r="P190" s="145">
        <f t="shared" ca="1" si="50"/>
        <v>0</v>
      </c>
      <c r="Q190" s="145">
        <f t="shared" ca="1" si="51"/>
        <v>0.51700000000000002</v>
      </c>
      <c r="R190" s="592">
        <f t="shared" ca="1" si="52"/>
        <v>0.9230653554929259</v>
      </c>
      <c r="S190" s="311"/>
      <c r="T190" s="392">
        <f t="shared" si="53"/>
        <v>1996</v>
      </c>
      <c r="U190" s="392">
        <f t="shared" si="54"/>
        <v>3</v>
      </c>
      <c r="V190" s="311">
        <f t="shared" ca="1" si="55"/>
        <v>103.78719713524715</v>
      </c>
      <c r="W190" s="269" t="str">
        <f t="shared" ca="1" si="56"/>
        <v>|||||</v>
      </c>
      <c r="X190" s="269" t="str">
        <f t="shared" ca="1" si="57"/>
        <v>|||</v>
      </c>
      <c r="Y190" s="434" t="str">
        <f t="shared" ca="1" si="58"/>
        <v/>
      </c>
      <c r="Z190" s="269" t="str">
        <f t="shared" ca="1" si="59"/>
        <v>||</v>
      </c>
      <c r="AA190" s="270" t="str">
        <f t="shared" ca="1" si="60"/>
        <v/>
      </c>
    </row>
    <row r="191" spans="1:27" x14ac:dyDescent="0.25">
      <c r="A191" s="140">
        <f>+'Esc 2'!A201</f>
        <v>1996</v>
      </c>
      <c r="B191" s="140">
        <f>+'Esc 2'!B201</f>
        <v>4</v>
      </c>
      <c r="C191" s="141">
        <f>+'Esc 2'!O201</f>
        <v>5.0738029597072147</v>
      </c>
      <c r="D191" s="140">
        <f>+'Esc 2'!D201</f>
        <v>300.8</v>
      </c>
      <c r="E191" s="147">
        <f t="shared" si="63"/>
        <v>73.149999999999991</v>
      </c>
      <c r="F191" s="146">
        <f t="shared" si="63"/>
        <v>0</v>
      </c>
      <c r="G191" s="144">
        <f t="shared" si="62"/>
        <v>2.2765000000000003E-3</v>
      </c>
      <c r="H191" s="145">
        <f>+F191/100000*'Bal Híd'!$G$4</f>
        <v>0</v>
      </c>
      <c r="I191" s="145">
        <v>0</v>
      </c>
      <c r="J191" s="145">
        <f t="shared" ca="1" si="45"/>
        <v>7.8255042768591441</v>
      </c>
      <c r="K191" s="145">
        <f t="shared" ca="1" si="46"/>
        <v>300.12082730599633</v>
      </c>
      <c r="L191" s="145">
        <f t="shared" ca="1" si="47"/>
        <v>226.57565043386833</v>
      </c>
      <c r="M191" s="145">
        <f t="shared" ca="1" si="48"/>
        <v>7.9041934006730044</v>
      </c>
      <c r="N191" s="145">
        <f t="shared" ca="1" si="49"/>
        <v>7.6368477630678893</v>
      </c>
      <c r="O191" s="143">
        <f t="shared" ca="1" si="44"/>
        <v>295.43791936297487</v>
      </c>
      <c r="P191" s="145">
        <f t="shared" ca="1" si="50"/>
        <v>0.26734563760511509</v>
      </c>
      <c r="Q191" s="145">
        <f t="shared" ca="1" si="51"/>
        <v>0</v>
      </c>
      <c r="R191" s="592">
        <f t="shared" ca="1" si="52"/>
        <v>5.1524920835210759</v>
      </c>
      <c r="S191" s="311"/>
      <c r="T191" s="392">
        <f t="shared" si="53"/>
        <v>1996</v>
      </c>
      <c r="U191" s="392">
        <f t="shared" si="54"/>
        <v>4</v>
      </c>
      <c r="V191" s="311">
        <f t="shared" ca="1" si="55"/>
        <v>106</v>
      </c>
      <c r="W191" s="269" t="str">
        <f t="shared" ca="1" si="56"/>
        <v>||||||||||</v>
      </c>
      <c r="X191" s="269" t="str">
        <f t="shared" ca="1" si="57"/>
        <v>||||||||||</v>
      </c>
      <c r="Y191" s="434" t="str">
        <f t="shared" ca="1" si="58"/>
        <v/>
      </c>
      <c r="Z191" s="269" t="str">
        <f t="shared" ca="1" si="59"/>
        <v/>
      </c>
      <c r="AA191" s="270" t="str">
        <f t="shared" ca="1" si="60"/>
        <v>|</v>
      </c>
    </row>
    <row r="192" spans="1:27" x14ac:dyDescent="0.25">
      <c r="A192" s="140">
        <f>+'Esc 2'!A202</f>
        <v>1996</v>
      </c>
      <c r="B192" s="140">
        <f>+'Esc 2'!B202</f>
        <v>5</v>
      </c>
      <c r="C192" s="141">
        <f>+'Esc 2'!O202</f>
        <v>1.0938720677932481</v>
      </c>
      <c r="D192" s="140">
        <f>+'Esc 2'!D202</f>
        <v>10.7</v>
      </c>
      <c r="E192" s="147">
        <f t="shared" si="63"/>
        <v>51.24</v>
      </c>
      <c r="F192" s="146">
        <f t="shared" si="63"/>
        <v>0</v>
      </c>
      <c r="G192" s="144">
        <f t="shared" si="62"/>
        <v>-4.0540000000000004E-4</v>
      </c>
      <c r="H192" s="145">
        <f>+F192/100000*'Bal Híd'!$G$4</f>
        <v>0</v>
      </c>
      <c r="I192" s="145">
        <v>0</v>
      </c>
      <c r="J192" s="145">
        <f t="shared" ca="1" si="45"/>
        <v>8.7307198308611369</v>
      </c>
      <c r="K192" s="145">
        <f t="shared" ca="1" si="46"/>
        <v>322.05594432497026</v>
      </c>
      <c r="L192" s="145">
        <f t="shared" ca="1" si="47"/>
        <v>308.74693184397256</v>
      </c>
      <c r="M192" s="145">
        <f t="shared" ca="1" si="48"/>
        <v>8.4771395110942578</v>
      </c>
      <c r="N192" s="145">
        <f t="shared" ca="1" si="49"/>
        <v>7.6368477630678893</v>
      </c>
      <c r="O192" s="143">
        <f t="shared" ca="1" si="44"/>
        <v>295.43791936297487</v>
      </c>
      <c r="P192" s="145">
        <f t="shared" ca="1" si="50"/>
        <v>0.84029174802636852</v>
      </c>
      <c r="Q192" s="145">
        <f t="shared" ca="1" si="51"/>
        <v>0</v>
      </c>
      <c r="R192" s="592">
        <f t="shared" ca="1" si="52"/>
        <v>0.84029174802636808</v>
      </c>
      <c r="S192" s="311"/>
      <c r="T192" s="392">
        <f t="shared" si="53"/>
        <v>1996</v>
      </c>
      <c r="U192" s="392">
        <f t="shared" si="54"/>
        <v>5</v>
      </c>
      <c r="V192" s="311">
        <f t="shared" ca="1" si="55"/>
        <v>106</v>
      </c>
      <c r="W192" s="269" t="str">
        <f t="shared" ca="1" si="56"/>
        <v>||||||||||</v>
      </c>
      <c r="X192" s="269" t="str">
        <f t="shared" ca="1" si="57"/>
        <v>||||||||||</v>
      </c>
      <c r="Y192" s="434" t="str">
        <f t="shared" ca="1" si="58"/>
        <v/>
      </c>
      <c r="Z192" s="269" t="str">
        <f t="shared" ca="1" si="59"/>
        <v/>
      </c>
      <c r="AA192" s="270" t="str">
        <f t="shared" ca="1" si="60"/>
        <v>||||</v>
      </c>
    </row>
    <row r="193" spans="1:27" x14ac:dyDescent="0.25">
      <c r="A193" s="140">
        <f>+'Esc 2'!A203</f>
        <v>1996</v>
      </c>
      <c r="B193" s="140">
        <f>+'Esc 2'!B203</f>
        <v>6</v>
      </c>
      <c r="C193" s="141">
        <f>+'Esc 2'!O203</f>
        <v>0.17107481196927027</v>
      </c>
      <c r="D193" s="140">
        <f>+'Esc 2'!D203</f>
        <v>20.2</v>
      </c>
      <c r="E193" s="147">
        <f t="shared" ref="E193:F212" si="64">+E181</f>
        <v>41.019999999999996</v>
      </c>
      <c r="F193" s="146">
        <f t="shared" si="64"/>
        <v>0</v>
      </c>
      <c r="G193" s="144">
        <f t="shared" si="62"/>
        <v>-2.0819999999999996E-4</v>
      </c>
      <c r="H193" s="145">
        <f>+F193/100000*'Bal Híd'!$G$4</f>
        <v>0</v>
      </c>
      <c r="I193" s="145">
        <v>0</v>
      </c>
      <c r="J193" s="145">
        <f t="shared" ca="1" si="45"/>
        <v>7.8079225750371597</v>
      </c>
      <c r="K193" s="145">
        <f t="shared" ca="1" si="46"/>
        <v>299.68611645118938</v>
      </c>
      <c r="L193" s="145">
        <f t="shared" ca="1" si="47"/>
        <v>297.56201790708212</v>
      </c>
      <c r="M193" s="145">
        <f t="shared" ca="1" si="48"/>
        <v>7.726614510337555</v>
      </c>
      <c r="N193" s="145">
        <f t="shared" ca="1" si="49"/>
        <v>7.6368477630678893</v>
      </c>
      <c r="O193" s="143">
        <f t="shared" ca="1" si="44"/>
        <v>295.43791936297487</v>
      </c>
      <c r="P193" s="145">
        <f t="shared" ca="1" si="50"/>
        <v>8.9766747269665714E-2</v>
      </c>
      <c r="Q193" s="145">
        <f t="shared" ca="1" si="51"/>
        <v>0</v>
      </c>
      <c r="R193" s="592">
        <f t="shared" ca="1" si="52"/>
        <v>8.97667472696657E-2</v>
      </c>
      <c r="S193" s="311"/>
      <c r="T193" s="392">
        <f t="shared" si="53"/>
        <v>1996</v>
      </c>
      <c r="U193" s="392">
        <f t="shared" si="54"/>
        <v>6</v>
      </c>
      <c r="V193" s="311">
        <f t="shared" ca="1" si="55"/>
        <v>106</v>
      </c>
      <c r="W193" s="269" t="str">
        <f t="shared" ca="1" si="56"/>
        <v>||||||||||</v>
      </c>
      <c r="X193" s="269" t="str">
        <f t="shared" ca="1" si="57"/>
        <v>||||||||||</v>
      </c>
      <c r="Y193" s="434" t="str">
        <f t="shared" ca="1" si="58"/>
        <v/>
      </c>
      <c r="Z193" s="269" t="str">
        <f t="shared" ca="1" si="59"/>
        <v/>
      </c>
      <c r="AA193" s="270" t="str">
        <f t="shared" ca="1" si="60"/>
        <v/>
      </c>
    </row>
    <row r="194" spans="1:27" x14ac:dyDescent="0.25">
      <c r="A194" s="140">
        <f>+'Esc 2'!A204</f>
        <v>1996</v>
      </c>
      <c r="B194" s="140">
        <f>+'Esc 2'!B204</f>
        <v>7</v>
      </c>
      <c r="C194" s="141">
        <f>+'Esc 2'!O204</f>
        <v>0.11672546968216982</v>
      </c>
      <c r="D194" s="140">
        <f>+'Esc 2'!D204</f>
        <v>23.4</v>
      </c>
      <c r="E194" s="147">
        <f t="shared" si="64"/>
        <v>50.819999999999993</v>
      </c>
      <c r="F194" s="146">
        <f t="shared" si="64"/>
        <v>0</v>
      </c>
      <c r="G194" s="144">
        <f t="shared" si="62"/>
        <v>-2.7419999999999994E-4</v>
      </c>
      <c r="H194" s="145">
        <f>+F194/100000*'Bal Híd'!$G$4</f>
        <v>0</v>
      </c>
      <c r="I194" s="145">
        <v>0</v>
      </c>
      <c r="J194" s="145">
        <f t="shared" ca="1" si="45"/>
        <v>7.7535732327500595</v>
      </c>
      <c r="K194" s="145">
        <f t="shared" ca="1" si="46"/>
        <v>298.34011235521757</v>
      </c>
      <c r="L194" s="145">
        <f t="shared" ca="1" si="47"/>
        <v>296.88901585909622</v>
      </c>
      <c r="M194" s="145">
        <f t="shared" ca="1" si="48"/>
        <v>7.6589896448982131</v>
      </c>
      <c r="N194" s="145">
        <f t="shared" ca="1" si="49"/>
        <v>7.6368477630678893</v>
      </c>
      <c r="O194" s="143">
        <f t="shared" ca="1" si="44"/>
        <v>295.43791936297487</v>
      </c>
      <c r="P194" s="145">
        <f t="shared" ca="1" si="50"/>
        <v>2.214188183032384E-2</v>
      </c>
      <c r="Q194" s="145">
        <f t="shared" ca="1" si="51"/>
        <v>0</v>
      </c>
      <c r="R194" s="592">
        <f t="shared" ca="1" si="52"/>
        <v>2.2141881830324214E-2</v>
      </c>
      <c r="S194" s="311"/>
      <c r="T194" s="392">
        <f t="shared" si="53"/>
        <v>1996</v>
      </c>
      <c r="U194" s="392">
        <f t="shared" si="54"/>
        <v>7</v>
      </c>
      <c r="V194" s="311">
        <f t="shared" ca="1" si="55"/>
        <v>106</v>
      </c>
      <c r="W194" s="269" t="str">
        <f t="shared" ca="1" si="56"/>
        <v>||||||||||</v>
      </c>
      <c r="X194" s="269" t="str">
        <f t="shared" ca="1" si="57"/>
        <v>||||||||||</v>
      </c>
      <c r="Y194" s="434" t="str">
        <f t="shared" ca="1" si="58"/>
        <v/>
      </c>
      <c r="Z194" s="269" t="str">
        <f t="shared" ca="1" si="59"/>
        <v/>
      </c>
      <c r="AA194" s="270" t="str">
        <f t="shared" ca="1" si="60"/>
        <v/>
      </c>
    </row>
    <row r="195" spans="1:27" x14ac:dyDescent="0.25">
      <c r="A195" s="140">
        <f>+'Esc 2'!A205</f>
        <v>1996</v>
      </c>
      <c r="B195" s="140">
        <f>+'Esc 2'!B205</f>
        <v>8</v>
      </c>
      <c r="C195" s="141">
        <f>+'Esc 2'!O205</f>
        <v>0.1984378821467927</v>
      </c>
      <c r="D195" s="140">
        <f>+'Esc 2'!D205</f>
        <v>35.9</v>
      </c>
      <c r="E195" s="147">
        <f t="shared" si="64"/>
        <v>72.449999999999989</v>
      </c>
      <c r="F195" s="146">
        <f t="shared" si="64"/>
        <v>0</v>
      </c>
      <c r="G195" s="144">
        <f t="shared" si="62"/>
        <v>-3.6549999999999989E-4</v>
      </c>
      <c r="H195" s="145">
        <f>+F195/100000*'Bal Híd'!$G$4</f>
        <v>0</v>
      </c>
      <c r="I195" s="145">
        <v>0</v>
      </c>
      <c r="J195" s="145">
        <f t="shared" ca="1" si="45"/>
        <v>7.8352856452146824</v>
      </c>
      <c r="K195" s="145">
        <f t="shared" ca="1" si="46"/>
        <v>300.36252311388188</v>
      </c>
      <c r="L195" s="145">
        <f t="shared" ca="1" si="47"/>
        <v>297.90022123842834</v>
      </c>
      <c r="M195" s="145">
        <f t="shared" ca="1" si="48"/>
        <v>7.7039260462936276</v>
      </c>
      <c r="N195" s="145">
        <f t="shared" ca="1" si="49"/>
        <v>7.6368477630678893</v>
      </c>
      <c r="O195" s="143">
        <f t="shared" ca="1" si="44"/>
        <v>295.43791936297487</v>
      </c>
      <c r="P195" s="145">
        <f t="shared" ca="1" si="50"/>
        <v>6.7078283225738389E-2</v>
      </c>
      <c r="Q195" s="145">
        <f t="shared" ca="1" si="51"/>
        <v>0</v>
      </c>
      <c r="R195" s="592">
        <f t="shared" ca="1" si="52"/>
        <v>6.7078283225738514E-2</v>
      </c>
      <c r="S195" s="311"/>
      <c r="T195" s="392">
        <f t="shared" si="53"/>
        <v>1996</v>
      </c>
      <c r="U195" s="392">
        <f t="shared" si="54"/>
        <v>8</v>
      </c>
      <c r="V195" s="311">
        <f t="shared" ca="1" si="55"/>
        <v>106</v>
      </c>
      <c r="W195" s="269" t="str">
        <f t="shared" ca="1" si="56"/>
        <v>||||||||||</v>
      </c>
      <c r="X195" s="269" t="str">
        <f t="shared" ca="1" si="57"/>
        <v>||||||||||</v>
      </c>
      <c r="Y195" s="434" t="str">
        <f t="shared" ca="1" si="58"/>
        <v/>
      </c>
      <c r="Z195" s="269" t="str">
        <f t="shared" ca="1" si="59"/>
        <v/>
      </c>
      <c r="AA195" s="270" t="str">
        <f t="shared" ca="1" si="60"/>
        <v/>
      </c>
    </row>
    <row r="196" spans="1:27" x14ac:dyDescent="0.25">
      <c r="A196" s="140">
        <f>+'Esc 2'!A206</f>
        <v>1996</v>
      </c>
      <c r="B196" s="140">
        <f>+'Esc 2'!B206</f>
        <v>9</v>
      </c>
      <c r="C196" s="141">
        <f>+'Esc 2'!O206</f>
        <v>0.67536493750691695</v>
      </c>
      <c r="D196" s="140">
        <f>+'Esc 2'!D206</f>
        <v>79.7</v>
      </c>
      <c r="E196" s="147">
        <f t="shared" si="64"/>
        <v>85.89</v>
      </c>
      <c r="F196" s="146">
        <f t="shared" si="64"/>
        <v>0</v>
      </c>
      <c r="G196" s="144">
        <f t="shared" si="62"/>
        <v>-6.1899999999999973E-5</v>
      </c>
      <c r="H196" s="145">
        <f>+F196/100000*'Bal Híd'!$G$4</f>
        <v>0</v>
      </c>
      <c r="I196" s="145">
        <v>0</v>
      </c>
      <c r="J196" s="145">
        <f t="shared" ca="1" si="45"/>
        <v>8.3122127005748059</v>
      </c>
      <c r="K196" s="145">
        <f t="shared" ca="1" si="46"/>
        <v>312.02057358158174</v>
      </c>
      <c r="L196" s="145">
        <f t="shared" ca="1" si="47"/>
        <v>303.72924647227831</v>
      </c>
      <c r="M196" s="145">
        <f t="shared" ca="1" si="48"/>
        <v>8.215416391182897</v>
      </c>
      <c r="N196" s="145">
        <f t="shared" ca="1" si="49"/>
        <v>7.6368477630678893</v>
      </c>
      <c r="O196" s="143">
        <f t="shared" ca="1" si="44"/>
        <v>295.43791936297487</v>
      </c>
      <c r="P196" s="145">
        <f t="shared" ca="1" si="50"/>
        <v>0.57856862811500775</v>
      </c>
      <c r="Q196" s="145">
        <f t="shared" ca="1" si="51"/>
        <v>0</v>
      </c>
      <c r="R196" s="592">
        <f t="shared" ca="1" si="52"/>
        <v>0.57856862811500798</v>
      </c>
      <c r="S196" s="311"/>
      <c r="T196" s="392">
        <f t="shared" si="53"/>
        <v>1996</v>
      </c>
      <c r="U196" s="392">
        <f t="shared" si="54"/>
        <v>9</v>
      </c>
      <c r="V196" s="311">
        <f t="shared" ca="1" si="55"/>
        <v>106</v>
      </c>
      <c r="W196" s="269" t="str">
        <f t="shared" ca="1" si="56"/>
        <v>||||||||||</v>
      </c>
      <c r="X196" s="269" t="str">
        <f t="shared" ca="1" si="57"/>
        <v>||||||||||</v>
      </c>
      <c r="Y196" s="434" t="str">
        <f t="shared" ca="1" si="58"/>
        <v/>
      </c>
      <c r="Z196" s="269" t="str">
        <f t="shared" ca="1" si="59"/>
        <v/>
      </c>
      <c r="AA196" s="270" t="str">
        <f t="shared" ca="1" si="60"/>
        <v>||</v>
      </c>
    </row>
    <row r="197" spans="1:27" x14ac:dyDescent="0.25">
      <c r="A197" s="140">
        <f>+'Esc 2'!A207</f>
        <v>1996</v>
      </c>
      <c r="B197" s="140">
        <f>+'Esc 2'!B207</f>
        <v>10</v>
      </c>
      <c r="C197" s="141">
        <f>+'Esc 2'!O207</f>
        <v>1.2664734520006768</v>
      </c>
      <c r="D197" s="140">
        <f>+'Esc 2'!D207</f>
        <v>120.9</v>
      </c>
      <c r="E197" s="147">
        <f t="shared" si="64"/>
        <v>114.86999999999999</v>
      </c>
      <c r="F197" s="146">
        <f t="shared" si="64"/>
        <v>59</v>
      </c>
      <c r="G197" s="144">
        <f t="shared" si="62"/>
        <v>6.0300000000000151E-5</v>
      </c>
      <c r="H197" s="145">
        <f>+F197/100000*'Bal Híd'!$G$4</f>
        <v>0.64900000000000002</v>
      </c>
      <c r="I197" s="145">
        <v>0</v>
      </c>
      <c r="J197" s="145">
        <f t="shared" ca="1" si="45"/>
        <v>8.2543212150685648</v>
      </c>
      <c r="K197" s="145">
        <f t="shared" ca="1" si="46"/>
        <v>310.61839755548334</v>
      </c>
      <c r="L197" s="145">
        <f t="shared" ca="1" si="47"/>
        <v>303.02815845922908</v>
      </c>
      <c r="M197" s="145">
        <f t="shared" ca="1" si="48"/>
        <v>8.1266709545075848</v>
      </c>
      <c r="N197" s="145">
        <f t="shared" ca="1" si="49"/>
        <v>7.6368477630678893</v>
      </c>
      <c r="O197" s="143">
        <f t="shared" ca="1" si="44"/>
        <v>295.43791936297487</v>
      </c>
      <c r="P197" s="145">
        <f t="shared" ca="1" si="50"/>
        <v>0.48982319143969555</v>
      </c>
      <c r="Q197" s="145">
        <f t="shared" ca="1" si="51"/>
        <v>0.64900000000000002</v>
      </c>
      <c r="R197" s="592">
        <f t="shared" ca="1" si="52"/>
        <v>1.1388231914396969</v>
      </c>
      <c r="S197" s="311"/>
      <c r="T197" s="392">
        <f t="shared" si="53"/>
        <v>1996</v>
      </c>
      <c r="U197" s="392">
        <f t="shared" si="54"/>
        <v>10</v>
      </c>
      <c r="V197" s="311">
        <f t="shared" ca="1" si="55"/>
        <v>106</v>
      </c>
      <c r="W197" s="269" t="str">
        <f t="shared" ca="1" si="56"/>
        <v>||||||||||</v>
      </c>
      <c r="X197" s="269" t="str">
        <f t="shared" ca="1" si="57"/>
        <v>||||||||||</v>
      </c>
      <c r="Y197" s="434" t="str">
        <f t="shared" ca="1" si="58"/>
        <v/>
      </c>
      <c r="Z197" s="269" t="str">
        <f t="shared" ca="1" si="59"/>
        <v>|||</v>
      </c>
      <c r="AA197" s="270" t="str">
        <f t="shared" ca="1" si="60"/>
        <v>||</v>
      </c>
    </row>
    <row r="198" spans="1:27" x14ac:dyDescent="0.25">
      <c r="A198" s="140">
        <f>+'Esc 2'!A208</f>
        <v>1996</v>
      </c>
      <c r="B198" s="140">
        <f>+'Esc 2'!B208</f>
        <v>11</v>
      </c>
      <c r="C198" s="141">
        <f>+'Esc 2'!O208</f>
        <v>1.1212041818026688</v>
      </c>
      <c r="D198" s="140">
        <f>+'Esc 2'!D208</f>
        <v>108.6</v>
      </c>
      <c r="E198" s="147">
        <f t="shared" si="64"/>
        <v>144.06</v>
      </c>
      <c r="F198" s="146">
        <f t="shared" si="64"/>
        <v>212</v>
      </c>
      <c r="G198" s="144">
        <f t="shared" si="62"/>
        <v>-3.5460000000000005E-4</v>
      </c>
      <c r="H198" s="145">
        <f>+F198/100000*'Bal Híd'!$G$4</f>
        <v>2.3319999999999999</v>
      </c>
      <c r="I198" s="145">
        <v>0</v>
      </c>
      <c r="J198" s="145">
        <f t="shared" ca="1" si="45"/>
        <v>6.4260519448705589</v>
      </c>
      <c r="K198" s="145">
        <f t="shared" ca="1" si="46"/>
        <v>264.33378154091258</v>
      </c>
      <c r="L198" s="145">
        <f t="shared" ca="1" si="47"/>
        <v>279.88585045194372</v>
      </c>
      <c r="M198" s="145">
        <f t="shared" ca="1" si="48"/>
        <v>6.2074853401884686</v>
      </c>
      <c r="N198" s="145">
        <f t="shared" ca="1" si="49"/>
        <v>6.2074853401884686</v>
      </c>
      <c r="O198" s="143">
        <f t="shared" ca="1" si="44"/>
        <v>258.50425192435415</v>
      </c>
      <c r="P198" s="145">
        <f t="shared" ca="1" si="50"/>
        <v>0</v>
      </c>
      <c r="Q198" s="145">
        <f t="shared" ca="1" si="51"/>
        <v>2.3319999999999999</v>
      </c>
      <c r="R198" s="592">
        <f t="shared" ca="1" si="52"/>
        <v>0.90263757712057846</v>
      </c>
      <c r="S198" s="311"/>
      <c r="T198" s="392">
        <f t="shared" si="53"/>
        <v>1996</v>
      </c>
      <c r="U198" s="392">
        <f t="shared" si="54"/>
        <v>11</v>
      </c>
      <c r="V198" s="311">
        <f t="shared" ca="1" si="55"/>
        <v>105.48358741428095</v>
      </c>
      <c r="W198" s="269" t="str">
        <f t="shared" ca="1" si="56"/>
        <v>|||||||||</v>
      </c>
      <c r="X198" s="269" t="str">
        <f t="shared" ca="1" si="57"/>
        <v>||||||||</v>
      </c>
      <c r="Y198" s="434" t="str">
        <f t="shared" ca="1" si="58"/>
        <v/>
      </c>
      <c r="Z198" s="269" t="str">
        <f t="shared" ca="1" si="59"/>
        <v>|||||||||||</v>
      </c>
      <c r="AA198" s="270" t="str">
        <f t="shared" ca="1" si="60"/>
        <v/>
      </c>
    </row>
    <row r="199" spans="1:27" x14ac:dyDescent="0.25">
      <c r="A199" s="140">
        <f>+'Esc 2'!A209</f>
        <v>1996</v>
      </c>
      <c r="B199" s="140">
        <f>+'Esc 2'!B209</f>
        <v>12</v>
      </c>
      <c r="C199" s="141">
        <f>+'Esc 2'!O209</f>
        <v>0.80347538058367485</v>
      </c>
      <c r="D199" s="140">
        <f>+'Esc 2'!D209</f>
        <v>93.1</v>
      </c>
      <c r="E199" s="147">
        <f t="shared" si="64"/>
        <v>179.62</v>
      </c>
      <c r="F199" s="146">
        <f t="shared" si="64"/>
        <v>388</v>
      </c>
      <c r="G199" s="144">
        <f t="shared" si="62"/>
        <v>-8.6520000000000011E-4</v>
      </c>
      <c r="H199" s="145">
        <f>+F199/100000*'Bal Híd'!$G$4</f>
        <v>4.2679999999999998</v>
      </c>
      <c r="I199" s="145">
        <v>0</v>
      </c>
      <c r="J199" s="145">
        <f t="shared" ca="1" si="45"/>
        <v>2.7429607207721434</v>
      </c>
      <c r="K199" s="145">
        <f t="shared" ca="1" si="46"/>
        <v>152.71704007563812</v>
      </c>
      <c r="L199" s="145">
        <f t="shared" ca="1" si="47"/>
        <v>205.61064599999614</v>
      </c>
      <c r="M199" s="145">
        <f t="shared" ca="1" si="48"/>
        <v>2.5022515259567868</v>
      </c>
      <c r="N199" s="145">
        <f t="shared" ca="1" si="49"/>
        <v>2.5022515259567868</v>
      </c>
      <c r="O199" s="143">
        <f t="shared" ref="O199:O262" ca="1" si="65">+g_*N199^h_</f>
        <v>143.94006395229658</v>
      </c>
      <c r="P199" s="145">
        <f t="shared" ca="1" si="50"/>
        <v>0</v>
      </c>
      <c r="Q199" s="145">
        <f t="shared" ca="1" si="51"/>
        <v>4.2679999999999998</v>
      </c>
      <c r="R199" s="592">
        <f t="shared" ca="1" si="52"/>
        <v>0.56276618576831772</v>
      </c>
      <c r="S199" s="311"/>
      <c r="T199" s="392">
        <f t="shared" si="53"/>
        <v>1996</v>
      </c>
      <c r="U199" s="392">
        <f t="shared" si="54"/>
        <v>12</v>
      </c>
      <c r="V199" s="311">
        <f t="shared" ca="1" si="55"/>
        <v>103.61917728304003</v>
      </c>
      <c r="W199" s="269" t="str">
        <f t="shared" ca="1" si="56"/>
        <v>|||||</v>
      </c>
      <c r="X199" s="269" t="str">
        <f t="shared" ca="1" si="57"/>
        <v>|||</v>
      </c>
      <c r="Y199" s="434" t="str">
        <f t="shared" ca="1" si="58"/>
        <v/>
      </c>
      <c r="Z199" s="269" t="str">
        <f t="shared" ca="1" si="59"/>
        <v>|||||||||||||||||||||</v>
      </c>
      <c r="AA199" s="270" t="str">
        <f t="shared" ca="1" si="60"/>
        <v/>
      </c>
    </row>
    <row r="200" spans="1:27" x14ac:dyDescent="0.25">
      <c r="A200" s="140">
        <f>+'Esc 2'!A210</f>
        <v>1997</v>
      </c>
      <c r="B200" s="140">
        <f>+'Esc 2'!B210</f>
        <v>1</v>
      </c>
      <c r="C200" s="141">
        <f>+'Esc 2'!O210</f>
        <v>0.5637495369989024</v>
      </c>
      <c r="D200" s="140">
        <f>+'Esc 2'!D210</f>
        <v>78.3</v>
      </c>
      <c r="E200" s="147">
        <f t="shared" si="64"/>
        <v>176.89</v>
      </c>
      <c r="F200" s="146">
        <f t="shared" si="64"/>
        <v>318</v>
      </c>
      <c r="G200" s="144">
        <f t="shared" si="62"/>
        <v>-9.8589999999999984E-4</v>
      </c>
      <c r="H200" s="145">
        <f>+F200/100000*'Bal Híd'!$G$4</f>
        <v>3.4980000000000002</v>
      </c>
      <c r="I200" s="145">
        <v>0</v>
      </c>
      <c r="J200" s="145">
        <f t="shared" ref="J200:J263" ca="1" si="66">+N199+C200-H200-I200</f>
        <v>-0.43199893704431114</v>
      </c>
      <c r="K200" s="145">
        <f t="shared" ref="K200:K263" ca="1" si="67">+IF(J200&lt;0,0,g_*J200^h_)</f>
        <v>0</v>
      </c>
      <c r="L200" s="145">
        <f t="shared" ref="L200:L263" ca="1" si="68">+(K200+O199)/2</f>
        <v>71.970031976148292</v>
      </c>
      <c r="M200" s="145">
        <f t="shared" ref="M200:M263" ca="1" si="69">+N199+C200*(Ac-L200)/Ac+G200*L200-H200-I200</f>
        <v>-0.51838121522143954</v>
      </c>
      <c r="N200" s="145">
        <f t="shared" ref="N200:N263" ca="1" si="70">+IF(M200&gt;VolHv,VolHv,IF(M200&lt;VolHt,VolHt,M200))</f>
        <v>0.14364725252241328</v>
      </c>
      <c r="O200" s="143">
        <f t="shared" ca="1" si="65"/>
        <v>22.824988701237128</v>
      </c>
      <c r="P200" s="145">
        <f t="shared" ref="P200:P263" ca="1" si="71">+IF(M200&gt;VolHv,M200-VolHv,0)</f>
        <v>0</v>
      </c>
      <c r="Q200" s="145">
        <f t="shared" ref="Q200:Q263" ca="1" si="72">+IF(M200&lt;VolHt,IF(H200&lt;(VolHt-M200),0,H200-(VolHt-M200)),H200)</f>
        <v>2.8359715322561474</v>
      </c>
      <c r="R200" s="592">
        <f t="shared" ref="R200:R263" ca="1" si="73">+C200*(Ac-L200)/Ac+G200*L200</f>
        <v>0.47736725882177378</v>
      </c>
      <c r="S200" s="311"/>
      <c r="T200" s="392">
        <f t="shared" ref="T200:T263" si="74">+A200</f>
        <v>1997</v>
      </c>
      <c r="U200" s="392">
        <f t="shared" ref="U200:U263" si="75">+B200</f>
        <v>1</v>
      </c>
      <c r="V200" s="311">
        <f t="shared" ref="V200:V263" ca="1" si="76">+Hast+e_*N200^f_</f>
        <v>100.5</v>
      </c>
      <c r="W200" s="269" t="str">
        <f t="shared" ref="W200:W263" ca="1" si="77">+REPT("|",(V200-Ht)/(Hv-Ht)*10)</f>
        <v/>
      </c>
      <c r="X200" s="269" t="str">
        <f t="shared" ref="X200:X263" ca="1" si="78">+REPT("|",(N200-VolHt)/(VolHv-VolHt)*10)</f>
        <v/>
      </c>
      <c r="Y200" s="434" t="str">
        <f t="shared" ref="Y200:Y263" ca="1" si="79">+REPT("|",(H200-Q200)*$AA$4)</f>
        <v>|||</v>
      </c>
      <c r="Z200" s="269" t="str">
        <f t="shared" ref="Z200:Z263" ca="1" si="80">+REPT("|",Q200*$AA$4)</f>
        <v>||||||||||||||</v>
      </c>
      <c r="AA200" s="270" t="str">
        <f t="shared" ref="AA200:AA263" ca="1" si="81">+REPT("|",P200*$AA$4)</f>
        <v/>
      </c>
    </row>
    <row r="201" spans="1:27" x14ac:dyDescent="0.25">
      <c r="A201" s="140">
        <f>+'Esc 2'!A211</f>
        <v>1997</v>
      </c>
      <c r="B201" s="140">
        <f>+'Esc 2'!B211</f>
        <v>2</v>
      </c>
      <c r="C201" s="141">
        <f>+'Esc 2'!O211</f>
        <v>3.0546624997943197</v>
      </c>
      <c r="D201" s="140">
        <f>+'Esc 2'!D211</f>
        <v>245.2</v>
      </c>
      <c r="E201" s="147">
        <f t="shared" si="64"/>
        <v>131.73999999999998</v>
      </c>
      <c r="F201" s="146">
        <f t="shared" si="64"/>
        <v>153</v>
      </c>
      <c r="G201" s="144">
        <f t="shared" si="62"/>
        <v>1.1346000000000001E-3</v>
      </c>
      <c r="H201" s="145">
        <f>+F201/100000*'Bal Híd'!$G$4</f>
        <v>1.6829999999999998</v>
      </c>
      <c r="I201" s="145">
        <v>0</v>
      </c>
      <c r="J201" s="145">
        <f t="shared" ca="1" si="66"/>
        <v>1.5153097523167331</v>
      </c>
      <c r="K201" s="145">
        <f t="shared" ca="1" si="67"/>
        <v>104.18464701921495</v>
      </c>
      <c r="L201" s="145">
        <f t="shared" ca="1" si="68"/>
        <v>63.504817860226041</v>
      </c>
      <c r="M201" s="145">
        <f t="shared" ca="1" si="69"/>
        <v>1.5136034647925425</v>
      </c>
      <c r="N201" s="145">
        <f t="shared" ca="1" si="70"/>
        <v>1.5136034647925425</v>
      </c>
      <c r="O201" s="143">
        <f t="shared" ca="1" si="65"/>
        <v>104.1090292848134</v>
      </c>
      <c r="P201" s="145">
        <f t="shared" ca="1" si="71"/>
        <v>0</v>
      </c>
      <c r="Q201" s="145">
        <f t="shared" ca="1" si="72"/>
        <v>1.6829999999999998</v>
      </c>
      <c r="R201" s="592">
        <f t="shared" ca="1" si="73"/>
        <v>3.052956212270129</v>
      </c>
      <c r="S201" s="311"/>
      <c r="T201" s="392">
        <f t="shared" si="74"/>
        <v>1997</v>
      </c>
      <c r="U201" s="392">
        <f t="shared" si="75"/>
        <v>2</v>
      </c>
      <c r="V201" s="311">
        <f t="shared" ca="1" si="76"/>
        <v>102.81893521650071</v>
      </c>
      <c r="W201" s="269" t="str">
        <f t="shared" ca="1" si="77"/>
        <v>||||</v>
      </c>
      <c r="X201" s="269" t="str">
        <f t="shared" ca="1" si="78"/>
        <v>|</v>
      </c>
      <c r="Y201" s="434" t="str">
        <f t="shared" ca="1" si="79"/>
        <v/>
      </c>
      <c r="Z201" s="269" t="str">
        <f t="shared" ca="1" si="80"/>
        <v>||||||||</v>
      </c>
      <c r="AA201" s="270" t="str">
        <f t="shared" ca="1" si="81"/>
        <v/>
      </c>
    </row>
    <row r="202" spans="1:27" x14ac:dyDescent="0.25">
      <c r="A202" s="140">
        <f>+'Esc 2'!A212</f>
        <v>1997</v>
      </c>
      <c r="B202" s="140">
        <f>+'Esc 2'!B212</f>
        <v>3</v>
      </c>
      <c r="C202" s="141">
        <f>+'Esc 2'!O212</f>
        <v>0.93413372951097884</v>
      </c>
      <c r="D202" s="140">
        <f>+'Esc 2'!D212</f>
        <v>43.1</v>
      </c>
      <c r="E202" s="147">
        <f t="shared" si="64"/>
        <v>118.64999999999999</v>
      </c>
      <c r="F202" s="146">
        <f t="shared" si="64"/>
        <v>47</v>
      </c>
      <c r="G202" s="144">
        <f t="shared" si="62"/>
        <v>-7.5549999999999988E-4</v>
      </c>
      <c r="H202" s="145">
        <f>+F202/100000*'Bal Híd'!$G$4</f>
        <v>0.51700000000000002</v>
      </c>
      <c r="I202" s="145">
        <v>0</v>
      </c>
      <c r="J202" s="145">
        <f t="shared" ca="1" si="66"/>
        <v>1.9307371943035214</v>
      </c>
      <c r="K202" s="145">
        <f t="shared" ca="1" si="67"/>
        <v>121.79032099894896</v>
      </c>
      <c r="L202" s="145">
        <f t="shared" ca="1" si="68"/>
        <v>112.94967514188119</v>
      </c>
      <c r="M202" s="145">
        <f t="shared" ca="1" si="69"/>
        <v>1.8052858054991003</v>
      </c>
      <c r="N202" s="145">
        <f t="shared" ca="1" si="70"/>
        <v>1.8052858054991003</v>
      </c>
      <c r="O202" s="143">
        <f t="shared" ca="1" si="65"/>
        <v>116.62988227265745</v>
      </c>
      <c r="P202" s="145">
        <f t="shared" ca="1" si="71"/>
        <v>0</v>
      </c>
      <c r="Q202" s="145">
        <f t="shared" ca="1" si="72"/>
        <v>0.51700000000000002</v>
      </c>
      <c r="R202" s="592">
        <f t="shared" ca="1" si="73"/>
        <v>0.80868234070655798</v>
      </c>
      <c r="S202" s="311"/>
      <c r="T202" s="392">
        <f t="shared" si="74"/>
        <v>1997</v>
      </c>
      <c r="U202" s="392">
        <f t="shared" si="75"/>
        <v>3</v>
      </c>
      <c r="V202" s="311">
        <f t="shared" ca="1" si="76"/>
        <v>103.08334056751376</v>
      </c>
      <c r="W202" s="269" t="str">
        <f t="shared" ca="1" si="77"/>
        <v>||||</v>
      </c>
      <c r="X202" s="269" t="str">
        <f t="shared" ca="1" si="78"/>
        <v>||</v>
      </c>
      <c r="Y202" s="434" t="str">
        <f t="shared" ca="1" si="79"/>
        <v/>
      </c>
      <c r="Z202" s="269" t="str">
        <f t="shared" ca="1" si="80"/>
        <v>||</v>
      </c>
      <c r="AA202" s="270" t="str">
        <f t="shared" ca="1" si="81"/>
        <v/>
      </c>
    </row>
    <row r="203" spans="1:27" x14ac:dyDescent="0.25">
      <c r="A203" s="140">
        <f>+'Esc 2'!A213</f>
        <v>1997</v>
      </c>
      <c r="B203" s="140">
        <f>+'Esc 2'!B213</f>
        <v>4</v>
      </c>
      <c r="C203" s="141">
        <f>+'Esc 2'!O213</f>
        <v>1.0063512731512976</v>
      </c>
      <c r="D203" s="140">
        <f>+'Esc 2'!D213</f>
        <v>96.8</v>
      </c>
      <c r="E203" s="147">
        <f t="shared" si="64"/>
        <v>73.149999999999991</v>
      </c>
      <c r="F203" s="146">
        <f t="shared" si="64"/>
        <v>0</v>
      </c>
      <c r="G203" s="144">
        <f t="shared" si="62"/>
        <v>2.3650000000000006E-4</v>
      </c>
      <c r="H203" s="145">
        <f>+F203/100000*'Bal Híd'!$G$4</f>
        <v>0</v>
      </c>
      <c r="I203" s="145">
        <v>0</v>
      </c>
      <c r="J203" s="145">
        <f t="shared" ca="1" si="66"/>
        <v>2.8116370786503979</v>
      </c>
      <c r="K203" s="145">
        <f t="shared" ca="1" si="67"/>
        <v>155.17028865996656</v>
      </c>
      <c r="L203" s="145">
        <f t="shared" ca="1" si="68"/>
        <v>135.90008546631202</v>
      </c>
      <c r="M203" s="145">
        <f t="shared" ca="1" si="69"/>
        <v>2.7917762229961109</v>
      </c>
      <c r="N203" s="145">
        <f t="shared" ca="1" si="70"/>
        <v>2.7917762229961109</v>
      </c>
      <c r="O203" s="143">
        <f t="shared" ca="1" si="65"/>
        <v>154.46303334781859</v>
      </c>
      <c r="P203" s="145">
        <f t="shared" ca="1" si="71"/>
        <v>0</v>
      </c>
      <c r="Q203" s="145">
        <f t="shared" ca="1" si="72"/>
        <v>0</v>
      </c>
      <c r="R203" s="592">
        <f t="shared" ca="1" si="73"/>
        <v>0.98649041749701072</v>
      </c>
      <c r="S203" s="311"/>
      <c r="T203" s="392">
        <f t="shared" si="74"/>
        <v>1997</v>
      </c>
      <c r="U203" s="392">
        <f t="shared" si="75"/>
        <v>4</v>
      </c>
      <c r="V203" s="311">
        <f t="shared" ca="1" si="76"/>
        <v>103.81326274958597</v>
      </c>
      <c r="W203" s="269" t="str">
        <f t="shared" ca="1" si="77"/>
        <v>||||||</v>
      </c>
      <c r="X203" s="269" t="str">
        <f t="shared" ca="1" si="78"/>
        <v>|||</v>
      </c>
      <c r="Y203" s="434" t="str">
        <f t="shared" ca="1" si="79"/>
        <v/>
      </c>
      <c r="Z203" s="269" t="str">
        <f t="shared" ca="1" si="80"/>
        <v/>
      </c>
      <c r="AA203" s="270" t="str">
        <f t="shared" ca="1" si="81"/>
        <v/>
      </c>
    </row>
    <row r="204" spans="1:27" x14ac:dyDescent="0.25">
      <c r="A204" s="140">
        <f>+'Esc 2'!A214</f>
        <v>1997</v>
      </c>
      <c r="B204" s="140">
        <f>+'Esc 2'!B214</f>
        <v>5</v>
      </c>
      <c r="C204" s="141">
        <f>+'Esc 2'!O214</f>
        <v>1.8250709270352528</v>
      </c>
      <c r="D204" s="140">
        <f>+'Esc 2'!D214</f>
        <v>122.7</v>
      </c>
      <c r="E204" s="147">
        <f t="shared" si="64"/>
        <v>51.24</v>
      </c>
      <c r="F204" s="146">
        <f t="shared" si="64"/>
        <v>0</v>
      </c>
      <c r="G204" s="144">
        <f t="shared" si="62"/>
        <v>7.1460000000000013E-4</v>
      </c>
      <c r="H204" s="145">
        <f>+F204/100000*'Bal Híd'!$G$4</f>
        <v>0</v>
      </c>
      <c r="I204" s="145">
        <v>0</v>
      </c>
      <c r="J204" s="145">
        <f t="shared" ca="1" si="66"/>
        <v>4.6168471500313633</v>
      </c>
      <c r="K204" s="145">
        <f t="shared" ca="1" si="67"/>
        <v>213.60527295545964</v>
      </c>
      <c r="L204" s="145">
        <f t="shared" ca="1" si="68"/>
        <v>184.03415315163912</v>
      </c>
      <c r="M204" s="145">
        <f t="shared" ca="1" si="69"/>
        <v>4.6206486849615063</v>
      </c>
      <c r="N204" s="145">
        <f t="shared" ca="1" si="70"/>
        <v>4.6206486849615063</v>
      </c>
      <c r="O204" s="143">
        <f t="shared" ca="1" si="65"/>
        <v>213.71860274098751</v>
      </c>
      <c r="P204" s="145">
        <f t="shared" ca="1" si="71"/>
        <v>0</v>
      </c>
      <c r="Q204" s="145">
        <f t="shared" ca="1" si="72"/>
        <v>0</v>
      </c>
      <c r="R204" s="592">
        <f t="shared" ca="1" si="73"/>
        <v>1.8288724619653953</v>
      </c>
      <c r="S204" s="311"/>
      <c r="T204" s="392">
        <f t="shared" si="74"/>
        <v>1997</v>
      </c>
      <c r="U204" s="392">
        <f t="shared" si="75"/>
        <v>5</v>
      </c>
      <c r="V204" s="311">
        <f t="shared" ca="1" si="76"/>
        <v>104.81060983011173</v>
      </c>
      <c r="W204" s="269" t="str">
        <f t="shared" ca="1" si="77"/>
        <v>|||||||</v>
      </c>
      <c r="X204" s="269" t="str">
        <f t="shared" ca="1" si="78"/>
        <v>|||||</v>
      </c>
      <c r="Y204" s="434" t="str">
        <f t="shared" ca="1" si="79"/>
        <v/>
      </c>
      <c r="Z204" s="269" t="str">
        <f t="shared" ca="1" si="80"/>
        <v/>
      </c>
      <c r="AA204" s="270" t="str">
        <f t="shared" ca="1" si="81"/>
        <v/>
      </c>
    </row>
    <row r="205" spans="1:27" x14ac:dyDescent="0.25">
      <c r="A205" s="140">
        <f>+'Esc 2'!A215</f>
        <v>1997</v>
      </c>
      <c r="B205" s="140">
        <f>+'Esc 2'!B215</f>
        <v>6</v>
      </c>
      <c r="C205" s="141">
        <f>+'Esc 2'!O215</f>
        <v>1.1501441087750466</v>
      </c>
      <c r="D205" s="140">
        <f>+'Esc 2'!D215</f>
        <v>65</v>
      </c>
      <c r="E205" s="147">
        <f t="shared" si="64"/>
        <v>41.019999999999996</v>
      </c>
      <c r="F205" s="146">
        <f t="shared" si="64"/>
        <v>0</v>
      </c>
      <c r="G205" s="144">
        <f t="shared" si="62"/>
        <v>2.3980000000000003E-4</v>
      </c>
      <c r="H205" s="145">
        <f>+F205/100000*'Bal Híd'!$G$4</f>
        <v>0</v>
      </c>
      <c r="I205" s="145">
        <v>0</v>
      </c>
      <c r="J205" s="145">
        <f t="shared" ca="1" si="66"/>
        <v>5.7707927937365531</v>
      </c>
      <c r="K205" s="145">
        <f t="shared" ca="1" si="67"/>
        <v>246.6332943660737</v>
      </c>
      <c r="L205" s="145">
        <f t="shared" ca="1" si="68"/>
        <v>230.17594855353059</v>
      </c>
      <c r="M205" s="145">
        <f t="shared" ca="1" si="69"/>
        <v>5.7253290960055638</v>
      </c>
      <c r="N205" s="145">
        <f t="shared" ca="1" si="70"/>
        <v>5.7253290960055638</v>
      </c>
      <c r="O205" s="143">
        <f t="shared" ca="1" si="65"/>
        <v>245.37936474777561</v>
      </c>
      <c r="P205" s="145">
        <f t="shared" ca="1" si="71"/>
        <v>0</v>
      </c>
      <c r="Q205" s="145">
        <f t="shared" ca="1" si="72"/>
        <v>0</v>
      </c>
      <c r="R205" s="592">
        <f t="shared" ca="1" si="73"/>
        <v>1.1046804110440573</v>
      </c>
      <c r="S205" s="311"/>
      <c r="T205" s="392">
        <f t="shared" si="74"/>
        <v>1997</v>
      </c>
      <c r="U205" s="392">
        <f t="shared" si="75"/>
        <v>6</v>
      </c>
      <c r="V205" s="311">
        <f t="shared" ca="1" si="76"/>
        <v>105.29219197241849</v>
      </c>
      <c r="W205" s="269" t="str">
        <f t="shared" ca="1" si="77"/>
        <v>||||||||</v>
      </c>
      <c r="X205" s="269" t="str">
        <f t="shared" ca="1" si="78"/>
        <v>|||||||</v>
      </c>
      <c r="Y205" s="434" t="str">
        <f t="shared" ca="1" si="79"/>
        <v/>
      </c>
      <c r="Z205" s="269" t="str">
        <f t="shared" ca="1" si="80"/>
        <v/>
      </c>
      <c r="AA205" s="270" t="str">
        <f t="shared" ca="1" si="81"/>
        <v/>
      </c>
    </row>
    <row r="206" spans="1:27" x14ac:dyDescent="0.25">
      <c r="A206" s="140">
        <f>+'Esc 2'!A216</f>
        <v>1997</v>
      </c>
      <c r="B206" s="140">
        <f>+'Esc 2'!B216</f>
        <v>7</v>
      </c>
      <c r="C206" s="141">
        <f>+'Esc 2'!O216</f>
        <v>1.9253908067903287</v>
      </c>
      <c r="D206" s="140">
        <f>+'Esc 2'!D216</f>
        <v>123.7</v>
      </c>
      <c r="E206" s="147">
        <f t="shared" si="64"/>
        <v>50.819999999999993</v>
      </c>
      <c r="F206" s="146">
        <f t="shared" si="64"/>
        <v>0</v>
      </c>
      <c r="G206" s="144">
        <f t="shared" si="62"/>
        <v>7.2880000000000015E-4</v>
      </c>
      <c r="H206" s="145">
        <f>+F206/100000*'Bal Híd'!$G$4</f>
        <v>0</v>
      </c>
      <c r="I206" s="145">
        <v>0</v>
      </c>
      <c r="J206" s="145">
        <f t="shared" ca="1" si="66"/>
        <v>7.6507199027958928</v>
      </c>
      <c r="K206" s="145">
        <f t="shared" ca="1" si="67"/>
        <v>295.78364976077211</v>
      </c>
      <c r="L206" s="145">
        <f t="shared" ca="1" si="68"/>
        <v>270.58150725427384</v>
      </c>
      <c r="M206" s="145">
        <f t="shared" ca="1" si="69"/>
        <v>7.6498302959463631</v>
      </c>
      <c r="N206" s="145">
        <f t="shared" ca="1" si="70"/>
        <v>7.6368477630678893</v>
      </c>
      <c r="O206" s="143">
        <f t="shared" ca="1" si="65"/>
        <v>295.43791936297487</v>
      </c>
      <c r="P206" s="145">
        <f t="shared" ca="1" si="71"/>
        <v>1.298253287847384E-2</v>
      </c>
      <c r="Q206" s="145">
        <f t="shared" ca="1" si="72"/>
        <v>0</v>
      </c>
      <c r="R206" s="592">
        <f t="shared" ca="1" si="73"/>
        <v>1.924501199940799</v>
      </c>
      <c r="S206" s="311"/>
      <c r="T206" s="392">
        <f t="shared" si="74"/>
        <v>1997</v>
      </c>
      <c r="U206" s="392">
        <f t="shared" si="75"/>
        <v>7</v>
      </c>
      <c r="V206" s="311">
        <f t="shared" ca="1" si="76"/>
        <v>106</v>
      </c>
      <c r="W206" s="269" t="str">
        <f t="shared" ca="1" si="77"/>
        <v>||||||||||</v>
      </c>
      <c r="X206" s="269" t="str">
        <f t="shared" ca="1" si="78"/>
        <v>||||||||||</v>
      </c>
      <c r="Y206" s="434" t="str">
        <f t="shared" ca="1" si="79"/>
        <v/>
      </c>
      <c r="Z206" s="269" t="str">
        <f t="shared" ca="1" si="80"/>
        <v/>
      </c>
      <c r="AA206" s="270" t="str">
        <f t="shared" ca="1" si="81"/>
        <v/>
      </c>
    </row>
    <row r="207" spans="1:27" x14ac:dyDescent="0.25">
      <c r="A207" s="140">
        <f>+'Esc 2'!A217</f>
        <v>1997</v>
      </c>
      <c r="B207" s="140">
        <f>+'Esc 2'!B217</f>
        <v>8</v>
      </c>
      <c r="C207" s="141">
        <f>+'Esc 2'!O217</f>
        <v>0.84492966231634103</v>
      </c>
      <c r="D207" s="140">
        <f>+'Esc 2'!D217</f>
        <v>46.4</v>
      </c>
      <c r="E207" s="147">
        <f t="shared" si="64"/>
        <v>72.449999999999989</v>
      </c>
      <c r="F207" s="146">
        <f t="shared" si="64"/>
        <v>0</v>
      </c>
      <c r="G207" s="144">
        <f t="shared" si="62"/>
        <v>-2.6049999999999988E-4</v>
      </c>
      <c r="H207" s="145">
        <f>+F207/100000*'Bal Híd'!$G$4</f>
        <v>0</v>
      </c>
      <c r="I207" s="145">
        <v>0</v>
      </c>
      <c r="J207" s="145">
        <f t="shared" ca="1" si="66"/>
        <v>8.4817774253842302</v>
      </c>
      <c r="K207" s="145">
        <f t="shared" ca="1" si="67"/>
        <v>316.10772539370146</v>
      </c>
      <c r="L207" s="145">
        <f t="shared" ca="1" si="68"/>
        <v>305.77282237833816</v>
      </c>
      <c r="M207" s="145">
        <f t="shared" ca="1" si="69"/>
        <v>8.3038891840300924</v>
      </c>
      <c r="N207" s="145">
        <f t="shared" ca="1" si="70"/>
        <v>7.6368477630678893</v>
      </c>
      <c r="O207" s="143">
        <f t="shared" ca="1" si="65"/>
        <v>295.43791936297487</v>
      </c>
      <c r="P207" s="145">
        <f t="shared" ca="1" si="71"/>
        <v>0.66704142096220309</v>
      </c>
      <c r="Q207" s="145">
        <f t="shared" ca="1" si="72"/>
        <v>0</v>
      </c>
      <c r="R207" s="592">
        <f t="shared" ca="1" si="73"/>
        <v>0.66704142096220453</v>
      </c>
      <c r="S207" s="311"/>
      <c r="T207" s="392">
        <f t="shared" si="74"/>
        <v>1997</v>
      </c>
      <c r="U207" s="392">
        <f t="shared" si="75"/>
        <v>8</v>
      </c>
      <c r="V207" s="311">
        <f t="shared" ca="1" si="76"/>
        <v>106</v>
      </c>
      <c r="W207" s="269" t="str">
        <f t="shared" ca="1" si="77"/>
        <v>||||||||||</v>
      </c>
      <c r="X207" s="269" t="str">
        <f t="shared" ca="1" si="78"/>
        <v>||||||||||</v>
      </c>
      <c r="Y207" s="434" t="str">
        <f t="shared" ca="1" si="79"/>
        <v/>
      </c>
      <c r="Z207" s="269" t="str">
        <f t="shared" ca="1" si="80"/>
        <v/>
      </c>
      <c r="AA207" s="270" t="str">
        <f t="shared" ca="1" si="81"/>
        <v>|||</v>
      </c>
    </row>
    <row r="208" spans="1:27" x14ac:dyDescent="0.25">
      <c r="A208" s="140">
        <f>+'Esc 2'!A218</f>
        <v>1997</v>
      </c>
      <c r="B208" s="140">
        <f>+'Esc 2'!B218</f>
        <v>9</v>
      </c>
      <c r="C208" s="141">
        <f>+'Esc 2'!O218</f>
        <v>0.39525669827797</v>
      </c>
      <c r="D208" s="140">
        <f>+'Esc 2'!D218</f>
        <v>46.6</v>
      </c>
      <c r="E208" s="147">
        <f t="shared" si="64"/>
        <v>85.89</v>
      </c>
      <c r="F208" s="146">
        <f t="shared" si="64"/>
        <v>0</v>
      </c>
      <c r="G208" s="144">
        <f t="shared" si="62"/>
        <v>-3.9290000000000001E-4</v>
      </c>
      <c r="H208" s="145">
        <f>+F208/100000*'Bal Híd'!$G$4</f>
        <v>0</v>
      </c>
      <c r="I208" s="145">
        <v>0</v>
      </c>
      <c r="J208" s="145">
        <f t="shared" ca="1" si="66"/>
        <v>8.0321044613458596</v>
      </c>
      <c r="K208" s="145">
        <f t="shared" ca="1" si="67"/>
        <v>305.20332914940781</v>
      </c>
      <c r="L208" s="145">
        <f t="shared" ca="1" si="68"/>
        <v>300.32062425619131</v>
      </c>
      <c r="M208" s="145">
        <f t="shared" ca="1" si="69"/>
        <v>7.8689739867948862</v>
      </c>
      <c r="N208" s="145">
        <f t="shared" ca="1" si="70"/>
        <v>7.6368477630678893</v>
      </c>
      <c r="O208" s="143">
        <f t="shared" ca="1" si="65"/>
        <v>295.43791936297487</v>
      </c>
      <c r="P208" s="145">
        <f t="shared" ca="1" si="71"/>
        <v>0.23212622372699698</v>
      </c>
      <c r="Q208" s="145">
        <f t="shared" ca="1" si="72"/>
        <v>0</v>
      </c>
      <c r="R208" s="592">
        <f t="shared" ca="1" si="73"/>
        <v>0.23212622372699721</v>
      </c>
      <c r="S208" s="311"/>
      <c r="T208" s="392">
        <f t="shared" si="74"/>
        <v>1997</v>
      </c>
      <c r="U208" s="392">
        <f t="shared" si="75"/>
        <v>9</v>
      </c>
      <c r="V208" s="311">
        <f t="shared" ca="1" si="76"/>
        <v>106</v>
      </c>
      <c r="W208" s="269" t="str">
        <f t="shared" ca="1" si="77"/>
        <v>||||||||||</v>
      </c>
      <c r="X208" s="269" t="str">
        <f t="shared" ca="1" si="78"/>
        <v>||||||||||</v>
      </c>
      <c r="Y208" s="434" t="str">
        <f t="shared" ca="1" si="79"/>
        <v/>
      </c>
      <c r="Z208" s="269" t="str">
        <f t="shared" ca="1" si="80"/>
        <v/>
      </c>
      <c r="AA208" s="270" t="str">
        <f t="shared" ca="1" si="81"/>
        <v>|</v>
      </c>
    </row>
    <row r="209" spans="1:27" x14ac:dyDescent="0.25">
      <c r="A209" s="140">
        <f>+'Esc 2'!A219</f>
        <v>1997</v>
      </c>
      <c r="B209" s="140">
        <f>+'Esc 2'!B219</f>
        <v>10</v>
      </c>
      <c r="C209" s="141">
        <f>+'Esc 2'!O219</f>
        <v>2.7392752632538877</v>
      </c>
      <c r="D209" s="140">
        <f>+'Esc 2'!D219</f>
        <v>216.2</v>
      </c>
      <c r="E209" s="147">
        <f t="shared" si="64"/>
        <v>114.86999999999999</v>
      </c>
      <c r="F209" s="146">
        <f t="shared" si="64"/>
        <v>59</v>
      </c>
      <c r="G209" s="144">
        <f t="shared" si="62"/>
        <v>1.0133E-3</v>
      </c>
      <c r="H209" s="145">
        <f>+F209/100000*'Bal Híd'!$G$4</f>
        <v>0.64900000000000002</v>
      </c>
      <c r="I209" s="145">
        <v>0</v>
      </c>
      <c r="J209" s="145">
        <f t="shared" ca="1" si="66"/>
        <v>9.7271230263217774</v>
      </c>
      <c r="K209" s="145">
        <f t="shared" ca="1" si="67"/>
        <v>345.28496967140711</v>
      </c>
      <c r="L209" s="145">
        <f t="shared" ca="1" si="68"/>
        <v>320.36144451719099</v>
      </c>
      <c r="M209" s="145">
        <f t="shared" ca="1" si="69"/>
        <v>9.7180729661627474</v>
      </c>
      <c r="N209" s="145">
        <f t="shared" ca="1" si="70"/>
        <v>7.6368477630678893</v>
      </c>
      <c r="O209" s="143">
        <f t="shared" ca="1" si="65"/>
        <v>295.43791936297487</v>
      </c>
      <c r="P209" s="145">
        <f t="shared" ca="1" si="71"/>
        <v>2.0812252030948581</v>
      </c>
      <c r="Q209" s="145">
        <f t="shared" ca="1" si="72"/>
        <v>0.64900000000000002</v>
      </c>
      <c r="R209" s="592">
        <f t="shared" ca="1" si="73"/>
        <v>2.7302252030948591</v>
      </c>
      <c r="S209" s="311"/>
      <c r="T209" s="392">
        <f t="shared" si="74"/>
        <v>1997</v>
      </c>
      <c r="U209" s="392">
        <f t="shared" si="75"/>
        <v>10</v>
      </c>
      <c r="V209" s="311">
        <f t="shared" ca="1" si="76"/>
        <v>106</v>
      </c>
      <c r="W209" s="269" t="str">
        <f t="shared" ca="1" si="77"/>
        <v>||||||||||</v>
      </c>
      <c r="X209" s="269" t="str">
        <f t="shared" ca="1" si="78"/>
        <v>||||||||||</v>
      </c>
      <c r="Y209" s="434" t="str">
        <f t="shared" ca="1" si="79"/>
        <v/>
      </c>
      <c r="Z209" s="269" t="str">
        <f t="shared" ca="1" si="80"/>
        <v>|||</v>
      </c>
      <c r="AA209" s="270" t="str">
        <f t="shared" ca="1" si="81"/>
        <v>||||||||||</v>
      </c>
    </row>
    <row r="210" spans="1:27" x14ac:dyDescent="0.25">
      <c r="A210" s="140">
        <f>+'Esc 2'!A220</f>
        <v>1997</v>
      </c>
      <c r="B210" s="140">
        <f>+'Esc 2'!B220</f>
        <v>11</v>
      </c>
      <c r="C210" s="141">
        <f>+'Esc 2'!O220</f>
        <v>2.588228913195707</v>
      </c>
      <c r="D210" s="140">
        <f>+'Esc 2'!D220</f>
        <v>185.7</v>
      </c>
      <c r="E210" s="147">
        <f t="shared" si="64"/>
        <v>144.06</v>
      </c>
      <c r="F210" s="146">
        <f t="shared" si="64"/>
        <v>212</v>
      </c>
      <c r="G210" s="144">
        <f t="shared" si="62"/>
        <v>4.1639999999999988E-4</v>
      </c>
      <c r="H210" s="145">
        <f>+F210/100000*'Bal Híd'!$G$4</f>
        <v>2.3319999999999999</v>
      </c>
      <c r="I210" s="145">
        <v>0</v>
      </c>
      <c r="J210" s="145">
        <f t="shared" ca="1" si="66"/>
        <v>7.893076676263596</v>
      </c>
      <c r="K210" s="145">
        <f t="shared" ca="1" si="67"/>
        <v>301.78834593664419</v>
      </c>
      <c r="L210" s="145">
        <f t="shared" ca="1" si="68"/>
        <v>298.61313264980953</v>
      </c>
      <c r="M210" s="145">
        <f t="shared" ca="1" si="69"/>
        <v>7.723548787822863</v>
      </c>
      <c r="N210" s="145">
        <f t="shared" ca="1" si="70"/>
        <v>7.6368477630678893</v>
      </c>
      <c r="O210" s="143">
        <f t="shared" ca="1" si="65"/>
        <v>295.43791936297487</v>
      </c>
      <c r="P210" s="145">
        <f t="shared" ca="1" si="71"/>
        <v>8.6701024754973766E-2</v>
      </c>
      <c r="Q210" s="145">
        <f t="shared" ca="1" si="72"/>
        <v>2.3319999999999999</v>
      </c>
      <c r="R210" s="592">
        <f t="shared" ca="1" si="73"/>
        <v>2.4187010247549732</v>
      </c>
      <c r="S210" s="311"/>
      <c r="T210" s="392">
        <f t="shared" si="74"/>
        <v>1997</v>
      </c>
      <c r="U210" s="392">
        <f t="shared" si="75"/>
        <v>11</v>
      </c>
      <c r="V210" s="311">
        <f t="shared" ca="1" si="76"/>
        <v>106</v>
      </c>
      <c r="W210" s="269" t="str">
        <f t="shared" ca="1" si="77"/>
        <v>||||||||||</v>
      </c>
      <c r="X210" s="269" t="str">
        <f t="shared" ca="1" si="78"/>
        <v>||||||||||</v>
      </c>
      <c r="Y210" s="434" t="str">
        <f t="shared" ca="1" si="79"/>
        <v/>
      </c>
      <c r="Z210" s="269" t="str">
        <f t="shared" ca="1" si="80"/>
        <v>|||||||||||</v>
      </c>
      <c r="AA210" s="270" t="str">
        <f t="shared" ca="1" si="81"/>
        <v/>
      </c>
    </row>
    <row r="211" spans="1:27" x14ac:dyDescent="0.25">
      <c r="A211" s="140">
        <f>+'Esc 2'!A221</f>
        <v>1997</v>
      </c>
      <c r="B211" s="140">
        <f>+'Esc 2'!B221</f>
        <v>12</v>
      </c>
      <c r="C211" s="141">
        <f>+'Esc 2'!O221</f>
        <v>7.0610983456772765</v>
      </c>
      <c r="D211" s="140">
        <f>+'Esc 2'!D221</f>
        <v>436.9</v>
      </c>
      <c r="E211" s="147">
        <f t="shared" si="64"/>
        <v>179.62</v>
      </c>
      <c r="F211" s="146">
        <f t="shared" si="64"/>
        <v>388</v>
      </c>
      <c r="G211" s="144">
        <f t="shared" si="62"/>
        <v>2.5727999999999997E-3</v>
      </c>
      <c r="H211" s="145">
        <f>+F211/100000*'Bal Híd'!$G$4</f>
        <v>4.2679999999999998</v>
      </c>
      <c r="I211" s="145">
        <v>0</v>
      </c>
      <c r="J211" s="145">
        <f t="shared" ca="1" si="66"/>
        <v>10.429946108745167</v>
      </c>
      <c r="K211" s="145">
        <f t="shared" ca="1" si="67"/>
        <v>361.16252483605064</v>
      </c>
      <c r="L211" s="145">
        <f t="shared" ca="1" si="68"/>
        <v>328.30022209951278</v>
      </c>
      <c r="M211" s="145">
        <f t="shared" ca="1" si="69"/>
        <v>10.393167203374826</v>
      </c>
      <c r="N211" s="145">
        <f t="shared" ca="1" si="70"/>
        <v>7.6368477630678893</v>
      </c>
      <c r="O211" s="143">
        <f t="shared" ca="1" si="65"/>
        <v>295.43791936297487</v>
      </c>
      <c r="P211" s="145">
        <f t="shared" ca="1" si="71"/>
        <v>2.7563194403069371</v>
      </c>
      <c r="Q211" s="145">
        <f t="shared" ca="1" si="72"/>
        <v>4.2679999999999998</v>
      </c>
      <c r="R211" s="592">
        <f t="shared" ca="1" si="73"/>
        <v>7.024319440306936</v>
      </c>
      <c r="S211" s="311"/>
      <c r="T211" s="392">
        <f t="shared" si="74"/>
        <v>1997</v>
      </c>
      <c r="U211" s="392">
        <f t="shared" si="75"/>
        <v>12</v>
      </c>
      <c r="V211" s="311">
        <f t="shared" ca="1" si="76"/>
        <v>106</v>
      </c>
      <c r="W211" s="269" t="str">
        <f t="shared" ca="1" si="77"/>
        <v>||||||||||</v>
      </c>
      <c r="X211" s="269" t="str">
        <f t="shared" ca="1" si="78"/>
        <v>||||||||||</v>
      </c>
      <c r="Y211" s="434" t="str">
        <f t="shared" ca="1" si="79"/>
        <v/>
      </c>
      <c r="Z211" s="269" t="str">
        <f t="shared" ca="1" si="80"/>
        <v>|||||||||||||||||||||</v>
      </c>
      <c r="AA211" s="270" t="str">
        <f t="shared" ca="1" si="81"/>
        <v>|||||||||||||</v>
      </c>
    </row>
    <row r="212" spans="1:27" x14ac:dyDescent="0.25">
      <c r="A212" s="140">
        <f>+'Esc 2'!A222</f>
        <v>1998</v>
      </c>
      <c r="B212" s="140">
        <f>+'Esc 2'!B222</f>
        <v>1</v>
      </c>
      <c r="C212" s="141">
        <f>+'Esc 2'!O222</f>
        <v>7.8953274343088387</v>
      </c>
      <c r="D212" s="140">
        <f>+'Esc 2'!D222</f>
        <v>449.7</v>
      </c>
      <c r="E212" s="147">
        <f t="shared" si="64"/>
        <v>176.89</v>
      </c>
      <c r="F212" s="146">
        <f t="shared" si="64"/>
        <v>318</v>
      </c>
      <c r="G212" s="144">
        <f t="shared" si="62"/>
        <v>2.7281000000000002E-3</v>
      </c>
      <c r="H212" s="145">
        <f>+F212/100000*'Bal Híd'!$G$4</f>
        <v>3.4980000000000002</v>
      </c>
      <c r="I212" s="145">
        <v>0</v>
      </c>
      <c r="J212" s="145">
        <f t="shared" ca="1" si="66"/>
        <v>12.034175197376726</v>
      </c>
      <c r="K212" s="145">
        <f t="shared" ca="1" si="67"/>
        <v>396.04492859843208</v>
      </c>
      <c r="L212" s="145">
        <f t="shared" ca="1" si="68"/>
        <v>345.74142398070347</v>
      </c>
      <c r="M212" s="145">
        <f t="shared" ca="1" si="69"/>
        <v>11.939467756392535</v>
      </c>
      <c r="N212" s="145">
        <f t="shared" ca="1" si="70"/>
        <v>7.6368477630678893</v>
      </c>
      <c r="O212" s="143">
        <f t="shared" ca="1" si="65"/>
        <v>295.43791936297487</v>
      </c>
      <c r="P212" s="145">
        <f t="shared" ca="1" si="71"/>
        <v>4.3026199933246456</v>
      </c>
      <c r="Q212" s="145">
        <f t="shared" ca="1" si="72"/>
        <v>3.4980000000000002</v>
      </c>
      <c r="R212" s="592">
        <f t="shared" ca="1" si="73"/>
        <v>7.800619993324645</v>
      </c>
      <c r="S212" s="311"/>
      <c r="T212" s="392">
        <f t="shared" si="74"/>
        <v>1998</v>
      </c>
      <c r="U212" s="392">
        <f t="shared" si="75"/>
        <v>1</v>
      </c>
      <c r="V212" s="311">
        <f t="shared" ca="1" si="76"/>
        <v>106</v>
      </c>
      <c r="W212" s="269" t="str">
        <f t="shared" ca="1" si="77"/>
        <v>||||||||||</v>
      </c>
      <c r="X212" s="269" t="str">
        <f t="shared" ca="1" si="78"/>
        <v>||||||||||</v>
      </c>
      <c r="Y212" s="434" t="str">
        <f t="shared" ca="1" si="79"/>
        <v/>
      </c>
      <c r="Z212" s="269" t="str">
        <f t="shared" ca="1" si="80"/>
        <v>|||||||||||||||||</v>
      </c>
      <c r="AA212" s="270" t="str">
        <f t="shared" ca="1" si="81"/>
        <v>|||||||||||||||||||||</v>
      </c>
    </row>
    <row r="213" spans="1:27" x14ac:dyDescent="0.25">
      <c r="A213" s="140">
        <f>+'Esc 2'!A223</f>
        <v>1998</v>
      </c>
      <c r="B213" s="140">
        <f>+'Esc 2'!B223</f>
        <v>2</v>
      </c>
      <c r="C213" s="141">
        <f>+'Esc 2'!O223</f>
        <v>3.5880927394766715</v>
      </c>
      <c r="D213" s="140">
        <f>+'Esc 2'!D223</f>
        <v>205.7</v>
      </c>
      <c r="E213" s="147">
        <f t="shared" ref="E213:F232" si="82">+E201</f>
        <v>131.73999999999998</v>
      </c>
      <c r="F213" s="146">
        <f t="shared" si="82"/>
        <v>153</v>
      </c>
      <c r="G213" s="144">
        <f t="shared" si="62"/>
        <v>7.3960000000000009E-4</v>
      </c>
      <c r="H213" s="145">
        <f>+F213/100000*'Bal Híd'!$G$4</f>
        <v>1.6829999999999998</v>
      </c>
      <c r="I213" s="145">
        <v>0</v>
      </c>
      <c r="J213" s="145">
        <f t="shared" ca="1" si="66"/>
        <v>9.5419405025445609</v>
      </c>
      <c r="K213" s="145">
        <f t="shared" ca="1" si="67"/>
        <v>341.03431742751457</v>
      </c>
      <c r="L213" s="145">
        <f t="shared" ca="1" si="68"/>
        <v>318.23611839524472</v>
      </c>
      <c r="M213" s="145">
        <f t="shared" ca="1" si="69"/>
        <v>9.343140366944203</v>
      </c>
      <c r="N213" s="145">
        <f t="shared" ca="1" si="70"/>
        <v>7.6368477630678893</v>
      </c>
      <c r="O213" s="143">
        <f t="shared" ca="1" si="65"/>
        <v>295.43791936297487</v>
      </c>
      <c r="P213" s="145">
        <f t="shared" ca="1" si="71"/>
        <v>1.7062926038763138</v>
      </c>
      <c r="Q213" s="145">
        <f t="shared" ca="1" si="72"/>
        <v>1.6829999999999998</v>
      </c>
      <c r="R213" s="592">
        <f t="shared" ca="1" si="73"/>
        <v>3.3892926038763127</v>
      </c>
      <c r="S213" s="311"/>
      <c r="T213" s="392">
        <f t="shared" si="74"/>
        <v>1998</v>
      </c>
      <c r="U213" s="392">
        <f t="shared" si="75"/>
        <v>2</v>
      </c>
      <c r="V213" s="311">
        <f t="shared" ca="1" si="76"/>
        <v>106</v>
      </c>
      <c r="W213" s="269" t="str">
        <f t="shared" ca="1" si="77"/>
        <v>||||||||||</v>
      </c>
      <c r="X213" s="269" t="str">
        <f t="shared" ca="1" si="78"/>
        <v>||||||||||</v>
      </c>
      <c r="Y213" s="434" t="str">
        <f t="shared" ca="1" si="79"/>
        <v/>
      </c>
      <c r="Z213" s="269" t="str">
        <f t="shared" ca="1" si="80"/>
        <v>||||||||</v>
      </c>
      <c r="AA213" s="270" t="str">
        <f t="shared" ca="1" si="81"/>
        <v>||||||||</v>
      </c>
    </row>
    <row r="214" spans="1:27" x14ac:dyDescent="0.25">
      <c r="A214" s="140">
        <f>+'Esc 2'!A224</f>
        <v>1998</v>
      </c>
      <c r="B214" s="140">
        <f>+'Esc 2'!B224</f>
        <v>3</v>
      </c>
      <c r="C214" s="141">
        <f>+'Esc 2'!O224</f>
        <v>4.9682294139700245</v>
      </c>
      <c r="D214" s="140">
        <f>+'Esc 2'!D224</f>
        <v>299.2</v>
      </c>
      <c r="E214" s="147">
        <f t="shared" si="82"/>
        <v>118.64999999999999</v>
      </c>
      <c r="F214" s="146">
        <f t="shared" si="82"/>
        <v>47</v>
      </c>
      <c r="G214" s="144">
        <f t="shared" si="62"/>
        <v>1.8055E-3</v>
      </c>
      <c r="H214" s="145">
        <f>+F214/100000*'Bal Híd'!$G$4</f>
        <v>0.51700000000000002</v>
      </c>
      <c r="I214" s="145">
        <v>0</v>
      </c>
      <c r="J214" s="145">
        <f t="shared" ca="1" si="66"/>
        <v>12.088077177037913</v>
      </c>
      <c r="K214" s="145">
        <f t="shared" ca="1" si="67"/>
        <v>397.18720115451077</v>
      </c>
      <c r="L214" s="145">
        <f t="shared" ca="1" si="68"/>
        <v>346.31256025874279</v>
      </c>
      <c r="M214" s="145">
        <f t="shared" ca="1" si="69"/>
        <v>12.059139086978703</v>
      </c>
      <c r="N214" s="145">
        <f t="shared" ca="1" si="70"/>
        <v>7.6368477630678893</v>
      </c>
      <c r="O214" s="143">
        <f t="shared" ca="1" si="65"/>
        <v>295.43791936297487</v>
      </c>
      <c r="P214" s="145">
        <f t="shared" ca="1" si="71"/>
        <v>4.4222913239108141</v>
      </c>
      <c r="Q214" s="145">
        <f t="shared" ca="1" si="72"/>
        <v>0.51700000000000002</v>
      </c>
      <c r="R214" s="592">
        <f t="shared" ca="1" si="73"/>
        <v>4.9392913239108145</v>
      </c>
      <c r="S214" s="311"/>
      <c r="T214" s="392">
        <f t="shared" si="74"/>
        <v>1998</v>
      </c>
      <c r="U214" s="392">
        <f t="shared" si="75"/>
        <v>3</v>
      </c>
      <c r="V214" s="311">
        <f t="shared" ca="1" si="76"/>
        <v>106</v>
      </c>
      <c r="W214" s="269" t="str">
        <f t="shared" ca="1" si="77"/>
        <v>||||||||||</v>
      </c>
      <c r="X214" s="269" t="str">
        <f t="shared" ca="1" si="78"/>
        <v>||||||||||</v>
      </c>
      <c r="Y214" s="434" t="str">
        <f t="shared" ca="1" si="79"/>
        <v/>
      </c>
      <c r="Z214" s="269" t="str">
        <f t="shared" ca="1" si="80"/>
        <v>||</v>
      </c>
      <c r="AA214" s="270" t="str">
        <f t="shared" ca="1" si="81"/>
        <v>||||||||||||||||||||||</v>
      </c>
    </row>
    <row r="215" spans="1:27" x14ac:dyDescent="0.25">
      <c r="A215" s="140">
        <f>+'Esc 2'!A225</f>
        <v>1998</v>
      </c>
      <c r="B215" s="140">
        <f>+'Esc 2'!B225</f>
        <v>4</v>
      </c>
      <c r="C215" s="141">
        <f>+'Esc 2'!O225</f>
        <v>5.8550879681411914</v>
      </c>
      <c r="D215" s="140">
        <f>+'Esc 2'!D225</f>
        <v>301.2</v>
      </c>
      <c r="E215" s="147">
        <f t="shared" si="82"/>
        <v>73.149999999999991</v>
      </c>
      <c r="F215" s="146">
        <f t="shared" si="82"/>
        <v>0</v>
      </c>
      <c r="G215" s="144">
        <f t="shared" si="62"/>
        <v>2.2805E-3</v>
      </c>
      <c r="H215" s="145">
        <f>+F215/100000*'Bal Híd'!$G$4</f>
        <v>0</v>
      </c>
      <c r="I215" s="145">
        <v>0</v>
      </c>
      <c r="J215" s="145">
        <f t="shared" ca="1" si="66"/>
        <v>13.491935731209081</v>
      </c>
      <c r="K215" s="145">
        <f t="shared" ca="1" si="67"/>
        <v>426.33009554487717</v>
      </c>
      <c r="L215" s="145">
        <f t="shared" ca="1" si="68"/>
        <v>360.88400745392602</v>
      </c>
      <c r="M215" s="145">
        <f t="shared" ca="1" si="69"/>
        <v>13.511506763463251</v>
      </c>
      <c r="N215" s="145">
        <f t="shared" ca="1" si="70"/>
        <v>7.6368477630678893</v>
      </c>
      <c r="O215" s="143">
        <f t="shared" ca="1" si="65"/>
        <v>295.43791936297487</v>
      </c>
      <c r="P215" s="145">
        <f t="shared" ca="1" si="71"/>
        <v>5.8746590003953614</v>
      </c>
      <c r="Q215" s="145">
        <f t="shared" ca="1" si="72"/>
        <v>0</v>
      </c>
      <c r="R215" s="592">
        <f t="shared" ca="1" si="73"/>
        <v>5.8746590003953605</v>
      </c>
      <c r="S215" s="311"/>
      <c r="T215" s="392">
        <f t="shared" si="74"/>
        <v>1998</v>
      </c>
      <c r="U215" s="392">
        <f t="shared" si="75"/>
        <v>4</v>
      </c>
      <c r="V215" s="311">
        <f t="shared" ca="1" si="76"/>
        <v>106</v>
      </c>
      <c r="W215" s="269" t="str">
        <f t="shared" ca="1" si="77"/>
        <v>||||||||||</v>
      </c>
      <c r="X215" s="269" t="str">
        <f t="shared" ca="1" si="78"/>
        <v>||||||||||</v>
      </c>
      <c r="Y215" s="434" t="str">
        <f t="shared" ca="1" si="79"/>
        <v/>
      </c>
      <c r="Z215" s="269" t="str">
        <f t="shared" ca="1" si="80"/>
        <v/>
      </c>
      <c r="AA215" s="270" t="str">
        <f t="shared" ca="1" si="81"/>
        <v>|||||||||||||||||||||||||||||</v>
      </c>
    </row>
    <row r="216" spans="1:27" x14ac:dyDescent="0.25">
      <c r="A216" s="140">
        <f>+'Esc 2'!A226</f>
        <v>1998</v>
      </c>
      <c r="B216" s="140">
        <f>+'Esc 2'!B226</f>
        <v>5</v>
      </c>
      <c r="C216" s="141">
        <f>+'Esc 2'!O226</f>
        <v>2.7954028888846847</v>
      </c>
      <c r="D216" s="140">
        <f>+'Esc 2'!D226</f>
        <v>129.30000000000001</v>
      </c>
      <c r="E216" s="147">
        <f t="shared" si="82"/>
        <v>51.24</v>
      </c>
      <c r="F216" s="146">
        <f t="shared" si="82"/>
        <v>0</v>
      </c>
      <c r="G216" s="144">
        <f t="shared" si="62"/>
        <v>7.806E-4</v>
      </c>
      <c r="H216" s="145">
        <f>+F216/100000*'Bal Híd'!$G$4</f>
        <v>0</v>
      </c>
      <c r="I216" s="145">
        <v>0</v>
      </c>
      <c r="J216" s="145">
        <f t="shared" ca="1" si="66"/>
        <v>10.432250651952574</v>
      </c>
      <c r="K216" s="145">
        <f t="shared" ca="1" si="67"/>
        <v>361.2139493951546</v>
      </c>
      <c r="L216" s="145">
        <f t="shared" ca="1" si="68"/>
        <v>328.32593437906473</v>
      </c>
      <c r="M216" s="145">
        <f t="shared" ca="1" si="69"/>
        <v>10.339567250679062</v>
      </c>
      <c r="N216" s="145">
        <f t="shared" ca="1" si="70"/>
        <v>7.6368477630678893</v>
      </c>
      <c r="O216" s="143">
        <f t="shared" ca="1" si="65"/>
        <v>295.43791936297487</v>
      </c>
      <c r="P216" s="145">
        <f t="shared" ca="1" si="71"/>
        <v>2.7027194876111729</v>
      </c>
      <c r="Q216" s="145">
        <f t="shared" ca="1" si="72"/>
        <v>0</v>
      </c>
      <c r="R216" s="592">
        <f t="shared" ca="1" si="73"/>
        <v>2.7027194876111724</v>
      </c>
      <c r="S216" s="311"/>
      <c r="T216" s="392">
        <f t="shared" si="74"/>
        <v>1998</v>
      </c>
      <c r="U216" s="392">
        <f t="shared" si="75"/>
        <v>5</v>
      </c>
      <c r="V216" s="311">
        <f t="shared" ca="1" si="76"/>
        <v>106</v>
      </c>
      <c r="W216" s="269" t="str">
        <f t="shared" ca="1" si="77"/>
        <v>||||||||||</v>
      </c>
      <c r="X216" s="269" t="str">
        <f t="shared" ca="1" si="78"/>
        <v>||||||||||</v>
      </c>
      <c r="Y216" s="434" t="str">
        <f t="shared" ca="1" si="79"/>
        <v/>
      </c>
      <c r="Z216" s="269" t="str">
        <f t="shared" ca="1" si="80"/>
        <v/>
      </c>
      <c r="AA216" s="270" t="str">
        <f t="shared" ca="1" si="81"/>
        <v>|||||||||||||</v>
      </c>
    </row>
    <row r="217" spans="1:27" x14ac:dyDescent="0.25">
      <c r="A217" s="140">
        <f>+'Esc 2'!A227</f>
        <v>1998</v>
      </c>
      <c r="B217" s="140">
        <f>+'Esc 2'!B227</f>
        <v>6</v>
      </c>
      <c r="C217" s="141">
        <f>+'Esc 2'!O227</f>
        <v>4.3011689228409962</v>
      </c>
      <c r="D217" s="140">
        <f>+'Esc 2'!D227</f>
        <v>219.1</v>
      </c>
      <c r="E217" s="147">
        <f t="shared" si="82"/>
        <v>41.019999999999996</v>
      </c>
      <c r="F217" s="146">
        <f t="shared" si="82"/>
        <v>0</v>
      </c>
      <c r="G217" s="144">
        <f t="shared" si="62"/>
        <v>1.7807999999999999E-3</v>
      </c>
      <c r="H217" s="145">
        <f>+F217/100000*'Bal Híd'!$G$4</f>
        <v>0</v>
      </c>
      <c r="I217" s="145">
        <v>0</v>
      </c>
      <c r="J217" s="145">
        <f t="shared" ca="1" si="66"/>
        <v>11.938016685908885</v>
      </c>
      <c r="K217" s="145">
        <f t="shared" ca="1" si="67"/>
        <v>394.00264168538263</v>
      </c>
      <c r="L217" s="145">
        <f t="shared" ca="1" si="68"/>
        <v>344.72028052417875</v>
      </c>
      <c r="M217" s="145">
        <f t="shared" ca="1" si="69"/>
        <v>11.988130242963063</v>
      </c>
      <c r="N217" s="145">
        <f t="shared" ca="1" si="70"/>
        <v>7.6368477630678893</v>
      </c>
      <c r="O217" s="143">
        <f t="shared" ca="1" si="65"/>
        <v>295.43791936297487</v>
      </c>
      <c r="P217" s="145">
        <f t="shared" ca="1" si="71"/>
        <v>4.3512824798951737</v>
      </c>
      <c r="Q217" s="145">
        <f t="shared" ca="1" si="72"/>
        <v>0</v>
      </c>
      <c r="R217" s="592">
        <f t="shared" ca="1" si="73"/>
        <v>4.3512824798951728</v>
      </c>
      <c r="S217" s="311"/>
      <c r="T217" s="392">
        <f t="shared" si="74"/>
        <v>1998</v>
      </c>
      <c r="U217" s="392">
        <f t="shared" si="75"/>
        <v>6</v>
      </c>
      <c r="V217" s="311">
        <f t="shared" ca="1" si="76"/>
        <v>106</v>
      </c>
      <c r="W217" s="269" t="str">
        <f t="shared" ca="1" si="77"/>
        <v>||||||||||</v>
      </c>
      <c r="X217" s="269" t="str">
        <f t="shared" ca="1" si="78"/>
        <v>||||||||||</v>
      </c>
      <c r="Y217" s="434" t="str">
        <f t="shared" ca="1" si="79"/>
        <v/>
      </c>
      <c r="Z217" s="269" t="str">
        <f t="shared" ca="1" si="80"/>
        <v/>
      </c>
      <c r="AA217" s="270" t="str">
        <f t="shared" ca="1" si="81"/>
        <v>|||||||||||||||||||||</v>
      </c>
    </row>
    <row r="218" spans="1:27" x14ac:dyDescent="0.25">
      <c r="A218" s="140">
        <f>+'Esc 2'!A228</f>
        <v>1998</v>
      </c>
      <c r="B218" s="140">
        <f>+'Esc 2'!B228</f>
        <v>7</v>
      </c>
      <c r="C218" s="141">
        <f>+'Esc 2'!O228</f>
        <v>2.8647837656870787</v>
      </c>
      <c r="D218" s="140">
        <f>+'Esc 2'!D228</f>
        <v>129.1</v>
      </c>
      <c r="E218" s="147">
        <f t="shared" si="82"/>
        <v>50.819999999999993</v>
      </c>
      <c r="F218" s="146">
        <f t="shared" si="82"/>
        <v>0</v>
      </c>
      <c r="G218" s="144">
        <f t="shared" si="62"/>
        <v>7.8280000000000005E-4</v>
      </c>
      <c r="H218" s="145">
        <f>+F218/100000*'Bal Híd'!$G$4</f>
        <v>0</v>
      </c>
      <c r="I218" s="145">
        <v>0</v>
      </c>
      <c r="J218" s="145">
        <f t="shared" ca="1" si="66"/>
        <v>10.501631528754968</v>
      </c>
      <c r="K218" s="145">
        <f t="shared" ca="1" si="67"/>
        <v>362.76025808488629</v>
      </c>
      <c r="L218" s="145">
        <f t="shared" ca="1" si="68"/>
        <v>329.09908872393055</v>
      </c>
      <c r="M218" s="145">
        <f t="shared" ca="1" si="69"/>
        <v>10.4007720723363</v>
      </c>
      <c r="N218" s="145">
        <f t="shared" ca="1" si="70"/>
        <v>7.6368477630678893</v>
      </c>
      <c r="O218" s="143">
        <f t="shared" ca="1" si="65"/>
        <v>295.43791936297487</v>
      </c>
      <c r="P218" s="145">
        <f t="shared" ca="1" si="71"/>
        <v>2.7639243092684112</v>
      </c>
      <c r="Q218" s="145">
        <f t="shared" ca="1" si="72"/>
        <v>0</v>
      </c>
      <c r="R218" s="592">
        <f t="shared" ca="1" si="73"/>
        <v>2.763924309268412</v>
      </c>
      <c r="S218" s="311"/>
      <c r="T218" s="392">
        <f t="shared" si="74"/>
        <v>1998</v>
      </c>
      <c r="U218" s="392">
        <f t="shared" si="75"/>
        <v>7</v>
      </c>
      <c r="V218" s="311">
        <f t="shared" ca="1" si="76"/>
        <v>106</v>
      </c>
      <c r="W218" s="269" t="str">
        <f t="shared" ca="1" si="77"/>
        <v>||||||||||</v>
      </c>
      <c r="X218" s="269" t="str">
        <f t="shared" ca="1" si="78"/>
        <v>||||||||||</v>
      </c>
      <c r="Y218" s="434" t="str">
        <f t="shared" ca="1" si="79"/>
        <v/>
      </c>
      <c r="Z218" s="269" t="str">
        <f t="shared" ca="1" si="80"/>
        <v/>
      </c>
      <c r="AA218" s="270" t="str">
        <f t="shared" ca="1" si="81"/>
        <v>|||||||||||||</v>
      </c>
    </row>
    <row r="219" spans="1:27" x14ac:dyDescent="0.25">
      <c r="A219" s="140">
        <f>+'Esc 2'!A229</f>
        <v>1998</v>
      </c>
      <c r="B219" s="140">
        <f>+'Esc 2'!B229</f>
        <v>8</v>
      </c>
      <c r="C219" s="141">
        <f>+'Esc 2'!O229</f>
        <v>0.99571820744324291</v>
      </c>
      <c r="D219" s="140">
        <f>+'Esc 2'!D229</f>
        <v>46.4</v>
      </c>
      <c r="E219" s="147">
        <f t="shared" si="82"/>
        <v>72.449999999999989</v>
      </c>
      <c r="F219" s="146">
        <f t="shared" si="82"/>
        <v>0</v>
      </c>
      <c r="G219" s="144">
        <f t="shared" si="62"/>
        <v>-2.6049999999999988E-4</v>
      </c>
      <c r="H219" s="145">
        <f>+F219/100000*'Bal Híd'!$G$4</f>
        <v>0</v>
      </c>
      <c r="I219" s="145">
        <v>0</v>
      </c>
      <c r="J219" s="145">
        <f t="shared" ca="1" si="66"/>
        <v>8.6325659705111324</v>
      </c>
      <c r="K219" s="145">
        <f t="shared" ca="1" si="67"/>
        <v>319.71795571467243</v>
      </c>
      <c r="L219" s="145">
        <f t="shared" ca="1" si="68"/>
        <v>307.57793753882368</v>
      </c>
      <c r="M219" s="145">
        <f t="shared" ca="1" si="69"/>
        <v>8.4359928863696272</v>
      </c>
      <c r="N219" s="145">
        <f t="shared" ca="1" si="70"/>
        <v>7.6368477630678893</v>
      </c>
      <c r="O219" s="143">
        <f t="shared" ca="1" si="65"/>
        <v>295.43791936297487</v>
      </c>
      <c r="P219" s="145">
        <f t="shared" ca="1" si="71"/>
        <v>0.79914512330173793</v>
      </c>
      <c r="Q219" s="145">
        <f t="shared" ca="1" si="72"/>
        <v>0</v>
      </c>
      <c r="R219" s="592">
        <f t="shared" ca="1" si="73"/>
        <v>0.79914512330173793</v>
      </c>
      <c r="S219" s="311"/>
      <c r="T219" s="392">
        <f t="shared" si="74"/>
        <v>1998</v>
      </c>
      <c r="U219" s="392">
        <f t="shared" si="75"/>
        <v>8</v>
      </c>
      <c r="V219" s="311">
        <f t="shared" ca="1" si="76"/>
        <v>106</v>
      </c>
      <c r="W219" s="269" t="str">
        <f t="shared" ca="1" si="77"/>
        <v>||||||||||</v>
      </c>
      <c r="X219" s="269" t="str">
        <f t="shared" ca="1" si="78"/>
        <v>||||||||||</v>
      </c>
      <c r="Y219" s="434" t="str">
        <f t="shared" ca="1" si="79"/>
        <v/>
      </c>
      <c r="Z219" s="269" t="str">
        <f t="shared" ca="1" si="80"/>
        <v/>
      </c>
      <c r="AA219" s="270" t="str">
        <f t="shared" ca="1" si="81"/>
        <v>|||</v>
      </c>
    </row>
    <row r="220" spans="1:27" x14ac:dyDescent="0.25">
      <c r="A220" s="140">
        <f>+'Esc 2'!A230</f>
        <v>1998</v>
      </c>
      <c r="B220" s="140">
        <f>+'Esc 2'!B230</f>
        <v>9</v>
      </c>
      <c r="C220" s="141">
        <f>+'Esc 2'!O230</f>
        <v>2.7384022710393836</v>
      </c>
      <c r="D220" s="140">
        <f>+'Esc 2'!D230</f>
        <v>195.2</v>
      </c>
      <c r="E220" s="147">
        <f t="shared" si="82"/>
        <v>85.89</v>
      </c>
      <c r="F220" s="146">
        <f t="shared" si="82"/>
        <v>0</v>
      </c>
      <c r="G220" s="144">
        <f t="shared" si="62"/>
        <v>1.0930999999999998E-3</v>
      </c>
      <c r="H220" s="145">
        <f>+F220/100000*'Bal Híd'!$G$4</f>
        <v>0</v>
      </c>
      <c r="I220" s="145">
        <v>0</v>
      </c>
      <c r="J220" s="145">
        <f t="shared" ca="1" si="66"/>
        <v>10.375250034107273</v>
      </c>
      <c r="K220" s="145">
        <f t="shared" ca="1" si="67"/>
        <v>359.94082474262416</v>
      </c>
      <c r="L220" s="145">
        <f t="shared" ca="1" si="68"/>
        <v>327.68937205279951</v>
      </c>
      <c r="M220" s="145">
        <f t="shared" ca="1" si="69"/>
        <v>10.392251347297103</v>
      </c>
      <c r="N220" s="145">
        <f t="shared" ca="1" si="70"/>
        <v>7.6368477630678893</v>
      </c>
      <c r="O220" s="143">
        <f t="shared" ca="1" si="65"/>
        <v>295.43791936297487</v>
      </c>
      <c r="P220" s="145">
        <f t="shared" ca="1" si="71"/>
        <v>2.7554035842292137</v>
      </c>
      <c r="Q220" s="145">
        <f t="shared" ca="1" si="72"/>
        <v>0</v>
      </c>
      <c r="R220" s="592">
        <f t="shared" ca="1" si="73"/>
        <v>2.7554035842292124</v>
      </c>
      <c r="S220" s="311"/>
      <c r="T220" s="392">
        <f t="shared" si="74"/>
        <v>1998</v>
      </c>
      <c r="U220" s="392">
        <f t="shared" si="75"/>
        <v>9</v>
      </c>
      <c r="V220" s="311">
        <f t="shared" ca="1" si="76"/>
        <v>106</v>
      </c>
      <c r="W220" s="269" t="str">
        <f t="shared" ca="1" si="77"/>
        <v>||||||||||</v>
      </c>
      <c r="X220" s="269" t="str">
        <f t="shared" ca="1" si="78"/>
        <v>||||||||||</v>
      </c>
      <c r="Y220" s="434" t="str">
        <f t="shared" ca="1" si="79"/>
        <v/>
      </c>
      <c r="Z220" s="269" t="str">
        <f t="shared" ca="1" si="80"/>
        <v/>
      </c>
      <c r="AA220" s="270" t="str">
        <f t="shared" ca="1" si="81"/>
        <v>|||||||||||||</v>
      </c>
    </row>
    <row r="221" spans="1:27" x14ac:dyDescent="0.25">
      <c r="A221" s="140">
        <f>+'Esc 2'!A231</f>
        <v>1998</v>
      </c>
      <c r="B221" s="140">
        <f>+'Esc 2'!B231</f>
        <v>10</v>
      </c>
      <c r="C221" s="141">
        <f>+'Esc 2'!O231</f>
        <v>0.81418534234094764</v>
      </c>
      <c r="D221" s="140">
        <f>+'Esc 2'!D231</f>
        <v>33.5</v>
      </c>
      <c r="E221" s="147">
        <f t="shared" si="82"/>
        <v>114.86999999999999</v>
      </c>
      <c r="F221" s="146">
        <f t="shared" si="82"/>
        <v>59</v>
      </c>
      <c r="G221" s="144">
        <f t="shared" si="62"/>
        <v>-8.1369999999999988E-4</v>
      </c>
      <c r="H221" s="145">
        <f>+F221/100000*'Bal Híd'!$G$4</f>
        <v>0.64900000000000002</v>
      </c>
      <c r="I221" s="145">
        <v>0</v>
      </c>
      <c r="J221" s="145">
        <f t="shared" ca="1" si="66"/>
        <v>7.8020331054088361</v>
      </c>
      <c r="K221" s="145">
        <f t="shared" ca="1" si="67"/>
        <v>299.54042041697784</v>
      </c>
      <c r="L221" s="145">
        <f t="shared" ca="1" si="68"/>
        <v>297.48916988997632</v>
      </c>
      <c r="M221" s="145">
        <f t="shared" ca="1" si="69"/>
        <v>7.4678706083143842</v>
      </c>
      <c r="N221" s="145">
        <f t="shared" ca="1" si="70"/>
        <v>7.4678706083143842</v>
      </c>
      <c r="O221" s="143">
        <f t="shared" ca="1" si="65"/>
        <v>291.20846331874515</v>
      </c>
      <c r="P221" s="145">
        <f t="shared" ca="1" si="71"/>
        <v>0</v>
      </c>
      <c r="Q221" s="145">
        <f t="shared" ca="1" si="72"/>
        <v>0.64900000000000002</v>
      </c>
      <c r="R221" s="592">
        <f t="shared" ca="1" si="73"/>
        <v>0.48002284524649486</v>
      </c>
      <c r="S221" s="311"/>
      <c r="T221" s="392">
        <f t="shared" si="74"/>
        <v>1998</v>
      </c>
      <c r="U221" s="392">
        <f t="shared" si="75"/>
        <v>10</v>
      </c>
      <c r="V221" s="311">
        <f t="shared" ca="1" si="76"/>
        <v>105.94239171257489</v>
      </c>
      <c r="W221" s="269" t="str">
        <f t="shared" ca="1" si="77"/>
        <v>|||||||||</v>
      </c>
      <c r="X221" s="269" t="str">
        <f t="shared" ca="1" si="78"/>
        <v>|||||||||</v>
      </c>
      <c r="Y221" s="434" t="str">
        <f t="shared" ca="1" si="79"/>
        <v/>
      </c>
      <c r="Z221" s="269" t="str">
        <f t="shared" ca="1" si="80"/>
        <v>|||</v>
      </c>
      <c r="AA221" s="270" t="str">
        <f t="shared" ca="1" si="81"/>
        <v/>
      </c>
    </row>
    <row r="222" spans="1:27" x14ac:dyDescent="0.25">
      <c r="A222" s="140">
        <f>+'Esc 2'!A232</f>
        <v>1998</v>
      </c>
      <c r="B222" s="140">
        <f>+'Esc 2'!B232</f>
        <v>11</v>
      </c>
      <c r="C222" s="141">
        <f>+'Esc 2'!O232</f>
        <v>0.92347090854610969</v>
      </c>
      <c r="D222" s="140">
        <f>+'Esc 2'!D232</f>
        <v>114.4</v>
      </c>
      <c r="E222" s="147">
        <f t="shared" si="82"/>
        <v>144.06</v>
      </c>
      <c r="F222" s="146">
        <f t="shared" si="82"/>
        <v>212</v>
      </c>
      <c r="G222" s="144">
        <f t="shared" si="62"/>
        <v>-2.9659999999999995E-4</v>
      </c>
      <c r="H222" s="145">
        <f>+F222/100000*'Bal Híd'!$G$4</f>
        <v>2.3319999999999999</v>
      </c>
      <c r="I222" s="145">
        <v>0</v>
      </c>
      <c r="J222" s="145">
        <f t="shared" ca="1" si="66"/>
        <v>6.0593415168604947</v>
      </c>
      <c r="K222" s="145">
        <f t="shared" ca="1" si="67"/>
        <v>254.51146172246797</v>
      </c>
      <c r="L222" s="145">
        <f t="shared" ca="1" si="68"/>
        <v>272.85996252060659</v>
      </c>
      <c r="M222" s="145">
        <f t="shared" ca="1" si="69"/>
        <v>5.8826020361994056</v>
      </c>
      <c r="N222" s="145">
        <f t="shared" ca="1" si="70"/>
        <v>5.8826020361994056</v>
      </c>
      <c r="O222" s="143">
        <f t="shared" ca="1" si="65"/>
        <v>249.70224977117709</v>
      </c>
      <c r="P222" s="145">
        <f t="shared" ca="1" si="71"/>
        <v>0</v>
      </c>
      <c r="Q222" s="145">
        <f t="shared" ca="1" si="72"/>
        <v>2.3319999999999999</v>
      </c>
      <c r="R222" s="592">
        <f t="shared" ca="1" si="73"/>
        <v>0.74673142788502178</v>
      </c>
      <c r="S222" s="311"/>
      <c r="T222" s="392">
        <f t="shared" si="74"/>
        <v>1998</v>
      </c>
      <c r="U222" s="392">
        <f t="shared" si="75"/>
        <v>11</v>
      </c>
      <c r="V222" s="311">
        <f t="shared" ca="1" si="76"/>
        <v>105.35572684316115</v>
      </c>
      <c r="W222" s="269" t="str">
        <f t="shared" ca="1" si="77"/>
        <v>||||||||</v>
      </c>
      <c r="X222" s="269" t="str">
        <f t="shared" ca="1" si="78"/>
        <v>|||||||</v>
      </c>
      <c r="Y222" s="434" t="str">
        <f t="shared" ca="1" si="79"/>
        <v/>
      </c>
      <c r="Z222" s="269" t="str">
        <f t="shared" ca="1" si="80"/>
        <v>|||||||||||</v>
      </c>
      <c r="AA222" s="270" t="str">
        <f t="shared" ca="1" si="81"/>
        <v/>
      </c>
    </row>
    <row r="223" spans="1:27" x14ac:dyDescent="0.25">
      <c r="A223" s="140">
        <f>+'Esc 2'!A233</f>
        <v>1998</v>
      </c>
      <c r="B223" s="140">
        <f>+'Esc 2'!B233</f>
        <v>12</v>
      </c>
      <c r="C223" s="141">
        <f>+'Esc 2'!O233</f>
        <v>0.78043345449184931</v>
      </c>
      <c r="D223" s="140">
        <f>+'Esc 2'!D233</f>
        <v>91.2</v>
      </c>
      <c r="E223" s="147">
        <f t="shared" si="82"/>
        <v>179.62</v>
      </c>
      <c r="F223" s="146">
        <f t="shared" si="82"/>
        <v>388</v>
      </c>
      <c r="G223" s="144">
        <f t="shared" si="62"/>
        <v>-8.8420000000000002E-4</v>
      </c>
      <c r="H223" s="145">
        <f>+F223/100000*'Bal Híd'!$G$4</f>
        <v>4.2679999999999998</v>
      </c>
      <c r="I223" s="145">
        <v>0</v>
      </c>
      <c r="J223" s="145">
        <f t="shared" ca="1" si="66"/>
        <v>2.3950354906912548</v>
      </c>
      <c r="K223" s="145">
        <f t="shared" ca="1" si="67"/>
        <v>139.93459334395845</v>
      </c>
      <c r="L223" s="145">
        <f t="shared" ca="1" si="68"/>
        <v>194.81842155756777</v>
      </c>
      <c r="M223" s="145">
        <f t="shared" ca="1" si="69"/>
        <v>2.164966086557345</v>
      </c>
      <c r="N223" s="145">
        <f t="shared" ca="1" si="70"/>
        <v>2.164966086557345</v>
      </c>
      <c r="O223" s="143">
        <f t="shared" ca="1" si="65"/>
        <v>131.11712603934478</v>
      </c>
      <c r="P223" s="145">
        <f t="shared" ca="1" si="71"/>
        <v>0</v>
      </c>
      <c r="Q223" s="145">
        <f t="shared" ca="1" si="72"/>
        <v>4.2679999999999998</v>
      </c>
      <c r="R223" s="592">
        <f t="shared" ca="1" si="73"/>
        <v>0.55036405035793978</v>
      </c>
      <c r="S223" s="311"/>
      <c r="T223" s="392">
        <f t="shared" si="74"/>
        <v>1998</v>
      </c>
      <c r="U223" s="392">
        <f t="shared" si="75"/>
        <v>12</v>
      </c>
      <c r="V223" s="311">
        <f t="shared" ca="1" si="76"/>
        <v>103.37385007286827</v>
      </c>
      <c r="W223" s="269" t="str">
        <f t="shared" ca="1" si="77"/>
        <v>|||||</v>
      </c>
      <c r="X223" s="269" t="str">
        <f t="shared" ca="1" si="78"/>
        <v>||</v>
      </c>
      <c r="Y223" s="434" t="str">
        <f t="shared" ca="1" si="79"/>
        <v/>
      </c>
      <c r="Z223" s="269" t="str">
        <f t="shared" ca="1" si="80"/>
        <v>|||||||||||||||||||||</v>
      </c>
      <c r="AA223" s="270" t="str">
        <f t="shared" ca="1" si="81"/>
        <v/>
      </c>
    </row>
    <row r="224" spans="1:27" x14ac:dyDescent="0.25">
      <c r="A224" s="140">
        <f>+'Esc 2'!A234</f>
        <v>1999</v>
      </c>
      <c r="B224" s="140">
        <f>+'Esc 2'!B234</f>
        <v>1</v>
      </c>
      <c r="C224" s="141">
        <f>+'Esc 2'!O234</f>
        <v>0.21872461701640933</v>
      </c>
      <c r="D224" s="140">
        <f>+'Esc 2'!D234</f>
        <v>16.7</v>
      </c>
      <c r="E224" s="147">
        <f t="shared" si="82"/>
        <v>176.89</v>
      </c>
      <c r="F224" s="146">
        <f t="shared" si="82"/>
        <v>318</v>
      </c>
      <c r="G224" s="144">
        <f t="shared" si="62"/>
        <v>-1.6019000000000001E-3</v>
      </c>
      <c r="H224" s="145">
        <f>+F224/100000*'Bal Híd'!$G$4</f>
        <v>3.4980000000000002</v>
      </c>
      <c r="I224" s="145">
        <v>0</v>
      </c>
      <c r="J224" s="145">
        <f t="shared" ca="1" si="66"/>
        <v>-1.1143092964262458</v>
      </c>
      <c r="K224" s="145">
        <f t="shared" ca="1" si="67"/>
        <v>0</v>
      </c>
      <c r="L224" s="145">
        <f t="shared" ca="1" si="68"/>
        <v>65.558563019672391</v>
      </c>
      <c r="M224" s="145">
        <f t="shared" ca="1" si="69"/>
        <v>-1.2247797530478484</v>
      </c>
      <c r="N224" s="145">
        <f t="shared" ca="1" si="70"/>
        <v>0.14364725252241328</v>
      </c>
      <c r="O224" s="143">
        <f t="shared" ca="1" si="65"/>
        <v>22.824988701237128</v>
      </c>
      <c r="P224" s="145">
        <f t="shared" ca="1" si="71"/>
        <v>0</v>
      </c>
      <c r="Q224" s="145">
        <f t="shared" ca="1" si="72"/>
        <v>2.1295729944297386</v>
      </c>
      <c r="R224" s="592">
        <f t="shared" ca="1" si="73"/>
        <v>0.10825416039480679</v>
      </c>
      <c r="S224" s="311"/>
      <c r="T224" s="392">
        <f t="shared" si="74"/>
        <v>1999</v>
      </c>
      <c r="U224" s="392">
        <f t="shared" si="75"/>
        <v>1</v>
      </c>
      <c r="V224" s="311">
        <f t="shared" ca="1" si="76"/>
        <v>100.5</v>
      </c>
      <c r="W224" s="269" t="str">
        <f t="shared" ca="1" si="77"/>
        <v/>
      </c>
      <c r="X224" s="269" t="str">
        <f t="shared" ca="1" si="78"/>
        <v/>
      </c>
      <c r="Y224" s="434" t="str">
        <f t="shared" ca="1" si="79"/>
        <v>||||||</v>
      </c>
      <c r="Z224" s="269" t="str">
        <f t="shared" ca="1" si="80"/>
        <v>||||||||||</v>
      </c>
      <c r="AA224" s="270" t="str">
        <f t="shared" ca="1" si="81"/>
        <v/>
      </c>
    </row>
    <row r="225" spans="1:27" x14ac:dyDescent="0.25">
      <c r="A225" s="140">
        <f>+'Esc 2'!A235</f>
        <v>1999</v>
      </c>
      <c r="B225" s="140">
        <f>+'Esc 2'!B235</f>
        <v>2</v>
      </c>
      <c r="C225" s="141">
        <f>+'Esc 2'!O235</f>
        <v>1.6106490957828623</v>
      </c>
      <c r="D225" s="140">
        <f>+'Esc 2'!D235</f>
        <v>168.2</v>
      </c>
      <c r="E225" s="147">
        <f t="shared" si="82"/>
        <v>131.73999999999998</v>
      </c>
      <c r="F225" s="146">
        <f t="shared" si="82"/>
        <v>153</v>
      </c>
      <c r="G225" s="144">
        <f t="shared" ref="G225:G271" si="83">+(D225-E225)/100000</f>
        <v>3.6460000000000008E-4</v>
      </c>
      <c r="H225" s="145">
        <f>+F225/100000*'Bal Híd'!$G$4</f>
        <v>1.6829999999999998</v>
      </c>
      <c r="I225" s="145">
        <v>0</v>
      </c>
      <c r="J225" s="145">
        <f t="shared" ca="1" si="66"/>
        <v>7.1296348305275759E-2</v>
      </c>
      <c r="K225" s="145">
        <f t="shared" ca="1" si="67"/>
        <v>14.532914301558767</v>
      </c>
      <c r="L225" s="145">
        <f t="shared" ca="1" si="68"/>
        <v>18.678951501397947</v>
      </c>
      <c r="M225" s="145">
        <f t="shared" ca="1" si="69"/>
        <v>6.6667440659226251E-2</v>
      </c>
      <c r="N225" s="145">
        <f t="shared" ca="1" si="70"/>
        <v>0.14364725252241328</v>
      </c>
      <c r="O225" s="143">
        <f t="shared" ca="1" si="65"/>
        <v>22.824988701237128</v>
      </c>
      <c r="P225" s="145">
        <f t="shared" ca="1" si="71"/>
        <v>0</v>
      </c>
      <c r="Q225" s="145">
        <f t="shared" ca="1" si="72"/>
        <v>1.6060201881368128</v>
      </c>
      <c r="R225" s="592">
        <f t="shared" ca="1" si="73"/>
        <v>1.6060201881368128</v>
      </c>
      <c r="S225" s="311"/>
      <c r="T225" s="392">
        <f t="shared" si="74"/>
        <v>1999</v>
      </c>
      <c r="U225" s="392">
        <f t="shared" si="75"/>
        <v>2</v>
      </c>
      <c r="V225" s="311">
        <f t="shared" ca="1" si="76"/>
        <v>100.5</v>
      </c>
      <c r="W225" s="269" t="str">
        <f t="shared" ca="1" si="77"/>
        <v/>
      </c>
      <c r="X225" s="269" t="str">
        <f t="shared" ca="1" si="78"/>
        <v/>
      </c>
      <c r="Y225" s="434" t="str">
        <f t="shared" ca="1" si="79"/>
        <v/>
      </c>
      <c r="Z225" s="269" t="str">
        <f t="shared" ca="1" si="80"/>
        <v>||||||||</v>
      </c>
      <c r="AA225" s="270" t="str">
        <f t="shared" ca="1" si="81"/>
        <v/>
      </c>
    </row>
    <row r="226" spans="1:27" x14ac:dyDescent="0.25">
      <c r="A226" s="140">
        <f>+'Esc 2'!A236</f>
        <v>1999</v>
      </c>
      <c r="B226" s="140">
        <f>+'Esc 2'!B236</f>
        <v>3</v>
      </c>
      <c r="C226" s="141">
        <f>+'Esc 2'!O236</f>
        <v>0.74465444644105538</v>
      </c>
      <c r="D226" s="140">
        <f>+'Esc 2'!D236</f>
        <v>55.6</v>
      </c>
      <c r="E226" s="147">
        <f t="shared" si="82"/>
        <v>118.64999999999999</v>
      </c>
      <c r="F226" s="146">
        <f t="shared" si="82"/>
        <v>47</v>
      </c>
      <c r="G226" s="144">
        <f t="shared" si="83"/>
        <v>-6.3049999999999988E-4</v>
      </c>
      <c r="H226" s="145">
        <f>+F226/100000*'Bal Híd'!$G$4</f>
        <v>0.51700000000000002</v>
      </c>
      <c r="I226" s="145">
        <v>0</v>
      </c>
      <c r="J226" s="145">
        <f t="shared" ca="1" si="66"/>
        <v>0.37130169896346865</v>
      </c>
      <c r="K226" s="145">
        <f t="shared" ca="1" si="67"/>
        <v>42.091704416709952</v>
      </c>
      <c r="L226" s="145">
        <f t="shared" ca="1" si="68"/>
        <v>32.458346558973538</v>
      </c>
      <c r="M226" s="145">
        <f t="shared" ca="1" si="69"/>
        <v>0.34164650153816345</v>
      </c>
      <c r="N226" s="145">
        <f t="shared" ca="1" si="70"/>
        <v>0.34164650153816345</v>
      </c>
      <c r="O226" s="143">
        <f t="shared" ca="1" si="65"/>
        <v>39.893308009434982</v>
      </c>
      <c r="P226" s="145">
        <f t="shared" ca="1" si="71"/>
        <v>0</v>
      </c>
      <c r="Q226" s="145">
        <f t="shared" ca="1" si="72"/>
        <v>0.51700000000000002</v>
      </c>
      <c r="R226" s="592">
        <f t="shared" ca="1" si="73"/>
        <v>0.71499924901575018</v>
      </c>
      <c r="S226" s="311"/>
      <c r="T226" s="392">
        <f t="shared" si="74"/>
        <v>1999</v>
      </c>
      <c r="U226" s="392">
        <f t="shared" si="75"/>
        <v>3</v>
      </c>
      <c r="V226" s="311">
        <f t="shared" ca="1" si="76"/>
        <v>101.1385931202353</v>
      </c>
      <c r="W226" s="269" t="str">
        <f t="shared" ca="1" si="77"/>
        <v>|</v>
      </c>
      <c r="X226" s="269" t="str">
        <f t="shared" ca="1" si="78"/>
        <v/>
      </c>
      <c r="Y226" s="434" t="str">
        <f t="shared" ca="1" si="79"/>
        <v/>
      </c>
      <c r="Z226" s="269" t="str">
        <f t="shared" ca="1" si="80"/>
        <v>||</v>
      </c>
      <c r="AA226" s="270" t="str">
        <f t="shared" ca="1" si="81"/>
        <v/>
      </c>
    </row>
    <row r="227" spans="1:27" x14ac:dyDescent="0.25">
      <c r="A227" s="140">
        <f>+'Esc 2'!A237</f>
        <v>1999</v>
      </c>
      <c r="B227" s="140">
        <f>+'Esc 2'!B237</f>
        <v>4</v>
      </c>
      <c r="C227" s="141">
        <f>+'Esc 2'!O237</f>
        <v>1.9126080506193481</v>
      </c>
      <c r="D227" s="140">
        <f>+'Esc 2'!D237</f>
        <v>151</v>
      </c>
      <c r="E227" s="147">
        <f t="shared" si="82"/>
        <v>73.149999999999991</v>
      </c>
      <c r="F227" s="146">
        <f t="shared" si="82"/>
        <v>0</v>
      </c>
      <c r="G227" s="144">
        <f t="shared" si="83"/>
        <v>7.7850000000000011E-4</v>
      </c>
      <c r="H227" s="145">
        <f>+F227/100000*'Bal Híd'!$G$4</f>
        <v>0</v>
      </c>
      <c r="I227" s="145">
        <v>0</v>
      </c>
      <c r="J227" s="145">
        <f t="shared" ca="1" si="66"/>
        <v>2.2542545521575117</v>
      </c>
      <c r="K227" s="145">
        <f t="shared" ca="1" si="67"/>
        <v>134.57690372213506</v>
      </c>
      <c r="L227" s="145">
        <f t="shared" ca="1" si="68"/>
        <v>87.235105865785016</v>
      </c>
      <c r="M227" s="145">
        <f t="shared" ca="1" si="69"/>
        <v>2.2587273232240133</v>
      </c>
      <c r="N227" s="145">
        <f t="shared" ca="1" si="70"/>
        <v>2.2587273232240133</v>
      </c>
      <c r="O227" s="143">
        <f t="shared" ca="1" si="65"/>
        <v>134.74892149759035</v>
      </c>
      <c r="P227" s="145">
        <f t="shared" ca="1" si="71"/>
        <v>0</v>
      </c>
      <c r="Q227" s="145">
        <f t="shared" ca="1" si="72"/>
        <v>0</v>
      </c>
      <c r="R227" s="592">
        <f t="shared" ca="1" si="73"/>
        <v>1.9170808216858499</v>
      </c>
      <c r="S227" s="311"/>
      <c r="T227" s="392">
        <f t="shared" si="74"/>
        <v>1999</v>
      </c>
      <c r="U227" s="392">
        <f t="shared" si="75"/>
        <v>4</v>
      </c>
      <c r="V227" s="311">
        <f t="shared" ca="1" si="76"/>
        <v>103.44438472895803</v>
      </c>
      <c r="W227" s="269" t="str">
        <f t="shared" ca="1" si="77"/>
        <v>|||||</v>
      </c>
      <c r="X227" s="269" t="str">
        <f t="shared" ca="1" si="78"/>
        <v>||</v>
      </c>
      <c r="Y227" s="434" t="str">
        <f t="shared" ca="1" si="79"/>
        <v/>
      </c>
      <c r="Z227" s="269" t="str">
        <f t="shared" ca="1" si="80"/>
        <v/>
      </c>
      <c r="AA227" s="270" t="str">
        <f t="shared" ca="1" si="81"/>
        <v/>
      </c>
    </row>
    <row r="228" spans="1:27" x14ac:dyDescent="0.25">
      <c r="A228" s="140">
        <f>+'Esc 2'!A238</f>
        <v>1999</v>
      </c>
      <c r="B228" s="140">
        <f>+'Esc 2'!B238</f>
        <v>5</v>
      </c>
      <c r="C228" s="141">
        <f>+'Esc 2'!O238</f>
        <v>1.0319578447879716</v>
      </c>
      <c r="D228" s="140">
        <f>+'Esc 2'!D238</f>
        <v>59.8</v>
      </c>
      <c r="E228" s="147">
        <f t="shared" si="82"/>
        <v>51.24</v>
      </c>
      <c r="F228" s="146">
        <f t="shared" si="82"/>
        <v>0</v>
      </c>
      <c r="G228" s="144">
        <f t="shared" si="83"/>
        <v>8.5599999999999953E-5</v>
      </c>
      <c r="H228" s="145">
        <f>+F228/100000*'Bal Híd'!$G$4</f>
        <v>0</v>
      </c>
      <c r="I228" s="145">
        <v>0</v>
      </c>
      <c r="J228" s="145">
        <f t="shared" ca="1" si="66"/>
        <v>3.2906851680119846</v>
      </c>
      <c r="K228" s="145">
        <f t="shared" ca="1" si="67"/>
        <v>171.72804793040487</v>
      </c>
      <c r="L228" s="145">
        <f t="shared" ca="1" si="68"/>
        <v>153.23848471399759</v>
      </c>
      <c r="M228" s="145">
        <f t="shared" ca="1" si="69"/>
        <v>3.2436747562867607</v>
      </c>
      <c r="N228" s="145">
        <f t="shared" ca="1" si="70"/>
        <v>3.2436747562867607</v>
      </c>
      <c r="O228" s="143">
        <f t="shared" ca="1" si="65"/>
        <v>170.14300918617539</v>
      </c>
      <c r="P228" s="145">
        <f t="shared" ca="1" si="71"/>
        <v>0</v>
      </c>
      <c r="Q228" s="145">
        <f t="shared" ca="1" si="72"/>
        <v>0</v>
      </c>
      <c r="R228" s="592">
        <f t="shared" ca="1" si="73"/>
        <v>0.98494743306274768</v>
      </c>
      <c r="S228" s="311"/>
      <c r="T228" s="392">
        <f t="shared" si="74"/>
        <v>1999</v>
      </c>
      <c r="U228" s="392">
        <f t="shared" si="75"/>
        <v>5</v>
      </c>
      <c r="V228" s="311">
        <f t="shared" ca="1" si="76"/>
        <v>104.0917888238788</v>
      </c>
      <c r="W228" s="269" t="str">
        <f t="shared" ca="1" si="77"/>
        <v>||||||</v>
      </c>
      <c r="X228" s="269" t="str">
        <f t="shared" ca="1" si="78"/>
        <v>||||</v>
      </c>
      <c r="Y228" s="434" t="str">
        <f t="shared" ca="1" si="79"/>
        <v/>
      </c>
      <c r="Z228" s="269" t="str">
        <f t="shared" ca="1" si="80"/>
        <v/>
      </c>
      <c r="AA228" s="270" t="str">
        <f t="shared" ca="1" si="81"/>
        <v/>
      </c>
    </row>
    <row r="229" spans="1:27" x14ac:dyDescent="0.25">
      <c r="A229" s="140">
        <f>+'Esc 2'!A239</f>
        <v>1999</v>
      </c>
      <c r="B229" s="140">
        <f>+'Esc 2'!B239</f>
        <v>6</v>
      </c>
      <c r="C229" s="141">
        <f>+'Esc 2'!O239</f>
        <v>0.9691423471695223</v>
      </c>
      <c r="D229" s="140">
        <f>+'Esc 2'!D239</f>
        <v>71.400000000000006</v>
      </c>
      <c r="E229" s="147">
        <f t="shared" si="82"/>
        <v>41.019999999999996</v>
      </c>
      <c r="F229" s="146">
        <f t="shared" si="82"/>
        <v>0</v>
      </c>
      <c r="G229" s="144">
        <f t="shared" si="83"/>
        <v>3.0380000000000012E-4</v>
      </c>
      <c r="H229" s="145">
        <f>+F229/100000*'Bal Híd'!$G$4</f>
        <v>0</v>
      </c>
      <c r="I229" s="145">
        <v>0</v>
      </c>
      <c r="J229" s="145">
        <f t="shared" ca="1" si="66"/>
        <v>4.2128171034562829</v>
      </c>
      <c r="K229" s="145">
        <f t="shared" ca="1" si="67"/>
        <v>201.36349760928098</v>
      </c>
      <c r="L229" s="145">
        <f t="shared" ca="1" si="68"/>
        <v>185.7532533977282</v>
      </c>
      <c r="M229" s="145">
        <f t="shared" ca="1" si="69"/>
        <v>4.2007997616133235</v>
      </c>
      <c r="N229" s="145">
        <f t="shared" ca="1" si="70"/>
        <v>4.2007997616133235</v>
      </c>
      <c r="O229" s="143">
        <f t="shared" ca="1" si="65"/>
        <v>200.99314177317214</v>
      </c>
      <c r="P229" s="145">
        <f t="shared" ca="1" si="71"/>
        <v>0</v>
      </c>
      <c r="Q229" s="145">
        <f t="shared" ca="1" si="72"/>
        <v>0</v>
      </c>
      <c r="R229" s="592">
        <f t="shared" ca="1" si="73"/>
        <v>0.95712500532656231</v>
      </c>
      <c r="S229" s="311"/>
      <c r="T229" s="392">
        <f t="shared" si="74"/>
        <v>1999</v>
      </c>
      <c r="U229" s="392">
        <f t="shared" si="75"/>
        <v>6</v>
      </c>
      <c r="V229" s="311">
        <f t="shared" ca="1" si="76"/>
        <v>104.60810386302346</v>
      </c>
      <c r="W229" s="269" t="str">
        <f t="shared" ca="1" si="77"/>
        <v>|||||||</v>
      </c>
      <c r="X229" s="269" t="str">
        <f t="shared" ca="1" si="78"/>
        <v>|||||</v>
      </c>
      <c r="Y229" s="434" t="str">
        <f t="shared" ca="1" si="79"/>
        <v/>
      </c>
      <c r="Z229" s="269" t="str">
        <f t="shared" ca="1" si="80"/>
        <v/>
      </c>
      <c r="AA229" s="270" t="str">
        <f t="shared" ca="1" si="81"/>
        <v/>
      </c>
    </row>
    <row r="230" spans="1:27" x14ac:dyDescent="0.25">
      <c r="A230" s="140">
        <f>+'Esc 2'!A240</f>
        <v>1999</v>
      </c>
      <c r="B230" s="140">
        <f>+'Esc 2'!B240</f>
        <v>7</v>
      </c>
      <c r="C230" s="141">
        <f>+'Esc 2'!O240</f>
        <v>1.4684905011764331</v>
      </c>
      <c r="D230" s="140">
        <f>+'Esc 2'!D240</f>
        <v>98.3</v>
      </c>
      <c r="E230" s="147">
        <f t="shared" si="82"/>
        <v>50.819999999999993</v>
      </c>
      <c r="F230" s="146">
        <f t="shared" si="82"/>
        <v>0</v>
      </c>
      <c r="G230" s="144">
        <f t="shared" si="83"/>
        <v>4.7480000000000005E-4</v>
      </c>
      <c r="H230" s="145">
        <f>+F230/100000*'Bal Híd'!$G$4</f>
        <v>0</v>
      </c>
      <c r="I230" s="145">
        <v>0</v>
      </c>
      <c r="J230" s="145">
        <f t="shared" ca="1" si="66"/>
        <v>5.6692902627897563</v>
      </c>
      <c r="K230" s="145">
        <f t="shared" ca="1" si="67"/>
        <v>243.82888091468814</v>
      </c>
      <c r="L230" s="145">
        <f t="shared" ca="1" si="68"/>
        <v>222.41101134393014</v>
      </c>
      <c r="M230" s="145">
        <f t="shared" ca="1" si="69"/>
        <v>5.6507052856847499</v>
      </c>
      <c r="N230" s="145">
        <f t="shared" ca="1" si="70"/>
        <v>5.6507052856847499</v>
      </c>
      <c r="O230" s="143">
        <f t="shared" ca="1" si="65"/>
        <v>243.31346947469135</v>
      </c>
      <c r="P230" s="145">
        <f t="shared" ca="1" si="71"/>
        <v>0</v>
      </c>
      <c r="Q230" s="145">
        <f t="shared" ca="1" si="72"/>
        <v>0</v>
      </c>
      <c r="R230" s="592">
        <f t="shared" ca="1" si="73"/>
        <v>1.4499055240714265</v>
      </c>
      <c r="S230" s="311"/>
      <c r="T230" s="392">
        <f t="shared" si="74"/>
        <v>1999</v>
      </c>
      <c r="U230" s="392">
        <f t="shared" si="75"/>
        <v>7</v>
      </c>
      <c r="V230" s="311">
        <f t="shared" ca="1" si="76"/>
        <v>105.26165172121647</v>
      </c>
      <c r="W230" s="269" t="str">
        <f t="shared" ca="1" si="77"/>
        <v>||||||||</v>
      </c>
      <c r="X230" s="269" t="str">
        <f t="shared" ca="1" si="78"/>
        <v>|||||||</v>
      </c>
      <c r="Y230" s="434" t="str">
        <f t="shared" ca="1" si="79"/>
        <v/>
      </c>
      <c r="Z230" s="269" t="str">
        <f t="shared" ca="1" si="80"/>
        <v/>
      </c>
      <c r="AA230" s="270" t="str">
        <f t="shared" ca="1" si="81"/>
        <v/>
      </c>
    </row>
    <row r="231" spans="1:27" x14ac:dyDescent="0.25">
      <c r="A231" s="140">
        <f>+'Esc 2'!A241</f>
        <v>1999</v>
      </c>
      <c r="B231" s="140">
        <f>+'Esc 2'!B241</f>
        <v>8</v>
      </c>
      <c r="C231" s="141">
        <f>+'Esc 2'!O241</f>
        <v>0.46056974024328939</v>
      </c>
      <c r="D231" s="140">
        <f>+'Esc 2'!D241</f>
        <v>17.899999999999999</v>
      </c>
      <c r="E231" s="147">
        <f t="shared" si="82"/>
        <v>72.449999999999989</v>
      </c>
      <c r="F231" s="146">
        <f t="shared" si="82"/>
        <v>0</v>
      </c>
      <c r="G231" s="144">
        <f t="shared" si="83"/>
        <v>-5.4549999999999987E-4</v>
      </c>
      <c r="H231" s="145">
        <f>+F231/100000*'Bal Híd'!$G$4</f>
        <v>0</v>
      </c>
      <c r="I231" s="145">
        <v>0</v>
      </c>
      <c r="J231" s="145">
        <f t="shared" ca="1" si="66"/>
        <v>6.1112750259280393</v>
      </c>
      <c r="K231" s="145">
        <f t="shared" ca="1" si="67"/>
        <v>255.91508981515304</v>
      </c>
      <c r="L231" s="145">
        <f t="shared" ca="1" si="68"/>
        <v>249.61427964492219</v>
      </c>
      <c r="M231" s="145">
        <f t="shared" ca="1" si="69"/>
        <v>5.9313975907782828</v>
      </c>
      <c r="N231" s="145">
        <f t="shared" ca="1" si="70"/>
        <v>5.9313975907782828</v>
      </c>
      <c r="O231" s="143">
        <f t="shared" ca="1" si="65"/>
        <v>251.03508630400293</v>
      </c>
      <c r="P231" s="145">
        <f t="shared" ca="1" si="71"/>
        <v>0</v>
      </c>
      <c r="Q231" s="145">
        <f t="shared" ca="1" si="72"/>
        <v>0</v>
      </c>
      <c r="R231" s="592">
        <f t="shared" ca="1" si="73"/>
        <v>0.28069230509353282</v>
      </c>
      <c r="S231" s="311"/>
      <c r="T231" s="392">
        <f t="shared" si="74"/>
        <v>1999</v>
      </c>
      <c r="U231" s="392">
        <f t="shared" si="75"/>
        <v>8</v>
      </c>
      <c r="V231" s="311">
        <f t="shared" ca="1" si="76"/>
        <v>105.37521634502981</v>
      </c>
      <c r="W231" s="269" t="str">
        <f t="shared" ca="1" si="77"/>
        <v>||||||||</v>
      </c>
      <c r="X231" s="269" t="str">
        <f t="shared" ca="1" si="78"/>
        <v>|||||||</v>
      </c>
      <c r="Y231" s="434" t="str">
        <f t="shared" ca="1" si="79"/>
        <v/>
      </c>
      <c r="Z231" s="269" t="str">
        <f t="shared" ca="1" si="80"/>
        <v/>
      </c>
      <c r="AA231" s="270" t="str">
        <f t="shared" ca="1" si="81"/>
        <v/>
      </c>
    </row>
    <row r="232" spans="1:27" x14ac:dyDescent="0.25">
      <c r="A232" s="140">
        <f>+'Esc 2'!A242</f>
        <v>1999</v>
      </c>
      <c r="B232" s="140">
        <f>+'Esc 2'!B242</f>
        <v>9</v>
      </c>
      <c r="C232" s="141">
        <f>+'Esc 2'!O242</f>
        <v>0.22787781037732352</v>
      </c>
      <c r="D232" s="140">
        <f>+'Esc 2'!D242</f>
        <v>40.700000000000003</v>
      </c>
      <c r="E232" s="147">
        <f t="shared" si="82"/>
        <v>85.89</v>
      </c>
      <c r="F232" s="146">
        <f t="shared" si="82"/>
        <v>0</v>
      </c>
      <c r="G232" s="144">
        <f t="shared" si="83"/>
        <v>-4.5189999999999998E-4</v>
      </c>
      <c r="H232" s="145">
        <f>+F232/100000*'Bal Híd'!$G$4</f>
        <v>0</v>
      </c>
      <c r="I232" s="145">
        <v>0</v>
      </c>
      <c r="J232" s="145">
        <f t="shared" ca="1" si="66"/>
        <v>6.1592754011556066</v>
      </c>
      <c r="K232" s="145">
        <f t="shared" ca="1" si="67"/>
        <v>257.20864855280337</v>
      </c>
      <c r="L232" s="145">
        <f t="shared" ca="1" si="68"/>
        <v>254.12186742840316</v>
      </c>
      <c r="M232" s="145">
        <f t="shared" ca="1" si="69"/>
        <v>6.0224191989534637</v>
      </c>
      <c r="N232" s="145">
        <f t="shared" ca="1" si="70"/>
        <v>6.0224191989534637</v>
      </c>
      <c r="O232" s="143">
        <f t="shared" ca="1" si="65"/>
        <v>253.51094454534788</v>
      </c>
      <c r="P232" s="145">
        <f t="shared" ca="1" si="71"/>
        <v>0</v>
      </c>
      <c r="Q232" s="145">
        <f t="shared" ca="1" si="72"/>
        <v>0</v>
      </c>
      <c r="R232" s="592">
        <f t="shared" ca="1" si="73"/>
        <v>9.1021608175180596E-2</v>
      </c>
      <c r="S232" s="311"/>
      <c r="T232" s="392">
        <f t="shared" si="74"/>
        <v>1999</v>
      </c>
      <c r="U232" s="392">
        <f t="shared" si="75"/>
        <v>9</v>
      </c>
      <c r="V232" s="311">
        <f t="shared" ca="1" si="76"/>
        <v>105.41129707111219</v>
      </c>
      <c r="W232" s="269" t="str">
        <f t="shared" ca="1" si="77"/>
        <v>||||||||</v>
      </c>
      <c r="X232" s="269" t="str">
        <f t="shared" ca="1" si="78"/>
        <v>|||||||</v>
      </c>
      <c r="Y232" s="434" t="str">
        <f t="shared" ca="1" si="79"/>
        <v/>
      </c>
      <c r="Z232" s="269" t="str">
        <f t="shared" ca="1" si="80"/>
        <v/>
      </c>
      <c r="AA232" s="270" t="str">
        <f t="shared" ca="1" si="81"/>
        <v/>
      </c>
    </row>
    <row r="233" spans="1:27" x14ac:dyDescent="0.25">
      <c r="A233" s="140">
        <f>+'Esc 2'!A243</f>
        <v>1999</v>
      </c>
      <c r="B233" s="140">
        <f>+'Esc 2'!B243</f>
        <v>10</v>
      </c>
      <c r="C233" s="141">
        <f>+'Esc 2'!O243</f>
        <v>0.61115697884345166</v>
      </c>
      <c r="D233" s="140">
        <f>+'Esc 2'!D243</f>
        <v>82.9</v>
      </c>
      <c r="E233" s="147">
        <f t="shared" ref="E233:F252" si="84">+E221</f>
        <v>114.86999999999999</v>
      </c>
      <c r="F233" s="146">
        <f t="shared" si="84"/>
        <v>59</v>
      </c>
      <c r="G233" s="144">
        <f t="shared" si="83"/>
        <v>-3.1969999999999986E-4</v>
      </c>
      <c r="H233" s="145">
        <f>+F233/100000*'Bal Híd'!$G$4</f>
        <v>0.64900000000000002</v>
      </c>
      <c r="I233" s="145">
        <v>0</v>
      </c>
      <c r="J233" s="145">
        <f t="shared" ca="1" si="66"/>
        <v>5.9845761777969155</v>
      </c>
      <c r="K233" s="145">
        <f t="shared" ca="1" si="67"/>
        <v>252.4832123449813</v>
      </c>
      <c r="L233" s="145">
        <f t="shared" ca="1" si="68"/>
        <v>252.99707844516459</v>
      </c>
      <c r="M233" s="145">
        <f t="shared" ca="1" si="69"/>
        <v>5.8449017836359562</v>
      </c>
      <c r="N233" s="145">
        <f t="shared" ca="1" si="70"/>
        <v>5.8449017836359562</v>
      </c>
      <c r="O233" s="143">
        <f t="shared" ca="1" si="65"/>
        <v>248.66978467215984</v>
      </c>
      <c r="P233" s="145">
        <f t="shared" ca="1" si="71"/>
        <v>0</v>
      </c>
      <c r="Q233" s="145">
        <f t="shared" ca="1" si="72"/>
        <v>0.64900000000000002</v>
      </c>
      <c r="R233" s="592">
        <f t="shared" ca="1" si="73"/>
        <v>0.47148258468249205</v>
      </c>
      <c r="S233" s="311"/>
      <c r="T233" s="392">
        <f t="shared" si="74"/>
        <v>1999</v>
      </c>
      <c r="U233" s="392">
        <f t="shared" si="75"/>
        <v>10</v>
      </c>
      <c r="V233" s="311">
        <f t="shared" ca="1" si="76"/>
        <v>105.34059747227562</v>
      </c>
      <c r="W233" s="269" t="str">
        <f t="shared" ca="1" si="77"/>
        <v>||||||||</v>
      </c>
      <c r="X233" s="269" t="str">
        <f t="shared" ca="1" si="78"/>
        <v>|||||||</v>
      </c>
      <c r="Y233" s="434" t="str">
        <f t="shared" ca="1" si="79"/>
        <v/>
      </c>
      <c r="Z233" s="269" t="str">
        <f t="shared" ca="1" si="80"/>
        <v>|||</v>
      </c>
      <c r="AA233" s="270" t="str">
        <f t="shared" ca="1" si="81"/>
        <v/>
      </c>
    </row>
    <row r="234" spans="1:27" x14ac:dyDescent="0.25">
      <c r="A234" s="140">
        <f>+'Esc 2'!A244</f>
        <v>1999</v>
      </c>
      <c r="B234" s="140">
        <f>+'Esc 2'!B244</f>
        <v>11</v>
      </c>
      <c r="C234" s="141">
        <f>+'Esc 2'!O244</f>
        <v>0.20629452361074468</v>
      </c>
      <c r="D234" s="140">
        <f>+'Esc 2'!D244</f>
        <v>3.5</v>
      </c>
      <c r="E234" s="147">
        <f t="shared" si="84"/>
        <v>144.06</v>
      </c>
      <c r="F234" s="146">
        <f t="shared" si="84"/>
        <v>212</v>
      </c>
      <c r="G234" s="144">
        <f t="shared" si="83"/>
        <v>-1.4056000000000001E-3</v>
      </c>
      <c r="H234" s="145">
        <f>+F234/100000*'Bal Híd'!$G$4</f>
        <v>2.3319999999999999</v>
      </c>
      <c r="I234" s="145">
        <v>0</v>
      </c>
      <c r="J234" s="145">
        <f t="shared" ca="1" si="66"/>
        <v>3.7191963072467011</v>
      </c>
      <c r="K234" s="145">
        <f t="shared" ca="1" si="67"/>
        <v>185.82383638842242</v>
      </c>
      <c r="L234" s="145">
        <f t="shared" ca="1" si="68"/>
        <v>217.24681053029113</v>
      </c>
      <c r="M234" s="145">
        <f t="shared" ca="1" si="69"/>
        <v>3.3967935716260467</v>
      </c>
      <c r="N234" s="145">
        <f t="shared" ca="1" si="70"/>
        <v>3.3967935716260467</v>
      </c>
      <c r="O234" s="143">
        <f t="shared" ca="1" si="65"/>
        <v>175.27639322267973</v>
      </c>
      <c r="P234" s="145">
        <f t="shared" ca="1" si="71"/>
        <v>0</v>
      </c>
      <c r="Q234" s="145">
        <f t="shared" ca="1" si="72"/>
        <v>2.3319999999999999</v>
      </c>
      <c r="R234" s="592">
        <f t="shared" ca="1" si="73"/>
        <v>-0.11610821200991014</v>
      </c>
      <c r="S234" s="311"/>
      <c r="T234" s="392">
        <f t="shared" si="74"/>
        <v>1999</v>
      </c>
      <c r="U234" s="392">
        <f t="shared" si="75"/>
        <v>11</v>
      </c>
      <c r="V234" s="311">
        <f t="shared" ca="1" si="76"/>
        <v>104.18044850412961</v>
      </c>
      <c r="W234" s="269" t="str">
        <f t="shared" ca="1" si="77"/>
        <v>||||||</v>
      </c>
      <c r="X234" s="269" t="str">
        <f t="shared" ca="1" si="78"/>
        <v>||||</v>
      </c>
      <c r="Y234" s="434" t="str">
        <f t="shared" ca="1" si="79"/>
        <v/>
      </c>
      <c r="Z234" s="269" t="str">
        <f t="shared" ca="1" si="80"/>
        <v>|||||||||||</v>
      </c>
      <c r="AA234" s="270" t="str">
        <f t="shared" ca="1" si="81"/>
        <v/>
      </c>
    </row>
    <row r="235" spans="1:27" x14ac:dyDescent="0.25">
      <c r="A235" s="140">
        <f>+'Esc 2'!A245</f>
        <v>1999</v>
      </c>
      <c r="B235" s="140">
        <f>+'Esc 2'!B245</f>
        <v>12</v>
      </c>
      <c r="C235" s="141">
        <f>+'Esc 2'!O245</f>
        <v>0.1007997047968858</v>
      </c>
      <c r="D235" s="140">
        <f>+'Esc 2'!D245</f>
        <v>37.799999999999997</v>
      </c>
      <c r="E235" s="147">
        <f t="shared" si="84"/>
        <v>179.62</v>
      </c>
      <c r="F235" s="146">
        <f t="shared" si="84"/>
        <v>388</v>
      </c>
      <c r="G235" s="144">
        <f t="shared" si="83"/>
        <v>-1.4181999999999999E-3</v>
      </c>
      <c r="H235" s="145">
        <f>+F235/100000*'Bal Híd'!$G$4</f>
        <v>4.2679999999999998</v>
      </c>
      <c r="I235" s="145">
        <v>0</v>
      </c>
      <c r="J235" s="145">
        <f t="shared" ca="1" si="66"/>
        <v>-0.77040672357706752</v>
      </c>
      <c r="K235" s="145">
        <f t="shared" ca="1" si="67"/>
        <v>0</v>
      </c>
      <c r="L235" s="145">
        <f t="shared" ca="1" si="68"/>
        <v>87.638196611339865</v>
      </c>
      <c r="M235" s="145">
        <f t="shared" ca="1" si="69"/>
        <v>-0.89805411300265892</v>
      </c>
      <c r="N235" s="145">
        <f t="shared" ca="1" si="70"/>
        <v>0.14364725252241328</v>
      </c>
      <c r="O235" s="143">
        <f t="shared" ca="1" si="65"/>
        <v>22.824988701237128</v>
      </c>
      <c r="P235" s="145">
        <f t="shared" ca="1" si="71"/>
        <v>0</v>
      </c>
      <c r="Q235" s="145">
        <f t="shared" ca="1" si="72"/>
        <v>3.2262986344749276</v>
      </c>
      <c r="R235" s="592">
        <f t="shared" ca="1" si="73"/>
        <v>-2.6847684628705931E-2</v>
      </c>
      <c r="S235" s="311"/>
      <c r="T235" s="392">
        <f t="shared" si="74"/>
        <v>1999</v>
      </c>
      <c r="U235" s="392">
        <f t="shared" si="75"/>
        <v>12</v>
      </c>
      <c r="V235" s="311">
        <f t="shared" ca="1" si="76"/>
        <v>100.5</v>
      </c>
      <c r="W235" s="269" t="str">
        <f t="shared" ca="1" si="77"/>
        <v/>
      </c>
      <c r="X235" s="269" t="str">
        <f t="shared" ca="1" si="78"/>
        <v/>
      </c>
      <c r="Y235" s="434" t="str">
        <f t="shared" ca="1" si="79"/>
        <v>|||||</v>
      </c>
      <c r="Z235" s="269" t="str">
        <f t="shared" ca="1" si="80"/>
        <v>||||||||||||||||</v>
      </c>
      <c r="AA235" s="270" t="str">
        <f t="shared" ca="1" si="81"/>
        <v/>
      </c>
    </row>
    <row r="236" spans="1:27" x14ac:dyDescent="0.25">
      <c r="A236" s="140">
        <f>+'Esc 2'!A246</f>
        <v>2000</v>
      </c>
      <c r="B236" s="140">
        <f>+'Esc 2'!B246</f>
        <v>1</v>
      </c>
      <c r="C236" s="141">
        <f>+'Esc 2'!O246</f>
        <v>0.92575102317146174</v>
      </c>
      <c r="D236" s="140">
        <f>+'Esc 2'!D246</f>
        <v>130.4</v>
      </c>
      <c r="E236" s="147">
        <f t="shared" si="84"/>
        <v>176.89</v>
      </c>
      <c r="F236" s="146">
        <f t="shared" si="84"/>
        <v>318</v>
      </c>
      <c r="G236" s="144">
        <f t="shared" si="83"/>
        <v>-4.6489999999999981E-4</v>
      </c>
      <c r="H236" s="145">
        <f>+F236/100000*'Bal Híd'!$G$4</f>
        <v>3.4980000000000002</v>
      </c>
      <c r="I236" s="145">
        <v>0</v>
      </c>
      <c r="J236" s="145">
        <f t="shared" ca="1" si="66"/>
        <v>-2.4286017243061253</v>
      </c>
      <c r="K236" s="145">
        <f t="shared" ca="1" si="67"/>
        <v>0</v>
      </c>
      <c r="L236" s="145">
        <f t="shared" ca="1" si="68"/>
        <v>11.412494350618564</v>
      </c>
      <c r="M236" s="145">
        <f t="shared" ca="1" si="69"/>
        <v>-2.4379245519875314</v>
      </c>
      <c r="N236" s="145">
        <f t="shared" ca="1" si="70"/>
        <v>0.14364725252241328</v>
      </c>
      <c r="O236" s="143">
        <f t="shared" ca="1" si="65"/>
        <v>22.824988701237128</v>
      </c>
      <c r="P236" s="145">
        <f t="shared" ca="1" si="71"/>
        <v>0</v>
      </c>
      <c r="Q236" s="145">
        <f t="shared" ca="1" si="72"/>
        <v>0.9164281954900555</v>
      </c>
      <c r="R236" s="592">
        <f t="shared" ca="1" si="73"/>
        <v>0.91642819549005539</v>
      </c>
      <c r="S236" s="311"/>
      <c r="T236" s="392">
        <f t="shared" si="74"/>
        <v>2000</v>
      </c>
      <c r="U236" s="392">
        <f t="shared" si="75"/>
        <v>1</v>
      </c>
      <c r="V236" s="311">
        <f t="shared" ca="1" si="76"/>
        <v>100.5</v>
      </c>
      <c r="W236" s="269" t="str">
        <f t="shared" ca="1" si="77"/>
        <v/>
      </c>
      <c r="X236" s="269" t="str">
        <f t="shared" ca="1" si="78"/>
        <v/>
      </c>
      <c r="Y236" s="434" t="str">
        <f t="shared" ca="1" si="79"/>
        <v>||||||||||||</v>
      </c>
      <c r="Z236" s="269" t="str">
        <f t="shared" ca="1" si="80"/>
        <v>||||</v>
      </c>
      <c r="AA236" s="270" t="str">
        <f t="shared" ca="1" si="81"/>
        <v/>
      </c>
    </row>
    <row r="237" spans="1:27" x14ac:dyDescent="0.25">
      <c r="A237" s="140">
        <f>+'Esc 2'!A247</f>
        <v>2000</v>
      </c>
      <c r="B237" s="140">
        <f>+'Esc 2'!B247</f>
        <v>2</v>
      </c>
      <c r="C237" s="141">
        <f>+'Esc 2'!O247</f>
        <v>0.95798863748833207</v>
      </c>
      <c r="D237" s="140">
        <f>+'Esc 2'!D247</f>
        <v>99.6</v>
      </c>
      <c r="E237" s="147">
        <f t="shared" si="84"/>
        <v>131.73999999999998</v>
      </c>
      <c r="F237" s="146">
        <f t="shared" si="84"/>
        <v>153</v>
      </c>
      <c r="G237" s="144">
        <f t="shared" si="83"/>
        <v>-3.2139999999999984E-4</v>
      </c>
      <c r="H237" s="145">
        <f>+F237/100000*'Bal Híd'!$G$4</f>
        <v>1.6829999999999998</v>
      </c>
      <c r="I237" s="145">
        <v>0</v>
      </c>
      <c r="J237" s="145">
        <f t="shared" ca="1" si="66"/>
        <v>-0.58136410998925436</v>
      </c>
      <c r="K237" s="145">
        <f t="shared" ca="1" si="67"/>
        <v>0</v>
      </c>
      <c r="L237" s="145">
        <f t="shared" ca="1" si="68"/>
        <v>11.412494350618564</v>
      </c>
      <c r="M237" s="145">
        <f t="shared" ca="1" si="69"/>
        <v>-0.58918913507023229</v>
      </c>
      <c r="N237" s="145">
        <f t="shared" ca="1" si="70"/>
        <v>0.14364725252241328</v>
      </c>
      <c r="O237" s="143">
        <f t="shared" ca="1" si="65"/>
        <v>22.824988701237128</v>
      </c>
      <c r="P237" s="145">
        <f t="shared" ca="1" si="71"/>
        <v>0</v>
      </c>
      <c r="Q237" s="145">
        <f t="shared" ca="1" si="72"/>
        <v>0.95016361240735425</v>
      </c>
      <c r="R237" s="592">
        <f t="shared" ca="1" si="73"/>
        <v>0.95016361240735414</v>
      </c>
      <c r="S237" s="311"/>
      <c r="T237" s="392">
        <f t="shared" si="74"/>
        <v>2000</v>
      </c>
      <c r="U237" s="392">
        <f t="shared" si="75"/>
        <v>2</v>
      </c>
      <c r="V237" s="311">
        <f t="shared" ca="1" si="76"/>
        <v>100.5</v>
      </c>
      <c r="W237" s="269" t="str">
        <f t="shared" ca="1" si="77"/>
        <v/>
      </c>
      <c r="X237" s="269" t="str">
        <f t="shared" ca="1" si="78"/>
        <v/>
      </c>
      <c r="Y237" s="434" t="str">
        <f t="shared" ca="1" si="79"/>
        <v>|||</v>
      </c>
      <c r="Z237" s="269" t="str">
        <f t="shared" ca="1" si="80"/>
        <v>||||</v>
      </c>
      <c r="AA237" s="270" t="str">
        <f t="shared" ca="1" si="81"/>
        <v/>
      </c>
    </row>
    <row r="238" spans="1:27" x14ac:dyDescent="0.25">
      <c r="A238" s="140">
        <f>+'Esc 2'!A248</f>
        <v>2000</v>
      </c>
      <c r="B238" s="140">
        <f>+'Esc 2'!B248</f>
        <v>3</v>
      </c>
      <c r="C238" s="141">
        <f>+'Esc 2'!O248</f>
        <v>2.0740148780578176</v>
      </c>
      <c r="D238" s="140">
        <f>+'Esc 2'!D248</f>
        <v>172.6</v>
      </c>
      <c r="E238" s="147">
        <f t="shared" si="84"/>
        <v>118.64999999999999</v>
      </c>
      <c r="F238" s="146">
        <f t="shared" si="84"/>
        <v>47</v>
      </c>
      <c r="G238" s="144">
        <f t="shared" si="83"/>
        <v>5.3950000000000005E-4</v>
      </c>
      <c r="H238" s="145">
        <f>+F238/100000*'Bal Híd'!$G$4</f>
        <v>0.51700000000000002</v>
      </c>
      <c r="I238" s="145">
        <v>0</v>
      </c>
      <c r="J238" s="145">
        <f t="shared" ca="1" si="66"/>
        <v>1.700662130580231</v>
      </c>
      <c r="K238" s="145">
        <f t="shared" ca="1" si="67"/>
        <v>112.2279052849856</v>
      </c>
      <c r="L238" s="145">
        <f t="shared" ca="1" si="68"/>
        <v>67.526446993111364</v>
      </c>
      <c r="M238" s="145">
        <f t="shared" ca="1" si="69"/>
        <v>1.6838413727915333</v>
      </c>
      <c r="N238" s="145">
        <f t="shared" ca="1" si="70"/>
        <v>1.6838413727915333</v>
      </c>
      <c r="O238" s="143">
        <f t="shared" ca="1" si="65"/>
        <v>111.51130505191944</v>
      </c>
      <c r="P238" s="145">
        <f t="shared" ca="1" si="71"/>
        <v>0</v>
      </c>
      <c r="Q238" s="145">
        <f t="shared" ca="1" si="72"/>
        <v>0.51700000000000002</v>
      </c>
      <c r="R238" s="592">
        <f t="shared" ca="1" si="73"/>
        <v>2.05719412026912</v>
      </c>
      <c r="S238" s="311"/>
      <c r="T238" s="392">
        <f t="shared" si="74"/>
        <v>2000</v>
      </c>
      <c r="U238" s="392">
        <f t="shared" si="75"/>
        <v>3</v>
      </c>
      <c r="V238" s="311">
        <f t="shared" ca="1" si="76"/>
        <v>102.97686828131246</v>
      </c>
      <c r="W238" s="269" t="str">
        <f t="shared" ca="1" si="77"/>
        <v>||||</v>
      </c>
      <c r="X238" s="269" t="str">
        <f t="shared" ca="1" si="78"/>
        <v>||</v>
      </c>
      <c r="Y238" s="434" t="str">
        <f t="shared" ca="1" si="79"/>
        <v/>
      </c>
      <c r="Z238" s="269" t="str">
        <f t="shared" ca="1" si="80"/>
        <v>||</v>
      </c>
      <c r="AA238" s="270" t="str">
        <f t="shared" ca="1" si="81"/>
        <v/>
      </c>
    </row>
    <row r="239" spans="1:27" x14ac:dyDescent="0.25">
      <c r="A239" s="140">
        <f>+'Esc 2'!A249</f>
        <v>2000</v>
      </c>
      <c r="B239" s="140">
        <f>+'Esc 2'!B249</f>
        <v>4</v>
      </c>
      <c r="C239" s="141">
        <f>+'Esc 2'!O249</f>
        <v>1.7267055424284801</v>
      </c>
      <c r="D239" s="140">
        <f>+'Esc 2'!D249</f>
        <v>114.7</v>
      </c>
      <c r="E239" s="147">
        <f t="shared" si="84"/>
        <v>73.149999999999991</v>
      </c>
      <c r="F239" s="146">
        <f t="shared" si="84"/>
        <v>0</v>
      </c>
      <c r="G239" s="144">
        <f t="shared" si="83"/>
        <v>4.1550000000000012E-4</v>
      </c>
      <c r="H239" s="145">
        <f>+F239/100000*'Bal Híd'!$G$4</f>
        <v>0</v>
      </c>
      <c r="I239" s="145">
        <v>0</v>
      </c>
      <c r="J239" s="145">
        <f t="shared" ca="1" si="66"/>
        <v>3.4105469152200136</v>
      </c>
      <c r="K239" s="145">
        <f t="shared" ca="1" si="67"/>
        <v>175.73341045457724</v>
      </c>
      <c r="L239" s="145">
        <f t="shared" ca="1" si="68"/>
        <v>143.62235775324834</v>
      </c>
      <c r="M239" s="145">
        <f t="shared" ca="1" si="69"/>
        <v>3.3759278903610968</v>
      </c>
      <c r="N239" s="145">
        <f t="shared" ca="1" si="70"/>
        <v>3.3759278903610968</v>
      </c>
      <c r="O239" s="143">
        <f t="shared" ca="1" si="65"/>
        <v>174.58177792579448</v>
      </c>
      <c r="P239" s="145">
        <f t="shared" ca="1" si="71"/>
        <v>0</v>
      </c>
      <c r="Q239" s="145">
        <f t="shared" ca="1" si="72"/>
        <v>0</v>
      </c>
      <c r="R239" s="592">
        <f t="shared" ca="1" si="73"/>
        <v>1.6920865175695632</v>
      </c>
      <c r="S239" s="311"/>
      <c r="T239" s="392">
        <f t="shared" si="74"/>
        <v>2000</v>
      </c>
      <c r="U239" s="392">
        <f t="shared" si="75"/>
        <v>4</v>
      </c>
      <c r="V239" s="311">
        <f t="shared" ca="1" si="76"/>
        <v>104.16852041710715</v>
      </c>
      <c r="W239" s="269" t="str">
        <f t="shared" ca="1" si="77"/>
        <v>||||||</v>
      </c>
      <c r="X239" s="269" t="str">
        <f t="shared" ca="1" si="78"/>
        <v>||||</v>
      </c>
      <c r="Y239" s="434" t="str">
        <f t="shared" ca="1" si="79"/>
        <v/>
      </c>
      <c r="Z239" s="269" t="str">
        <f t="shared" ca="1" si="80"/>
        <v/>
      </c>
      <c r="AA239" s="270" t="str">
        <f t="shared" ca="1" si="81"/>
        <v/>
      </c>
    </row>
    <row r="240" spans="1:27" x14ac:dyDescent="0.25">
      <c r="A240" s="140">
        <f>+'Esc 2'!A250</f>
        <v>2000</v>
      </c>
      <c r="B240" s="140">
        <f>+'Esc 2'!B250</f>
        <v>5</v>
      </c>
      <c r="C240" s="141">
        <f>+'Esc 2'!O250</f>
        <v>4.6014840132756394</v>
      </c>
      <c r="D240" s="140">
        <f>+'Esc 2'!D250</f>
        <v>252.9</v>
      </c>
      <c r="E240" s="147">
        <f t="shared" si="84"/>
        <v>51.24</v>
      </c>
      <c r="F240" s="146">
        <f t="shared" si="84"/>
        <v>0</v>
      </c>
      <c r="G240" s="144">
        <f t="shared" si="83"/>
        <v>2.0165999999999999E-3</v>
      </c>
      <c r="H240" s="145">
        <f>+F240/100000*'Bal Híd'!$G$4</f>
        <v>0</v>
      </c>
      <c r="I240" s="145">
        <v>0</v>
      </c>
      <c r="J240" s="145">
        <f t="shared" ca="1" si="66"/>
        <v>7.9774119036367361</v>
      </c>
      <c r="K240" s="145">
        <f t="shared" ca="1" si="67"/>
        <v>303.86242617131234</v>
      </c>
      <c r="L240" s="145">
        <f t="shared" ca="1" si="68"/>
        <v>239.22210204855341</v>
      </c>
      <c r="M240" s="145">
        <f t="shared" ca="1" si="69"/>
        <v>8.0412809291530909</v>
      </c>
      <c r="N240" s="145">
        <f t="shared" ca="1" si="70"/>
        <v>7.6368477630678893</v>
      </c>
      <c r="O240" s="143">
        <f t="shared" ca="1" si="65"/>
        <v>295.43791936297487</v>
      </c>
      <c r="P240" s="145">
        <f t="shared" ca="1" si="71"/>
        <v>0.40443316608520163</v>
      </c>
      <c r="Q240" s="145">
        <f t="shared" ca="1" si="72"/>
        <v>0</v>
      </c>
      <c r="R240" s="592">
        <f t="shared" ca="1" si="73"/>
        <v>4.6653530387919941</v>
      </c>
      <c r="S240" s="311"/>
      <c r="T240" s="392">
        <f t="shared" si="74"/>
        <v>2000</v>
      </c>
      <c r="U240" s="392">
        <f t="shared" si="75"/>
        <v>5</v>
      </c>
      <c r="V240" s="311">
        <f t="shared" ca="1" si="76"/>
        <v>106</v>
      </c>
      <c r="W240" s="269" t="str">
        <f t="shared" ca="1" si="77"/>
        <v>||||||||||</v>
      </c>
      <c r="X240" s="269" t="str">
        <f t="shared" ca="1" si="78"/>
        <v>||||||||||</v>
      </c>
      <c r="Y240" s="434" t="str">
        <f t="shared" ca="1" si="79"/>
        <v/>
      </c>
      <c r="Z240" s="269" t="str">
        <f t="shared" ca="1" si="80"/>
        <v/>
      </c>
      <c r="AA240" s="270" t="str">
        <f t="shared" ca="1" si="81"/>
        <v>||</v>
      </c>
    </row>
    <row r="241" spans="1:27" x14ac:dyDescent="0.25">
      <c r="A241" s="140">
        <f>+'Esc 2'!A251</f>
        <v>2000</v>
      </c>
      <c r="B241" s="140">
        <f>+'Esc 2'!B251</f>
        <v>6</v>
      </c>
      <c r="C241" s="141">
        <f>+'Esc 2'!O251</f>
        <v>2.5703306721492472</v>
      </c>
      <c r="D241" s="140">
        <f>+'Esc 2'!D251</f>
        <v>110.7</v>
      </c>
      <c r="E241" s="147">
        <f t="shared" si="84"/>
        <v>41.019999999999996</v>
      </c>
      <c r="F241" s="146">
        <f t="shared" si="84"/>
        <v>0</v>
      </c>
      <c r="G241" s="144">
        <f t="shared" si="83"/>
        <v>6.9680000000000002E-4</v>
      </c>
      <c r="H241" s="145">
        <f>+F241/100000*'Bal Híd'!$G$4</f>
        <v>0</v>
      </c>
      <c r="I241" s="145">
        <v>0</v>
      </c>
      <c r="J241" s="145">
        <f t="shared" ca="1" si="66"/>
        <v>10.207178435217136</v>
      </c>
      <c r="K241" s="145">
        <f t="shared" ca="1" si="67"/>
        <v>356.17233636125007</v>
      </c>
      <c r="L241" s="145">
        <f t="shared" ca="1" si="68"/>
        <v>325.8051278621125</v>
      </c>
      <c r="M241" s="145">
        <f t="shared" ca="1" si="69"/>
        <v>10.115786173297199</v>
      </c>
      <c r="N241" s="145">
        <f t="shared" ca="1" si="70"/>
        <v>7.6368477630678893</v>
      </c>
      <c r="O241" s="143">
        <f t="shared" ca="1" si="65"/>
        <v>295.43791936297487</v>
      </c>
      <c r="P241" s="145">
        <f t="shared" ca="1" si="71"/>
        <v>2.4789384102293095</v>
      </c>
      <c r="Q241" s="145">
        <f t="shared" ca="1" si="72"/>
        <v>0</v>
      </c>
      <c r="R241" s="592">
        <f t="shared" ca="1" si="73"/>
        <v>2.4789384102293108</v>
      </c>
      <c r="S241" s="311"/>
      <c r="T241" s="392">
        <f t="shared" si="74"/>
        <v>2000</v>
      </c>
      <c r="U241" s="392">
        <f t="shared" si="75"/>
        <v>6</v>
      </c>
      <c r="V241" s="311">
        <f t="shared" ca="1" si="76"/>
        <v>106</v>
      </c>
      <c r="W241" s="269" t="str">
        <f t="shared" ca="1" si="77"/>
        <v>||||||||||</v>
      </c>
      <c r="X241" s="269" t="str">
        <f t="shared" ca="1" si="78"/>
        <v>||||||||||</v>
      </c>
      <c r="Y241" s="434" t="str">
        <f t="shared" ca="1" si="79"/>
        <v/>
      </c>
      <c r="Z241" s="269" t="str">
        <f t="shared" ca="1" si="80"/>
        <v/>
      </c>
      <c r="AA241" s="270" t="str">
        <f t="shared" ca="1" si="81"/>
        <v>||||||||||||</v>
      </c>
    </row>
    <row r="242" spans="1:27" x14ac:dyDescent="0.25">
      <c r="A242" s="140">
        <f>+'Esc 2'!A252</f>
        <v>2000</v>
      </c>
      <c r="B242" s="140">
        <f>+'Esc 2'!B252</f>
        <v>7</v>
      </c>
      <c r="C242" s="141">
        <f>+'Esc 2'!O252</f>
        <v>1.5871563469340495</v>
      </c>
      <c r="D242" s="140">
        <f>+'Esc 2'!D252</f>
        <v>82.8</v>
      </c>
      <c r="E242" s="147">
        <f t="shared" si="84"/>
        <v>50.819999999999993</v>
      </c>
      <c r="F242" s="146">
        <f t="shared" si="84"/>
        <v>0</v>
      </c>
      <c r="G242" s="144">
        <f t="shared" si="83"/>
        <v>3.1980000000000002E-4</v>
      </c>
      <c r="H242" s="145">
        <f>+F242/100000*'Bal Híd'!$G$4</f>
        <v>0</v>
      </c>
      <c r="I242" s="145">
        <v>0</v>
      </c>
      <c r="J242" s="145">
        <f t="shared" ca="1" si="66"/>
        <v>9.224004110001939</v>
      </c>
      <c r="K242" s="145">
        <f t="shared" ca="1" si="67"/>
        <v>333.66736160677561</v>
      </c>
      <c r="L242" s="145">
        <f t="shared" ca="1" si="68"/>
        <v>314.55264048487527</v>
      </c>
      <c r="M242" s="145">
        <f t="shared" ca="1" si="69"/>
        <v>9.1347713448889127</v>
      </c>
      <c r="N242" s="145">
        <f t="shared" ca="1" si="70"/>
        <v>7.6368477630678893</v>
      </c>
      <c r="O242" s="143">
        <f t="shared" ca="1" si="65"/>
        <v>295.43791936297487</v>
      </c>
      <c r="P242" s="145">
        <f t="shared" ca="1" si="71"/>
        <v>1.4979235818210235</v>
      </c>
      <c r="Q242" s="145">
        <f t="shared" ca="1" si="72"/>
        <v>0</v>
      </c>
      <c r="R242" s="592">
        <f t="shared" ca="1" si="73"/>
        <v>1.4979235818210237</v>
      </c>
      <c r="S242" s="311"/>
      <c r="T242" s="392">
        <f t="shared" si="74"/>
        <v>2000</v>
      </c>
      <c r="U242" s="392">
        <f t="shared" si="75"/>
        <v>7</v>
      </c>
      <c r="V242" s="311">
        <f t="shared" ca="1" si="76"/>
        <v>106</v>
      </c>
      <c r="W242" s="269" t="str">
        <f t="shared" ca="1" si="77"/>
        <v>||||||||||</v>
      </c>
      <c r="X242" s="269" t="str">
        <f t="shared" ca="1" si="78"/>
        <v>||||||||||</v>
      </c>
      <c r="Y242" s="434" t="str">
        <f t="shared" ca="1" si="79"/>
        <v/>
      </c>
      <c r="Z242" s="269" t="str">
        <f t="shared" ca="1" si="80"/>
        <v/>
      </c>
      <c r="AA242" s="270" t="str">
        <f t="shared" ca="1" si="81"/>
        <v>|||||||</v>
      </c>
    </row>
    <row r="243" spans="1:27" x14ac:dyDescent="0.25">
      <c r="A243" s="140">
        <f>+'Esc 2'!A253</f>
        <v>2000</v>
      </c>
      <c r="B243" s="140">
        <f>+'Esc 2'!B253</f>
        <v>8</v>
      </c>
      <c r="C243" s="141">
        <f>+'Esc 2'!O253</f>
        <v>1.4603550544234074</v>
      </c>
      <c r="D243" s="140">
        <f>+'Esc 2'!D253</f>
        <v>98.6</v>
      </c>
      <c r="E243" s="147">
        <f t="shared" si="84"/>
        <v>72.449999999999989</v>
      </c>
      <c r="F243" s="146">
        <f t="shared" si="84"/>
        <v>0</v>
      </c>
      <c r="G243" s="144">
        <f t="shared" si="83"/>
        <v>2.6150000000000007E-4</v>
      </c>
      <c r="H243" s="145">
        <f>+F243/100000*'Bal Híd'!$G$4</f>
        <v>0</v>
      </c>
      <c r="I243" s="145">
        <v>0</v>
      </c>
      <c r="J243" s="145">
        <f t="shared" ca="1" si="66"/>
        <v>9.0972028174912971</v>
      </c>
      <c r="K243" s="145">
        <f t="shared" ca="1" si="67"/>
        <v>330.7041217782226</v>
      </c>
      <c r="L243" s="145">
        <f t="shared" ca="1" si="68"/>
        <v>313.07102057059876</v>
      </c>
      <c r="M243" s="145">
        <f t="shared" ca="1" si="69"/>
        <v>9.0052325443956924</v>
      </c>
      <c r="N243" s="145">
        <f t="shared" ca="1" si="70"/>
        <v>7.6368477630678893</v>
      </c>
      <c r="O243" s="143">
        <f t="shared" ca="1" si="65"/>
        <v>295.43791936297487</v>
      </c>
      <c r="P243" s="145">
        <f t="shared" ca="1" si="71"/>
        <v>1.3683847813278032</v>
      </c>
      <c r="Q243" s="145">
        <f t="shared" ca="1" si="72"/>
        <v>0</v>
      </c>
      <c r="R243" s="592">
        <f t="shared" ca="1" si="73"/>
        <v>1.3683847813278021</v>
      </c>
      <c r="S243" s="311"/>
      <c r="T243" s="392">
        <f t="shared" si="74"/>
        <v>2000</v>
      </c>
      <c r="U243" s="392">
        <f t="shared" si="75"/>
        <v>8</v>
      </c>
      <c r="V243" s="311">
        <f t="shared" ca="1" si="76"/>
        <v>106</v>
      </c>
      <c r="W243" s="269" t="str">
        <f t="shared" ca="1" si="77"/>
        <v>||||||||||</v>
      </c>
      <c r="X243" s="269" t="str">
        <f t="shared" ca="1" si="78"/>
        <v>||||||||||</v>
      </c>
      <c r="Y243" s="434" t="str">
        <f t="shared" ca="1" si="79"/>
        <v/>
      </c>
      <c r="Z243" s="269" t="str">
        <f t="shared" ca="1" si="80"/>
        <v/>
      </c>
      <c r="AA243" s="270" t="str">
        <f t="shared" ca="1" si="81"/>
        <v>||||||</v>
      </c>
    </row>
    <row r="244" spans="1:27" x14ac:dyDescent="0.25">
      <c r="A244" s="140">
        <f>+'Esc 2'!A254</f>
        <v>2000</v>
      </c>
      <c r="B244" s="140">
        <f>+'Esc 2'!B254</f>
        <v>9</v>
      </c>
      <c r="C244" s="141">
        <f>+'Esc 2'!O254</f>
        <v>2.6733544071468862</v>
      </c>
      <c r="D244" s="140">
        <f>+'Esc 2'!D254</f>
        <v>180.9</v>
      </c>
      <c r="E244" s="147">
        <f t="shared" si="84"/>
        <v>85.89</v>
      </c>
      <c r="F244" s="146">
        <f t="shared" si="84"/>
        <v>0</v>
      </c>
      <c r="G244" s="144">
        <f t="shared" si="83"/>
        <v>9.5010000000000005E-4</v>
      </c>
      <c r="H244" s="145">
        <f>+F244/100000*'Bal Híd'!$G$4</f>
        <v>0</v>
      </c>
      <c r="I244" s="145">
        <v>0</v>
      </c>
      <c r="J244" s="145">
        <f t="shared" ca="1" si="66"/>
        <v>10.310202170214776</v>
      </c>
      <c r="K244" s="145">
        <f t="shared" ca="1" si="67"/>
        <v>358.48492017679865</v>
      </c>
      <c r="L244" s="145">
        <f t="shared" ca="1" si="68"/>
        <v>326.96141976988679</v>
      </c>
      <c r="M244" s="145">
        <f t="shared" ca="1" si="69"/>
        <v>10.288496978442772</v>
      </c>
      <c r="N244" s="145">
        <f t="shared" ca="1" si="70"/>
        <v>7.6368477630678893</v>
      </c>
      <c r="O244" s="143">
        <f t="shared" ca="1" si="65"/>
        <v>295.43791936297487</v>
      </c>
      <c r="P244" s="145">
        <f t="shared" ca="1" si="71"/>
        <v>2.6516492153748832</v>
      </c>
      <c r="Q244" s="145">
        <f t="shared" ca="1" si="72"/>
        <v>0</v>
      </c>
      <c r="R244" s="592">
        <f t="shared" ca="1" si="73"/>
        <v>2.6516492153748832</v>
      </c>
      <c r="S244" s="311"/>
      <c r="T244" s="392">
        <f t="shared" si="74"/>
        <v>2000</v>
      </c>
      <c r="U244" s="392">
        <f t="shared" si="75"/>
        <v>9</v>
      </c>
      <c r="V244" s="311">
        <f t="shared" ca="1" si="76"/>
        <v>106</v>
      </c>
      <c r="W244" s="269" t="str">
        <f t="shared" ca="1" si="77"/>
        <v>||||||||||</v>
      </c>
      <c r="X244" s="269" t="str">
        <f t="shared" ca="1" si="78"/>
        <v>||||||||||</v>
      </c>
      <c r="Y244" s="434" t="str">
        <f t="shared" ca="1" si="79"/>
        <v/>
      </c>
      <c r="Z244" s="269" t="str">
        <f t="shared" ca="1" si="80"/>
        <v/>
      </c>
      <c r="AA244" s="270" t="str">
        <f t="shared" ca="1" si="81"/>
        <v>|||||||||||||</v>
      </c>
    </row>
    <row r="245" spans="1:27" x14ac:dyDescent="0.25">
      <c r="A245" s="140">
        <f>+'Esc 2'!A255</f>
        <v>2000</v>
      </c>
      <c r="B245" s="140">
        <f>+'Esc 2'!B255</f>
        <v>10</v>
      </c>
      <c r="C245" s="141">
        <f>+'Esc 2'!O255</f>
        <v>2.3695310803039562</v>
      </c>
      <c r="D245" s="140">
        <f>+'Esc 2'!D255</f>
        <v>162</v>
      </c>
      <c r="E245" s="147">
        <f t="shared" si="84"/>
        <v>114.86999999999999</v>
      </c>
      <c r="F245" s="146">
        <f t="shared" si="84"/>
        <v>59</v>
      </c>
      <c r="G245" s="144">
        <f t="shared" si="83"/>
        <v>4.7130000000000007E-4</v>
      </c>
      <c r="H245" s="145">
        <f>+F245/100000*'Bal Híd'!$G$4</f>
        <v>0.64900000000000002</v>
      </c>
      <c r="I245" s="145">
        <v>0</v>
      </c>
      <c r="J245" s="145">
        <f t="shared" ca="1" si="66"/>
        <v>9.3573788433718441</v>
      </c>
      <c r="K245" s="145">
        <f t="shared" ca="1" si="67"/>
        <v>336.76863016689686</v>
      </c>
      <c r="L245" s="145">
        <f t="shared" ca="1" si="68"/>
        <v>316.10327476493586</v>
      </c>
      <c r="M245" s="145">
        <f t="shared" ca="1" si="69"/>
        <v>9.2215611554980725</v>
      </c>
      <c r="N245" s="145">
        <f t="shared" ca="1" si="70"/>
        <v>7.6368477630678893</v>
      </c>
      <c r="O245" s="143">
        <f t="shared" ca="1" si="65"/>
        <v>295.43791936297487</v>
      </c>
      <c r="P245" s="145">
        <f t="shared" ca="1" si="71"/>
        <v>1.5847133924301833</v>
      </c>
      <c r="Q245" s="145">
        <f t="shared" ca="1" si="72"/>
        <v>0.64900000000000002</v>
      </c>
      <c r="R245" s="592">
        <f t="shared" ca="1" si="73"/>
        <v>2.2337133924301851</v>
      </c>
      <c r="S245" s="311"/>
      <c r="T245" s="392">
        <f t="shared" si="74"/>
        <v>2000</v>
      </c>
      <c r="U245" s="392">
        <f t="shared" si="75"/>
        <v>10</v>
      </c>
      <c r="V245" s="311">
        <f t="shared" ca="1" si="76"/>
        <v>106</v>
      </c>
      <c r="W245" s="269" t="str">
        <f t="shared" ca="1" si="77"/>
        <v>||||||||||</v>
      </c>
      <c r="X245" s="269" t="str">
        <f t="shared" ca="1" si="78"/>
        <v>||||||||||</v>
      </c>
      <c r="Y245" s="434" t="str">
        <f t="shared" ca="1" si="79"/>
        <v/>
      </c>
      <c r="Z245" s="269" t="str">
        <f t="shared" ca="1" si="80"/>
        <v>|||</v>
      </c>
      <c r="AA245" s="270" t="str">
        <f t="shared" ca="1" si="81"/>
        <v>|||||||</v>
      </c>
    </row>
    <row r="246" spans="1:27" x14ac:dyDescent="0.25">
      <c r="A246" s="140">
        <f>+'Esc 2'!A256</f>
        <v>2000</v>
      </c>
      <c r="B246" s="140">
        <f>+'Esc 2'!B256</f>
        <v>11</v>
      </c>
      <c r="C246" s="141">
        <f>+'Esc 2'!O256</f>
        <v>1.7948076770134282</v>
      </c>
      <c r="D246" s="140">
        <f>+'Esc 2'!D256</f>
        <v>143.4</v>
      </c>
      <c r="E246" s="147">
        <f t="shared" si="84"/>
        <v>144.06</v>
      </c>
      <c r="F246" s="146">
        <f t="shared" si="84"/>
        <v>212</v>
      </c>
      <c r="G246" s="144">
        <f t="shared" si="83"/>
        <v>-6.5999999999999656E-6</v>
      </c>
      <c r="H246" s="145">
        <f>+F246/100000*'Bal Híd'!$G$4</f>
        <v>2.3319999999999999</v>
      </c>
      <c r="I246" s="145">
        <v>0</v>
      </c>
      <c r="J246" s="145">
        <f t="shared" ca="1" si="66"/>
        <v>7.0996554400813183</v>
      </c>
      <c r="K246" s="145">
        <f t="shared" ca="1" si="67"/>
        <v>281.87231022977772</v>
      </c>
      <c r="L246" s="145">
        <f t="shared" ca="1" si="68"/>
        <v>288.65511479637632</v>
      </c>
      <c r="M246" s="145">
        <f t="shared" ca="1" si="69"/>
        <v>6.9007615649754763</v>
      </c>
      <c r="N246" s="145">
        <f t="shared" ca="1" si="70"/>
        <v>6.9007615649754763</v>
      </c>
      <c r="O246" s="143">
        <f t="shared" ca="1" si="65"/>
        <v>276.75780029409441</v>
      </c>
      <c r="P246" s="145">
        <f t="shared" ca="1" si="71"/>
        <v>0</v>
      </c>
      <c r="Q246" s="145">
        <f t="shared" ca="1" si="72"/>
        <v>2.3319999999999999</v>
      </c>
      <c r="R246" s="592">
        <f t="shared" ca="1" si="73"/>
        <v>1.5959138019075862</v>
      </c>
      <c r="S246" s="311"/>
      <c r="T246" s="392">
        <f t="shared" si="74"/>
        <v>2000</v>
      </c>
      <c r="U246" s="392">
        <f t="shared" si="75"/>
        <v>11</v>
      </c>
      <c r="V246" s="311">
        <f t="shared" ca="1" si="76"/>
        <v>105.74267424768166</v>
      </c>
      <c r="W246" s="269" t="str">
        <f t="shared" ca="1" si="77"/>
        <v>|||||||||</v>
      </c>
      <c r="X246" s="269" t="str">
        <f t="shared" ca="1" si="78"/>
        <v>|||||||||</v>
      </c>
      <c r="Y246" s="434" t="str">
        <f t="shared" ca="1" si="79"/>
        <v/>
      </c>
      <c r="Z246" s="269" t="str">
        <f t="shared" ca="1" si="80"/>
        <v>|||||||||||</v>
      </c>
      <c r="AA246" s="270" t="str">
        <f t="shared" ca="1" si="81"/>
        <v/>
      </c>
    </row>
    <row r="247" spans="1:27" x14ac:dyDescent="0.25">
      <c r="A247" s="140">
        <f>+'Esc 2'!A257</f>
        <v>2000</v>
      </c>
      <c r="B247" s="140">
        <f>+'Esc 2'!B257</f>
        <v>12</v>
      </c>
      <c r="C247" s="141">
        <f>+'Esc 2'!O257</f>
        <v>0.95755534284969701</v>
      </c>
      <c r="D247" s="140">
        <f>+'Esc 2'!D257</f>
        <v>93</v>
      </c>
      <c r="E247" s="147">
        <f t="shared" si="84"/>
        <v>179.62</v>
      </c>
      <c r="F247" s="146">
        <f t="shared" si="84"/>
        <v>388</v>
      </c>
      <c r="G247" s="144">
        <f t="shared" si="83"/>
        <v>-8.6620000000000002E-4</v>
      </c>
      <c r="H247" s="145">
        <f>+F247/100000*'Bal Híd'!$G$4</f>
        <v>4.2679999999999998</v>
      </c>
      <c r="I247" s="145">
        <v>0</v>
      </c>
      <c r="J247" s="145">
        <f t="shared" ca="1" si="66"/>
        <v>3.5903169078251738</v>
      </c>
      <c r="K247" s="145">
        <f t="shared" ca="1" si="67"/>
        <v>181.64815102821657</v>
      </c>
      <c r="L247" s="145">
        <f t="shared" ca="1" si="68"/>
        <v>229.20297566115551</v>
      </c>
      <c r="M247" s="145">
        <f t="shared" ca="1" si="69"/>
        <v>3.3083308971738727</v>
      </c>
      <c r="N247" s="145">
        <f t="shared" ca="1" si="70"/>
        <v>3.3083308971738727</v>
      </c>
      <c r="O247" s="143">
        <f t="shared" ca="1" si="65"/>
        <v>172.32092336564929</v>
      </c>
      <c r="P247" s="145">
        <f t="shared" ca="1" si="71"/>
        <v>0</v>
      </c>
      <c r="Q247" s="145">
        <f t="shared" ca="1" si="72"/>
        <v>4.2679999999999998</v>
      </c>
      <c r="R247" s="592">
        <f t="shared" ca="1" si="73"/>
        <v>0.67556933219839632</v>
      </c>
      <c r="S247" s="311"/>
      <c r="T247" s="392">
        <f t="shared" si="74"/>
        <v>2000</v>
      </c>
      <c r="U247" s="392">
        <f t="shared" si="75"/>
        <v>12</v>
      </c>
      <c r="V247" s="311">
        <f t="shared" ca="1" si="76"/>
        <v>104.12954843911146</v>
      </c>
      <c r="W247" s="269" t="str">
        <f t="shared" ca="1" si="77"/>
        <v>||||||</v>
      </c>
      <c r="X247" s="269" t="str">
        <f t="shared" ca="1" si="78"/>
        <v>||||</v>
      </c>
      <c r="Y247" s="434" t="str">
        <f t="shared" ca="1" si="79"/>
        <v/>
      </c>
      <c r="Z247" s="269" t="str">
        <f t="shared" ca="1" si="80"/>
        <v>|||||||||||||||||||||</v>
      </c>
      <c r="AA247" s="270" t="str">
        <f t="shared" ca="1" si="81"/>
        <v/>
      </c>
    </row>
    <row r="248" spans="1:27" x14ac:dyDescent="0.25">
      <c r="A248" s="140">
        <f>+'Esc 2'!A258</f>
        <v>2001</v>
      </c>
      <c r="B248" s="140">
        <f>+'Esc 2'!B258</f>
        <v>1</v>
      </c>
      <c r="C248" s="141">
        <f>+'Esc 2'!O258</f>
        <v>1.2819754554387026</v>
      </c>
      <c r="D248" s="140">
        <f>+'Esc 2'!D258</f>
        <v>143.19999999999999</v>
      </c>
      <c r="E248" s="147">
        <f t="shared" si="84"/>
        <v>176.89</v>
      </c>
      <c r="F248" s="146">
        <f t="shared" si="84"/>
        <v>318</v>
      </c>
      <c r="G248" s="144">
        <f t="shared" si="83"/>
        <v>-3.369E-4</v>
      </c>
      <c r="H248" s="145">
        <f>+F248/100000*'Bal Híd'!$G$4</f>
        <v>3.4980000000000002</v>
      </c>
      <c r="I248" s="145">
        <v>0</v>
      </c>
      <c r="J248" s="145">
        <f t="shared" ca="1" si="66"/>
        <v>1.0923063526125754</v>
      </c>
      <c r="K248" s="145">
        <f t="shared" ca="1" si="67"/>
        <v>84.370799129290717</v>
      </c>
      <c r="L248" s="145">
        <f t="shared" ca="1" si="68"/>
        <v>128.34586124747</v>
      </c>
      <c r="M248" s="145">
        <f t="shared" ca="1" si="69"/>
        <v>0.98650532248058376</v>
      </c>
      <c r="N248" s="145">
        <f t="shared" ca="1" si="70"/>
        <v>0.98650532248058376</v>
      </c>
      <c r="O248" s="143">
        <f t="shared" ca="1" si="65"/>
        <v>79.009428229991968</v>
      </c>
      <c r="P248" s="145">
        <f t="shared" ca="1" si="71"/>
        <v>0</v>
      </c>
      <c r="Q248" s="145">
        <f t="shared" ca="1" si="72"/>
        <v>3.4980000000000002</v>
      </c>
      <c r="R248" s="592">
        <f t="shared" ca="1" si="73"/>
        <v>1.1761744253067119</v>
      </c>
      <c r="S248" s="311"/>
      <c r="T248" s="392">
        <f t="shared" si="74"/>
        <v>2001</v>
      </c>
      <c r="U248" s="392">
        <f t="shared" si="75"/>
        <v>1</v>
      </c>
      <c r="V248" s="311">
        <f t="shared" ca="1" si="76"/>
        <v>102.24161606794588</v>
      </c>
      <c r="W248" s="269" t="str">
        <f t="shared" ca="1" si="77"/>
        <v>|||</v>
      </c>
      <c r="X248" s="269" t="str">
        <f t="shared" ca="1" si="78"/>
        <v>|</v>
      </c>
      <c r="Y248" s="434" t="str">
        <f t="shared" ca="1" si="79"/>
        <v/>
      </c>
      <c r="Z248" s="269" t="str">
        <f t="shared" ca="1" si="80"/>
        <v>|||||||||||||||||</v>
      </c>
      <c r="AA248" s="270" t="str">
        <f t="shared" ca="1" si="81"/>
        <v/>
      </c>
    </row>
    <row r="249" spans="1:27" x14ac:dyDescent="0.25">
      <c r="A249" s="140">
        <f>+'Esc 2'!A259</f>
        <v>2001</v>
      </c>
      <c r="B249" s="140">
        <f>+'Esc 2'!B259</f>
        <v>2</v>
      </c>
      <c r="C249" s="141">
        <f>+'Esc 2'!O259</f>
        <v>0.90588117406010116</v>
      </c>
      <c r="D249" s="140">
        <f>+'Esc 2'!D259</f>
        <v>89.1</v>
      </c>
      <c r="E249" s="147">
        <f t="shared" si="84"/>
        <v>131.73999999999998</v>
      </c>
      <c r="F249" s="146">
        <f t="shared" si="84"/>
        <v>153</v>
      </c>
      <c r="G249" s="144">
        <f t="shared" si="83"/>
        <v>-4.2639999999999985E-4</v>
      </c>
      <c r="H249" s="145">
        <f>+F249/100000*'Bal Híd'!$G$4</f>
        <v>1.6829999999999998</v>
      </c>
      <c r="I249" s="145">
        <v>0</v>
      </c>
      <c r="J249" s="145">
        <f t="shared" ca="1" si="66"/>
        <v>0.20938649654068509</v>
      </c>
      <c r="K249" s="145">
        <f t="shared" ca="1" si="67"/>
        <v>29.098725393394851</v>
      </c>
      <c r="L249" s="145">
        <f t="shared" ca="1" si="68"/>
        <v>54.054076811693406</v>
      </c>
      <c r="M249" s="145">
        <f t="shared" ca="1" si="69"/>
        <v>0.1677193702927755</v>
      </c>
      <c r="N249" s="145">
        <f t="shared" ca="1" si="70"/>
        <v>0.1677193702927755</v>
      </c>
      <c r="O249" s="143">
        <f t="shared" ca="1" si="65"/>
        <v>25.221578512108721</v>
      </c>
      <c r="P249" s="145">
        <f t="shared" ca="1" si="71"/>
        <v>0</v>
      </c>
      <c r="Q249" s="145">
        <f t="shared" ca="1" si="72"/>
        <v>1.6829999999999998</v>
      </c>
      <c r="R249" s="592">
        <f t="shared" ca="1" si="73"/>
        <v>0.86421404781219147</v>
      </c>
      <c r="S249" s="311"/>
      <c r="T249" s="392">
        <f t="shared" si="74"/>
        <v>2001</v>
      </c>
      <c r="U249" s="392">
        <f t="shared" si="75"/>
        <v>2</v>
      </c>
      <c r="V249" s="311">
        <f t="shared" ca="1" si="76"/>
        <v>100.60024056786148</v>
      </c>
      <c r="W249" s="269" t="str">
        <f t="shared" ca="1" si="77"/>
        <v/>
      </c>
      <c r="X249" s="269" t="str">
        <f t="shared" ca="1" si="78"/>
        <v/>
      </c>
      <c r="Y249" s="434" t="str">
        <f t="shared" ca="1" si="79"/>
        <v/>
      </c>
      <c r="Z249" s="269" t="str">
        <f t="shared" ca="1" si="80"/>
        <v>||||||||</v>
      </c>
      <c r="AA249" s="270" t="str">
        <f t="shared" ca="1" si="81"/>
        <v/>
      </c>
    </row>
    <row r="250" spans="1:27" x14ac:dyDescent="0.25">
      <c r="A250" s="140">
        <f>+'Esc 2'!A260</f>
        <v>2001</v>
      </c>
      <c r="B250" s="140">
        <f>+'Esc 2'!B260</f>
        <v>3</v>
      </c>
      <c r="C250" s="141">
        <f>+'Esc 2'!O260</f>
        <v>0.95682222337675293</v>
      </c>
      <c r="D250" s="140">
        <f>+'Esc 2'!D260</f>
        <v>99.9</v>
      </c>
      <c r="E250" s="147">
        <f t="shared" si="84"/>
        <v>118.64999999999999</v>
      </c>
      <c r="F250" s="146">
        <f t="shared" si="84"/>
        <v>47</v>
      </c>
      <c r="G250" s="144">
        <f t="shared" si="83"/>
        <v>-1.8749999999999987E-4</v>
      </c>
      <c r="H250" s="145">
        <f>+F250/100000*'Bal Híd'!$G$4</f>
        <v>0.51700000000000002</v>
      </c>
      <c r="I250" s="145">
        <v>0</v>
      </c>
      <c r="J250" s="145">
        <f t="shared" ca="1" si="66"/>
        <v>0.60754159366952842</v>
      </c>
      <c r="K250" s="145">
        <f t="shared" ca="1" si="67"/>
        <v>57.810843991594609</v>
      </c>
      <c r="L250" s="145">
        <f t="shared" ca="1" si="68"/>
        <v>41.516211251851665</v>
      </c>
      <c r="M250" s="145">
        <f t="shared" ca="1" si="69"/>
        <v>0.58465326088255309</v>
      </c>
      <c r="N250" s="145">
        <f t="shared" ca="1" si="70"/>
        <v>0.58465326088255309</v>
      </c>
      <c r="O250" s="143">
        <f t="shared" ca="1" si="65"/>
        <v>56.397724231332653</v>
      </c>
      <c r="P250" s="145">
        <f t="shared" ca="1" si="71"/>
        <v>0</v>
      </c>
      <c r="Q250" s="145">
        <f t="shared" ca="1" si="72"/>
        <v>0.51700000000000002</v>
      </c>
      <c r="R250" s="592">
        <f t="shared" ca="1" si="73"/>
        <v>0.9339338905897776</v>
      </c>
      <c r="S250" s="311"/>
      <c r="T250" s="392">
        <f t="shared" si="74"/>
        <v>2001</v>
      </c>
      <c r="U250" s="392">
        <f t="shared" si="75"/>
        <v>3</v>
      </c>
      <c r="V250" s="311">
        <f t="shared" ca="1" si="76"/>
        <v>101.64556890925233</v>
      </c>
      <c r="W250" s="269" t="str">
        <f t="shared" ca="1" si="77"/>
        <v>||</v>
      </c>
      <c r="X250" s="269" t="str">
        <f t="shared" ca="1" si="78"/>
        <v/>
      </c>
      <c r="Y250" s="434" t="str">
        <f t="shared" ca="1" si="79"/>
        <v/>
      </c>
      <c r="Z250" s="269" t="str">
        <f t="shared" ca="1" si="80"/>
        <v>||</v>
      </c>
      <c r="AA250" s="270" t="str">
        <f t="shared" ca="1" si="81"/>
        <v/>
      </c>
    </row>
    <row r="251" spans="1:27" x14ac:dyDescent="0.25">
      <c r="A251" s="140">
        <f>+'Esc 2'!A261</f>
        <v>2001</v>
      </c>
      <c r="B251" s="140">
        <f>+'Esc 2'!B261</f>
        <v>4</v>
      </c>
      <c r="C251" s="141">
        <f>+'Esc 2'!O261</f>
        <v>7.7064382341868178</v>
      </c>
      <c r="D251" s="140">
        <f>+'Esc 2'!D261</f>
        <v>417.4</v>
      </c>
      <c r="E251" s="147">
        <f t="shared" si="84"/>
        <v>73.149999999999991</v>
      </c>
      <c r="F251" s="146">
        <f t="shared" si="84"/>
        <v>0</v>
      </c>
      <c r="G251" s="144">
        <f t="shared" si="83"/>
        <v>3.4424999999999998E-3</v>
      </c>
      <c r="H251" s="145">
        <f>+F251/100000*'Bal Híd'!$G$4</f>
        <v>0</v>
      </c>
      <c r="I251" s="145">
        <v>0</v>
      </c>
      <c r="J251" s="145">
        <f t="shared" ca="1" si="66"/>
        <v>8.2910914950693702</v>
      </c>
      <c r="K251" s="145">
        <f t="shared" ca="1" si="67"/>
        <v>311.50940539444082</v>
      </c>
      <c r="L251" s="145">
        <f t="shared" ca="1" si="68"/>
        <v>183.95356481288673</v>
      </c>
      <c r="M251" s="145">
        <f t="shared" ca="1" si="69"/>
        <v>8.3853300506111204</v>
      </c>
      <c r="N251" s="145">
        <f t="shared" ca="1" si="70"/>
        <v>7.6368477630678893</v>
      </c>
      <c r="O251" s="143">
        <f t="shared" ca="1" si="65"/>
        <v>295.43791936297487</v>
      </c>
      <c r="P251" s="145">
        <f t="shared" ca="1" si="71"/>
        <v>0.7484822875432311</v>
      </c>
      <c r="Q251" s="145">
        <f t="shared" ca="1" si="72"/>
        <v>0</v>
      </c>
      <c r="R251" s="592">
        <f t="shared" ca="1" si="73"/>
        <v>7.8006767897285672</v>
      </c>
      <c r="S251" s="311"/>
      <c r="T251" s="392">
        <f t="shared" si="74"/>
        <v>2001</v>
      </c>
      <c r="U251" s="392">
        <f t="shared" si="75"/>
        <v>4</v>
      </c>
      <c r="V251" s="311">
        <f t="shared" ca="1" si="76"/>
        <v>106</v>
      </c>
      <c r="W251" s="269" t="str">
        <f t="shared" ca="1" si="77"/>
        <v>||||||||||</v>
      </c>
      <c r="X251" s="269" t="str">
        <f t="shared" ca="1" si="78"/>
        <v>||||||||||</v>
      </c>
      <c r="Y251" s="434" t="str">
        <f t="shared" ca="1" si="79"/>
        <v/>
      </c>
      <c r="Z251" s="269" t="str">
        <f t="shared" ca="1" si="80"/>
        <v/>
      </c>
      <c r="AA251" s="270" t="str">
        <f t="shared" ca="1" si="81"/>
        <v>|||</v>
      </c>
    </row>
    <row r="252" spans="1:27" x14ac:dyDescent="0.25">
      <c r="A252" s="140">
        <f>+'Esc 2'!A262</f>
        <v>2001</v>
      </c>
      <c r="B252" s="140">
        <f>+'Esc 2'!B262</f>
        <v>5</v>
      </c>
      <c r="C252" s="141">
        <f>+'Esc 2'!O262</f>
        <v>4.8932754855399851</v>
      </c>
      <c r="D252" s="140">
        <f>+'Esc 2'!D262</f>
        <v>219.9</v>
      </c>
      <c r="E252" s="147">
        <f t="shared" si="84"/>
        <v>51.24</v>
      </c>
      <c r="F252" s="146">
        <f t="shared" si="84"/>
        <v>0</v>
      </c>
      <c r="G252" s="144">
        <f t="shared" si="83"/>
        <v>1.6865999999999999E-3</v>
      </c>
      <c r="H252" s="145">
        <f>+F252/100000*'Bal Híd'!$G$4</f>
        <v>0</v>
      </c>
      <c r="I252" s="145">
        <v>0</v>
      </c>
      <c r="J252" s="145">
        <f t="shared" ca="1" si="66"/>
        <v>12.530123248607875</v>
      </c>
      <c r="K252" s="145">
        <f t="shared" ca="1" si="67"/>
        <v>406.48758847581598</v>
      </c>
      <c r="L252" s="145">
        <f t="shared" ca="1" si="68"/>
        <v>350.96275391939542</v>
      </c>
      <c r="M252" s="145">
        <f t="shared" ca="1" si="69"/>
        <v>12.469069409561719</v>
      </c>
      <c r="N252" s="145">
        <f t="shared" ca="1" si="70"/>
        <v>7.6368477630678893</v>
      </c>
      <c r="O252" s="143">
        <f t="shared" ca="1" si="65"/>
        <v>295.43791936297487</v>
      </c>
      <c r="P252" s="145">
        <f t="shared" ca="1" si="71"/>
        <v>4.8322216464938297</v>
      </c>
      <c r="Q252" s="145">
        <f t="shared" ca="1" si="72"/>
        <v>0</v>
      </c>
      <c r="R252" s="592">
        <f t="shared" ca="1" si="73"/>
        <v>4.8322216464938297</v>
      </c>
      <c r="S252" s="311"/>
      <c r="T252" s="392">
        <f t="shared" si="74"/>
        <v>2001</v>
      </c>
      <c r="U252" s="392">
        <f t="shared" si="75"/>
        <v>5</v>
      </c>
      <c r="V252" s="311">
        <f t="shared" ca="1" si="76"/>
        <v>106</v>
      </c>
      <c r="W252" s="269" t="str">
        <f t="shared" ca="1" si="77"/>
        <v>||||||||||</v>
      </c>
      <c r="X252" s="269" t="str">
        <f t="shared" ca="1" si="78"/>
        <v>||||||||||</v>
      </c>
      <c r="Y252" s="434" t="str">
        <f t="shared" ca="1" si="79"/>
        <v/>
      </c>
      <c r="Z252" s="269" t="str">
        <f t="shared" ca="1" si="80"/>
        <v/>
      </c>
      <c r="AA252" s="270" t="str">
        <f t="shared" ca="1" si="81"/>
        <v>||||||||||||||||||||||||</v>
      </c>
    </row>
    <row r="253" spans="1:27" x14ac:dyDescent="0.25">
      <c r="A253" s="140">
        <f>+'Esc 2'!A263</f>
        <v>2001</v>
      </c>
      <c r="B253" s="140">
        <f>+'Esc 2'!B263</f>
        <v>6</v>
      </c>
      <c r="C253" s="141">
        <f>+'Esc 2'!O263</f>
        <v>2.2364626505745342</v>
      </c>
      <c r="D253" s="140">
        <f>+'Esc 2'!D263</f>
        <v>93.3</v>
      </c>
      <c r="E253" s="147">
        <f t="shared" ref="E253:F272" si="85">+E241</f>
        <v>41.019999999999996</v>
      </c>
      <c r="F253" s="146">
        <f t="shared" si="85"/>
        <v>0</v>
      </c>
      <c r="G253" s="144">
        <f t="shared" si="83"/>
        <v>5.2280000000000002E-4</v>
      </c>
      <c r="H253" s="145">
        <f>+F253/100000*'Bal Híd'!$G$4</f>
        <v>0</v>
      </c>
      <c r="I253" s="145">
        <v>0</v>
      </c>
      <c r="J253" s="145">
        <f t="shared" ca="1" si="66"/>
        <v>9.8733104136424235</v>
      </c>
      <c r="K253" s="145">
        <f t="shared" ca="1" si="67"/>
        <v>348.62024162036403</v>
      </c>
      <c r="L253" s="145">
        <f t="shared" ca="1" si="68"/>
        <v>322.02908049166945</v>
      </c>
      <c r="M253" s="145">
        <f t="shared" ca="1" si="69"/>
        <v>9.7678246272206248</v>
      </c>
      <c r="N253" s="145">
        <f t="shared" ca="1" si="70"/>
        <v>7.6368477630678893</v>
      </c>
      <c r="O253" s="143">
        <f t="shared" ca="1" si="65"/>
        <v>295.43791936297487</v>
      </c>
      <c r="P253" s="145">
        <f t="shared" ca="1" si="71"/>
        <v>2.1309768641527356</v>
      </c>
      <c r="Q253" s="145">
        <f t="shared" ca="1" si="72"/>
        <v>0</v>
      </c>
      <c r="R253" s="592">
        <f t="shared" ca="1" si="73"/>
        <v>2.1309768641527356</v>
      </c>
      <c r="S253" s="311"/>
      <c r="T253" s="392">
        <f t="shared" si="74"/>
        <v>2001</v>
      </c>
      <c r="U253" s="392">
        <f t="shared" si="75"/>
        <v>6</v>
      </c>
      <c r="V253" s="311">
        <f t="shared" ca="1" si="76"/>
        <v>106</v>
      </c>
      <c r="W253" s="269" t="str">
        <f t="shared" ca="1" si="77"/>
        <v>||||||||||</v>
      </c>
      <c r="X253" s="269" t="str">
        <f t="shared" ca="1" si="78"/>
        <v>||||||||||</v>
      </c>
      <c r="Y253" s="434" t="str">
        <f t="shared" ca="1" si="79"/>
        <v/>
      </c>
      <c r="Z253" s="269" t="str">
        <f t="shared" ca="1" si="80"/>
        <v/>
      </c>
      <c r="AA253" s="270" t="str">
        <f t="shared" ca="1" si="81"/>
        <v>||||||||||</v>
      </c>
    </row>
    <row r="254" spans="1:27" x14ac:dyDescent="0.25">
      <c r="A254" s="140">
        <f>+'Esc 2'!A264</f>
        <v>2001</v>
      </c>
      <c r="B254" s="140">
        <f>+'Esc 2'!B264</f>
        <v>7</v>
      </c>
      <c r="C254" s="141">
        <f>+'Esc 2'!O264</f>
        <v>0.73884318577829444</v>
      </c>
      <c r="D254" s="140">
        <f>+'Esc 2'!D264</f>
        <v>34</v>
      </c>
      <c r="E254" s="147">
        <f t="shared" si="85"/>
        <v>50.819999999999993</v>
      </c>
      <c r="F254" s="146">
        <f t="shared" si="85"/>
        <v>0</v>
      </c>
      <c r="G254" s="144">
        <f t="shared" si="83"/>
        <v>-1.6819999999999994E-4</v>
      </c>
      <c r="H254" s="145">
        <f>+F254/100000*'Bal Híd'!$G$4</f>
        <v>0</v>
      </c>
      <c r="I254" s="145">
        <v>0</v>
      </c>
      <c r="J254" s="145">
        <f t="shared" ca="1" si="66"/>
        <v>8.3756909488461844</v>
      </c>
      <c r="K254" s="145">
        <f t="shared" ca="1" si="67"/>
        <v>313.55408030052621</v>
      </c>
      <c r="L254" s="145">
        <f t="shared" ca="1" si="68"/>
        <v>304.49599983175051</v>
      </c>
      <c r="M254" s="145">
        <f t="shared" ca="1" si="69"/>
        <v>8.2389329746887654</v>
      </c>
      <c r="N254" s="145">
        <f t="shared" ca="1" si="70"/>
        <v>7.6368477630678893</v>
      </c>
      <c r="O254" s="143">
        <f t="shared" ca="1" si="65"/>
        <v>295.43791936297487</v>
      </c>
      <c r="P254" s="145">
        <f t="shared" ca="1" si="71"/>
        <v>0.60208521162087614</v>
      </c>
      <c r="Q254" s="145">
        <f t="shared" ca="1" si="72"/>
        <v>0</v>
      </c>
      <c r="R254" s="592">
        <f t="shared" ca="1" si="73"/>
        <v>0.60208521162087636</v>
      </c>
      <c r="S254" s="311"/>
      <c r="T254" s="392">
        <f t="shared" si="74"/>
        <v>2001</v>
      </c>
      <c r="U254" s="392">
        <f t="shared" si="75"/>
        <v>7</v>
      </c>
      <c r="V254" s="311">
        <f t="shared" ca="1" si="76"/>
        <v>106</v>
      </c>
      <c r="W254" s="269" t="str">
        <f t="shared" ca="1" si="77"/>
        <v>||||||||||</v>
      </c>
      <c r="X254" s="269" t="str">
        <f t="shared" ca="1" si="78"/>
        <v>||||||||||</v>
      </c>
      <c r="Y254" s="434" t="str">
        <f t="shared" ca="1" si="79"/>
        <v/>
      </c>
      <c r="Z254" s="269" t="str">
        <f t="shared" ca="1" si="80"/>
        <v/>
      </c>
      <c r="AA254" s="270" t="str">
        <f t="shared" ca="1" si="81"/>
        <v>|||</v>
      </c>
    </row>
    <row r="255" spans="1:27" x14ac:dyDescent="0.25">
      <c r="A255" s="140">
        <f>+'Esc 2'!A265</f>
        <v>2001</v>
      </c>
      <c r="B255" s="140">
        <f>+'Esc 2'!B265</f>
        <v>8</v>
      </c>
      <c r="C255" s="141">
        <f>+'Esc 2'!O265</f>
        <v>2.7279597133596929</v>
      </c>
      <c r="D255" s="140">
        <f>+'Esc 2'!D265</f>
        <v>184.9</v>
      </c>
      <c r="E255" s="147">
        <f t="shared" si="85"/>
        <v>72.449999999999989</v>
      </c>
      <c r="F255" s="146">
        <f t="shared" si="85"/>
        <v>0</v>
      </c>
      <c r="G255" s="144">
        <f t="shared" si="83"/>
        <v>1.1245000000000001E-3</v>
      </c>
      <c r="H255" s="145">
        <f>+F255/100000*'Bal Híd'!$G$4</f>
        <v>0</v>
      </c>
      <c r="I255" s="145">
        <v>0</v>
      </c>
      <c r="J255" s="145">
        <f t="shared" ca="1" si="66"/>
        <v>10.364807476427583</v>
      </c>
      <c r="K255" s="145">
        <f t="shared" ca="1" si="67"/>
        <v>359.70731805620818</v>
      </c>
      <c r="L255" s="145">
        <f t="shared" ca="1" si="68"/>
        <v>327.57261870959155</v>
      </c>
      <c r="M255" s="145">
        <f t="shared" ca="1" si="69"/>
        <v>10.393389157254159</v>
      </c>
      <c r="N255" s="145">
        <f t="shared" ca="1" si="70"/>
        <v>7.6368477630678893</v>
      </c>
      <c r="O255" s="143">
        <f t="shared" ca="1" si="65"/>
        <v>295.43791936297487</v>
      </c>
      <c r="P255" s="145">
        <f t="shared" ca="1" si="71"/>
        <v>2.7565413941862698</v>
      </c>
      <c r="Q255" s="145">
        <f t="shared" ca="1" si="72"/>
        <v>0</v>
      </c>
      <c r="R255" s="592">
        <f t="shared" ca="1" si="73"/>
        <v>2.7565413941862706</v>
      </c>
      <c r="S255" s="311"/>
      <c r="T255" s="392">
        <f t="shared" si="74"/>
        <v>2001</v>
      </c>
      <c r="U255" s="392">
        <f t="shared" si="75"/>
        <v>8</v>
      </c>
      <c r="V255" s="311">
        <f t="shared" ca="1" si="76"/>
        <v>106</v>
      </c>
      <c r="W255" s="269" t="str">
        <f t="shared" ca="1" si="77"/>
        <v>||||||||||</v>
      </c>
      <c r="X255" s="269" t="str">
        <f t="shared" ca="1" si="78"/>
        <v>||||||||||</v>
      </c>
      <c r="Y255" s="434" t="str">
        <f t="shared" ca="1" si="79"/>
        <v/>
      </c>
      <c r="Z255" s="269" t="str">
        <f t="shared" ca="1" si="80"/>
        <v/>
      </c>
      <c r="AA255" s="270" t="str">
        <f t="shared" ca="1" si="81"/>
        <v>|||||||||||||</v>
      </c>
    </row>
    <row r="256" spans="1:27" x14ac:dyDescent="0.25">
      <c r="A256" s="140">
        <f>+'Esc 2'!A266</f>
        <v>2001</v>
      </c>
      <c r="B256" s="140">
        <f>+'Esc 2'!B266</f>
        <v>9</v>
      </c>
      <c r="C256" s="141">
        <f>+'Esc 2'!O266</f>
        <v>3.9710575915946498</v>
      </c>
      <c r="D256" s="140">
        <f>+'Esc 2'!D266</f>
        <v>229.8</v>
      </c>
      <c r="E256" s="147">
        <f t="shared" si="85"/>
        <v>85.89</v>
      </c>
      <c r="F256" s="146">
        <f t="shared" si="85"/>
        <v>0</v>
      </c>
      <c r="G256" s="144">
        <f t="shared" si="83"/>
        <v>1.4391000000000002E-3</v>
      </c>
      <c r="H256" s="145">
        <f>+F256/100000*'Bal Híd'!$G$4</f>
        <v>0</v>
      </c>
      <c r="I256" s="145">
        <v>0</v>
      </c>
      <c r="J256" s="145">
        <f t="shared" ca="1" si="66"/>
        <v>11.607905354662538</v>
      </c>
      <c r="K256" s="145">
        <f t="shared" ca="1" si="67"/>
        <v>386.94651623049276</v>
      </c>
      <c r="L256" s="145">
        <f t="shared" ca="1" si="68"/>
        <v>341.19221779673381</v>
      </c>
      <c r="M256" s="145">
        <f t="shared" ca="1" si="69"/>
        <v>11.583746274276809</v>
      </c>
      <c r="N256" s="145">
        <f t="shared" ca="1" si="70"/>
        <v>7.6368477630678893</v>
      </c>
      <c r="O256" s="143">
        <f t="shared" ca="1" si="65"/>
        <v>295.43791936297487</v>
      </c>
      <c r="P256" s="145">
        <f t="shared" ca="1" si="71"/>
        <v>3.9468985112089197</v>
      </c>
      <c r="Q256" s="145">
        <f t="shared" ca="1" si="72"/>
        <v>0</v>
      </c>
      <c r="R256" s="592">
        <f t="shared" ca="1" si="73"/>
        <v>3.9468985112089197</v>
      </c>
      <c r="S256" s="311"/>
      <c r="T256" s="392">
        <f t="shared" si="74"/>
        <v>2001</v>
      </c>
      <c r="U256" s="392">
        <f t="shared" si="75"/>
        <v>9</v>
      </c>
      <c r="V256" s="311">
        <f t="shared" ca="1" si="76"/>
        <v>106</v>
      </c>
      <c r="W256" s="269" t="str">
        <f t="shared" ca="1" si="77"/>
        <v>||||||||||</v>
      </c>
      <c r="X256" s="269" t="str">
        <f t="shared" ca="1" si="78"/>
        <v>||||||||||</v>
      </c>
      <c r="Y256" s="434" t="str">
        <f t="shared" ca="1" si="79"/>
        <v/>
      </c>
      <c r="Z256" s="269" t="str">
        <f t="shared" ca="1" si="80"/>
        <v/>
      </c>
      <c r="AA256" s="270" t="str">
        <f t="shared" ca="1" si="81"/>
        <v>|||||||||||||||||||</v>
      </c>
    </row>
    <row r="257" spans="1:27" x14ac:dyDescent="0.25">
      <c r="A257" s="140">
        <f>+'Esc 2'!A267</f>
        <v>2001</v>
      </c>
      <c r="B257" s="140">
        <f>+'Esc 2'!B267</f>
        <v>10</v>
      </c>
      <c r="C257" s="141">
        <f>+'Esc 2'!O267</f>
        <v>2.0240927628522014</v>
      </c>
      <c r="D257" s="140">
        <f>+'Esc 2'!D267</f>
        <v>126.5</v>
      </c>
      <c r="E257" s="147">
        <f t="shared" si="85"/>
        <v>114.86999999999999</v>
      </c>
      <c r="F257" s="146">
        <f t="shared" si="85"/>
        <v>59</v>
      </c>
      <c r="G257" s="144">
        <f t="shared" si="83"/>
        <v>1.163000000000001E-4</v>
      </c>
      <c r="H257" s="145">
        <f>+F257/100000*'Bal Híd'!$G$4</f>
        <v>0.64900000000000002</v>
      </c>
      <c r="I257" s="145">
        <v>0</v>
      </c>
      <c r="J257" s="145">
        <f t="shared" ca="1" si="66"/>
        <v>9.0119405259200889</v>
      </c>
      <c r="K257" s="145">
        <f t="shared" ca="1" si="67"/>
        <v>328.70335254463134</v>
      </c>
      <c r="L257" s="145">
        <f t="shared" ca="1" si="68"/>
        <v>312.07063595380311</v>
      </c>
      <c r="M257" s="145">
        <f t="shared" ca="1" si="69"/>
        <v>8.8080594679793194</v>
      </c>
      <c r="N257" s="145">
        <f t="shared" ca="1" si="70"/>
        <v>7.6368477630678893</v>
      </c>
      <c r="O257" s="143">
        <f t="shared" ca="1" si="65"/>
        <v>295.43791936297487</v>
      </c>
      <c r="P257" s="145">
        <f t="shared" ca="1" si="71"/>
        <v>1.1712117049114301</v>
      </c>
      <c r="Q257" s="145">
        <f t="shared" ca="1" si="72"/>
        <v>0.64900000000000002</v>
      </c>
      <c r="R257" s="592">
        <f t="shared" ca="1" si="73"/>
        <v>1.8202117049114321</v>
      </c>
      <c r="S257" s="311"/>
      <c r="T257" s="392">
        <f t="shared" si="74"/>
        <v>2001</v>
      </c>
      <c r="U257" s="392">
        <f t="shared" si="75"/>
        <v>10</v>
      </c>
      <c r="V257" s="311">
        <f t="shared" ca="1" si="76"/>
        <v>106</v>
      </c>
      <c r="W257" s="269" t="str">
        <f t="shared" ca="1" si="77"/>
        <v>||||||||||</v>
      </c>
      <c r="X257" s="269" t="str">
        <f t="shared" ca="1" si="78"/>
        <v>||||||||||</v>
      </c>
      <c r="Y257" s="434" t="str">
        <f t="shared" ca="1" si="79"/>
        <v/>
      </c>
      <c r="Z257" s="269" t="str">
        <f t="shared" ca="1" si="80"/>
        <v>|||</v>
      </c>
      <c r="AA257" s="270" t="str">
        <f t="shared" ca="1" si="81"/>
        <v>|||||</v>
      </c>
    </row>
    <row r="258" spans="1:27" x14ac:dyDescent="0.25">
      <c r="A258" s="140">
        <f>+'Esc 2'!A268</f>
        <v>2001</v>
      </c>
      <c r="B258" s="140">
        <f>+'Esc 2'!B268</f>
        <v>11</v>
      </c>
      <c r="C258" s="141">
        <f>+'Esc 2'!O268</f>
        <v>2.0906795842913977</v>
      </c>
      <c r="D258" s="140">
        <f>+'Esc 2'!D268</f>
        <v>171.4</v>
      </c>
      <c r="E258" s="147">
        <f t="shared" si="85"/>
        <v>144.06</v>
      </c>
      <c r="F258" s="146">
        <f t="shared" si="85"/>
        <v>212</v>
      </c>
      <c r="G258" s="144">
        <f t="shared" si="83"/>
        <v>2.7340000000000003E-4</v>
      </c>
      <c r="H258" s="145">
        <f>+F258/100000*'Bal Híd'!$G$4</f>
        <v>2.3319999999999999</v>
      </c>
      <c r="I258" s="145">
        <v>0</v>
      </c>
      <c r="J258" s="145">
        <f t="shared" ca="1" si="66"/>
        <v>7.3955273473592866</v>
      </c>
      <c r="K258" s="145">
        <f t="shared" ca="1" si="67"/>
        <v>289.38734551090255</v>
      </c>
      <c r="L258" s="145">
        <f t="shared" ca="1" si="68"/>
        <v>292.41263243693868</v>
      </c>
      <c r="M258" s="145">
        <f t="shared" ca="1" si="69"/>
        <v>7.2430238656968955</v>
      </c>
      <c r="N258" s="145">
        <f t="shared" ca="1" si="70"/>
        <v>7.2430238656968955</v>
      </c>
      <c r="O258" s="143">
        <f t="shared" ca="1" si="65"/>
        <v>285.52744160762427</v>
      </c>
      <c r="P258" s="145">
        <f t="shared" ca="1" si="71"/>
        <v>0</v>
      </c>
      <c r="Q258" s="145">
        <f t="shared" ca="1" si="72"/>
        <v>2.3319999999999999</v>
      </c>
      <c r="R258" s="592">
        <f t="shared" ca="1" si="73"/>
        <v>1.9381761026290059</v>
      </c>
      <c r="S258" s="311"/>
      <c r="T258" s="392">
        <f t="shared" si="74"/>
        <v>2001</v>
      </c>
      <c r="U258" s="392">
        <f t="shared" si="75"/>
        <v>11</v>
      </c>
      <c r="V258" s="311">
        <f t="shared" ca="1" si="76"/>
        <v>105.86441841468381</v>
      </c>
      <c r="W258" s="269" t="str">
        <f t="shared" ca="1" si="77"/>
        <v>|||||||||</v>
      </c>
      <c r="X258" s="269" t="str">
        <f t="shared" ca="1" si="78"/>
        <v>|||||||||</v>
      </c>
      <c r="Y258" s="434" t="str">
        <f t="shared" ca="1" si="79"/>
        <v/>
      </c>
      <c r="Z258" s="269" t="str">
        <f t="shared" ca="1" si="80"/>
        <v>|||||||||||</v>
      </c>
      <c r="AA258" s="270" t="str">
        <f t="shared" ca="1" si="81"/>
        <v/>
      </c>
    </row>
    <row r="259" spans="1:27" x14ac:dyDescent="0.25">
      <c r="A259" s="140">
        <f>+'Esc 2'!A269</f>
        <v>2001</v>
      </c>
      <c r="B259" s="140">
        <f>+'Esc 2'!B269</f>
        <v>12</v>
      </c>
      <c r="C259" s="141">
        <f>+'Esc 2'!O269</f>
        <v>0.85148496556440167</v>
      </c>
      <c r="D259" s="140">
        <f>+'Esc 2'!D269</f>
        <v>70.900000000000006</v>
      </c>
      <c r="E259" s="147">
        <f t="shared" si="85"/>
        <v>179.62</v>
      </c>
      <c r="F259" s="146">
        <f t="shared" si="85"/>
        <v>388</v>
      </c>
      <c r="G259" s="144">
        <f t="shared" si="83"/>
        <v>-1.0872E-3</v>
      </c>
      <c r="H259" s="145">
        <f>+F259/100000*'Bal Híd'!$G$4</f>
        <v>4.2679999999999998</v>
      </c>
      <c r="I259" s="145">
        <v>0</v>
      </c>
      <c r="J259" s="145">
        <f t="shared" ca="1" si="66"/>
        <v>3.8265088312612976</v>
      </c>
      <c r="K259" s="145">
        <f t="shared" ca="1" si="67"/>
        <v>189.26163240280596</v>
      </c>
      <c r="L259" s="145">
        <f t="shared" ca="1" si="68"/>
        <v>237.39453700521511</v>
      </c>
      <c r="M259" s="145">
        <f t="shared" ca="1" si="69"/>
        <v>3.4915549814402294</v>
      </c>
      <c r="N259" s="145">
        <f t="shared" ca="1" si="70"/>
        <v>3.4915549814402294</v>
      </c>
      <c r="O259" s="143">
        <f t="shared" ca="1" si="65"/>
        <v>178.41210050214227</v>
      </c>
      <c r="P259" s="145">
        <f t="shared" ca="1" si="71"/>
        <v>0</v>
      </c>
      <c r="Q259" s="145">
        <f t="shared" ca="1" si="72"/>
        <v>4.2679999999999998</v>
      </c>
      <c r="R259" s="592">
        <f t="shared" ca="1" si="73"/>
        <v>0.51653111574333455</v>
      </c>
      <c r="S259" s="311"/>
      <c r="T259" s="392">
        <f t="shared" si="74"/>
        <v>2001</v>
      </c>
      <c r="U259" s="392">
        <f t="shared" si="75"/>
        <v>12</v>
      </c>
      <c r="V259" s="311">
        <f t="shared" ca="1" si="76"/>
        <v>104.23403380558783</v>
      </c>
      <c r="W259" s="269" t="str">
        <f t="shared" ca="1" si="77"/>
        <v>||||||</v>
      </c>
      <c r="X259" s="269" t="str">
        <f t="shared" ca="1" si="78"/>
        <v>||||</v>
      </c>
      <c r="Y259" s="434" t="str">
        <f t="shared" ca="1" si="79"/>
        <v/>
      </c>
      <c r="Z259" s="269" t="str">
        <f t="shared" ca="1" si="80"/>
        <v>|||||||||||||||||||||</v>
      </c>
      <c r="AA259" s="270" t="str">
        <f t="shared" ca="1" si="81"/>
        <v/>
      </c>
    </row>
    <row r="260" spans="1:27" x14ac:dyDescent="0.25">
      <c r="A260" s="140">
        <f>+'Esc 2'!A270</f>
        <v>2002</v>
      </c>
      <c r="B260" s="140">
        <f>+'Esc 2'!B270</f>
        <v>1</v>
      </c>
      <c r="C260" s="141">
        <f>+'Esc 2'!O270</f>
        <v>0.88443721663617714</v>
      </c>
      <c r="D260" s="140">
        <f>+'Esc 2'!D270</f>
        <v>115.3</v>
      </c>
      <c r="E260" s="147">
        <f t="shared" si="85"/>
        <v>176.89</v>
      </c>
      <c r="F260" s="146">
        <f t="shared" si="85"/>
        <v>318</v>
      </c>
      <c r="G260" s="144">
        <f t="shared" si="83"/>
        <v>-6.1589999999999985E-4</v>
      </c>
      <c r="H260" s="145">
        <f>+F260/100000*'Bal Híd'!$G$4</f>
        <v>3.4980000000000002</v>
      </c>
      <c r="I260" s="145">
        <v>0</v>
      </c>
      <c r="J260" s="145">
        <f t="shared" ca="1" si="66"/>
        <v>0.87799219807640672</v>
      </c>
      <c r="K260" s="145">
        <f t="shared" ca="1" si="67"/>
        <v>73.293358673389292</v>
      </c>
      <c r="L260" s="145">
        <f t="shared" ca="1" si="68"/>
        <v>125.85272958776578</v>
      </c>
      <c r="M260" s="145">
        <f t="shared" ca="1" si="69"/>
        <v>0.75815674988426451</v>
      </c>
      <c r="N260" s="145">
        <f t="shared" ca="1" si="70"/>
        <v>0.75815674988426451</v>
      </c>
      <c r="O260" s="143">
        <f t="shared" ca="1" si="65"/>
        <v>66.679668084885265</v>
      </c>
      <c r="P260" s="145">
        <f t="shared" ca="1" si="71"/>
        <v>0</v>
      </c>
      <c r="Q260" s="145">
        <f t="shared" ca="1" si="72"/>
        <v>3.4980000000000002</v>
      </c>
      <c r="R260" s="592">
        <f t="shared" ca="1" si="73"/>
        <v>0.7646017684440346</v>
      </c>
      <c r="S260" s="311"/>
      <c r="T260" s="392">
        <f t="shared" si="74"/>
        <v>2002</v>
      </c>
      <c r="U260" s="392">
        <f t="shared" si="75"/>
        <v>1</v>
      </c>
      <c r="V260" s="311">
        <f t="shared" ca="1" si="76"/>
        <v>101.92780583214586</v>
      </c>
      <c r="W260" s="269" t="str">
        <f t="shared" ca="1" si="77"/>
        <v>||</v>
      </c>
      <c r="X260" s="269" t="str">
        <f t="shared" ca="1" si="78"/>
        <v/>
      </c>
      <c r="Y260" s="434" t="str">
        <f t="shared" ca="1" si="79"/>
        <v/>
      </c>
      <c r="Z260" s="269" t="str">
        <f t="shared" ca="1" si="80"/>
        <v>|||||||||||||||||</v>
      </c>
      <c r="AA260" s="270" t="str">
        <f t="shared" ca="1" si="81"/>
        <v/>
      </c>
    </row>
    <row r="261" spans="1:27" x14ac:dyDescent="0.25">
      <c r="A261" s="140">
        <f>+'Esc 2'!A271</f>
        <v>2002</v>
      </c>
      <c r="B261" s="140">
        <f>+'Esc 2'!B271</f>
        <v>2</v>
      </c>
      <c r="C261" s="141">
        <f>+'Esc 2'!O271</f>
        <v>1.1068274845559511</v>
      </c>
      <c r="D261" s="140">
        <f>+'Esc 2'!D271</f>
        <v>115.2</v>
      </c>
      <c r="E261" s="147">
        <f t="shared" si="85"/>
        <v>131.73999999999998</v>
      </c>
      <c r="F261" s="146">
        <f t="shared" si="85"/>
        <v>153</v>
      </c>
      <c r="G261" s="144">
        <f t="shared" si="83"/>
        <v>-1.6539999999999976E-4</v>
      </c>
      <c r="H261" s="145">
        <f>+F261/100000*'Bal Híd'!$G$4</f>
        <v>1.6829999999999998</v>
      </c>
      <c r="I261" s="145">
        <v>0</v>
      </c>
      <c r="J261" s="145">
        <f t="shared" ca="1" si="66"/>
        <v>0.18198423444021583</v>
      </c>
      <c r="K261" s="145">
        <f t="shared" ca="1" si="67"/>
        <v>26.583857146786286</v>
      </c>
      <c r="L261" s="145">
        <f t="shared" ca="1" si="68"/>
        <v>46.631762615835775</v>
      </c>
      <c r="M261" s="145">
        <f t="shared" ca="1" si="69"/>
        <v>0.15464650572618166</v>
      </c>
      <c r="N261" s="145">
        <f t="shared" ca="1" si="70"/>
        <v>0.15464650572618166</v>
      </c>
      <c r="O261" s="143">
        <f t="shared" ca="1" si="65"/>
        <v>23.936475845319116</v>
      </c>
      <c r="P261" s="145">
        <f t="shared" ca="1" si="71"/>
        <v>0</v>
      </c>
      <c r="Q261" s="145">
        <f t="shared" ca="1" si="72"/>
        <v>1.6829999999999998</v>
      </c>
      <c r="R261" s="592">
        <f t="shared" ca="1" si="73"/>
        <v>1.079489755841917</v>
      </c>
      <c r="S261" s="311"/>
      <c r="T261" s="392">
        <f t="shared" si="74"/>
        <v>2002</v>
      </c>
      <c r="U261" s="392">
        <f t="shared" si="75"/>
        <v>2</v>
      </c>
      <c r="V261" s="311">
        <f t="shared" ca="1" si="76"/>
        <v>100.54704806436224</v>
      </c>
      <c r="W261" s="269" t="str">
        <f t="shared" ca="1" si="77"/>
        <v/>
      </c>
      <c r="X261" s="269" t="str">
        <f t="shared" ca="1" si="78"/>
        <v/>
      </c>
      <c r="Y261" s="434" t="str">
        <f t="shared" ca="1" si="79"/>
        <v/>
      </c>
      <c r="Z261" s="269" t="str">
        <f t="shared" ca="1" si="80"/>
        <v>||||||||</v>
      </c>
      <c r="AA261" s="270" t="str">
        <f t="shared" ca="1" si="81"/>
        <v/>
      </c>
    </row>
    <row r="262" spans="1:27" x14ac:dyDescent="0.25">
      <c r="A262" s="140">
        <f>+'Esc 2'!A272</f>
        <v>2002</v>
      </c>
      <c r="B262" s="140">
        <f>+'Esc 2'!B272</f>
        <v>3</v>
      </c>
      <c r="C262" s="141">
        <f>+'Esc 2'!O272</f>
        <v>5.8749144704805207</v>
      </c>
      <c r="D262" s="140">
        <f>+'Esc 2'!D272</f>
        <v>363.7</v>
      </c>
      <c r="E262" s="147">
        <f t="shared" si="85"/>
        <v>118.64999999999999</v>
      </c>
      <c r="F262" s="146">
        <f t="shared" si="85"/>
        <v>47</v>
      </c>
      <c r="G262" s="144">
        <f t="shared" si="83"/>
        <v>2.4505E-3</v>
      </c>
      <c r="H262" s="145">
        <f>+F262/100000*'Bal Híd'!$G$4</f>
        <v>0.51700000000000002</v>
      </c>
      <c r="I262" s="145">
        <v>0</v>
      </c>
      <c r="J262" s="145">
        <f t="shared" ca="1" si="66"/>
        <v>5.5125609762067018</v>
      </c>
      <c r="K262" s="145">
        <f t="shared" ca="1" si="67"/>
        <v>239.46327043707186</v>
      </c>
      <c r="L262" s="145">
        <f t="shared" ca="1" si="68"/>
        <v>131.6998731411955</v>
      </c>
      <c r="M262" s="145">
        <f t="shared" ca="1" si="69"/>
        <v>5.5410993136366695</v>
      </c>
      <c r="N262" s="145">
        <f t="shared" ca="1" si="70"/>
        <v>5.5410993136366695</v>
      </c>
      <c r="O262" s="143">
        <f t="shared" ca="1" si="65"/>
        <v>240.26144406930629</v>
      </c>
      <c r="P262" s="145">
        <f t="shared" ca="1" si="71"/>
        <v>0</v>
      </c>
      <c r="Q262" s="145">
        <f t="shared" ca="1" si="72"/>
        <v>0.51700000000000002</v>
      </c>
      <c r="R262" s="592">
        <f t="shared" ca="1" si="73"/>
        <v>5.9034528079104884</v>
      </c>
      <c r="S262" s="311"/>
      <c r="T262" s="392">
        <f t="shared" si="74"/>
        <v>2002</v>
      </c>
      <c r="U262" s="392">
        <f t="shared" si="75"/>
        <v>3</v>
      </c>
      <c r="V262" s="311">
        <f t="shared" ca="1" si="76"/>
        <v>105.21631991372981</v>
      </c>
      <c r="W262" s="269" t="str">
        <f t="shared" ca="1" si="77"/>
        <v>||||||||</v>
      </c>
      <c r="X262" s="269" t="str">
        <f t="shared" ca="1" si="78"/>
        <v>|||||||</v>
      </c>
      <c r="Y262" s="434" t="str">
        <f t="shared" ca="1" si="79"/>
        <v/>
      </c>
      <c r="Z262" s="269" t="str">
        <f t="shared" ca="1" si="80"/>
        <v>||</v>
      </c>
      <c r="AA262" s="270" t="str">
        <f t="shared" ca="1" si="81"/>
        <v/>
      </c>
    </row>
    <row r="263" spans="1:27" x14ac:dyDescent="0.25">
      <c r="A263" s="140">
        <f>+'Esc 2'!A273</f>
        <v>2002</v>
      </c>
      <c r="B263" s="140">
        <f>+'Esc 2'!B273</f>
        <v>4</v>
      </c>
      <c r="C263" s="141">
        <f>+'Esc 2'!O273</f>
        <v>7.8119582626253585</v>
      </c>
      <c r="D263" s="140">
        <f>+'Esc 2'!D273</f>
        <v>382.9</v>
      </c>
      <c r="E263" s="147">
        <f t="shared" si="85"/>
        <v>73.149999999999991</v>
      </c>
      <c r="F263" s="146">
        <f t="shared" si="85"/>
        <v>0</v>
      </c>
      <c r="G263" s="144">
        <f t="shared" si="83"/>
        <v>3.0975E-3</v>
      </c>
      <c r="H263" s="145">
        <f>+F263/100000*'Bal Híd'!$G$4</f>
        <v>0</v>
      </c>
      <c r="I263" s="145">
        <v>0</v>
      </c>
      <c r="J263" s="145">
        <f t="shared" ca="1" si="66"/>
        <v>13.353057576262028</v>
      </c>
      <c r="K263" s="145">
        <f t="shared" ca="1" si="67"/>
        <v>423.49684122057101</v>
      </c>
      <c r="L263" s="145">
        <f t="shared" ca="1" si="68"/>
        <v>331.87914264493867</v>
      </c>
      <c r="M263" s="145">
        <f t="shared" ca="1" si="69"/>
        <v>13.395263862970447</v>
      </c>
      <c r="N263" s="145">
        <f t="shared" ca="1" si="70"/>
        <v>7.6368477630678893</v>
      </c>
      <c r="O263" s="143">
        <f t="shared" ref="O263:O326" ca="1" si="86">+g_*N263^h_</f>
        <v>295.43791936297487</v>
      </c>
      <c r="P263" s="145">
        <f t="shared" ca="1" si="71"/>
        <v>5.7584160999025578</v>
      </c>
      <c r="Q263" s="145">
        <f t="shared" ca="1" si="72"/>
        <v>0</v>
      </c>
      <c r="R263" s="592">
        <f t="shared" ca="1" si="73"/>
        <v>7.8541645493337775</v>
      </c>
      <c r="S263" s="311"/>
      <c r="T263" s="392">
        <f t="shared" si="74"/>
        <v>2002</v>
      </c>
      <c r="U263" s="392">
        <f t="shared" si="75"/>
        <v>4</v>
      </c>
      <c r="V263" s="311">
        <f t="shared" ca="1" si="76"/>
        <v>106</v>
      </c>
      <c r="W263" s="269" t="str">
        <f t="shared" ca="1" si="77"/>
        <v>||||||||||</v>
      </c>
      <c r="X263" s="269" t="str">
        <f t="shared" ca="1" si="78"/>
        <v>||||||||||</v>
      </c>
      <c r="Y263" s="434" t="str">
        <f t="shared" ca="1" si="79"/>
        <v/>
      </c>
      <c r="Z263" s="269" t="str">
        <f t="shared" ca="1" si="80"/>
        <v/>
      </c>
      <c r="AA263" s="270" t="str">
        <f t="shared" ca="1" si="81"/>
        <v>||||||||||||||||||||||||||||</v>
      </c>
    </row>
    <row r="264" spans="1:27" x14ac:dyDescent="0.25">
      <c r="A264" s="140">
        <f>+'Esc 2'!A274</f>
        <v>2002</v>
      </c>
      <c r="B264" s="140">
        <f>+'Esc 2'!B274</f>
        <v>5</v>
      </c>
      <c r="C264" s="141">
        <f>+'Esc 2'!O274</f>
        <v>3.0426337210146976</v>
      </c>
      <c r="D264" s="140">
        <f>+'Esc 2'!D274</f>
        <v>128.6</v>
      </c>
      <c r="E264" s="147">
        <f t="shared" si="85"/>
        <v>51.24</v>
      </c>
      <c r="F264" s="146">
        <f t="shared" si="85"/>
        <v>0</v>
      </c>
      <c r="G264" s="144">
        <f t="shared" si="83"/>
        <v>7.7359999999999983E-4</v>
      </c>
      <c r="H264" s="145">
        <f>+F264/100000*'Bal Híd'!$G$4</f>
        <v>0</v>
      </c>
      <c r="I264" s="145">
        <v>0</v>
      </c>
      <c r="J264" s="145">
        <f t="shared" ref="J264:J327" ca="1" si="87">+N263+C264-H264-I264</f>
        <v>10.679481484082586</v>
      </c>
      <c r="K264" s="145">
        <f t="shared" ref="K264:K327" ca="1" si="88">+IF(J264&lt;0,0,g_*J264^h_)</f>
        <v>366.70755000759158</v>
      </c>
      <c r="L264" s="145">
        <f t="shared" ref="L264:L327" ca="1" si="89">+(K264+O263)/2</f>
        <v>331.07273468528319</v>
      </c>
      <c r="M264" s="145">
        <f t="shared" ref="M264:M327" ca="1" si="90">+N263+C264*(Ac-L264)/Ac+G264*L264-H264-I264</f>
        <v>10.552582976478469</v>
      </c>
      <c r="N264" s="145">
        <f t="shared" ref="N264:N327" ca="1" si="91">+IF(M264&gt;VolHv,VolHv,IF(M264&lt;VolHt,VolHt,M264))</f>
        <v>7.6368477630678893</v>
      </c>
      <c r="O264" s="143">
        <f t="shared" ca="1" si="86"/>
        <v>295.43791936297487</v>
      </c>
      <c r="P264" s="145">
        <f t="shared" ref="P264:P327" ca="1" si="92">+IF(M264&gt;VolHv,M264-VolHv,0)</f>
        <v>2.9157352134105796</v>
      </c>
      <c r="Q264" s="145">
        <f t="shared" ref="Q264:Q327" ca="1" si="93">+IF(M264&lt;VolHt,IF(H264&lt;(VolHt-M264),0,H264-(VolHt-M264)),H264)</f>
        <v>0</v>
      </c>
      <c r="R264" s="592">
        <f t="shared" ref="R264:R327" ca="1" si="94">+C264*(Ac-L264)/Ac+G264*L264</f>
        <v>2.9157352134105805</v>
      </c>
      <c r="S264" s="311"/>
      <c r="T264" s="392">
        <f t="shared" ref="T264:T327" si="95">+A264</f>
        <v>2002</v>
      </c>
      <c r="U264" s="392">
        <f t="shared" ref="U264:U327" si="96">+B264</f>
        <v>5</v>
      </c>
      <c r="V264" s="311">
        <f t="shared" ref="V264:V327" ca="1" si="97">+Hast+e_*N264^f_</f>
        <v>106</v>
      </c>
      <c r="W264" s="269" t="str">
        <f t="shared" ref="W264:W327" ca="1" si="98">+REPT("|",(V264-Ht)/(Hv-Ht)*10)</f>
        <v>||||||||||</v>
      </c>
      <c r="X264" s="269" t="str">
        <f t="shared" ref="X264:X327" ca="1" si="99">+REPT("|",(N264-VolHt)/(VolHv-VolHt)*10)</f>
        <v>||||||||||</v>
      </c>
      <c r="Y264" s="434" t="str">
        <f t="shared" ref="Y264:Y327" ca="1" si="100">+REPT("|",(H264-Q264)*$AA$4)</f>
        <v/>
      </c>
      <c r="Z264" s="269" t="str">
        <f t="shared" ref="Z264:Z327" ca="1" si="101">+REPT("|",Q264*$AA$4)</f>
        <v/>
      </c>
      <c r="AA264" s="270" t="str">
        <f t="shared" ref="AA264:AA327" ca="1" si="102">+REPT("|",P264*$AA$4)</f>
        <v>||||||||||||||</v>
      </c>
    </row>
    <row r="265" spans="1:27" x14ac:dyDescent="0.25">
      <c r="A265" s="140">
        <f>+'Esc 2'!A275</f>
        <v>2002</v>
      </c>
      <c r="B265" s="140">
        <f>+'Esc 2'!B275</f>
        <v>6</v>
      </c>
      <c r="C265" s="141">
        <f>+'Esc 2'!O275</f>
        <v>1.4222617364225363</v>
      </c>
      <c r="D265" s="140">
        <f>+'Esc 2'!D275</f>
        <v>71.7</v>
      </c>
      <c r="E265" s="147">
        <f t="shared" si="85"/>
        <v>41.019999999999996</v>
      </c>
      <c r="F265" s="146">
        <f t="shared" si="85"/>
        <v>0</v>
      </c>
      <c r="G265" s="144">
        <f t="shared" si="83"/>
        <v>3.0680000000000008E-4</v>
      </c>
      <c r="H265" s="145">
        <f>+F265/100000*'Bal Híd'!$G$4</f>
        <v>0</v>
      </c>
      <c r="I265" s="145">
        <v>0</v>
      </c>
      <c r="J265" s="145">
        <f t="shared" ca="1" si="87"/>
        <v>9.0591094994904253</v>
      </c>
      <c r="K265" s="145">
        <f t="shared" ca="1" si="88"/>
        <v>329.811049740496</v>
      </c>
      <c r="L265" s="145">
        <f t="shared" ca="1" si="89"/>
        <v>312.62448455173546</v>
      </c>
      <c r="M265" s="145">
        <f t="shared" ca="1" si="90"/>
        <v>8.9859603939186723</v>
      </c>
      <c r="N265" s="145">
        <f t="shared" ca="1" si="91"/>
        <v>7.6368477630678893</v>
      </c>
      <c r="O265" s="143">
        <f t="shared" ca="1" si="86"/>
        <v>295.43791936297487</v>
      </c>
      <c r="P265" s="145">
        <f t="shared" ca="1" si="92"/>
        <v>1.349112630850783</v>
      </c>
      <c r="Q265" s="145">
        <f t="shared" ca="1" si="93"/>
        <v>0</v>
      </c>
      <c r="R265" s="592">
        <f t="shared" ca="1" si="94"/>
        <v>1.3491126308507839</v>
      </c>
      <c r="S265" s="311"/>
      <c r="T265" s="392">
        <f t="shared" si="95"/>
        <v>2002</v>
      </c>
      <c r="U265" s="392">
        <f t="shared" si="96"/>
        <v>6</v>
      </c>
      <c r="V265" s="311">
        <f t="shared" ca="1" si="97"/>
        <v>106</v>
      </c>
      <c r="W265" s="269" t="str">
        <f t="shared" ca="1" si="98"/>
        <v>||||||||||</v>
      </c>
      <c r="X265" s="269" t="str">
        <f t="shared" ca="1" si="99"/>
        <v>||||||||||</v>
      </c>
      <c r="Y265" s="434" t="str">
        <f t="shared" ca="1" si="100"/>
        <v/>
      </c>
      <c r="Z265" s="269" t="str">
        <f t="shared" ca="1" si="101"/>
        <v/>
      </c>
      <c r="AA265" s="270" t="str">
        <f t="shared" ca="1" si="102"/>
        <v>||||||</v>
      </c>
    </row>
    <row r="266" spans="1:27" x14ac:dyDescent="0.25">
      <c r="A266" s="140">
        <f>+'Esc 2'!A276</f>
        <v>2002</v>
      </c>
      <c r="B266" s="140">
        <f>+'Esc 2'!B276</f>
        <v>7</v>
      </c>
      <c r="C266" s="141">
        <f>+'Esc 2'!O276</f>
        <v>3.4235609137194132</v>
      </c>
      <c r="D266" s="140">
        <f>+'Esc 2'!D276</f>
        <v>193.5</v>
      </c>
      <c r="E266" s="147">
        <f t="shared" si="85"/>
        <v>50.819999999999993</v>
      </c>
      <c r="F266" s="146">
        <f t="shared" si="85"/>
        <v>0</v>
      </c>
      <c r="G266" s="144">
        <f t="shared" si="83"/>
        <v>1.4268E-3</v>
      </c>
      <c r="H266" s="145">
        <f>+F266/100000*'Bal Híd'!$G$4</f>
        <v>0</v>
      </c>
      <c r="I266" s="145">
        <v>0</v>
      </c>
      <c r="J266" s="145">
        <f t="shared" ca="1" si="87"/>
        <v>11.060408676787302</v>
      </c>
      <c r="K266" s="145">
        <f t="shared" ca="1" si="88"/>
        <v>375.08428611841975</v>
      </c>
      <c r="L266" s="145">
        <f t="shared" ca="1" si="89"/>
        <v>335.26110274069731</v>
      </c>
      <c r="M266" s="145">
        <f t="shared" ca="1" si="90"/>
        <v>11.10233837892544</v>
      </c>
      <c r="N266" s="145">
        <f t="shared" ca="1" si="91"/>
        <v>7.6368477630678893</v>
      </c>
      <c r="O266" s="143">
        <f t="shared" ca="1" si="86"/>
        <v>295.43791936297487</v>
      </c>
      <c r="P266" s="145">
        <f t="shared" ca="1" si="92"/>
        <v>3.4654906158575507</v>
      </c>
      <c r="Q266" s="145">
        <f t="shared" ca="1" si="93"/>
        <v>0</v>
      </c>
      <c r="R266" s="592">
        <f t="shared" ca="1" si="94"/>
        <v>3.4654906158575511</v>
      </c>
      <c r="S266" s="311"/>
      <c r="T266" s="392">
        <f t="shared" si="95"/>
        <v>2002</v>
      </c>
      <c r="U266" s="392">
        <f t="shared" si="96"/>
        <v>7</v>
      </c>
      <c r="V266" s="311">
        <f t="shared" ca="1" si="97"/>
        <v>106</v>
      </c>
      <c r="W266" s="269" t="str">
        <f t="shared" ca="1" si="98"/>
        <v>||||||||||</v>
      </c>
      <c r="X266" s="269" t="str">
        <f t="shared" ca="1" si="99"/>
        <v>||||||||||</v>
      </c>
      <c r="Y266" s="434" t="str">
        <f t="shared" ca="1" si="100"/>
        <v/>
      </c>
      <c r="Z266" s="269" t="str">
        <f t="shared" ca="1" si="101"/>
        <v/>
      </c>
      <c r="AA266" s="270" t="str">
        <f t="shared" ca="1" si="102"/>
        <v>|||||||||||||||||</v>
      </c>
    </row>
    <row r="267" spans="1:27" x14ac:dyDescent="0.25">
      <c r="A267" s="140">
        <f>+'Esc 2'!A277</f>
        <v>2002</v>
      </c>
      <c r="B267" s="140">
        <f>+'Esc 2'!B277</f>
        <v>8</v>
      </c>
      <c r="C267" s="141">
        <f>+'Esc 2'!O277</f>
        <v>1.5680062211930974</v>
      </c>
      <c r="D267" s="140">
        <f>+'Esc 2'!D277</f>
        <v>74.8</v>
      </c>
      <c r="E267" s="147">
        <f t="shared" si="85"/>
        <v>72.449999999999989</v>
      </c>
      <c r="F267" s="146">
        <f t="shared" si="85"/>
        <v>0</v>
      </c>
      <c r="G267" s="144">
        <f t="shared" si="83"/>
        <v>2.3500000000000087E-5</v>
      </c>
      <c r="H267" s="145">
        <f>+F267/100000*'Bal Híd'!$G$4</f>
        <v>0</v>
      </c>
      <c r="I267" s="145">
        <v>0</v>
      </c>
      <c r="J267" s="145">
        <f t="shared" ca="1" si="87"/>
        <v>9.2048539842609873</v>
      </c>
      <c r="K267" s="145">
        <f t="shared" ca="1" si="88"/>
        <v>333.22077216689183</v>
      </c>
      <c r="L267" s="145">
        <f t="shared" ca="1" si="89"/>
        <v>314.32934576493335</v>
      </c>
      <c r="M267" s="145">
        <f t="shared" ca="1" si="90"/>
        <v>9.0248375415051054</v>
      </c>
      <c r="N267" s="145">
        <f t="shared" ca="1" si="91"/>
        <v>7.6368477630678893</v>
      </c>
      <c r="O267" s="143">
        <f t="shared" ca="1" si="86"/>
        <v>295.43791936297487</v>
      </c>
      <c r="P267" s="145">
        <f t="shared" ca="1" si="92"/>
        <v>1.3879897784372162</v>
      </c>
      <c r="Q267" s="145">
        <f t="shared" ca="1" si="93"/>
        <v>0</v>
      </c>
      <c r="R267" s="592">
        <f t="shared" ca="1" si="94"/>
        <v>1.3879897784372153</v>
      </c>
      <c r="S267" s="311"/>
      <c r="T267" s="392">
        <f t="shared" si="95"/>
        <v>2002</v>
      </c>
      <c r="U267" s="392">
        <f t="shared" si="96"/>
        <v>8</v>
      </c>
      <c r="V267" s="311">
        <f t="shared" ca="1" si="97"/>
        <v>106</v>
      </c>
      <c r="W267" s="269" t="str">
        <f t="shared" ca="1" si="98"/>
        <v>||||||||||</v>
      </c>
      <c r="X267" s="269" t="str">
        <f t="shared" ca="1" si="99"/>
        <v>||||||||||</v>
      </c>
      <c r="Y267" s="434" t="str">
        <f t="shared" ca="1" si="100"/>
        <v/>
      </c>
      <c r="Z267" s="269" t="str">
        <f t="shared" ca="1" si="101"/>
        <v/>
      </c>
      <c r="AA267" s="270" t="str">
        <f t="shared" ca="1" si="102"/>
        <v>||||||</v>
      </c>
    </row>
    <row r="268" spans="1:27" x14ac:dyDescent="0.25">
      <c r="A268" s="140">
        <f>+'Esc 2'!A278</f>
        <v>2002</v>
      </c>
      <c r="B268" s="140">
        <f>+'Esc 2'!B278</f>
        <v>9</v>
      </c>
      <c r="C268" s="141">
        <f>+'Esc 2'!O278</f>
        <v>4.6909854094333454</v>
      </c>
      <c r="D268" s="140">
        <f>+'Esc 2'!D278</f>
        <v>283.39999999999998</v>
      </c>
      <c r="E268" s="147">
        <f t="shared" si="85"/>
        <v>85.89</v>
      </c>
      <c r="F268" s="146">
        <f t="shared" si="85"/>
        <v>0</v>
      </c>
      <c r="G268" s="144">
        <f t="shared" si="83"/>
        <v>1.9751E-3</v>
      </c>
      <c r="H268" s="145">
        <f>+F268/100000*'Bal Híd'!$G$4</f>
        <v>0</v>
      </c>
      <c r="I268" s="145">
        <v>0</v>
      </c>
      <c r="J268" s="145">
        <f t="shared" ca="1" si="87"/>
        <v>12.327833172501235</v>
      </c>
      <c r="K268" s="145">
        <f t="shared" ca="1" si="88"/>
        <v>402.24625380943246</v>
      </c>
      <c r="L268" s="145">
        <f t="shared" ca="1" si="89"/>
        <v>348.84208658620366</v>
      </c>
      <c r="M268" s="145">
        <f t="shared" ca="1" si="90"/>
        <v>12.394620858944959</v>
      </c>
      <c r="N268" s="145">
        <f t="shared" ca="1" si="91"/>
        <v>7.6368477630678893</v>
      </c>
      <c r="O268" s="143">
        <f t="shared" ca="1" si="86"/>
        <v>295.43791936297487</v>
      </c>
      <c r="P268" s="145">
        <f t="shared" ca="1" si="92"/>
        <v>4.7577730958770701</v>
      </c>
      <c r="Q268" s="145">
        <f t="shared" ca="1" si="93"/>
        <v>0</v>
      </c>
      <c r="R268" s="592">
        <f t="shared" ca="1" si="94"/>
        <v>4.757773095877071</v>
      </c>
      <c r="S268" s="311"/>
      <c r="T268" s="392">
        <f t="shared" si="95"/>
        <v>2002</v>
      </c>
      <c r="U268" s="392">
        <f t="shared" si="96"/>
        <v>9</v>
      </c>
      <c r="V268" s="311">
        <f t="shared" ca="1" si="97"/>
        <v>106</v>
      </c>
      <c r="W268" s="269" t="str">
        <f t="shared" ca="1" si="98"/>
        <v>||||||||||</v>
      </c>
      <c r="X268" s="269" t="str">
        <f t="shared" ca="1" si="99"/>
        <v>||||||||||</v>
      </c>
      <c r="Y268" s="434" t="str">
        <f t="shared" ca="1" si="100"/>
        <v/>
      </c>
      <c r="Z268" s="269" t="str">
        <f t="shared" ca="1" si="101"/>
        <v/>
      </c>
      <c r="AA268" s="270" t="str">
        <f t="shared" ca="1" si="102"/>
        <v>|||||||||||||||||||||||</v>
      </c>
    </row>
    <row r="269" spans="1:27" x14ac:dyDescent="0.25">
      <c r="A269" s="140">
        <f>+'Esc 2'!A279</f>
        <v>2002</v>
      </c>
      <c r="B269" s="140">
        <f>+'Esc 2'!B279</f>
        <v>10</v>
      </c>
      <c r="C269" s="141">
        <f>+'Esc 2'!O279</f>
        <v>3.5897027212132468</v>
      </c>
      <c r="D269" s="140">
        <f>+'Esc 2'!D279</f>
        <v>211.9</v>
      </c>
      <c r="E269" s="147">
        <f t="shared" si="85"/>
        <v>114.86999999999999</v>
      </c>
      <c r="F269" s="146">
        <f t="shared" si="85"/>
        <v>59</v>
      </c>
      <c r="G269" s="144">
        <f t="shared" si="83"/>
        <v>9.7030000000000011E-4</v>
      </c>
      <c r="H269" s="145">
        <f>+F269/100000*'Bal Híd'!$G$4</f>
        <v>0.64900000000000002</v>
      </c>
      <c r="I269" s="145">
        <v>0</v>
      </c>
      <c r="J269" s="145">
        <f t="shared" ca="1" si="87"/>
        <v>10.577550484281137</v>
      </c>
      <c r="K269" s="145">
        <f t="shared" ca="1" si="88"/>
        <v>364.44812659354761</v>
      </c>
      <c r="L269" s="145">
        <f t="shared" ca="1" si="89"/>
        <v>329.94302297826124</v>
      </c>
      <c r="M269" s="145">
        <f t="shared" ca="1" si="90"/>
        <v>10.447352995130789</v>
      </c>
      <c r="N269" s="145">
        <f t="shared" ca="1" si="91"/>
        <v>7.6368477630678893</v>
      </c>
      <c r="O269" s="143">
        <f t="shared" ca="1" si="86"/>
        <v>295.43791936297487</v>
      </c>
      <c r="P269" s="145">
        <f t="shared" ca="1" si="92"/>
        <v>2.8105052320628996</v>
      </c>
      <c r="Q269" s="145">
        <f t="shared" ca="1" si="93"/>
        <v>0.64900000000000002</v>
      </c>
      <c r="R269" s="592">
        <f t="shared" ca="1" si="94"/>
        <v>3.4595052320628987</v>
      </c>
      <c r="S269" s="311"/>
      <c r="T269" s="392">
        <f t="shared" si="95"/>
        <v>2002</v>
      </c>
      <c r="U269" s="392">
        <f t="shared" si="96"/>
        <v>10</v>
      </c>
      <c r="V269" s="311">
        <f t="shared" ca="1" si="97"/>
        <v>106</v>
      </c>
      <c r="W269" s="269" t="str">
        <f t="shared" ca="1" si="98"/>
        <v>||||||||||</v>
      </c>
      <c r="X269" s="269" t="str">
        <f t="shared" ca="1" si="99"/>
        <v>||||||||||</v>
      </c>
      <c r="Y269" s="434" t="str">
        <f t="shared" ca="1" si="100"/>
        <v/>
      </c>
      <c r="Z269" s="269" t="str">
        <f t="shared" ca="1" si="101"/>
        <v>|||</v>
      </c>
      <c r="AA269" s="270" t="str">
        <f t="shared" ca="1" si="102"/>
        <v>||||||||||||||</v>
      </c>
    </row>
    <row r="270" spans="1:27" x14ac:dyDescent="0.25">
      <c r="A270" s="140">
        <f>+'Esc 2'!A280</f>
        <v>2002</v>
      </c>
      <c r="B270" s="140">
        <f>+'Esc 2'!B280</f>
        <v>11</v>
      </c>
      <c r="C270" s="141">
        <f>+'Esc 2'!O280</f>
        <v>7.5571920762610061</v>
      </c>
      <c r="D270" s="140">
        <f>+'Esc 2'!D280</f>
        <v>434.5</v>
      </c>
      <c r="E270" s="147">
        <f t="shared" si="85"/>
        <v>144.06</v>
      </c>
      <c r="F270" s="146">
        <f t="shared" si="85"/>
        <v>212</v>
      </c>
      <c r="G270" s="144">
        <f t="shared" si="83"/>
        <v>2.9044000000000001E-3</v>
      </c>
      <c r="H270" s="145">
        <f>+F270/100000*'Bal Híd'!$G$4</f>
        <v>2.3319999999999999</v>
      </c>
      <c r="I270" s="145">
        <v>0</v>
      </c>
      <c r="J270" s="145">
        <f t="shared" ca="1" si="87"/>
        <v>12.862039839328894</v>
      </c>
      <c r="K270" s="145">
        <f t="shared" ca="1" si="88"/>
        <v>413.39439407825552</v>
      </c>
      <c r="L270" s="145">
        <f t="shared" ca="1" si="89"/>
        <v>354.41615672061516</v>
      </c>
      <c r="M270" s="145">
        <f t="shared" ca="1" si="90"/>
        <v>12.873006516061139</v>
      </c>
      <c r="N270" s="145">
        <f t="shared" ca="1" si="91"/>
        <v>7.6368477630678893</v>
      </c>
      <c r="O270" s="143">
        <f t="shared" ca="1" si="86"/>
        <v>295.43791936297487</v>
      </c>
      <c r="P270" s="145">
        <f t="shared" ca="1" si="92"/>
        <v>5.2361587529932496</v>
      </c>
      <c r="Q270" s="145">
        <f t="shared" ca="1" si="93"/>
        <v>2.3319999999999999</v>
      </c>
      <c r="R270" s="592">
        <f t="shared" ca="1" si="94"/>
        <v>7.5681587529932468</v>
      </c>
      <c r="S270" s="311"/>
      <c r="T270" s="392">
        <f t="shared" si="95"/>
        <v>2002</v>
      </c>
      <c r="U270" s="392">
        <f t="shared" si="96"/>
        <v>11</v>
      </c>
      <c r="V270" s="311">
        <f t="shared" ca="1" si="97"/>
        <v>106</v>
      </c>
      <c r="W270" s="269" t="str">
        <f t="shared" ca="1" si="98"/>
        <v>||||||||||</v>
      </c>
      <c r="X270" s="269" t="str">
        <f t="shared" ca="1" si="99"/>
        <v>||||||||||</v>
      </c>
      <c r="Y270" s="434" t="str">
        <f t="shared" ca="1" si="100"/>
        <v/>
      </c>
      <c r="Z270" s="269" t="str">
        <f t="shared" ca="1" si="101"/>
        <v>|||||||||||</v>
      </c>
      <c r="AA270" s="270" t="str">
        <f t="shared" ca="1" si="102"/>
        <v>||||||||||||||||||||||||||</v>
      </c>
    </row>
    <row r="271" spans="1:27" x14ac:dyDescent="0.25">
      <c r="A271" s="140">
        <f>+'Esc 2'!A281</f>
        <v>2002</v>
      </c>
      <c r="B271" s="140">
        <f>+'Esc 2'!B281</f>
        <v>12</v>
      </c>
      <c r="C271" s="141">
        <f>+'Esc 2'!O281</f>
        <v>4.7914892713351875</v>
      </c>
      <c r="D271" s="140">
        <f>+'Esc 2'!D281</f>
        <v>288.3</v>
      </c>
      <c r="E271" s="147">
        <f t="shared" si="85"/>
        <v>179.62</v>
      </c>
      <c r="F271" s="146">
        <f t="shared" si="85"/>
        <v>388</v>
      </c>
      <c r="G271" s="144">
        <f t="shared" si="83"/>
        <v>1.0868E-3</v>
      </c>
      <c r="H271" s="145">
        <f>+F271/100000*'Bal Híd'!$G$4</f>
        <v>4.2679999999999998</v>
      </c>
      <c r="I271" s="145">
        <v>0</v>
      </c>
      <c r="J271" s="145">
        <f t="shared" ca="1" si="87"/>
        <v>8.1603370344030779</v>
      </c>
      <c r="K271" s="145">
        <f t="shared" ca="1" si="88"/>
        <v>308.33455850281842</v>
      </c>
      <c r="L271" s="145">
        <f t="shared" ca="1" si="89"/>
        <v>301.88623893289662</v>
      </c>
      <c r="M271" s="145">
        <f t="shared" ca="1" si="90"/>
        <v>7.9384328258674755</v>
      </c>
      <c r="N271" s="145">
        <f t="shared" ca="1" si="91"/>
        <v>7.6368477630678893</v>
      </c>
      <c r="O271" s="143">
        <f t="shared" ca="1" si="86"/>
        <v>295.43791936297487</v>
      </c>
      <c r="P271" s="145">
        <f t="shared" ca="1" si="92"/>
        <v>0.30158506279958619</v>
      </c>
      <c r="Q271" s="145">
        <f t="shared" ca="1" si="93"/>
        <v>4.2679999999999998</v>
      </c>
      <c r="R271" s="592">
        <f t="shared" ca="1" si="94"/>
        <v>4.5695850627995878</v>
      </c>
      <c r="S271" s="311"/>
      <c r="T271" s="392">
        <f t="shared" si="95"/>
        <v>2002</v>
      </c>
      <c r="U271" s="392">
        <f t="shared" si="96"/>
        <v>12</v>
      </c>
      <c r="V271" s="311">
        <f t="shared" ca="1" si="97"/>
        <v>106</v>
      </c>
      <c r="W271" s="269" t="str">
        <f t="shared" ca="1" si="98"/>
        <v>||||||||||</v>
      </c>
      <c r="X271" s="269" t="str">
        <f t="shared" ca="1" si="99"/>
        <v>||||||||||</v>
      </c>
      <c r="Y271" s="434" t="str">
        <f t="shared" ca="1" si="100"/>
        <v/>
      </c>
      <c r="Z271" s="269" t="str">
        <f t="shared" ca="1" si="101"/>
        <v>|||||||||||||||||||||</v>
      </c>
      <c r="AA271" s="270" t="str">
        <f t="shared" ca="1" si="102"/>
        <v>|</v>
      </c>
    </row>
    <row r="272" spans="1:27" x14ac:dyDescent="0.25">
      <c r="A272" s="140">
        <f>+'Esc 2'!A282</f>
        <v>2003</v>
      </c>
      <c r="B272" s="140">
        <f>+'Esc 2'!B282</f>
        <v>1</v>
      </c>
      <c r="C272" s="141">
        <f>+'Esc 2'!O282</f>
        <v>1.7467861542629939</v>
      </c>
      <c r="D272" s="140">
        <f>+'Esc 2'!D282</f>
        <v>118.3</v>
      </c>
      <c r="E272" s="147">
        <f t="shared" si="85"/>
        <v>176.89</v>
      </c>
      <c r="F272" s="146">
        <f t="shared" si="85"/>
        <v>318</v>
      </c>
      <c r="G272" s="144">
        <f t="shared" ref="G272:G335" si="103">+(D272-E272)/100000</f>
        <v>-5.8589999999999988E-4</v>
      </c>
      <c r="H272" s="145">
        <f>+F272/100000*'Bal Híd'!$G$4</f>
        <v>3.4980000000000002</v>
      </c>
      <c r="I272" s="145">
        <v>0</v>
      </c>
      <c r="J272" s="145">
        <f t="shared" ca="1" si="87"/>
        <v>5.8856339173308827</v>
      </c>
      <c r="K272" s="145">
        <f t="shared" ca="1" si="88"/>
        <v>249.78517898244226</v>
      </c>
      <c r="L272" s="145">
        <f t="shared" ca="1" si="89"/>
        <v>272.61154917270858</v>
      </c>
      <c r="M272" s="145">
        <f t="shared" ca="1" si="90"/>
        <v>5.5448484229949004</v>
      </c>
      <c r="N272" s="145">
        <f t="shared" ca="1" si="91"/>
        <v>5.5448484229949004</v>
      </c>
      <c r="O272" s="143">
        <f t="shared" ca="1" si="86"/>
        <v>240.36619217912516</v>
      </c>
      <c r="P272" s="145">
        <f t="shared" ca="1" si="92"/>
        <v>0</v>
      </c>
      <c r="Q272" s="145">
        <f t="shared" ca="1" si="93"/>
        <v>3.4980000000000002</v>
      </c>
      <c r="R272" s="592">
        <f t="shared" ca="1" si="94"/>
        <v>1.4060006599270107</v>
      </c>
      <c r="S272" s="311"/>
      <c r="T272" s="392">
        <f t="shared" si="95"/>
        <v>2003</v>
      </c>
      <c r="U272" s="392">
        <f t="shared" si="96"/>
        <v>1</v>
      </c>
      <c r="V272" s="311">
        <f t="shared" ca="1" si="97"/>
        <v>105.21788000270601</v>
      </c>
      <c r="W272" s="269" t="str">
        <f t="shared" ca="1" si="98"/>
        <v>||||||||</v>
      </c>
      <c r="X272" s="269" t="str">
        <f t="shared" ca="1" si="99"/>
        <v>|||||||</v>
      </c>
      <c r="Y272" s="434" t="str">
        <f t="shared" ca="1" si="100"/>
        <v/>
      </c>
      <c r="Z272" s="269" t="str">
        <f t="shared" ca="1" si="101"/>
        <v>|||||||||||||||||</v>
      </c>
      <c r="AA272" s="270" t="str">
        <f t="shared" ca="1" si="102"/>
        <v/>
      </c>
    </row>
    <row r="273" spans="1:27" x14ac:dyDescent="0.25">
      <c r="A273" s="140">
        <f>+'Esc 2'!A283</f>
        <v>2003</v>
      </c>
      <c r="B273" s="140">
        <f>+'Esc 2'!B283</f>
        <v>2</v>
      </c>
      <c r="C273" s="141">
        <f>+'Esc 2'!O283</f>
        <v>2.7716894386007231</v>
      </c>
      <c r="D273" s="140">
        <f>+'Esc 2'!D283</f>
        <v>217.7</v>
      </c>
      <c r="E273" s="147">
        <f t="shared" ref="E273:F292" si="104">+E261</f>
        <v>131.73999999999998</v>
      </c>
      <c r="F273" s="146">
        <f t="shared" si="104"/>
        <v>153</v>
      </c>
      <c r="G273" s="144">
        <f t="shared" si="103"/>
        <v>8.5960000000000008E-4</v>
      </c>
      <c r="H273" s="145">
        <f>+F273/100000*'Bal Híd'!$G$4</f>
        <v>1.6829999999999998</v>
      </c>
      <c r="I273" s="145">
        <v>0</v>
      </c>
      <c r="J273" s="145">
        <f t="shared" ca="1" si="87"/>
        <v>6.6335378615956238</v>
      </c>
      <c r="K273" s="145">
        <f t="shared" ca="1" si="88"/>
        <v>269.80287064671188</v>
      </c>
      <c r="L273" s="145">
        <f t="shared" ca="1" si="89"/>
        <v>255.08453141291852</v>
      </c>
      <c r="M273" s="145">
        <f t="shared" ca="1" si="90"/>
        <v>6.583981489943568</v>
      </c>
      <c r="N273" s="145">
        <f t="shared" ca="1" si="91"/>
        <v>6.583981489943568</v>
      </c>
      <c r="O273" s="143">
        <f t="shared" ca="1" si="86"/>
        <v>268.50221783080036</v>
      </c>
      <c r="P273" s="145">
        <f t="shared" ca="1" si="92"/>
        <v>0</v>
      </c>
      <c r="Q273" s="145">
        <f t="shared" ca="1" si="93"/>
        <v>1.6829999999999998</v>
      </c>
      <c r="R273" s="592">
        <f t="shared" ca="1" si="94"/>
        <v>2.722133066948667</v>
      </c>
      <c r="S273" s="311"/>
      <c r="T273" s="392">
        <f t="shared" si="95"/>
        <v>2003</v>
      </c>
      <c r="U273" s="392">
        <f t="shared" si="96"/>
        <v>2</v>
      </c>
      <c r="V273" s="311">
        <f t="shared" ca="1" si="97"/>
        <v>105.62647613441199</v>
      </c>
      <c r="W273" s="269" t="str">
        <f t="shared" ca="1" si="98"/>
        <v>|||||||||</v>
      </c>
      <c r="X273" s="269" t="str">
        <f t="shared" ca="1" si="99"/>
        <v>||||||||</v>
      </c>
      <c r="Y273" s="434" t="str">
        <f t="shared" ca="1" si="100"/>
        <v/>
      </c>
      <c r="Z273" s="269" t="str">
        <f t="shared" ca="1" si="101"/>
        <v>||||||||</v>
      </c>
      <c r="AA273" s="270" t="str">
        <f t="shared" ca="1" si="102"/>
        <v/>
      </c>
    </row>
    <row r="274" spans="1:27" x14ac:dyDescent="0.25">
      <c r="A274" s="140">
        <f>+'Esc 2'!A284</f>
        <v>2003</v>
      </c>
      <c r="B274" s="140">
        <f>+'Esc 2'!B284</f>
        <v>3</v>
      </c>
      <c r="C274" s="141">
        <f>+'Esc 2'!O284</f>
        <v>2.9173207721659389</v>
      </c>
      <c r="D274" s="140">
        <f>+'Esc 2'!D284</f>
        <v>195.4</v>
      </c>
      <c r="E274" s="147">
        <f t="shared" si="104"/>
        <v>118.64999999999999</v>
      </c>
      <c r="F274" s="146">
        <f t="shared" si="104"/>
        <v>47</v>
      </c>
      <c r="G274" s="144">
        <f t="shared" si="103"/>
        <v>7.6750000000000017E-4</v>
      </c>
      <c r="H274" s="145">
        <f>+F274/100000*'Bal Híd'!$G$4</f>
        <v>0.51700000000000002</v>
      </c>
      <c r="I274" s="145">
        <v>0</v>
      </c>
      <c r="J274" s="145">
        <f t="shared" ca="1" si="87"/>
        <v>8.984302262109507</v>
      </c>
      <c r="K274" s="145">
        <f t="shared" ca="1" si="88"/>
        <v>328.05334890110584</v>
      </c>
      <c r="L274" s="145">
        <f t="shared" ca="1" si="89"/>
        <v>298.2777833659531</v>
      </c>
      <c r="M274" s="145">
        <f t="shared" ca="1" si="90"/>
        <v>8.8823665926721134</v>
      </c>
      <c r="N274" s="145">
        <f t="shared" ca="1" si="91"/>
        <v>7.6368477630678893</v>
      </c>
      <c r="O274" s="143">
        <f t="shared" ca="1" si="86"/>
        <v>295.43791936297487</v>
      </c>
      <c r="P274" s="145">
        <f t="shared" ca="1" si="92"/>
        <v>1.2455188296042241</v>
      </c>
      <c r="Q274" s="145">
        <f t="shared" ca="1" si="93"/>
        <v>0.51700000000000002</v>
      </c>
      <c r="R274" s="592">
        <f t="shared" ca="1" si="94"/>
        <v>2.8153851027285448</v>
      </c>
      <c r="S274" s="311"/>
      <c r="T274" s="392">
        <f t="shared" si="95"/>
        <v>2003</v>
      </c>
      <c r="U274" s="392">
        <f t="shared" si="96"/>
        <v>3</v>
      </c>
      <c r="V274" s="311">
        <f t="shared" ca="1" si="97"/>
        <v>106</v>
      </c>
      <c r="W274" s="269" t="str">
        <f t="shared" ca="1" si="98"/>
        <v>||||||||||</v>
      </c>
      <c r="X274" s="269" t="str">
        <f t="shared" ca="1" si="99"/>
        <v>||||||||||</v>
      </c>
      <c r="Y274" s="434" t="str">
        <f t="shared" ca="1" si="100"/>
        <v/>
      </c>
      <c r="Z274" s="269" t="str">
        <f t="shared" ca="1" si="101"/>
        <v>||</v>
      </c>
      <c r="AA274" s="270" t="str">
        <f t="shared" ca="1" si="102"/>
        <v>||||||</v>
      </c>
    </row>
    <row r="275" spans="1:27" x14ac:dyDescent="0.25">
      <c r="A275" s="140">
        <f>+'Esc 2'!A285</f>
        <v>2003</v>
      </c>
      <c r="B275" s="140">
        <f>+'Esc 2'!B285</f>
        <v>4</v>
      </c>
      <c r="C275" s="141">
        <f>+'Esc 2'!O285</f>
        <v>2.8329230836080459</v>
      </c>
      <c r="D275" s="140">
        <f>+'Esc 2'!D285</f>
        <v>170.5</v>
      </c>
      <c r="E275" s="147">
        <f t="shared" si="104"/>
        <v>73.149999999999991</v>
      </c>
      <c r="F275" s="146">
        <f t="shared" si="104"/>
        <v>0</v>
      </c>
      <c r="G275" s="144">
        <f t="shared" si="103"/>
        <v>9.7350000000000008E-4</v>
      </c>
      <c r="H275" s="145">
        <f>+F275/100000*'Bal Híd'!$G$4</f>
        <v>0</v>
      </c>
      <c r="I275" s="145">
        <v>0</v>
      </c>
      <c r="J275" s="145">
        <f t="shared" ca="1" si="87"/>
        <v>10.469770846675935</v>
      </c>
      <c r="K275" s="145">
        <f t="shared" ca="1" si="88"/>
        <v>362.05062368439292</v>
      </c>
      <c r="L275" s="145">
        <f t="shared" ca="1" si="89"/>
        <v>328.74427152368389</v>
      </c>
      <c r="M275" s="145">
        <f t="shared" ca="1" si="90"/>
        <v>10.435694180021978</v>
      </c>
      <c r="N275" s="145">
        <f t="shared" ca="1" si="91"/>
        <v>7.6368477630678893</v>
      </c>
      <c r="O275" s="143">
        <f t="shared" ca="1" si="86"/>
        <v>295.43791936297487</v>
      </c>
      <c r="P275" s="145">
        <f t="shared" ca="1" si="92"/>
        <v>2.7988464169540883</v>
      </c>
      <c r="Q275" s="145">
        <f t="shared" ca="1" si="93"/>
        <v>0</v>
      </c>
      <c r="R275" s="592">
        <f t="shared" ca="1" si="94"/>
        <v>2.7988464169540879</v>
      </c>
      <c r="S275" s="311"/>
      <c r="T275" s="392">
        <f t="shared" si="95"/>
        <v>2003</v>
      </c>
      <c r="U275" s="392">
        <f t="shared" si="96"/>
        <v>4</v>
      </c>
      <c r="V275" s="311">
        <f t="shared" ca="1" si="97"/>
        <v>106</v>
      </c>
      <c r="W275" s="269" t="str">
        <f t="shared" ca="1" si="98"/>
        <v>||||||||||</v>
      </c>
      <c r="X275" s="269" t="str">
        <f t="shared" ca="1" si="99"/>
        <v>||||||||||</v>
      </c>
      <c r="Y275" s="434" t="str">
        <f t="shared" ca="1" si="100"/>
        <v/>
      </c>
      <c r="Z275" s="269" t="str">
        <f t="shared" ca="1" si="101"/>
        <v/>
      </c>
      <c r="AA275" s="270" t="str">
        <f t="shared" ca="1" si="102"/>
        <v>|||||||||||||</v>
      </c>
    </row>
    <row r="276" spans="1:27" x14ac:dyDescent="0.25">
      <c r="A276" s="140">
        <f>+'Esc 2'!A286</f>
        <v>2003</v>
      </c>
      <c r="B276" s="140">
        <f>+'Esc 2'!B286</f>
        <v>5</v>
      </c>
      <c r="C276" s="141">
        <f>+'Esc 2'!O286</f>
        <v>3.3266863252435415</v>
      </c>
      <c r="D276" s="140">
        <f>+'Esc 2'!D286</f>
        <v>180.9</v>
      </c>
      <c r="E276" s="147">
        <f t="shared" si="104"/>
        <v>51.24</v>
      </c>
      <c r="F276" s="146">
        <f t="shared" si="104"/>
        <v>0</v>
      </c>
      <c r="G276" s="144">
        <f t="shared" si="103"/>
        <v>1.2966E-3</v>
      </c>
      <c r="H276" s="145">
        <f>+F276/100000*'Bal Híd'!$G$4</f>
        <v>0</v>
      </c>
      <c r="I276" s="145">
        <v>0</v>
      </c>
      <c r="J276" s="145">
        <f t="shared" ca="1" si="87"/>
        <v>10.96353408831143</v>
      </c>
      <c r="K276" s="145">
        <f t="shared" ca="1" si="88"/>
        <v>372.9638356145004</v>
      </c>
      <c r="L276" s="145">
        <f t="shared" ca="1" si="89"/>
        <v>334.20087748873766</v>
      </c>
      <c r="M276" s="145">
        <f t="shared" ca="1" si="90"/>
        <v>10.974128341870864</v>
      </c>
      <c r="N276" s="145">
        <f t="shared" ca="1" si="91"/>
        <v>7.6368477630678893</v>
      </c>
      <c r="O276" s="143">
        <f t="shared" ca="1" si="86"/>
        <v>295.43791936297487</v>
      </c>
      <c r="P276" s="145">
        <f t="shared" ca="1" si="92"/>
        <v>3.3372805788029751</v>
      </c>
      <c r="Q276" s="145">
        <f t="shared" ca="1" si="93"/>
        <v>0</v>
      </c>
      <c r="R276" s="592">
        <f t="shared" ca="1" si="94"/>
        <v>3.3372805788029765</v>
      </c>
      <c r="S276" s="311"/>
      <c r="T276" s="392">
        <f t="shared" si="95"/>
        <v>2003</v>
      </c>
      <c r="U276" s="392">
        <f t="shared" si="96"/>
        <v>5</v>
      </c>
      <c r="V276" s="311">
        <f t="shared" ca="1" si="97"/>
        <v>106</v>
      </c>
      <c r="W276" s="269" t="str">
        <f t="shared" ca="1" si="98"/>
        <v>||||||||||</v>
      </c>
      <c r="X276" s="269" t="str">
        <f t="shared" ca="1" si="99"/>
        <v>||||||||||</v>
      </c>
      <c r="Y276" s="434" t="str">
        <f t="shared" ca="1" si="100"/>
        <v/>
      </c>
      <c r="Z276" s="269" t="str">
        <f t="shared" ca="1" si="101"/>
        <v/>
      </c>
      <c r="AA276" s="270" t="str">
        <f t="shared" ca="1" si="102"/>
        <v>||||||||||||||||</v>
      </c>
    </row>
    <row r="277" spans="1:27" x14ac:dyDescent="0.25">
      <c r="A277" s="140">
        <f>+'Esc 2'!A287</f>
        <v>2003</v>
      </c>
      <c r="B277" s="140">
        <f>+'Esc 2'!B287</f>
        <v>6</v>
      </c>
      <c r="C277" s="141">
        <f>+'Esc 2'!O287</f>
        <v>1.97932387868501</v>
      </c>
      <c r="D277" s="140">
        <f>+'Esc 2'!D287</f>
        <v>93.7</v>
      </c>
      <c r="E277" s="147">
        <f t="shared" si="104"/>
        <v>41.019999999999996</v>
      </c>
      <c r="F277" s="146">
        <f t="shared" si="104"/>
        <v>0</v>
      </c>
      <c r="G277" s="144">
        <f t="shared" si="103"/>
        <v>5.2680000000000012E-4</v>
      </c>
      <c r="H277" s="145">
        <f>+F277/100000*'Bal Híd'!$G$4</f>
        <v>0</v>
      </c>
      <c r="I277" s="145">
        <v>0</v>
      </c>
      <c r="J277" s="145">
        <f t="shared" ca="1" si="87"/>
        <v>9.6161716417528993</v>
      </c>
      <c r="K277" s="145">
        <f t="shared" ca="1" si="88"/>
        <v>342.74169948611473</v>
      </c>
      <c r="L277" s="145">
        <f t="shared" ca="1" si="89"/>
        <v>319.0898094245448</v>
      </c>
      <c r="M277" s="145">
        <f t="shared" ca="1" si="90"/>
        <v>9.544122876080543</v>
      </c>
      <c r="N277" s="145">
        <f t="shared" ca="1" si="91"/>
        <v>7.6368477630678893</v>
      </c>
      <c r="O277" s="143">
        <f t="shared" ca="1" si="86"/>
        <v>295.43791936297487</v>
      </c>
      <c r="P277" s="145">
        <f t="shared" ca="1" si="92"/>
        <v>1.9072751130126537</v>
      </c>
      <c r="Q277" s="145">
        <f t="shared" ca="1" si="93"/>
        <v>0</v>
      </c>
      <c r="R277" s="592">
        <f t="shared" ca="1" si="94"/>
        <v>1.9072751130126546</v>
      </c>
      <c r="S277" s="311"/>
      <c r="T277" s="392">
        <f t="shared" si="95"/>
        <v>2003</v>
      </c>
      <c r="U277" s="392">
        <f t="shared" si="96"/>
        <v>6</v>
      </c>
      <c r="V277" s="311">
        <f t="shared" ca="1" si="97"/>
        <v>106</v>
      </c>
      <c r="W277" s="269" t="str">
        <f t="shared" ca="1" si="98"/>
        <v>||||||||||</v>
      </c>
      <c r="X277" s="269" t="str">
        <f t="shared" ca="1" si="99"/>
        <v>||||||||||</v>
      </c>
      <c r="Y277" s="434" t="str">
        <f t="shared" ca="1" si="100"/>
        <v/>
      </c>
      <c r="Z277" s="269" t="str">
        <f t="shared" ca="1" si="101"/>
        <v/>
      </c>
      <c r="AA277" s="270" t="str">
        <f t="shared" ca="1" si="102"/>
        <v>|||||||||</v>
      </c>
    </row>
    <row r="278" spans="1:27" x14ac:dyDescent="0.25">
      <c r="A278" s="140">
        <f>+'Esc 2'!A288</f>
        <v>2003</v>
      </c>
      <c r="B278" s="140">
        <f>+'Esc 2'!B288</f>
        <v>7</v>
      </c>
      <c r="C278" s="141">
        <f>+'Esc 2'!O288</f>
        <v>0.74961632468732642</v>
      </c>
      <c r="D278" s="140">
        <f>+'Esc 2'!D288</f>
        <v>38</v>
      </c>
      <c r="E278" s="147">
        <f t="shared" si="104"/>
        <v>50.819999999999993</v>
      </c>
      <c r="F278" s="146">
        <f t="shared" si="104"/>
        <v>0</v>
      </c>
      <c r="G278" s="144">
        <f t="shared" si="103"/>
        <v>-1.2819999999999994E-4</v>
      </c>
      <c r="H278" s="145">
        <f>+F278/100000*'Bal Híd'!$G$4</f>
        <v>0</v>
      </c>
      <c r="I278" s="145">
        <v>0</v>
      </c>
      <c r="J278" s="145">
        <f t="shared" ca="1" si="87"/>
        <v>8.3864640877552148</v>
      </c>
      <c r="K278" s="145">
        <f t="shared" ca="1" si="88"/>
        <v>313.81392686158176</v>
      </c>
      <c r="L278" s="145">
        <f t="shared" ca="1" si="89"/>
        <v>304.62592311227831</v>
      </c>
      <c r="M278" s="145">
        <f t="shared" ca="1" si="90"/>
        <v>8.2605849741126356</v>
      </c>
      <c r="N278" s="145">
        <f t="shared" ca="1" si="91"/>
        <v>7.6368477630678893</v>
      </c>
      <c r="O278" s="143">
        <f t="shared" ca="1" si="86"/>
        <v>295.43791936297487</v>
      </c>
      <c r="P278" s="145">
        <f t="shared" ca="1" si="92"/>
        <v>0.62373721104474633</v>
      </c>
      <c r="Q278" s="145">
        <f t="shared" ca="1" si="93"/>
        <v>0</v>
      </c>
      <c r="R278" s="592">
        <f t="shared" ca="1" si="94"/>
        <v>0.62373721104474666</v>
      </c>
      <c r="S278" s="311"/>
      <c r="T278" s="392">
        <f t="shared" si="95"/>
        <v>2003</v>
      </c>
      <c r="U278" s="392">
        <f t="shared" si="96"/>
        <v>7</v>
      </c>
      <c r="V278" s="311">
        <f t="shared" ca="1" si="97"/>
        <v>106</v>
      </c>
      <c r="W278" s="269" t="str">
        <f t="shared" ca="1" si="98"/>
        <v>||||||||||</v>
      </c>
      <c r="X278" s="269" t="str">
        <f t="shared" ca="1" si="99"/>
        <v>||||||||||</v>
      </c>
      <c r="Y278" s="434" t="str">
        <f t="shared" ca="1" si="100"/>
        <v/>
      </c>
      <c r="Z278" s="269" t="str">
        <f t="shared" ca="1" si="101"/>
        <v/>
      </c>
      <c r="AA278" s="270" t="str">
        <f t="shared" ca="1" si="102"/>
        <v>|||</v>
      </c>
    </row>
    <row r="279" spans="1:27" x14ac:dyDescent="0.25">
      <c r="A279" s="140">
        <f>+'Esc 2'!A289</f>
        <v>2003</v>
      </c>
      <c r="B279" s="140">
        <f>+'Esc 2'!B289</f>
        <v>8</v>
      </c>
      <c r="C279" s="141">
        <f>+'Esc 2'!O289</f>
        <v>1.8848015806315648</v>
      </c>
      <c r="D279" s="140">
        <f>+'Esc 2'!D289</f>
        <v>140.4</v>
      </c>
      <c r="E279" s="147">
        <f t="shared" si="104"/>
        <v>72.449999999999989</v>
      </c>
      <c r="F279" s="146">
        <f t="shared" si="104"/>
        <v>0</v>
      </c>
      <c r="G279" s="144">
        <f t="shared" si="103"/>
        <v>6.795000000000002E-4</v>
      </c>
      <c r="H279" s="145">
        <f>+F279/100000*'Bal Híd'!$G$4</f>
        <v>0</v>
      </c>
      <c r="I279" s="145">
        <v>0</v>
      </c>
      <c r="J279" s="145">
        <f t="shared" ca="1" si="87"/>
        <v>9.5216493436994547</v>
      </c>
      <c r="K279" s="145">
        <f t="shared" ca="1" si="88"/>
        <v>340.56678180390685</v>
      </c>
      <c r="L279" s="145">
        <f t="shared" ca="1" si="89"/>
        <v>318.00235058344083</v>
      </c>
      <c r="M279" s="145">
        <f t="shared" ca="1" si="90"/>
        <v>9.5098340956645426</v>
      </c>
      <c r="N279" s="145">
        <f t="shared" ca="1" si="91"/>
        <v>7.6368477630678893</v>
      </c>
      <c r="O279" s="143">
        <f t="shared" ca="1" si="86"/>
        <v>295.43791936297487</v>
      </c>
      <c r="P279" s="145">
        <f t="shared" ca="1" si="92"/>
        <v>1.8729863325966534</v>
      </c>
      <c r="Q279" s="145">
        <f t="shared" ca="1" si="93"/>
        <v>0</v>
      </c>
      <c r="R279" s="592">
        <f t="shared" ca="1" si="94"/>
        <v>1.8729863325966547</v>
      </c>
      <c r="S279" s="311"/>
      <c r="T279" s="392">
        <f t="shared" si="95"/>
        <v>2003</v>
      </c>
      <c r="U279" s="392">
        <f t="shared" si="96"/>
        <v>8</v>
      </c>
      <c r="V279" s="311">
        <f t="shared" ca="1" si="97"/>
        <v>106</v>
      </c>
      <c r="W279" s="269" t="str">
        <f t="shared" ca="1" si="98"/>
        <v>||||||||||</v>
      </c>
      <c r="X279" s="269" t="str">
        <f t="shared" ca="1" si="99"/>
        <v>||||||||||</v>
      </c>
      <c r="Y279" s="434" t="str">
        <f t="shared" ca="1" si="100"/>
        <v/>
      </c>
      <c r="Z279" s="269" t="str">
        <f t="shared" ca="1" si="101"/>
        <v/>
      </c>
      <c r="AA279" s="270" t="str">
        <f t="shared" ca="1" si="102"/>
        <v>|||||||||</v>
      </c>
    </row>
    <row r="280" spans="1:27" x14ac:dyDescent="0.25">
      <c r="A280" s="140">
        <f>+'Esc 2'!A290</f>
        <v>2003</v>
      </c>
      <c r="B280" s="140">
        <f>+'Esc 2'!B290</f>
        <v>9</v>
      </c>
      <c r="C280" s="141">
        <f>+'Esc 2'!O290</f>
        <v>1.0497665829548883</v>
      </c>
      <c r="D280" s="140">
        <f>+'Esc 2'!D290</f>
        <v>71.5</v>
      </c>
      <c r="E280" s="147">
        <f t="shared" si="104"/>
        <v>85.89</v>
      </c>
      <c r="F280" s="146">
        <f t="shared" si="104"/>
        <v>0</v>
      </c>
      <c r="G280" s="144">
        <f t="shared" si="103"/>
        <v>-1.439E-4</v>
      </c>
      <c r="H280" s="145">
        <f>+F280/100000*'Bal Híd'!$G$4</f>
        <v>0</v>
      </c>
      <c r="I280" s="145">
        <v>0</v>
      </c>
      <c r="J280" s="145">
        <f t="shared" ca="1" si="87"/>
        <v>8.6866143460227772</v>
      </c>
      <c r="K280" s="145">
        <f t="shared" ca="1" si="88"/>
        <v>321.00653047777143</v>
      </c>
      <c r="L280" s="145">
        <f t="shared" ca="1" si="89"/>
        <v>308.22222492037315</v>
      </c>
      <c r="M280" s="145">
        <f t="shared" ca="1" si="90"/>
        <v>8.5192340226683658</v>
      </c>
      <c r="N280" s="145">
        <f t="shared" ca="1" si="91"/>
        <v>7.6368477630678893</v>
      </c>
      <c r="O280" s="143">
        <f t="shared" ca="1" si="86"/>
        <v>295.43791936297487</v>
      </c>
      <c r="P280" s="145">
        <f t="shared" ca="1" si="92"/>
        <v>0.88238625960047656</v>
      </c>
      <c r="Q280" s="145">
        <f t="shared" ca="1" si="93"/>
        <v>0</v>
      </c>
      <c r="R280" s="592">
        <f t="shared" ca="1" si="94"/>
        <v>0.88238625960047656</v>
      </c>
      <c r="S280" s="311"/>
      <c r="T280" s="392">
        <f t="shared" si="95"/>
        <v>2003</v>
      </c>
      <c r="U280" s="392">
        <f t="shared" si="96"/>
        <v>9</v>
      </c>
      <c r="V280" s="311">
        <f t="shared" ca="1" si="97"/>
        <v>106</v>
      </c>
      <c r="W280" s="269" t="str">
        <f t="shared" ca="1" si="98"/>
        <v>||||||||||</v>
      </c>
      <c r="X280" s="269" t="str">
        <f t="shared" ca="1" si="99"/>
        <v>||||||||||</v>
      </c>
      <c r="Y280" s="434" t="str">
        <f t="shared" ca="1" si="100"/>
        <v/>
      </c>
      <c r="Z280" s="269" t="str">
        <f t="shared" ca="1" si="101"/>
        <v/>
      </c>
      <c r="AA280" s="270" t="str">
        <f t="shared" ca="1" si="102"/>
        <v>||||</v>
      </c>
    </row>
    <row r="281" spans="1:27" x14ac:dyDescent="0.25">
      <c r="A281" s="140">
        <f>+'Esc 2'!A291</f>
        <v>2003</v>
      </c>
      <c r="B281" s="140">
        <f>+'Esc 2'!B291</f>
        <v>10</v>
      </c>
      <c r="C281" s="141">
        <f>+'Esc 2'!O291</f>
        <v>1.6602444759439636</v>
      </c>
      <c r="D281" s="140">
        <f>+'Esc 2'!D291</f>
        <v>146.1</v>
      </c>
      <c r="E281" s="147">
        <f t="shared" si="104"/>
        <v>114.86999999999999</v>
      </c>
      <c r="F281" s="146">
        <f t="shared" si="104"/>
        <v>59</v>
      </c>
      <c r="G281" s="144">
        <f t="shared" si="103"/>
        <v>3.1230000000000006E-4</v>
      </c>
      <c r="H281" s="145">
        <f>+F281/100000*'Bal Híd'!$G$4</f>
        <v>0.64900000000000002</v>
      </c>
      <c r="I281" s="145">
        <v>0</v>
      </c>
      <c r="J281" s="145">
        <f t="shared" ca="1" si="87"/>
        <v>8.6480922390118522</v>
      </c>
      <c r="K281" s="145">
        <f t="shared" ca="1" si="88"/>
        <v>320.08841254180356</v>
      </c>
      <c r="L281" s="145">
        <f t="shared" ca="1" si="89"/>
        <v>307.76316595238922</v>
      </c>
      <c r="M281" s="145">
        <f t="shared" ca="1" si="90"/>
        <v>8.5499245098941152</v>
      </c>
      <c r="N281" s="145">
        <f t="shared" ca="1" si="91"/>
        <v>7.6368477630678893</v>
      </c>
      <c r="O281" s="143">
        <f t="shared" ca="1" si="86"/>
        <v>295.43791936297487</v>
      </c>
      <c r="P281" s="145">
        <f t="shared" ca="1" si="92"/>
        <v>0.91307674682622597</v>
      </c>
      <c r="Q281" s="145">
        <f t="shared" ca="1" si="93"/>
        <v>0.64900000000000002</v>
      </c>
      <c r="R281" s="592">
        <f t="shared" ca="1" si="94"/>
        <v>1.5620767468262258</v>
      </c>
      <c r="S281" s="311"/>
      <c r="T281" s="392">
        <f t="shared" si="95"/>
        <v>2003</v>
      </c>
      <c r="U281" s="392">
        <f t="shared" si="96"/>
        <v>10</v>
      </c>
      <c r="V281" s="311">
        <f t="shared" ca="1" si="97"/>
        <v>106</v>
      </c>
      <c r="W281" s="269" t="str">
        <f t="shared" ca="1" si="98"/>
        <v>||||||||||</v>
      </c>
      <c r="X281" s="269" t="str">
        <f t="shared" ca="1" si="99"/>
        <v>||||||||||</v>
      </c>
      <c r="Y281" s="434" t="str">
        <f t="shared" ca="1" si="100"/>
        <v/>
      </c>
      <c r="Z281" s="269" t="str">
        <f t="shared" ca="1" si="101"/>
        <v>|||</v>
      </c>
      <c r="AA281" s="270" t="str">
        <f t="shared" ca="1" si="102"/>
        <v>||||</v>
      </c>
    </row>
    <row r="282" spans="1:27" x14ac:dyDescent="0.25">
      <c r="A282" s="140">
        <f>+'Esc 2'!A292</f>
        <v>2003</v>
      </c>
      <c r="B282" s="140">
        <f>+'Esc 2'!B292</f>
        <v>11</v>
      </c>
      <c r="C282" s="141">
        <f>+'Esc 2'!O292</f>
        <v>1.8796665758614439</v>
      </c>
      <c r="D282" s="140">
        <f>+'Esc 2'!D292</f>
        <v>156.6</v>
      </c>
      <c r="E282" s="147">
        <f t="shared" si="104"/>
        <v>144.06</v>
      </c>
      <c r="F282" s="146">
        <f t="shared" si="104"/>
        <v>212</v>
      </c>
      <c r="G282" s="144">
        <f t="shared" si="103"/>
        <v>1.2539999999999993E-4</v>
      </c>
      <c r="H282" s="145">
        <f>+F282/100000*'Bal Híd'!$G$4</f>
        <v>2.3319999999999999</v>
      </c>
      <c r="I282" s="145">
        <v>0</v>
      </c>
      <c r="J282" s="145">
        <f t="shared" ca="1" si="87"/>
        <v>7.1845143389293336</v>
      </c>
      <c r="K282" s="145">
        <f t="shared" ca="1" si="88"/>
        <v>284.03889573686945</v>
      </c>
      <c r="L282" s="145">
        <f t="shared" ca="1" si="89"/>
        <v>289.73840754992216</v>
      </c>
      <c r="M282" s="145">
        <f t="shared" ca="1" si="90"/>
        <v>7.0137708810859367</v>
      </c>
      <c r="N282" s="145">
        <f t="shared" ca="1" si="91"/>
        <v>7.0137708810859367</v>
      </c>
      <c r="O282" s="143">
        <f t="shared" ca="1" si="86"/>
        <v>279.67014185072918</v>
      </c>
      <c r="P282" s="145">
        <f t="shared" ca="1" si="92"/>
        <v>0</v>
      </c>
      <c r="Q282" s="145">
        <f t="shared" ca="1" si="93"/>
        <v>2.3319999999999999</v>
      </c>
      <c r="R282" s="592">
        <f t="shared" ca="1" si="94"/>
        <v>1.7089231180180482</v>
      </c>
      <c r="S282" s="311"/>
      <c r="T282" s="392">
        <f t="shared" si="95"/>
        <v>2003</v>
      </c>
      <c r="U282" s="392">
        <f t="shared" si="96"/>
        <v>11</v>
      </c>
      <c r="V282" s="311">
        <f t="shared" ca="1" si="97"/>
        <v>105.78329398301237</v>
      </c>
      <c r="W282" s="269" t="str">
        <f t="shared" ca="1" si="98"/>
        <v>|||||||||</v>
      </c>
      <c r="X282" s="269" t="str">
        <f t="shared" ca="1" si="99"/>
        <v>|||||||||</v>
      </c>
      <c r="Y282" s="434" t="str">
        <f t="shared" ca="1" si="100"/>
        <v/>
      </c>
      <c r="Z282" s="269" t="str">
        <f t="shared" ca="1" si="101"/>
        <v>|||||||||||</v>
      </c>
      <c r="AA282" s="270" t="str">
        <f t="shared" ca="1" si="102"/>
        <v/>
      </c>
    </row>
    <row r="283" spans="1:27" x14ac:dyDescent="0.25">
      <c r="A283" s="140">
        <f>+'Esc 2'!A293</f>
        <v>2003</v>
      </c>
      <c r="B283" s="140">
        <f>+'Esc 2'!B293</f>
        <v>12</v>
      </c>
      <c r="C283" s="141">
        <f>+'Esc 2'!O293</f>
        <v>2.0108562422320593</v>
      </c>
      <c r="D283" s="140">
        <f>+'Esc 2'!D293</f>
        <v>173.9</v>
      </c>
      <c r="E283" s="147">
        <f t="shared" si="104"/>
        <v>179.62</v>
      </c>
      <c r="F283" s="146">
        <f t="shared" si="104"/>
        <v>388</v>
      </c>
      <c r="G283" s="144">
        <f t="shared" si="103"/>
        <v>-5.7199999999999988E-5</v>
      </c>
      <c r="H283" s="145">
        <f>+F283/100000*'Bal Híd'!$G$4</f>
        <v>4.2679999999999998</v>
      </c>
      <c r="I283" s="145">
        <v>0</v>
      </c>
      <c r="J283" s="145">
        <f t="shared" ca="1" si="87"/>
        <v>4.7566271233179966</v>
      </c>
      <c r="K283" s="145">
        <f t="shared" ca="1" si="88"/>
        <v>217.75081458925177</v>
      </c>
      <c r="L283" s="145">
        <f t="shared" ca="1" si="89"/>
        <v>248.71047821999048</v>
      </c>
      <c r="M283" s="145">
        <f t="shared" ca="1" si="90"/>
        <v>4.5522408012120303</v>
      </c>
      <c r="N283" s="145">
        <f t="shared" ca="1" si="91"/>
        <v>4.5522408012120303</v>
      </c>
      <c r="O283" s="143">
        <f t="shared" ca="1" si="86"/>
        <v>211.67415057760664</v>
      </c>
      <c r="P283" s="145">
        <f t="shared" ca="1" si="92"/>
        <v>0</v>
      </c>
      <c r="Q283" s="145">
        <f t="shared" ca="1" si="93"/>
        <v>4.2679999999999998</v>
      </c>
      <c r="R283" s="592">
        <f t="shared" ca="1" si="94"/>
        <v>1.8064699201260932</v>
      </c>
      <c r="S283" s="311"/>
      <c r="T283" s="392">
        <f t="shared" si="95"/>
        <v>2003</v>
      </c>
      <c r="U283" s="392">
        <f t="shared" si="96"/>
        <v>12</v>
      </c>
      <c r="V283" s="311">
        <f t="shared" ca="1" si="97"/>
        <v>104.77844749574375</v>
      </c>
      <c r="W283" s="269" t="str">
        <f t="shared" ca="1" si="98"/>
        <v>|||||||</v>
      </c>
      <c r="X283" s="269" t="str">
        <f t="shared" ca="1" si="99"/>
        <v>|||||</v>
      </c>
      <c r="Y283" s="434" t="str">
        <f t="shared" ca="1" si="100"/>
        <v/>
      </c>
      <c r="Z283" s="269" t="str">
        <f t="shared" ca="1" si="101"/>
        <v>|||||||||||||||||||||</v>
      </c>
      <c r="AA283" s="270" t="str">
        <f t="shared" ca="1" si="102"/>
        <v/>
      </c>
    </row>
    <row r="284" spans="1:27" x14ac:dyDescent="0.25">
      <c r="A284" s="140">
        <f>+'Esc 2'!A294</f>
        <v>2004</v>
      </c>
      <c r="B284" s="140">
        <f>+'Esc 2'!B294</f>
        <v>1</v>
      </c>
      <c r="C284" s="141">
        <f>+'Esc 2'!O294</f>
        <v>0.65972203852961264</v>
      </c>
      <c r="D284" s="140">
        <f>+'Esc 2'!D294</f>
        <v>48.2</v>
      </c>
      <c r="E284" s="147">
        <f t="shared" si="104"/>
        <v>176.89</v>
      </c>
      <c r="F284" s="146">
        <f t="shared" si="104"/>
        <v>318</v>
      </c>
      <c r="G284" s="144">
        <f t="shared" si="103"/>
        <v>-1.2868999999999999E-3</v>
      </c>
      <c r="H284" s="145">
        <f>+F284/100000*'Bal Híd'!$G$4</f>
        <v>3.4980000000000002</v>
      </c>
      <c r="I284" s="145">
        <v>0</v>
      </c>
      <c r="J284" s="145">
        <f t="shared" ca="1" si="87"/>
        <v>1.7139628397416429</v>
      </c>
      <c r="K284" s="145">
        <f t="shared" ca="1" si="88"/>
        <v>112.79276114706589</v>
      </c>
      <c r="L284" s="145">
        <f t="shared" ca="1" si="89"/>
        <v>162.23345586233626</v>
      </c>
      <c r="M284" s="145">
        <f t="shared" ca="1" si="90"/>
        <v>1.4644891733698913</v>
      </c>
      <c r="N284" s="145">
        <f t="shared" ca="1" si="91"/>
        <v>1.4644891733698913</v>
      </c>
      <c r="O284" s="143">
        <f t="shared" ca="1" si="86"/>
        <v>101.91924321529423</v>
      </c>
      <c r="P284" s="145">
        <f t="shared" ca="1" si="92"/>
        <v>0</v>
      </c>
      <c r="Q284" s="145">
        <f t="shared" ca="1" si="93"/>
        <v>3.4980000000000002</v>
      </c>
      <c r="R284" s="592">
        <f t="shared" ca="1" si="94"/>
        <v>0.41024837215786103</v>
      </c>
      <c r="S284" s="311"/>
      <c r="T284" s="392">
        <f t="shared" si="95"/>
        <v>2004</v>
      </c>
      <c r="U284" s="392">
        <f t="shared" si="96"/>
        <v>1</v>
      </c>
      <c r="V284" s="311">
        <f t="shared" ca="1" si="97"/>
        <v>102.77125717708051</v>
      </c>
      <c r="W284" s="269" t="str">
        <f t="shared" ca="1" si="98"/>
        <v>||||</v>
      </c>
      <c r="X284" s="269" t="str">
        <f t="shared" ca="1" si="99"/>
        <v>|</v>
      </c>
      <c r="Y284" s="434" t="str">
        <f t="shared" ca="1" si="100"/>
        <v/>
      </c>
      <c r="Z284" s="269" t="str">
        <f t="shared" ca="1" si="101"/>
        <v>|||||||||||||||||</v>
      </c>
      <c r="AA284" s="270" t="str">
        <f t="shared" ca="1" si="102"/>
        <v/>
      </c>
    </row>
    <row r="285" spans="1:27" x14ac:dyDescent="0.25">
      <c r="A285" s="140">
        <f>+'Esc 2'!A295</f>
        <v>2004</v>
      </c>
      <c r="B285" s="140">
        <f>+'Esc 2'!B295</f>
        <v>2</v>
      </c>
      <c r="C285" s="141">
        <f>+'Esc 2'!O295</f>
        <v>0.36265994539276752</v>
      </c>
      <c r="D285" s="140">
        <f>+'Esc 2'!D295</f>
        <v>61.3</v>
      </c>
      <c r="E285" s="147">
        <f t="shared" si="104"/>
        <v>131.73999999999998</v>
      </c>
      <c r="F285" s="146">
        <f t="shared" si="104"/>
        <v>153</v>
      </c>
      <c r="G285" s="144">
        <f t="shared" si="103"/>
        <v>-7.0439999999999988E-4</v>
      </c>
      <c r="H285" s="145">
        <f>+F285/100000*'Bal Híd'!$G$4</f>
        <v>1.6829999999999998</v>
      </c>
      <c r="I285" s="145">
        <v>0</v>
      </c>
      <c r="J285" s="145">
        <f t="shared" ca="1" si="87"/>
        <v>0.1441491187626589</v>
      </c>
      <c r="K285" s="145">
        <f t="shared" ca="1" si="88"/>
        <v>22.876347397086242</v>
      </c>
      <c r="L285" s="145">
        <f t="shared" ca="1" si="89"/>
        <v>62.397795306190233</v>
      </c>
      <c r="M285" s="145">
        <f t="shared" ca="1" si="90"/>
        <v>9.1591860403589909E-2</v>
      </c>
      <c r="N285" s="145">
        <f t="shared" ca="1" si="91"/>
        <v>0.14364725252241328</v>
      </c>
      <c r="O285" s="143">
        <f t="shared" ca="1" si="86"/>
        <v>22.824988701237128</v>
      </c>
      <c r="P285" s="145">
        <f t="shared" ca="1" si="92"/>
        <v>0</v>
      </c>
      <c r="Q285" s="145">
        <f t="shared" ca="1" si="93"/>
        <v>1.6309446078811765</v>
      </c>
      <c r="R285" s="592">
        <f t="shared" ca="1" si="94"/>
        <v>0.31010268703369853</v>
      </c>
      <c r="S285" s="311"/>
      <c r="T285" s="392">
        <f t="shared" si="95"/>
        <v>2004</v>
      </c>
      <c r="U285" s="392">
        <f t="shared" si="96"/>
        <v>2</v>
      </c>
      <c r="V285" s="311">
        <f t="shared" ca="1" si="97"/>
        <v>100.5</v>
      </c>
      <c r="W285" s="269" t="str">
        <f t="shared" ca="1" si="98"/>
        <v/>
      </c>
      <c r="X285" s="269" t="str">
        <f t="shared" ca="1" si="99"/>
        <v/>
      </c>
      <c r="Y285" s="434" t="str">
        <f t="shared" ca="1" si="100"/>
        <v/>
      </c>
      <c r="Z285" s="269" t="str">
        <f t="shared" ca="1" si="101"/>
        <v>||||||||</v>
      </c>
      <c r="AA285" s="270" t="str">
        <f t="shared" ca="1" si="102"/>
        <v/>
      </c>
    </row>
    <row r="286" spans="1:27" x14ac:dyDescent="0.25">
      <c r="A286" s="140">
        <f>+'Esc 2'!A296</f>
        <v>2004</v>
      </c>
      <c r="B286" s="140">
        <f>+'Esc 2'!B296</f>
        <v>3</v>
      </c>
      <c r="C286" s="141">
        <f>+'Esc 2'!O296</f>
        <v>0.33526557877816465</v>
      </c>
      <c r="D286" s="140">
        <f>+'Esc 2'!D296</f>
        <v>53.3</v>
      </c>
      <c r="E286" s="147">
        <f t="shared" si="104"/>
        <v>118.64999999999999</v>
      </c>
      <c r="F286" s="146">
        <f t="shared" si="104"/>
        <v>47</v>
      </c>
      <c r="G286" s="144">
        <f t="shared" si="103"/>
        <v>-6.5349999999999989E-4</v>
      </c>
      <c r="H286" s="145">
        <f>+F286/100000*'Bal Híd'!$G$4</f>
        <v>0.51700000000000002</v>
      </c>
      <c r="I286" s="145">
        <v>0</v>
      </c>
      <c r="J286" s="145">
        <f t="shared" ca="1" si="87"/>
        <v>-3.808716869942208E-2</v>
      </c>
      <c r="K286" s="145">
        <f t="shared" ca="1" si="88"/>
        <v>0</v>
      </c>
      <c r="L286" s="145">
        <f t="shared" ca="1" si="89"/>
        <v>11.412494350618564</v>
      </c>
      <c r="M286" s="145">
        <f t="shared" ca="1" si="90"/>
        <v>-4.700006893768921E-2</v>
      </c>
      <c r="N286" s="145">
        <f t="shared" ca="1" si="91"/>
        <v>0.14364725252241328</v>
      </c>
      <c r="O286" s="143">
        <f t="shared" ca="1" si="86"/>
        <v>22.824988701237128</v>
      </c>
      <c r="P286" s="145">
        <f t="shared" ca="1" si="92"/>
        <v>0</v>
      </c>
      <c r="Q286" s="145">
        <f t="shared" ca="1" si="93"/>
        <v>0.32635267853989752</v>
      </c>
      <c r="R286" s="592">
        <f t="shared" ca="1" si="94"/>
        <v>0.32635267853989752</v>
      </c>
      <c r="S286" s="311"/>
      <c r="T286" s="392">
        <f t="shared" si="95"/>
        <v>2004</v>
      </c>
      <c r="U286" s="392">
        <f t="shared" si="96"/>
        <v>3</v>
      </c>
      <c r="V286" s="311">
        <f t="shared" ca="1" si="97"/>
        <v>100.5</v>
      </c>
      <c r="W286" s="269" t="str">
        <f t="shared" ca="1" si="98"/>
        <v/>
      </c>
      <c r="X286" s="269" t="str">
        <f t="shared" ca="1" si="99"/>
        <v/>
      </c>
      <c r="Y286" s="434" t="str">
        <f t="shared" ca="1" si="100"/>
        <v/>
      </c>
      <c r="Z286" s="269" t="str">
        <f t="shared" ca="1" si="101"/>
        <v>|</v>
      </c>
      <c r="AA286" s="270" t="str">
        <f t="shared" ca="1" si="102"/>
        <v/>
      </c>
    </row>
    <row r="287" spans="1:27" x14ac:dyDescent="0.25">
      <c r="A287" s="140">
        <f>+'Esc 2'!A297</f>
        <v>2004</v>
      </c>
      <c r="B287" s="140">
        <f>+'Esc 2'!B297</f>
        <v>4</v>
      </c>
      <c r="C287" s="141">
        <f>+'Esc 2'!O297</f>
        <v>1.4170673181873239</v>
      </c>
      <c r="D287" s="140">
        <f>+'Esc 2'!D297</f>
        <v>125</v>
      </c>
      <c r="E287" s="147">
        <f t="shared" si="104"/>
        <v>73.149999999999991</v>
      </c>
      <c r="F287" s="146">
        <f t="shared" si="104"/>
        <v>0</v>
      </c>
      <c r="G287" s="144">
        <f t="shared" si="103"/>
        <v>5.1850000000000008E-4</v>
      </c>
      <c r="H287" s="145">
        <f>+F287/100000*'Bal Híd'!$G$4</f>
        <v>0</v>
      </c>
      <c r="I287" s="145">
        <v>0</v>
      </c>
      <c r="J287" s="145">
        <f t="shared" ca="1" si="87"/>
        <v>1.5607145707097372</v>
      </c>
      <c r="K287" s="145">
        <f t="shared" ca="1" si="88"/>
        <v>106.18588013528158</v>
      </c>
      <c r="L287" s="145">
        <f t="shared" ca="1" si="89"/>
        <v>64.505434418259355</v>
      </c>
      <c r="M287" s="145">
        <f t="shared" ca="1" si="90"/>
        <v>1.5594045384709692</v>
      </c>
      <c r="N287" s="145">
        <f t="shared" ca="1" si="91"/>
        <v>1.5594045384709692</v>
      </c>
      <c r="O287" s="143">
        <f t="shared" ca="1" si="86"/>
        <v>106.12843248616166</v>
      </c>
      <c r="P287" s="145">
        <f t="shared" ca="1" si="92"/>
        <v>0</v>
      </c>
      <c r="Q287" s="145">
        <f t="shared" ca="1" si="93"/>
        <v>0</v>
      </c>
      <c r="R287" s="592">
        <f t="shared" ca="1" si="94"/>
        <v>1.4157572859485559</v>
      </c>
      <c r="S287" s="311"/>
      <c r="T287" s="392">
        <f t="shared" si="95"/>
        <v>2004</v>
      </c>
      <c r="U287" s="392">
        <f t="shared" si="96"/>
        <v>4</v>
      </c>
      <c r="V287" s="311">
        <f t="shared" ca="1" si="97"/>
        <v>102.86250661878988</v>
      </c>
      <c r="W287" s="269" t="str">
        <f t="shared" ca="1" si="98"/>
        <v>||||</v>
      </c>
      <c r="X287" s="269" t="str">
        <f t="shared" ca="1" si="99"/>
        <v>|</v>
      </c>
      <c r="Y287" s="434" t="str">
        <f t="shared" ca="1" si="100"/>
        <v/>
      </c>
      <c r="Z287" s="269" t="str">
        <f t="shared" ca="1" si="101"/>
        <v/>
      </c>
      <c r="AA287" s="270" t="str">
        <f t="shared" ca="1" si="102"/>
        <v/>
      </c>
    </row>
    <row r="288" spans="1:27" x14ac:dyDescent="0.25">
      <c r="A288" s="140">
        <f>+'Esc 2'!A298</f>
        <v>2004</v>
      </c>
      <c r="B288" s="140">
        <f>+'Esc 2'!B298</f>
        <v>5</v>
      </c>
      <c r="C288" s="141">
        <f>+'Esc 2'!O298</f>
        <v>0.55838175188018624</v>
      </c>
      <c r="D288" s="140">
        <f>+'Esc 2'!D298</f>
        <v>29.2</v>
      </c>
      <c r="E288" s="147">
        <f t="shared" si="104"/>
        <v>51.24</v>
      </c>
      <c r="F288" s="146">
        <f t="shared" si="104"/>
        <v>0</v>
      </c>
      <c r="G288" s="144">
        <f t="shared" si="103"/>
        <v>-2.2040000000000002E-4</v>
      </c>
      <c r="H288" s="145">
        <f>+F288/100000*'Bal Híd'!$G$4</f>
        <v>0</v>
      </c>
      <c r="I288" s="145">
        <v>0</v>
      </c>
      <c r="J288" s="145">
        <f t="shared" ca="1" si="87"/>
        <v>2.1177862903511553</v>
      </c>
      <c r="K288" s="145">
        <f t="shared" ca="1" si="88"/>
        <v>129.26852758779623</v>
      </c>
      <c r="L288" s="145">
        <f t="shared" ca="1" si="89"/>
        <v>117.69848003697894</v>
      </c>
      <c r="M288" s="145">
        <f t="shared" ca="1" si="90"/>
        <v>2.0668566923180456</v>
      </c>
      <c r="N288" s="145">
        <f t="shared" ca="1" si="91"/>
        <v>2.0668566923180456</v>
      </c>
      <c r="O288" s="143">
        <f t="shared" ca="1" si="86"/>
        <v>127.2564891923428</v>
      </c>
      <c r="P288" s="145">
        <f t="shared" ca="1" si="92"/>
        <v>0</v>
      </c>
      <c r="Q288" s="145">
        <f t="shared" ca="1" si="93"/>
        <v>0</v>
      </c>
      <c r="R288" s="592">
        <f t="shared" ca="1" si="94"/>
        <v>0.50745215384707654</v>
      </c>
      <c r="S288" s="311"/>
      <c r="T288" s="392">
        <f t="shared" si="95"/>
        <v>2004</v>
      </c>
      <c r="U288" s="392">
        <f t="shared" si="96"/>
        <v>5</v>
      </c>
      <c r="V288" s="311">
        <f t="shared" ca="1" si="97"/>
        <v>103.29790372096902</v>
      </c>
      <c r="W288" s="269" t="str">
        <f t="shared" ca="1" si="98"/>
        <v>|||||</v>
      </c>
      <c r="X288" s="269" t="str">
        <f t="shared" ca="1" si="99"/>
        <v>||</v>
      </c>
      <c r="Y288" s="434" t="str">
        <f t="shared" ca="1" si="100"/>
        <v/>
      </c>
      <c r="Z288" s="269" t="str">
        <f t="shared" ca="1" si="101"/>
        <v/>
      </c>
      <c r="AA288" s="270" t="str">
        <f t="shared" ca="1" si="102"/>
        <v/>
      </c>
    </row>
    <row r="289" spans="1:27" x14ac:dyDescent="0.25">
      <c r="A289" s="140">
        <f>+'Esc 2'!A299</f>
        <v>2004</v>
      </c>
      <c r="B289" s="140">
        <f>+'Esc 2'!B299</f>
        <v>6</v>
      </c>
      <c r="C289" s="141">
        <f>+'Esc 2'!O299</f>
        <v>1.0066705492833965</v>
      </c>
      <c r="D289" s="140">
        <f>+'Esc 2'!D299</f>
        <v>82.1</v>
      </c>
      <c r="E289" s="147">
        <f t="shared" si="104"/>
        <v>41.019999999999996</v>
      </c>
      <c r="F289" s="146">
        <f t="shared" si="104"/>
        <v>0</v>
      </c>
      <c r="G289" s="144">
        <f t="shared" si="103"/>
        <v>4.1079999999999996E-4</v>
      </c>
      <c r="H289" s="145">
        <f>+F289/100000*'Bal Híd'!$G$4</f>
        <v>0</v>
      </c>
      <c r="I289" s="145">
        <v>0</v>
      </c>
      <c r="J289" s="145">
        <f t="shared" ca="1" si="87"/>
        <v>3.0735272416014423</v>
      </c>
      <c r="K289" s="145">
        <f t="shared" ca="1" si="88"/>
        <v>164.33651539372551</v>
      </c>
      <c r="L289" s="145">
        <f t="shared" ca="1" si="89"/>
        <v>145.79650229303417</v>
      </c>
      <c r="M289" s="145">
        <f t="shared" ca="1" si="90"/>
        <v>3.0776147241932583</v>
      </c>
      <c r="N289" s="145">
        <f t="shared" ca="1" si="91"/>
        <v>3.0776147241932583</v>
      </c>
      <c r="O289" s="143">
        <f t="shared" ca="1" si="86"/>
        <v>164.47732505595215</v>
      </c>
      <c r="P289" s="145">
        <f t="shared" ca="1" si="92"/>
        <v>0</v>
      </c>
      <c r="Q289" s="145">
        <f t="shared" ca="1" si="93"/>
        <v>0</v>
      </c>
      <c r="R289" s="592">
        <f t="shared" ca="1" si="94"/>
        <v>1.0107580318752127</v>
      </c>
      <c r="S289" s="311"/>
      <c r="T289" s="392">
        <f t="shared" si="95"/>
        <v>2004</v>
      </c>
      <c r="U289" s="392">
        <f t="shared" si="96"/>
        <v>6</v>
      </c>
      <c r="V289" s="311">
        <f t="shared" ca="1" si="97"/>
        <v>103.99253176785682</v>
      </c>
      <c r="W289" s="269" t="str">
        <f t="shared" ca="1" si="98"/>
        <v>||||||</v>
      </c>
      <c r="X289" s="269" t="str">
        <f t="shared" ca="1" si="99"/>
        <v>|||</v>
      </c>
      <c r="Y289" s="434" t="str">
        <f t="shared" ca="1" si="100"/>
        <v/>
      </c>
      <c r="Z289" s="269" t="str">
        <f t="shared" ca="1" si="101"/>
        <v/>
      </c>
      <c r="AA289" s="270" t="str">
        <f t="shared" ca="1" si="102"/>
        <v/>
      </c>
    </row>
    <row r="290" spans="1:27" x14ac:dyDescent="0.25">
      <c r="A290" s="140">
        <f>+'Esc 2'!A300</f>
        <v>2004</v>
      </c>
      <c r="B290" s="140">
        <f>+'Esc 2'!B300</f>
        <v>7</v>
      </c>
      <c r="C290" s="141">
        <f>+'Esc 2'!O300</f>
        <v>0.49435793997549388</v>
      </c>
      <c r="D290" s="140">
        <f>+'Esc 2'!D300</f>
        <v>30.5</v>
      </c>
      <c r="E290" s="147">
        <f t="shared" si="104"/>
        <v>50.819999999999993</v>
      </c>
      <c r="F290" s="146">
        <f t="shared" si="104"/>
        <v>0</v>
      </c>
      <c r="G290" s="144">
        <f t="shared" si="103"/>
        <v>-2.0319999999999992E-4</v>
      </c>
      <c r="H290" s="145">
        <f>+F290/100000*'Bal Híd'!$G$4</f>
        <v>0</v>
      </c>
      <c r="I290" s="145">
        <v>0</v>
      </c>
      <c r="J290" s="145">
        <f t="shared" ca="1" si="87"/>
        <v>3.5719726641687521</v>
      </c>
      <c r="K290" s="145">
        <f t="shared" ca="1" si="88"/>
        <v>181.04949770972971</v>
      </c>
      <c r="L290" s="145">
        <f t="shared" ca="1" si="89"/>
        <v>172.76341138284093</v>
      </c>
      <c r="M290" s="145">
        <f t="shared" ca="1" si="90"/>
        <v>3.5043930081185879</v>
      </c>
      <c r="N290" s="145">
        <f t="shared" ca="1" si="91"/>
        <v>3.5043930081185879</v>
      </c>
      <c r="O290" s="143">
        <f t="shared" ca="1" si="86"/>
        <v>178.83457680029161</v>
      </c>
      <c r="P290" s="145">
        <f t="shared" ca="1" si="92"/>
        <v>0</v>
      </c>
      <c r="Q290" s="145">
        <f t="shared" ca="1" si="93"/>
        <v>0</v>
      </c>
      <c r="R290" s="592">
        <f t="shared" ca="1" si="94"/>
        <v>0.42677828392532952</v>
      </c>
      <c r="S290" s="311"/>
      <c r="T290" s="392">
        <f t="shared" si="95"/>
        <v>2004</v>
      </c>
      <c r="U290" s="392">
        <f t="shared" si="96"/>
        <v>7</v>
      </c>
      <c r="V290" s="311">
        <f t="shared" ca="1" si="97"/>
        <v>104.24122101273447</v>
      </c>
      <c r="W290" s="269" t="str">
        <f t="shared" ca="1" si="98"/>
        <v>||||||</v>
      </c>
      <c r="X290" s="269" t="str">
        <f t="shared" ca="1" si="99"/>
        <v>||||</v>
      </c>
      <c r="Y290" s="434" t="str">
        <f t="shared" ca="1" si="100"/>
        <v/>
      </c>
      <c r="Z290" s="269" t="str">
        <f t="shared" ca="1" si="101"/>
        <v/>
      </c>
      <c r="AA290" s="270" t="str">
        <f t="shared" ca="1" si="102"/>
        <v/>
      </c>
    </row>
    <row r="291" spans="1:27" x14ac:dyDescent="0.25">
      <c r="A291" s="140">
        <f>+'Esc 2'!A301</f>
        <v>2004</v>
      </c>
      <c r="B291" s="140">
        <f>+'Esc 2'!B301</f>
        <v>8</v>
      </c>
      <c r="C291" s="141">
        <f>+'Esc 2'!O301</f>
        <v>0.13151231060719321</v>
      </c>
      <c r="D291" s="140">
        <f>+'Esc 2'!D301</f>
        <v>18.399999999999999</v>
      </c>
      <c r="E291" s="147">
        <f t="shared" si="104"/>
        <v>72.449999999999989</v>
      </c>
      <c r="F291" s="146">
        <f t="shared" si="104"/>
        <v>0</v>
      </c>
      <c r="G291" s="144">
        <f t="shared" si="103"/>
        <v>-5.4049999999999986E-4</v>
      </c>
      <c r="H291" s="145">
        <f>+F291/100000*'Bal Híd'!$G$4</f>
        <v>0</v>
      </c>
      <c r="I291" s="145">
        <v>0</v>
      </c>
      <c r="J291" s="145">
        <f t="shared" ca="1" si="87"/>
        <v>3.635905318725781</v>
      </c>
      <c r="K291" s="145">
        <f t="shared" ca="1" si="88"/>
        <v>183.13121175430564</v>
      </c>
      <c r="L291" s="145">
        <f t="shared" ca="1" si="89"/>
        <v>180.98289427729861</v>
      </c>
      <c r="M291" s="145">
        <f t="shared" ca="1" si="90"/>
        <v>3.5290340725032037</v>
      </c>
      <c r="N291" s="145">
        <f t="shared" ca="1" si="91"/>
        <v>3.5290340725032037</v>
      </c>
      <c r="O291" s="143">
        <f t="shared" ca="1" si="86"/>
        <v>179.64393132842662</v>
      </c>
      <c r="P291" s="145">
        <f t="shared" ca="1" si="92"/>
        <v>0</v>
      </c>
      <c r="Q291" s="145">
        <f t="shared" ca="1" si="93"/>
        <v>0</v>
      </c>
      <c r="R291" s="592">
        <f t="shared" ca="1" si="94"/>
        <v>2.4641064384615635E-2</v>
      </c>
      <c r="S291" s="311"/>
      <c r="T291" s="392">
        <f t="shared" si="95"/>
        <v>2004</v>
      </c>
      <c r="U291" s="392">
        <f t="shared" si="96"/>
        <v>8</v>
      </c>
      <c r="V291" s="311">
        <f t="shared" ca="1" si="97"/>
        <v>104.25496860573887</v>
      </c>
      <c r="W291" s="269" t="str">
        <f t="shared" ca="1" si="98"/>
        <v>||||||</v>
      </c>
      <c r="X291" s="269" t="str">
        <f t="shared" ca="1" si="99"/>
        <v>||||</v>
      </c>
      <c r="Y291" s="434" t="str">
        <f t="shared" ca="1" si="100"/>
        <v/>
      </c>
      <c r="Z291" s="269" t="str">
        <f t="shared" ca="1" si="101"/>
        <v/>
      </c>
      <c r="AA291" s="270" t="str">
        <f t="shared" ca="1" si="102"/>
        <v/>
      </c>
    </row>
    <row r="292" spans="1:27" x14ac:dyDescent="0.25">
      <c r="A292" s="140">
        <f>+'Esc 2'!A302</f>
        <v>2004</v>
      </c>
      <c r="B292" s="140">
        <f>+'Esc 2'!B302</f>
        <v>9</v>
      </c>
      <c r="C292" s="141">
        <f>+'Esc 2'!O302</f>
        <v>1.0563098211392361</v>
      </c>
      <c r="D292" s="140">
        <f>+'Esc 2'!D302</f>
        <v>109.2</v>
      </c>
      <c r="E292" s="147">
        <f t="shared" si="104"/>
        <v>85.89</v>
      </c>
      <c r="F292" s="146">
        <f t="shared" si="104"/>
        <v>0</v>
      </c>
      <c r="G292" s="144">
        <f t="shared" si="103"/>
        <v>2.3310000000000003E-4</v>
      </c>
      <c r="H292" s="145">
        <f>+F292/100000*'Bal Híd'!$G$4</f>
        <v>0</v>
      </c>
      <c r="I292" s="145">
        <v>0</v>
      </c>
      <c r="J292" s="145">
        <f t="shared" ca="1" si="87"/>
        <v>4.58534389364244</v>
      </c>
      <c r="K292" s="145">
        <f t="shared" ca="1" si="88"/>
        <v>212.66483048646413</v>
      </c>
      <c r="L292" s="145">
        <f t="shared" ca="1" si="89"/>
        <v>196.15438090744539</v>
      </c>
      <c r="M292" s="145">
        <f t="shared" ca="1" si="90"/>
        <v>4.5522842862912727</v>
      </c>
      <c r="N292" s="145">
        <f t="shared" ca="1" si="91"/>
        <v>4.5522842862912727</v>
      </c>
      <c r="O292" s="143">
        <f t="shared" ca="1" si="86"/>
        <v>211.67545363723951</v>
      </c>
      <c r="P292" s="145">
        <f t="shared" ca="1" si="92"/>
        <v>0</v>
      </c>
      <c r="Q292" s="145">
        <f t="shared" ca="1" si="93"/>
        <v>0</v>
      </c>
      <c r="R292" s="592">
        <f t="shared" ca="1" si="94"/>
        <v>1.023250213788069</v>
      </c>
      <c r="S292" s="311"/>
      <c r="T292" s="392">
        <f t="shared" si="95"/>
        <v>2004</v>
      </c>
      <c r="U292" s="392">
        <f t="shared" si="96"/>
        <v>9</v>
      </c>
      <c r="V292" s="311">
        <f t="shared" ca="1" si="97"/>
        <v>104.77846803908609</v>
      </c>
      <c r="W292" s="269" t="str">
        <f t="shared" ca="1" si="98"/>
        <v>|||||||</v>
      </c>
      <c r="X292" s="269" t="str">
        <f t="shared" ca="1" si="99"/>
        <v>|||||</v>
      </c>
      <c r="Y292" s="434" t="str">
        <f t="shared" ca="1" si="100"/>
        <v/>
      </c>
      <c r="Z292" s="269" t="str">
        <f t="shared" ca="1" si="101"/>
        <v/>
      </c>
      <c r="AA292" s="270" t="str">
        <f t="shared" ca="1" si="102"/>
        <v/>
      </c>
    </row>
    <row r="293" spans="1:27" x14ac:dyDescent="0.25">
      <c r="A293" s="140">
        <f>+'Esc 2'!A303</f>
        <v>2004</v>
      </c>
      <c r="B293" s="140">
        <f>+'Esc 2'!B303</f>
        <v>10</v>
      </c>
      <c r="C293" s="141">
        <f>+'Esc 2'!O303</f>
        <v>2.5393492522562786</v>
      </c>
      <c r="D293" s="140">
        <f>+'Esc 2'!D303</f>
        <v>191.5</v>
      </c>
      <c r="E293" s="147">
        <f t="shared" ref="E293:F312" si="105">+E281</f>
        <v>114.86999999999999</v>
      </c>
      <c r="F293" s="146">
        <f t="shared" si="105"/>
        <v>59</v>
      </c>
      <c r="G293" s="144">
        <f t="shared" si="103"/>
        <v>7.6630000000000014E-4</v>
      </c>
      <c r="H293" s="145">
        <f>+F293/100000*'Bal Híd'!$G$4</f>
        <v>0.64900000000000002</v>
      </c>
      <c r="I293" s="145">
        <v>0</v>
      </c>
      <c r="J293" s="145">
        <f t="shared" ca="1" si="87"/>
        <v>6.4426335385475513</v>
      </c>
      <c r="K293" s="145">
        <f t="shared" ca="1" si="88"/>
        <v>264.77313882269624</v>
      </c>
      <c r="L293" s="145">
        <f t="shared" ca="1" si="89"/>
        <v>238.22429622996788</v>
      </c>
      <c r="M293" s="145">
        <f t="shared" ca="1" si="90"/>
        <v>6.3951716272045269</v>
      </c>
      <c r="N293" s="145">
        <f t="shared" ca="1" si="91"/>
        <v>6.3951716272045269</v>
      </c>
      <c r="O293" s="143">
        <f t="shared" ca="1" si="86"/>
        <v>263.51447950083616</v>
      </c>
      <c r="P293" s="145">
        <f t="shared" ca="1" si="92"/>
        <v>0</v>
      </c>
      <c r="Q293" s="145">
        <f t="shared" ca="1" si="93"/>
        <v>0.64900000000000002</v>
      </c>
      <c r="R293" s="592">
        <f t="shared" ca="1" si="94"/>
        <v>2.4918873409132547</v>
      </c>
      <c r="S293" s="311"/>
      <c r="T293" s="392">
        <f t="shared" si="95"/>
        <v>2004</v>
      </c>
      <c r="U293" s="392">
        <f t="shared" si="96"/>
        <v>10</v>
      </c>
      <c r="V293" s="311">
        <f t="shared" ca="1" si="97"/>
        <v>105.55549627853776</v>
      </c>
      <c r="W293" s="269" t="str">
        <f t="shared" ca="1" si="98"/>
        <v>|||||||||</v>
      </c>
      <c r="X293" s="269" t="str">
        <f t="shared" ca="1" si="99"/>
        <v>||||||||</v>
      </c>
      <c r="Y293" s="434" t="str">
        <f t="shared" ca="1" si="100"/>
        <v/>
      </c>
      <c r="Z293" s="269" t="str">
        <f t="shared" ca="1" si="101"/>
        <v>|||</v>
      </c>
      <c r="AA293" s="270" t="str">
        <f t="shared" ca="1" si="102"/>
        <v/>
      </c>
    </row>
    <row r="294" spans="1:27" x14ac:dyDescent="0.25">
      <c r="A294" s="140">
        <f>+'Esc 2'!A304</f>
        <v>2004</v>
      </c>
      <c r="B294" s="140">
        <f>+'Esc 2'!B304</f>
        <v>11</v>
      </c>
      <c r="C294" s="141">
        <f>+'Esc 2'!O304</f>
        <v>2.632156243209034</v>
      </c>
      <c r="D294" s="140">
        <f>+'Esc 2'!D304</f>
        <v>192.4</v>
      </c>
      <c r="E294" s="147">
        <f t="shared" si="105"/>
        <v>144.06</v>
      </c>
      <c r="F294" s="146">
        <f t="shared" si="105"/>
        <v>212</v>
      </c>
      <c r="G294" s="144">
        <f t="shared" si="103"/>
        <v>4.8340000000000004E-4</v>
      </c>
      <c r="H294" s="145">
        <f>+F294/100000*'Bal Híd'!$G$4</f>
        <v>2.3319999999999999</v>
      </c>
      <c r="I294" s="145">
        <v>0</v>
      </c>
      <c r="J294" s="145">
        <f t="shared" ca="1" si="87"/>
        <v>6.6953278704135615</v>
      </c>
      <c r="K294" s="145">
        <f t="shared" ca="1" si="88"/>
        <v>271.41977752756287</v>
      </c>
      <c r="L294" s="145">
        <f t="shared" ca="1" si="89"/>
        <v>267.46712851419954</v>
      </c>
      <c r="M294" s="145">
        <f t="shared" ca="1" si="90"/>
        <v>6.5569350650628602</v>
      </c>
      <c r="N294" s="145">
        <f t="shared" ca="1" si="91"/>
        <v>6.5569350650628602</v>
      </c>
      <c r="O294" s="143">
        <f t="shared" ca="1" si="86"/>
        <v>267.7908913965698</v>
      </c>
      <c r="P294" s="145">
        <f t="shared" ca="1" si="92"/>
        <v>0</v>
      </c>
      <c r="Q294" s="145">
        <f t="shared" ca="1" si="93"/>
        <v>2.3319999999999999</v>
      </c>
      <c r="R294" s="592">
        <f t="shared" ca="1" si="94"/>
        <v>2.4937634378583331</v>
      </c>
      <c r="S294" s="311"/>
      <c r="T294" s="392">
        <f t="shared" si="95"/>
        <v>2004</v>
      </c>
      <c r="U294" s="392">
        <f t="shared" si="96"/>
        <v>11</v>
      </c>
      <c r="V294" s="311">
        <f t="shared" ca="1" si="97"/>
        <v>105.61638969789988</v>
      </c>
      <c r="W294" s="269" t="str">
        <f t="shared" ca="1" si="98"/>
        <v>|||||||||</v>
      </c>
      <c r="X294" s="269" t="str">
        <f t="shared" ca="1" si="99"/>
        <v>||||||||</v>
      </c>
      <c r="Y294" s="434" t="str">
        <f t="shared" ca="1" si="100"/>
        <v/>
      </c>
      <c r="Z294" s="269" t="str">
        <f t="shared" ca="1" si="101"/>
        <v>|||||||||||</v>
      </c>
      <c r="AA294" s="270" t="str">
        <f t="shared" ca="1" si="102"/>
        <v/>
      </c>
    </row>
    <row r="295" spans="1:27" x14ac:dyDescent="0.25">
      <c r="A295" s="140">
        <f>+'Esc 2'!A305</f>
        <v>2004</v>
      </c>
      <c r="B295" s="140">
        <f>+'Esc 2'!B305</f>
        <v>12</v>
      </c>
      <c r="C295" s="141">
        <f>+'Esc 2'!O305</f>
        <v>1.0774930703727055</v>
      </c>
      <c r="D295" s="140">
        <f>+'Esc 2'!D305</f>
        <v>85.4</v>
      </c>
      <c r="E295" s="147">
        <f t="shared" si="105"/>
        <v>179.62</v>
      </c>
      <c r="F295" s="146">
        <f t="shared" si="105"/>
        <v>388</v>
      </c>
      <c r="G295" s="144">
        <f t="shared" si="103"/>
        <v>-9.4220000000000003E-4</v>
      </c>
      <c r="H295" s="145">
        <f>+F295/100000*'Bal Híd'!$G$4</f>
        <v>4.2679999999999998</v>
      </c>
      <c r="I295" s="145">
        <v>0</v>
      </c>
      <c r="J295" s="145">
        <f t="shared" ca="1" si="87"/>
        <v>3.3664281354355658</v>
      </c>
      <c r="K295" s="145">
        <f t="shared" ca="1" si="88"/>
        <v>174.26502706630427</v>
      </c>
      <c r="L295" s="145">
        <f t="shared" ca="1" si="89"/>
        <v>221.02795923143702</v>
      </c>
      <c r="M295" s="145">
        <f t="shared" ca="1" si="90"/>
        <v>3.0676219441752748</v>
      </c>
      <c r="N295" s="145">
        <f t="shared" ca="1" si="91"/>
        <v>3.0676219441752748</v>
      </c>
      <c r="O295" s="143">
        <f t="shared" ca="1" si="86"/>
        <v>164.13296619556476</v>
      </c>
      <c r="P295" s="145">
        <f t="shared" ca="1" si="92"/>
        <v>0</v>
      </c>
      <c r="Q295" s="145">
        <f t="shared" ca="1" si="93"/>
        <v>4.2679999999999998</v>
      </c>
      <c r="R295" s="592">
        <f t="shared" ca="1" si="94"/>
        <v>0.77868687911241441</v>
      </c>
      <c r="S295" s="311"/>
      <c r="T295" s="392">
        <f t="shared" si="95"/>
        <v>2004</v>
      </c>
      <c r="U295" s="392">
        <f t="shared" si="96"/>
        <v>12</v>
      </c>
      <c r="V295" s="311">
        <f t="shared" ca="1" si="97"/>
        <v>103.98644992445526</v>
      </c>
      <c r="W295" s="269" t="str">
        <f t="shared" ca="1" si="98"/>
        <v>||||||</v>
      </c>
      <c r="X295" s="269" t="str">
        <f t="shared" ca="1" si="99"/>
        <v>|||</v>
      </c>
      <c r="Y295" s="434" t="str">
        <f t="shared" ca="1" si="100"/>
        <v/>
      </c>
      <c r="Z295" s="269" t="str">
        <f t="shared" ca="1" si="101"/>
        <v>|||||||||||||||||||||</v>
      </c>
      <c r="AA295" s="270" t="str">
        <f t="shared" ca="1" si="102"/>
        <v/>
      </c>
    </row>
    <row r="296" spans="1:27" x14ac:dyDescent="0.25">
      <c r="A296" s="140">
        <f>+'Esc 2'!A306</f>
        <v>2005</v>
      </c>
      <c r="B296" s="140">
        <f>+'Esc 2'!B306</f>
        <v>1</v>
      </c>
      <c r="C296" s="141">
        <f>+'Esc 2'!O306</f>
        <v>0.5981599177187934</v>
      </c>
      <c r="D296" s="140">
        <f>+'Esc 2'!D306</f>
        <v>81.3</v>
      </c>
      <c r="E296" s="147">
        <f t="shared" si="105"/>
        <v>176.89</v>
      </c>
      <c r="F296" s="146">
        <f t="shared" si="105"/>
        <v>318</v>
      </c>
      <c r="G296" s="144">
        <f t="shared" si="103"/>
        <v>-9.5589999999999987E-4</v>
      </c>
      <c r="H296" s="145">
        <f>+F296/100000*'Bal Híd'!$G$4</f>
        <v>3.4980000000000002</v>
      </c>
      <c r="I296" s="145">
        <v>0</v>
      </c>
      <c r="J296" s="145">
        <f t="shared" ca="1" si="87"/>
        <v>0.16778186189406785</v>
      </c>
      <c r="K296" s="145">
        <f t="shared" ca="1" si="88"/>
        <v>25.227634208511851</v>
      </c>
      <c r="L296" s="145">
        <f t="shared" ca="1" si="89"/>
        <v>94.68030020203831</v>
      </c>
      <c r="M296" s="145">
        <f t="shared" ca="1" si="90"/>
        <v>5.5743137615942739E-2</v>
      </c>
      <c r="N296" s="145">
        <f t="shared" ca="1" si="91"/>
        <v>0.14364725252241328</v>
      </c>
      <c r="O296" s="143">
        <f t="shared" ca="1" si="86"/>
        <v>22.824988701237128</v>
      </c>
      <c r="P296" s="145">
        <f t="shared" ca="1" si="92"/>
        <v>0</v>
      </c>
      <c r="Q296" s="145">
        <f t="shared" ca="1" si="93"/>
        <v>3.4100958850935297</v>
      </c>
      <c r="R296" s="592">
        <f t="shared" ca="1" si="94"/>
        <v>0.48612119344066806</v>
      </c>
      <c r="S296" s="311"/>
      <c r="T296" s="392">
        <f t="shared" si="95"/>
        <v>2005</v>
      </c>
      <c r="U296" s="392">
        <f t="shared" si="96"/>
        <v>1</v>
      </c>
      <c r="V296" s="311">
        <f t="shared" ca="1" si="97"/>
        <v>100.5</v>
      </c>
      <c r="W296" s="269" t="str">
        <f t="shared" ca="1" si="98"/>
        <v/>
      </c>
      <c r="X296" s="269" t="str">
        <f t="shared" ca="1" si="99"/>
        <v/>
      </c>
      <c r="Y296" s="434" t="str">
        <f t="shared" ca="1" si="100"/>
        <v/>
      </c>
      <c r="Z296" s="269" t="str">
        <f t="shared" ca="1" si="101"/>
        <v>|||||||||||||||||</v>
      </c>
      <c r="AA296" s="270" t="str">
        <f t="shared" ca="1" si="102"/>
        <v/>
      </c>
    </row>
    <row r="297" spans="1:27" x14ac:dyDescent="0.25">
      <c r="A297" s="140">
        <f>+'Esc 2'!A307</f>
        <v>2005</v>
      </c>
      <c r="B297" s="140">
        <f>+'Esc 2'!B307</f>
        <v>2</v>
      </c>
      <c r="C297" s="141">
        <f>+'Esc 2'!O307</f>
        <v>0.20669116545306121</v>
      </c>
      <c r="D297" s="140">
        <f>+'Esc 2'!D307</f>
        <v>26.7</v>
      </c>
      <c r="E297" s="147">
        <f t="shared" si="105"/>
        <v>131.73999999999998</v>
      </c>
      <c r="F297" s="146">
        <f t="shared" si="105"/>
        <v>153</v>
      </c>
      <c r="G297" s="144">
        <f t="shared" si="103"/>
        <v>-1.0503999999999997E-3</v>
      </c>
      <c r="H297" s="145">
        <f>+F297/100000*'Bal Híd'!$G$4</f>
        <v>1.6829999999999998</v>
      </c>
      <c r="I297" s="145">
        <v>0</v>
      </c>
      <c r="J297" s="145">
        <f t="shared" ca="1" si="87"/>
        <v>-1.3326615820245253</v>
      </c>
      <c r="K297" s="145">
        <f t="shared" ca="1" si="88"/>
        <v>0</v>
      </c>
      <c r="L297" s="145">
        <f t="shared" ca="1" si="89"/>
        <v>11.412494350618564</v>
      </c>
      <c r="M297" s="145">
        <f t="shared" ca="1" si="90"/>
        <v>-1.3455461717018431</v>
      </c>
      <c r="N297" s="145">
        <f t="shared" ca="1" si="91"/>
        <v>0.14364725252241328</v>
      </c>
      <c r="O297" s="143">
        <f t="shared" ca="1" si="86"/>
        <v>22.824988701237128</v>
      </c>
      <c r="P297" s="145">
        <f t="shared" ca="1" si="92"/>
        <v>0</v>
      </c>
      <c r="Q297" s="145">
        <f t="shared" ca="1" si="93"/>
        <v>0.19380657577574345</v>
      </c>
      <c r="R297" s="592">
        <f t="shared" ca="1" si="94"/>
        <v>0.19380657577574342</v>
      </c>
      <c r="S297" s="311"/>
      <c r="T297" s="392">
        <f t="shared" si="95"/>
        <v>2005</v>
      </c>
      <c r="U297" s="392">
        <f t="shared" si="96"/>
        <v>2</v>
      </c>
      <c r="V297" s="311">
        <f t="shared" ca="1" si="97"/>
        <v>100.5</v>
      </c>
      <c r="W297" s="269" t="str">
        <f t="shared" ca="1" si="98"/>
        <v/>
      </c>
      <c r="X297" s="269" t="str">
        <f t="shared" ca="1" si="99"/>
        <v/>
      </c>
      <c r="Y297" s="434" t="str">
        <f t="shared" ca="1" si="100"/>
        <v>|||||||</v>
      </c>
      <c r="Z297" s="269" t="str">
        <f t="shared" ca="1" si="101"/>
        <v/>
      </c>
      <c r="AA297" s="270" t="str">
        <f t="shared" ca="1" si="102"/>
        <v/>
      </c>
    </row>
    <row r="298" spans="1:27" x14ac:dyDescent="0.25">
      <c r="A298" s="140">
        <f>+'Esc 2'!A308</f>
        <v>2005</v>
      </c>
      <c r="B298" s="140">
        <f>+'Esc 2'!B308</f>
        <v>3</v>
      </c>
      <c r="C298" s="141">
        <f>+'Esc 2'!O308</f>
        <v>0.54578093018758311</v>
      </c>
      <c r="D298" s="140">
        <f>+'Esc 2'!D308</f>
        <v>82.3</v>
      </c>
      <c r="E298" s="147">
        <f t="shared" si="105"/>
        <v>118.64999999999999</v>
      </c>
      <c r="F298" s="146">
        <f t="shared" si="105"/>
        <v>47</v>
      </c>
      <c r="G298" s="144">
        <f t="shared" si="103"/>
        <v>-3.6349999999999995E-4</v>
      </c>
      <c r="H298" s="145">
        <f>+F298/100000*'Bal Híd'!$G$4</f>
        <v>0.51700000000000002</v>
      </c>
      <c r="I298" s="145">
        <v>0</v>
      </c>
      <c r="J298" s="145">
        <f t="shared" ca="1" si="87"/>
        <v>0.17242818270999638</v>
      </c>
      <c r="K298" s="145">
        <f t="shared" ca="1" si="88"/>
        <v>25.675663004946937</v>
      </c>
      <c r="L298" s="145">
        <f t="shared" ca="1" si="89"/>
        <v>24.250325853092033</v>
      </c>
      <c r="M298" s="145">
        <f t="shared" ca="1" si="90"/>
        <v>0.15858073093484892</v>
      </c>
      <c r="N298" s="145">
        <f t="shared" ca="1" si="91"/>
        <v>0.15858073093484892</v>
      </c>
      <c r="O298" s="143">
        <f t="shared" ca="1" si="86"/>
        <v>24.327150435732307</v>
      </c>
      <c r="P298" s="145">
        <f t="shared" ca="1" si="92"/>
        <v>0</v>
      </c>
      <c r="Q298" s="145">
        <f t="shared" ca="1" si="93"/>
        <v>0.51700000000000002</v>
      </c>
      <c r="R298" s="592">
        <f t="shared" ca="1" si="94"/>
        <v>0.53193347841243566</v>
      </c>
      <c r="S298" s="311"/>
      <c r="T298" s="392">
        <f t="shared" si="95"/>
        <v>2005</v>
      </c>
      <c r="U298" s="392">
        <f t="shared" si="96"/>
        <v>3</v>
      </c>
      <c r="V298" s="311">
        <f t="shared" ca="1" si="97"/>
        <v>100.56335128909146</v>
      </c>
      <c r="W298" s="269" t="str">
        <f t="shared" ca="1" si="98"/>
        <v/>
      </c>
      <c r="X298" s="269" t="str">
        <f t="shared" ca="1" si="99"/>
        <v/>
      </c>
      <c r="Y298" s="434" t="str">
        <f t="shared" ca="1" si="100"/>
        <v/>
      </c>
      <c r="Z298" s="269" t="str">
        <f t="shared" ca="1" si="101"/>
        <v>||</v>
      </c>
      <c r="AA298" s="270" t="str">
        <f t="shared" ca="1" si="102"/>
        <v/>
      </c>
    </row>
    <row r="299" spans="1:27" x14ac:dyDescent="0.25">
      <c r="A299" s="140">
        <f>+'Esc 2'!A309</f>
        <v>2005</v>
      </c>
      <c r="B299" s="140">
        <f>+'Esc 2'!B309</f>
        <v>4</v>
      </c>
      <c r="C299" s="141">
        <f>+'Esc 2'!O309</f>
        <v>1.4326718560647225</v>
      </c>
      <c r="D299" s="140">
        <f>+'Esc 2'!D309</f>
        <v>120.2</v>
      </c>
      <c r="E299" s="147">
        <f t="shared" si="105"/>
        <v>73.149999999999991</v>
      </c>
      <c r="F299" s="146">
        <f t="shared" si="105"/>
        <v>0</v>
      </c>
      <c r="G299" s="144">
        <f t="shared" si="103"/>
        <v>4.7050000000000011E-4</v>
      </c>
      <c r="H299" s="145">
        <f>+F299/100000*'Bal Híd'!$G$4</f>
        <v>0</v>
      </c>
      <c r="I299" s="145">
        <v>0</v>
      </c>
      <c r="J299" s="145">
        <f t="shared" ca="1" si="87"/>
        <v>1.5912525869995715</v>
      </c>
      <c r="K299" s="145">
        <f t="shared" ca="1" si="88"/>
        <v>107.52021909221895</v>
      </c>
      <c r="L299" s="145">
        <f t="shared" ca="1" si="89"/>
        <v>65.923684763975629</v>
      </c>
      <c r="M299" s="145">
        <f t="shared" ca="1" si="90"/>
        <v>1.5863582708675503</v>
      </c>
      <c r="N299" s="145">
        <f t="shared" ca="1" si="91"/>
        <v>1.5863582708675503</v>
      </c>
      <c r="O299" s="143">
        <f t="shared" ca="1" si="86"/>
        <v>107.30698190660289</v>
      </c>
      <c r="P299" s="145">
        <f t="shared" ca="1" si="92"/>
        <v>0</v>
      </c>
      <c r="Q299" s="145">
        <f t="shared" ca="1" si="93"/>
        <v>0</v>
      </c>
      <c r="R299" s="592">
        <f t="shared" ca="1" si="94"/>
        <v>1.4277775399327013</v>
      </c>
      <c r="S299" s="311"/>
      <c r="T299" s="392">
        <f t="shared" si="95"/>
        <v>2005</v>
      </c>
      <c r="U299" s="392">
        <f t="shared" si="96"/>
        <v>4</v>
      </c>
      <c r="V299" s="311">
        <f t="shared" ca="1" si="97"/>
        <v>102.88776377236353</v>
      </c>
      <c r="W299" s="269" t="str">
        <f t="shared" ca="1" si="98"/>
        <v>||||</v>
      </c>
      <c r="X299" s="269" t="str">
        <f t="shared" ca="1" si="99"/>
        <v>|</v>
      </c>
      <c r="Y299" s="434" t="str">
        <f t="shared" ca="1" si="100"/>
        <v/>
      </c>
      <c r="Z299" s="269" t="str">
        <f t="shared" ca="1" si="101"/>
        <v/>
      </c>
      <c r="AA299" s="270" t="str">
        <f t="shared" ca="1" si="102"/>
        <v/>
      </c>
    </row>
    <row r="300" spans="1:27" x14ac:dyDescent="0.25">
      <c r="A300" s="140">
        <f>+'Esc 2'!A310</f>
        <v>2005</v>
      </c>
      <c r="B300" s="140">
        <f>+'Esc 2'!B310</f>
        <v>5</v>
      </c>
      <c r="C300" s="141">
        <f>+'Esc 2'!O310</f>
        <v>2.8320706384508068</v>
      </c>
      <c r="D300" s="140">
        <f>+'Esc 2'!D310</f>
        <v>169.4</v>
      </c>
      <c r="E300" s="147">
        <f t="shared" si="105"/>
        <v>51.24</v>
      </c>
      <c r="F300" s="146">
        <f t="shared" si="105"/>
        <v>0</v>
      </c>
      <c r="G300" s="144">
        <f t="shared" si="103"/>
        <v>1.1815999999999999E-3</v>
      </c>
      <c r="H300" s="145">
        <f>+F300/100000*'Bal Híd'!$G$4</f>
        <v>0</v>
      </c>
      <c r="I300" s="145">
        <v>0</v>
      </c>
      <c r="J300" s="145">
        <f t="shared" ca="1" si="87"/>
        <v>4.4184289093183571</v>
      </c>
      <c r="K300" s="145">
        <f t="shared" ca="1" si="88"/>
        <v>207.64314297311557</v>
      </c>
      <c r="L300" s="145">
        <f t="shared" ca="1" si="89"/>
        <v>157.47506243985924</v>
      </c>
      <c r="M300" s="145">
        <f t="shared" ca="1" si="90"/>
        <v>4.4349271082592212</v>
      </c>
      <c r="N300" s="145">
        <f t="shared" ca="1" si="91"/>
        <v>4.4349271082592212</v>
      </c>
      <c r="O300" s="143">
        <f t="shared" ca="1" si="86"/>
        <v>208.1424647620868</v>
      </c>
      <c r="P300" s="145">
        <f t="shared" ca="1" si="92"/>
        <v>0</v>
      </c>
      <c r="Q300" s="145">
        <f t="shared" ca="1" si="93"/>
        <v>0</v>
      </c>
      <c r="R300" s="592">
        <f t="shared" ca="1" si="94"/>
        <v>2.8485688373916709</v>
      </c>
      <c r="S300" s="311"/>
      <c r="T300" s="392">
        <f t="shared" si="95"/>
        <v>2005</v>
      </c>
      <c r="U300" s="392">
        <f t="shared" si="96"/>
        <v>5</v>
      </c>
      <c r="V300" s="311">
        <f t="shared" ca="1" si="97"/>
        <v>104.72255883901704</v>
      </c>
      <c r="W300" s="269" t="str">
        <f t="shared" ca="1" si="98"/>
        <v>|||||||</v>
      </c>
      <c r="X300" s="269" t="str">
        <f t="shared" ca="1" si="99"/>
        <v>|||||</v>
      </c>
      <c r="Y300" s="434" t="str">
        <f t="shared" ca="1" si="100"/>
        <v/>
      </c>
      <c r="Z300" s="269" t="str">
        <f t="shared" ca="1" si="101"/>
        <v/>
      </c>
      <c r="AA300" s="270" t="str">
        <f t="shared" ca="1" si="102"/>
        <v/>
      </c>
    </row>
    <row r="301" spans="1:27" x14ac:dyDescent="0.25">
      <c r="A301" s="140">
        <f>+'Esc 2'!A311</f>
        <v>2005</v>
      </c>
      <c r="B301" s="140">
        <f>+'Esc 2'!B311</f>
        <v>6</v>
      </c>
      <c r="C301" s="141">
        <f>+'Esc 2'!O311</f>
        <v>3.5164101058204804</v>
      </c>
      <c r="D301" s="140">
        <f>+'Esc 2'!D311</f>
        <v>175.3</v>
      </c>
      <c r="E301" s="147">
        <f t="shared" si="105"/>
        <v>41.019999999999996</v>
      </c>
      <c r="F301" s="146">
        <f t="shared" si="105"/>
        <v>0</v>
      </c>
      <c r="G301" s="144">
        <f t="shared" si="103"/>
        <v>1.3428000000000003E-3</v>
      </c>
      <c r="H301" s="145">
        <f>+F301/100000*'Bal Híd'!$G$4</f>
        <v>0</v>
      </c>
      <c r="I301" s="145">
        <v>0</v>
      </c>
      <c r="J301" s="145">
        <f t="shared" ca="1" si="87"/>
        <v>7.9513372140797021</v>
      </c>
      <c r="K301" s="145">
        <f t="shared" ca="1" si="88"/>
        <v>303.22200016799076</v>
      </c>
      <c r="L301" s="145">
        <f t="shared" ca="1" si="89"/>
        <v>255.68223246503879</v>
      </c>
      <c r="M301" s="145">
        <f t="shared" ca="1" si="90"/>
        <v>7.9528104389824996</v>
      </c>
      <c r="N301" s="145">
        <f t="shared" ca="1" si="91"/>
        <v>7.6368477630678893</v>
      </c>
      <c r="O301" s="143">
        <f t="shared" ca="1" si="86"/>
        <v>295.43791936297487</v>
      </c>
      <c r="P301" s="145">
        <f t="shared" ca="1" si="92"/>
        <v>0.31596267591461036</v>
      </c>
      <c r="Q301" s="145">
        <f t="shared" ca="1" si="93"/>
        <v>0</v>
      </c>
      <c r="R301" s="592">
        <f t="shared" ca="1" si="94"/>
        <v>3.5178833307232784</v>
      </c>
      <c r="S301" s="311"/>
      <c r="T301" s="392">
        <f t="shared" si="95"/>
        <v>2005</v>
      </c>
      <c r="U301" s="392">
        <f t="shared" si="96"/>
        <v>6</v>
      </c>
      <c r="V301" s="311">
        <f t="shared" ca="1" si="97"/>
        <v>106</v>
      </c>
      <c r="W301" s="269" t="str">
        <f t="shared" ca="1" si="98"/>
        <v>||||||||||</v>
      </c>
      <c r="X301" s="269" t="str">
        <f t="shared" ca="1" si="99"/>
        <v>||||||||||</v>
      </c>
      <c r="Y301" s="434" t="str">
        <f t="shared" ca="1" si="100"/>
        <v/>
      </c>
      <c r="Z301" s="269" t="str">
        <f t="shared" ca="1" si="101"/>
        <v/>
      </c>
      <c r="AA301" s="270" t="str">
        <f t="shared" ca="1" si="102"/>
        <v>|</v>
      </c>
    </row>
    <row r="302" spans="1:27" x14ac:dyDescent="0.25">
      <c r="A302" s="140">
        <f>+'Esc 2'!A312</f>
        <v>2005</v>
      </c>
      <c r="B302" s="140">
        <f>+'Esc 2'!B312</f>
        <v>7</v>
      </c>
      <c r="C302" s="141">
        <f>+'Esc 2'!O312</f>
        <v>0.95735409489229106</v>
      </c>
      <c r="D302" s="140">
        <f>+'Esc 2'!D312</f>
        <v>23.5</v>
      </c>
      <c r="E302" s="147">
        <f t="shared" si="105"/>
        <v>50.819999999999993</v>
      </c>
      <c r="F302" s="146">
        <f t="shared" si="105"/>
        <v>0</v>
      </c>
      <c r="G302" s="144">
        <f t="shared" si="103"/>
        <v>-2.7319999999999992E-4</v>
      </c>
      <c r="H302" s="145">
        <f>+F302/100000*'Bal Híd'!$G$4</f>
        <v>0</v>
      </c>
      <c r="I302" s="145">
        <v>0</v>
      </c>
      <c r="J302" s="145">
        <f t="shared" ca="1" si="87"/>
        <v>8.5942018579601811</v>
      </c>
      <c r="K302" s="145">
        <f t="shared" ca="1" si="88"/>
        <v>318.80157039674356</v>
      </c>
      <c r="L302" s="145">
        <f t="shared" ca="1" si="89"/>
        <v>307.11974487985924</v>
      </c>
      <c r="M302" s="145">
        <f t="shared" ca="1" si="90"/>
        <v>8.3985011750723064</v>
      </c>
      <c r="N302" s="145">
        <f t="shared" ca="1" si="91"/>
        <v>7.6368477630678893</v>
      </c>
      <c r="O302" s="143">
        <f t="shared" ca="1" si="86"/>
        <v>295.43791936297487</v>
      </c>
      <c r="P302" s="145">
        <f t="shared" ca="1" si="92"/>
        <v>0.76165341200441716</v>
      </c>
      <c r="Q302" s="145">
        <f t="shared" ca="1" si="93"/>
        <v>0</v>
      </c>
      <c r="R302" s="592">
        <f t="shared" ca="1" si="94"/>
        <v>0.76165341200441805</v>
      </c>
      <c r="S302" s="311"/>
      <c r="T302" s="392">
        <f t="shared" si="95"/>
        <v>2005</v>
      </c>
      <c r="U302" s="392">
        <f t="shared" si="96"/>
        <v>7</v>
      </c>
      <c r="V302" s="311">
        <f t="shared" ca="1" si="97"/>
        <v>106</v>
      </c>
      <c r="W302" s="269" t="str">
        <f t="shared" ca="1" si="98"/>
        <v>||||||||||</v>
      </c>
      <c r="X302" s="269" t="str">
        <f t="shared" ca="1" si="99"/>
        <v>||||||||||</v>
      </c>
      <c r="Y302" s="434" t="str">
        <f t="shared" ca="1" si="100"/>
        <v/>
      </c>
      <c r="Z302" s="269" t="str">
        <f t="shared" ca="1" si="101"/>
        <v/>
      </c>
      <c r="AA302" s="270" t="str">
        <f t="shared" ca="1" si="102"/>
        <v>|||</v>
      </c>
    </row>
    <row r="303" spans="1:27" x14ac:dyDescent="0.25">
      <c r="A303" s="140">
        <f>+'Esc 2'!A313</f>
        <v>2005</v>
      </c>
      <c r="B303" s="140">
        <f>+'Esc 2'!B313</f>
        <v>8</v>
      </c>
      <c r="C303" s="141">
        <f>+'Esc 2'!O313</f>
        <v>1.0204335546783734</v>
      </c>
      <c r="D303" s="140">
        <f>+'Esc 2'!D313</f>
        <v>91.3</v>
      </c>
      <c r="E303" s="147">
        <f t="shared" si="105"/>
        <v>72.449999999999989</v>
      </c>
      <c r="F303" s="146">
        <f t="shared" si="105"/>
        <v>0</v>
      </c>
      <c r="G303" s="144">
        <f t="shared" si="103"/>
        <v>1.8850000000000008E-4</v>
      </c>
      <c r="H303" s="145">
        <f>+F303/100000*'Bal Híd'!$G$4</f>
        <v>0</v>
      </c>
      <c r="I303" s="145">
        <v>0</v>
      </c>
      <c r="J303" s="145">
        <f t="shared" ca="1" si="87"/>
        <v>8.6572813177462624</v>
      </c>
      <c r="K303" s="145">
        <f t="shared" ca="1" si="88"/>
        <v>320.30755259824775</v>
      </c>
      <c r="L303" s="145">
        <f t="shared" ca="1" si="89"/>
        <v>307.87273598061131</v>
      </c>
      <c r="M303" s="145">
        <f t="shared" ca="1" si="90"/>
        <v>8.5958614614195774</v>
      </c>
      <c r="N303" s="145">
        <f t="shared" ca="1" si="91"/>
        <v>7.6368477630678893</v>
      </c>
      <c r="O303" s="143">
        <f t="shared" ca="1" si="86"/>
        <v>295.43791936297487</v>
      </c>
      <c r="P303" s="145">
        <f t="shared" ca="1" si="92"/>
        <v>0.95901369835168815</v>
      </c>
      <c r="Q303" s="145">
        <f t="shared" ca="1" si="93"/>
        <v>0</v>
      </c>
      <c r="R303" s="592">
        <f t="shared" ca="1" si="94"/>
        <v>0.95901369835168759</v>
      </c>
      <c r="S303" s="311"/>
      <c r="T303" s="392">
        <f t="shared" si="95"/>
        <v>2005</v>
      </c>
      <c r="U303" s="392">
        <f t="shared" si="96"/>
        <v>8</v>
      </c>
      <c r="V303" s="311">
        <f t="shared" ca="1" si="97"/>
        <v>106</v>
      </c>
      <c r="W303" s="269" t="str">
        <f t="shared" ca="1" si="98"/>
        <v>||||||||||</v>
      </c>
      <c r="X303" s="269" t="str">
        <f t="shared" ca="1" si="99"/>
        <v>||||||||||</v>
      </c>
      <c r="Y303" s="434" t="str">
        <f t="shared" ca="1" si="100"/>
        <v/>
      </c>
      <c r="Z303" s="269" t="str">
        <f t="shared" ca="1" si="101"/>
        <v/>
      </c>
      <c r="AA303" s="270" t="str">
        <f t="shared" ca="1" si="102"/>
        <v>||||</v>
      </c>
    </row>
    <row r="304" spans="1:27" x14ac:dyDescent="0.25">
      <c r="A304" s="140">
        <f>+'Esc 2'!A314</f>
        <v>2005</v>
      </c>
      <c r="B304" s="140">
        <f>+'Esc 2'!B314</f>
        <v>9</v>
      </c>
      <c r="C304" s="141">
        <f>+'Esc 2'!O314</f>
        <v>1.411841737303356</v>
      </c>
      <c r="D304" s="140">
        <f>+'Esc 2'!D314</f>
        <v>112.8</v>
      </c>
      <c r="E304" s="147">
        <f t="shared" si="105"/>
        <v>85.89</v>
      </c>
      <c r="F304" s="146">
        <f t="shared" si="105"/>
        <v>0</v>
      </c>
      <c r="G304" s="144">
        <f t="shared" si="103"/>
        <v>2.6909999999999998E-4</v>
      </c>
      <c r="H304" s="145">
        <f>+F304/100000*'Bal Híd'!$G$4</f>
        <v>0</v>
      </c>
      <c r="I304" s="145">
        <v>0</v>
      </c>
      <c r="J304" s="145">
        <f t="shared" ca="1" si="87"/>
        <v>9.0486895003712462</v>
      </c>
      <c r="K304" s="145">
        <f t="shared" ca="1" si="88"/>
        <v>329.56652749024494</v>
      </c>
      <c r="L304" s="145">
        <f t="shared" ca="1" si="89"/>
        <v>312.50222342660993</v>
      </c>
      <c r="M304" s="145">
        <f t="shared" ca="1" si="90"/>
        <v>8.9650257946901046</v>
      </c>
      <c r="N304" s="145">
        <f t="shared" ca="1" si="91"/>
        <v>7.6368477630678893</v>
      </c>
      <c r="O304" s="143">
        <f t="shared" ca="1" si="86"/>
        <v>295.43791936297487</v>
      </c>
      <c r="P304" s="145">
        <f t="shared" ca="1" si="92"/>
        <v>1.3281780316222154</v>
      </c>
      <c r="Q304" s="145">
        <f t="shared" ca="1" si="93"/>
        <v>0</v>
      </c>
      <c r="R304" s="592">
        <f t="shared" ca="1" si="94"/>
        <v>1.3281780316222149</v>
      </c>
      <c r="S304" s="311"/>
      <c r="T304" s="392">
        <f t="shared" si="95"/>
        <v>2005</v>
      </c>
      <c r="U304" s="392">
        <f t="shared" si="96"/>
        <v>9</v>
      </c>
      <c r="V304" s="311">
        <f t="shared" ca="1" si="97"/>
        <v>106</v>
      </c>
      <c r="W304" s="269" t="str">
        <f t="shared" ca="1" si="98"/>
        <v>||||||||||</v>
      </c>
      <c r="X304" s="269" t="str">
        <f t="shared" ca="1" si="99"/>
        <v>||||||||||</v>
      </c>
      <c r="Y304" s="434" t="str">
        <f t="shared" ca="1" si="100"/>
        <v/>
      </c>
      <c r="Z304" s="269" t="str">
        <f t="shared" ca="1" si="101"/>
        <v/>
      </c>
      <c r="AA304" s="270" t="str">
        <f t="shared" ca="1" si="102"/>
        <v>||||||</v>
      </c>
    </row>
    <row r="305" spans="1:27" x14ac:dyDescent="0.25">
      <c r="A305" s="140">
        <f>+'Esc 2'!A315</f>
        <v>2005</v>
      </c>
      <c r="B305" s="140">
        <f>+'Esc 2'!B315</f>
        <v>10</v>
      </c>
      <c r="C305" s="141">
        <f>+'Esc 2'!O315</f>
        <v>1.2630754926784467</v>
      </c>
      <c r="D305" s="140">
        <f>+'Esc 2'!D315</f>
        <v>108.5</v>
      </c>
      <c r="E305" s="147">
        <f t="shared" si="105"/>
        <v>114.86999999999999</v>
      </c>
      <c r="F305" s="146">
        <f t="shared" si="105"/>
        <v>59</v>
      </c>
      <c r="G305" s="144">
        <f t="shared" si="103"/>
        <v>-6.3699999999999908E-5</v>
      </c>
      <c r="H305" s="145">
        <f>+F305/100000*'Bal Híd'!$G$4</f>
        <v>0.64900000000000002</v>
      </c>
      <c r="I305" s="145">
        <v>0</v>
      </c>
      <c r="J305" s="145">
        <f t="shared" ca="1" si="87"/>
        <v>8.2509232557463363</v>
      </c>
      <c r="K305" s="145">
        <f t="shared" ca="1" si="88"/>
        <v>310.53598793052595</v>
      </c>
      <c r="L305" s="145">
        <f t="shared" ca="1" si="89"/>
        <v>302.98695364675041</v>
      </c>
      <c r="M305" s="145">
        <f t="shared" ca="1" si="90"/>
        <v>8.0861114294786915</v>
      </c>
      <c r="N305" s="145">
        <f t="shared" ca="1" si="91"/>
        <v>7.6368477630678893</v>
      </c>
      <c r="O305" s="143">
        <f t="shared" ca="1" si="86"/>
        <v>295.43791936297487</v>
      </c>
      <c r="P305" s="145">
        <f t="shared" ca="1" si="92"/>
        <v>0.44926366641080229</v>
      </c>
      <c r="Q305" s="145">
        <f t="shared" ca="1" si="93"/>
        <v>0.64900000000000002</v>
      </c>
      <c r="R305" s="592">
        <f t="shared" ca="1" si="94"/>
        <v>1.0982636664108023</v>
      </c>
      <c r="S305" s="311"/>
      <c r="T305" s="392">
        <f t="shared" si="95"/>
        <v>2005</v>
      </c>
      <c r="U305" s="392">
        <f t="shared" si="96"/>
        <v>10</v>
      </c>
      <c r="V305" s="311">
        <f t="shared" ca="1" si="97"/>
        <v>106</v>
      </c>
      <c r="W305" s="269" t="str">
        <f t="shared" ca="1" si="98"/>
        <v>||||||||||</v>
      </c>
      <c r="X305" s="269" t="str">
        <f t="shared" ca="1" si="99"/>
        <v>||||||||||</v>
      </c>
      <c r="Y305" s="434" t="str">
        <f t="shared" ca="1" si="100"/>
        <v/>
      </c>
      <c r="Z305" s="269" t="str">
        <f t="shared" ca="1" si="101"/>
        <v>|||</v>
      </c>
      <c r="AA305" s="270" t="str">
        <f t="shared" ca="1" si="102"/>
        <v>||</v>
      </c>
    </row>
    <row r="306" spans="1:27" x14ac:dyDescent="0.25">
      <c r="A306" s="140">
        <f>+'Esc 2'!A316</f>
        <v>2005</v>
      </c>
      <c r="B306" s="140">
        <f>+'Esc 2'!B316</f>
        <v>11</v>
      </c>
      <c r="C306" s="141">
        <f>+'Esc 2'!O316</f>
        <v>1.1014993875748462</v>
      </c>
      <c r="D306" s="140">
        <f>+'Esc 2'!D316</f>
        <v>109.8</v>
      </c>
      <c r="E306" s="147">
        <f t="shared" si="105"/>
        <v>144.06</v>
      </c>
      <c r="F306" s="146">
        <f t="shared" si="105"/>
        <v>212</v>
      </c>
      <c r="G306" s="144">
        <f t="shared" si="103"/>
        <v>-3.4260000000000003E-4</v>
      </c>
      <c r="H306" s="145">
        <f>+F306/100000*'Bal Híd'!$G$4</f>
        <v>2.3319999999999999</v>
      </c>
      <c r="I306" s="145">
        <v>0</v>
      </c>
      <c r="J306" s="145">
        <f t="shared" ca="1" si="87"/>
        <v>6.406347150642735</v>
      </c>
      <c r="K306" s="145">
        <f t="shared" ca="1" si="88"/>
        <v>263.81114529912531</v>
      </c>
      <c r="L306" s="145">
        <f t="shared" ca="1" si="89"/>
        <v>279.62453233105009</v>
      </c>
      <c r="M306" s="145">
        <f t="shared" ca="1" si="90"/>
        <v>6.1934351428571626</v>
      </c>
      <c r="N306" s="145">
        <f t="shared" ca="1" si="91"/>
        <v>6.1934351428571626</v>
      </c>
      <c r="O306" s="143">
        <f t="shared" ca="1" si="86"/>
        <v>258.12703473313013</v>
      </c>
      <c r="P306" s="145">
        <f t="shared" ca="1" si="92"/>
        <v>0</v>
      </c>
      <c r="Q306" s="145">
        <f t="shared" ca="1" si="93"/>
        <v>2.3319999999999999</v>
      </c>
      <c r="R306" s="592">
        <f t="shared" ca="1" si="94"/>
        <v>0.88858737978927249</v>
      </c>
      <c r="S306" s="311"/>
      <c r="T306" s="392">
        <f t="shared" si="95"/>
        <v>2005</v>
      </c>
      <c r="U306" s="392">
        <f t="shared" si="96"/>
        <v>11</v>
      </c>
      <c r="V306" s="311">
        <f t="shared" ca="1" si="97"/>
        <v>105.47814825532431</v>
      </c>
      <c r="W306" s="269" t="str">
        <f t="shared" ca="1" si="98"/>
        <v>|||||||||</v>
      </c>
      <c r="X306" s="269" t="str">
        <f t="shared" ca="1" si="99"/>
        <v>||||||||</v>
      </c>
      <c r="Y306" s="434" t="str">
        <f t="shared" ca="1" si="100"/>
        <v/>
      </c>
      <c r="Z306" s="269" t="str">
        <f t="shared" ca="1" si="101"/>
        <v>|||||||||||</v>
      </c>
      <c r="AA306" s="270" t="str">
        <f t="shared" ca="1" si="102"/>
        <v/>
      </c>
    </row>
    <row r="307" spans="1:27" x14ac:dyDescent="0.25">
      <c r="A307" s="140">
        <f>+'Esc 2'!A317</f>
        <v>2005</v>
      </c>
      <c r="B307" s="140">
        <f>+'Esc 2'!B317</f>
        <v>12</v>
      </c>
      <c r="C307" s="141">
        <f>+'Esc 2'!O317</f>
        <v>1.4125770619008062</v>
      </c>
      <c r="D307" s="140">
        <f>+'Esc 2'!D317</f>
        <v>145</v>
      </c>
      <c r="E307" s="147">
        <f t="shared" si="105"/>
        <v>179.62</v>
      </c>
      <c r="F307" s="146">
        <f t="shared" si="105"/>
        <v>388</v>
      </c>
      <c r="G307" s="144">
        <f t="shared" si="103"/>
        <v>-3.4620000000000007E-4</v>
      </c>
      <c r="H307" s="145">
        <f>+F307/100000*'Bal Híd'!$G$4</f>
        <v>4.2679999999999998</v>
      </c>
      <c r="I307" s="145">
        <v>0</v>
      </c>
      <c r="J307" s="145">
        <f t="shared" ca="1" si="87"/>
        <v>3.3380122047579688</v>
      </c>
      <c r="K307" s="145">
        <f t="shared" ca="1" si="88"/>
        <v>173.31565015875452</v>
      </c>
      <c r="L307" s="145">
        <f t="shared" ca="1" si="89"/>
        <v>215.72134244594233</v>
      </c>
      <c r="M307" s="145">
        <f t="shared" ca="1" si="90"/>
        <v>3.147465209804861</v>
      </c>
      <c r="N307" s="145">
        <f t="shared" ca="1" si="91"/>
        <v>3.147465209804861</v>
      </c>
      <c r="O307" s="143">
        <f t="shared" ca="1" si="86"/>
        <v>166.87342693472829</v>
      </c>
      <c r="P307" s="145">
        <f t="shared" ca="1" si="92"/>
        <v>0</v>
      </c>
      <c r="Q307" s="145">
        <f t="shared" ca="1" si="93"/>
        <v>4.2679999999999998</v>
      </c>
      <c r="R307" s="592">
        <f t="shared" ca="1" si="94"/>
        <v>1.2220300669476989</v>
      </c>
      <c r="S307" s="311"/>
      <c r="T307" s="392">
        <f t="shared" si="95"/>
        <v>2005</v>
      </c>
      <c r="U307" s="392">
        <f t="shared" si="96"/>
        <v>12</v>
      </c>
      <c r="V307" s="311">
        <f t="shared" ca="1" si="97"/>
        <v>104.03469315181751</v>
      </c>
      <c r="W307" s="269" t="str">
        <f t="shared" ca="1" si="98"/>
        <v>||||||</v>
      </c>
      <c r="X307" s="269" t="str">
        <f t="shared" ca="1" si="99"/>
        <v>||||</v>
      </c>
      <c r="Y307" s="434" t="str">
        <f t="shared" ca="1" si="100"/>
        <v/>
      </c>
      <c r="Z307" s="269" t="str">
        <f t="shared" ca="1" si="101"/>
        <v>|||||||||||||||||||||</v>
      </c>
      <c r="AA307" s="270" t="str">
        <f t="shared" ca="1" si="102"/>
        <v/>
      </c>
    </row>
    <row r="308" spans="1:27" x14ac:dyDescent="0.25">
      <c r="A308" s="140">
        <f>+'Esc 2'!A318</f>
        <v>2006</v>
      </c>
      <c r="B308" s="140">
        <f>+'Esc 2'!B318</f>
        <v>1</v>
      </c>
      <c r="C308" s="141">
        <f>+'Esc 2'!O318</f>
        <v>0.57293643675309658</v>
      </c>
      <c r="D308" s="140">
        <f>+'Esc 2'!D318</f>
        <v>54.6</v>
      </c>
      <c r="E308" s="147">
        <f t="shared" si="105"/>
        <v>176.89</v>
      </c>
      <c r="F308" s="146">
        <f t="shared" si="105"/>
        <v>318</v>
      </c>
      <c r="G308" s="144">
        <f t="shared" si="103"/>
        <v>-1.2228999999999999E-3</v>
      </c>
      <c r="H308" s="145">
        <f>+F308/100000*'Bal Híd'!$G$4</f>
        <v>3.4980000000000002</v>
      </c>
      <c r="I308" s="145">
        <v>0</v>
      </c>
      <c r="J308" s="145">
        <f t="shared" ca="1" si="87"/>
        <v>0.22240164655795747</v>
      </c>
      <c r="K308" s="145">
        <f t="shared" ca="1" si="88"/>
        <v>30.251812774143243</v>
      </c>
      <c r="L308" s="145">
        <f t="shared" ca="1" si="89"/>
        <v>98.562619854435766</v>
      </c>
      <c r="M308" s="145">
        <f t="shared" ca="1" si="90"/>
        <v>8.0397891659469423E-2</v>
      </c>
      <c r="N308" s="145">
        <f t="shared" ca="1" si="91"/>
        <v>0.14364725252241328</v>
      </c>
      <c r="O308" s="143">
        <f t="shared" ca="1" si="86"/>
        <v>22.824988701237128</v>
      </c>
      <c r="P308" s="145">
        <f t="shared" ca="1" si="92"/>
        <v>0</v>
      </c>
      <c r="Q308" s="145">
        <f t="shared" ca="1" si="93"/>
        <v>3.4347506391370564</v>
      </c>
      <c r="R308" s="592">
        <f t="shared" ca="1" si="94"/>
        <v>0.43093268185460876</v>
      </c>
      <c r="S308" s="311"/>
      <c r="T308" s="392">
        <f t="shared" si="95"/>
        <v>2006</v>
      </c>
      <c r="U308" s="392">
        <f t="shared" si="96"/>
        <v>1</v>
      </c>
      <c r="V308" s="311">
        <f t="shared" ca="1" si="97"/>
        <v>100.5</v>
      </c>
      <c r="W308" s="269" t="str">
        <f t="shared" ca="1" si="98"/>
        <v/>
      </c>
      <c r="X308" s="269" t="str">
        <f t="shared" ca="1" si="99"/>
        <v/>
      </c>
      <c r="Y308" s="434" t="str">
        <f t="shared" ca="1" si="100"/>
        <v/>
      </c>
      <c r="Z308" s="269" t="str">
        <f t="shared" ca="1" si="101"/>
        <v>|||||||||||||||||</v>
      </c>
      <c r="AA308" s="270" t="str">
        <f t="shared" ca="1" si="102"/>
        <v/>
      </c>
    </row>
    <row r="309" spans="1:27" x14ac:dyDescent="0.25">
      <c r="A309" s="140">
        <f>+'Esc 2'!A319</f>
        <v>2006</v>
      </c>
      <c r="B309" s="140">
        <f>+'Esc 2'!B319</f>
        <v>2</v>
      </c>
      <c r="C309" s="141">
        <f>+'Esc 2'!O319</f>
        <v>0.10776980916110269</v>
      </c>
      <c r="D309" s="140">
        <f>+'Esc 2'!D319</f>
        <v>9.1999999999999993</v>
      </c>
      <c r="E309" s="147">
        <f t="shared" si="105"/>
        <v>131.73999999999998</v>
      </c>
      <c r="F309" s="146">
        <f t="shared" si="105"/>
        <v>153</v>
      </c>
      <c r="G309" s="144">
        <f t="shared" si="103"/>
        <v>-1.2253999999999998E-3</v>
      </c>
      <c r="H309" s="145">
        <f>+F309/100000*'Bal Híd'!$G$4</f>
        <v>1.6829999999999998</v>
      </c>
      <c r="I309" s="145">
        <v>0</v>
      </c>
      <c r="J309" s="145">
        <f t="shared" ca="1" si="87"/>
        <v>-1.4315829383164838</v>
      </c>
      <c r="K309" s="145">
        <f t="shared" ca="1" si="88"/>
        <v>0</v>
      </c>
      <c r="L309" s="145">
        <f t="shared" ca="1" si="89"/>
        <v>11.412494350618564</v>
      </c>
      <c r="M309" s="145">
        <f t="shared" ca="1" si="90"/>
        <v>-1.4460354599729024</v>
      </c>
      <c r="N309" s="145">
        <f t="shared" ca="1" si="91"/>
        <v>0.14364725252241328</v>
      </c>
      <c r="O309" s="143">
        <f t="shared" ca="1" si="86"/>
        <v>22.824988701237128</v>
      </c>
      <c r="P309" s="145">
        <f t="shared" ca="1" si="92"/>
        <v>0</v>
      </c>
      <c r="Q309" s="145">
        <f t="shared" ca="1" si="93"/>
        <v>9.3317287504684154E-2</v>
      </c>
      <c r="R309" s="592">
        <f t="shared" ca="1" si="94"/>
        <v>9.3317287504684251E-2</v>
      </c>
      <c r="S309" s="311"/>
      <c r="T309" s="392">
        <f t="shared" si="95"/>
        <v>2006</v>
      </c>
      <c r="U309" s="392">
        <f t="shared" si="96"/>
        <v>2</v>
      </c>
      <c r="V309" s="311">
        <f t="shared" ca="1" si="97"/>
        <v>100.5</v>
      </c>
      <c r="W309" s="269" t="str">
        <f t="shared" ca="1" si="98"/>
        <v/>
      </c>
      <c r="X309" s="269" t="str">
        <f t="shared" ca="1" si="99"/>
        <v/>
      </c>
      <c r="Y309" s="434" t="str">
        <f t="shared" ca="1" si="100"/>
        <v>|||||||</v>
      </c>
      <c r="Z309" s="269" t="str">
        <f t="shared" ca="1" si="101"/>
        <v/>
      </c>
      <c r="AA309" s="270" t="str">
        <f t="shared" ca="1" si="102"/>
        <v/>
      </c>
    </row>
    <row r="310" spans="1:27" x14ac:dyDescent="0.25">
      <c r="A310" s="140">
        <f>+'Esc 2'!A320</f>
        <v>2006</v>
      </c>
      <c r="B310" s="140">
        <f>+'Esc 2'!B320</f>
        <v>3</v>
      </c>
      <c r="C310" s="141">
        <f>+'Esc 2'!O320</f>
        <v>0.37363712454445791</v>
      </c>
      <c r="D310" s="140">
        <f>+'Esc 2'!D320</f>
        <v>68.3</v>
      </c>
      <c r="E310" s="147">
        <f t="shared" si="105"/>
        <v>118.64999999999999</v>
      </c>
      <c r="F310" s="146">
        <f t="shared" si="105"/>
        <v>47</v>
      </c>
      <c r="G310" s="144">
        <f t="shared" si="103"/>
        <v>-5.0349999999999993E-4</v>
      </c>
      <c r="H310" s="145">
        <f>+F310/100000*'Bal Híd'!$G$4</f>
        <v>0.51700000000000002</v>
      </c>
      <c r="I310" s="145">
        <v>0</v>
      </c>
      <c r="J310" s="145">
        <f t="shared" ca="1" si="87"/>
        <v>2.8437706687112208E-4</v>
      </c>
      <c r="K310" s="145">
        <f t="shared" ca="1" si="88"/>
        <v>0.41326726293038901</v>
      </c>
      <c r="L310" s="145">
        <f t="shared" ca="1" si="89"/>
        <v>11.619127982083759</v>
      </c>
      <c r="M310" s="145">
        <f t="shared" ca="1" si="90"/>
        <v>-7.2165525675224051E-3</v>
      </c>
      <c r="N310" s="145">
        <f t="shared" ca="1" si="91"/>
        <v>0.14364725252241328</v>
      </c>
      <c r="O310" s="143">
        <f t="shared" ca="1" si="86"/>
        <v>22.824988701237128</v>
      </c>
      <c r="P310" s="145">
        <f t="shared" ca="1" si="92"/>
        <v>0</v>
      </c>
      <c r="Q310" s="145">
        <f t="shared" ca="1" si="93"/>
        <v>0.36613619491006433</v>
      </c>
      <c r="R310" s="592">
        <f t="shared" ca="1" si="94"/>
        <v>0.36613619491006433</v>
      </c>
      <c r="S310" s="311"/>
      <c r="T310" s="392">
        <f t="shared" si="95"/>
        <v>2006</v>
      </c>
      <c r="U310" s="392">
        <f t="shared" si="96"/>
        <v>3</v>
      </c>
      <c r="V310" s="311">
        <f t="shared" ca="1" si="97"/>
        <v>100.5</v>
      </c>
      <c r="W310" s="269" t="str">
        <f t="shared" ca="1" si="98"/>
        <v/>
      </c>
      <c r="X310" s="269" t="str">
        <f t="shared" ca="1" si="99"/>
        <v/>
      </c>
      <c r="Y310" s="434" t="str">
        <f t="shared" ca="1" si="100"/>
        <v/>
      </c>
      <c r="Z310" s="269" t="str">
        <f t="shared" ca="1" si="101"/>
        <v>|</v>
      </c>
      <c r="AA310" s="270" t="str">
        <f t="shared" ca="1" si="102"/>
        <v/>
      </c>
    </row>
    <row r="311" spans="1:27" x14ac:dyDescent="0.25">
      <c r="A311" s="140">
        <f>+'Esc 2'!A321</f>
        <v>2006</v>
      </c>
      <c r="B311" s="140">
        <f>+'Esc 2'!B321</f>
        <v>4</v>
      </c>
      <c r="C311" s="141">
        <f>+'Esc 2'!O321</f>
        <v>1.4712788458162485</v>
      </c>
      <c r="D311" s="140">
        <f>+'Esc 2'!D321</f>
        <v>125.8</v>
      </c>
      <c r="E311" s="147">
        <f t="shared" si="105"/>
        <v>73.149999999999991</v>
      </c>
      <c r="F311" s="146">
        <f t="shared" si="105"/>
        <v>0</v>
      </c>
      <c r="G311" s="144">
        <f t="shared" si="103"/>
        <v>5.2650000000000006E-4</v>
      </c>
      <c r="H311" s="145">
        <f>+F311/100000*'Bal Híd'!$G$4</f>
        <v>0</v>
      </c>
      <c r="I311" s="145">
        <v>0</v>
      </c>
      <c r="J311" s="145">
        <f t="shared" ca="1" si="87"/>
        <v>1.6149260983386617</v>
      </c>
      <c r="K311" s="145">
        <f t="shared" ca="1" si="88"/>
        <v>108.54836169325262</v>
      </c>
      <c r="L311" s="145">
        <f t="shared" ca="1" si="89"/>
        <v>65.686675197244867</v>
      </c>
      <c r="M311" s="145">
        <f t="shared" ca="1" si="90"/>
        <v>1.6127635869479926</v>
      </c>
      <c r="N311" s="145">
        <f t="shared" ca="1" si="91"/>
        <v>1.6127635869479926</v>
      </c>
      <c r="O311" s="143">
        <f t="shared" ca="1" si="86"/>
        <v>108.45466707912016</v>
      </c>
      <c r="P311" s="145">
        <f t="shared" ca="1" si="92"/>
        <v>0</v>
      </c>
      <c r="Q311" s="145">
        <f t="shared" ca="1" si="93"/>
        <v>0</v>
      </c>
      <c r="R311" s="592">
        <f t="shared" ca="1" si="94"/>
        <v>1.4691163344255793</v>
      </c>
      <c r="S311" s="311"/>
      <c r="T311" s="392">
        <f t="shared" si="95"/>
        <v>2006</v>
      </c>
      <c r="U311" s="392">
        <f t="shared" si="96"/>
        <v>4</v>
      </c>
      <c r="V311" s="311">
        <f t="shared" ca="1" si="97"/>
        <v>102.91224025170172</v>
      </c>
      <c r="W311" s="269" t="str">
        <f t="shared" ca="1" si="98"/>
        <v>||||</v>
      </c>
      <c r="X311" s="269" t="str">
        <f t="shared" ca="1" si="99"/>
        <v>|</v>
      </c>
      <c r="Y311" s="434" t="str">
        <f t="shared" ca="1" si="100"/>
        <v/>
      </c>
      <c r="Z311" s="269" t="str">
        <f t="shared" ca="1" si="101"/>
        <v/>
      </c>
      <c r="AA311" s="270" t="str">
        <f t="shared" ca="1" si="102"/>
        <v/>
      </c>
    </row>
    <row r="312" spans="1:27" x14ac:dyDescent="0.25">
      <c r="A312" s="140">
        <f>+'Esc 2'!A322</f>
        <v>2006</v>
      </c>
      <c r="B312" s="140">
        <f>+'Esc 2'!B322</f>
        <v>5</v>
      </c>
      <c r="C312" s="141">
        <f>+'Esc 2'!O322</f>
        <v>1.2551147038154353</v>
      </c>
      <c r="D312" s="140">
        <f>+'Esc 2'!D322</f>
        <v>82</v>
      </c>
      <c r="E312" s="147">
        <f t="shared" si="105"/>
        <v>51.24</v>
      </c>
      <c r="F312" s="146">
        <f t="shared" si="105"/>
        <v>0</v>
      </c>
      <c r="G312" s="144">
        <f t="shared" si="103"/>
        <v>3.076E-4</v>
      </c>
      <c r="H312" s="145">
        <f>+F312/100000*'Bal Híd'!$G$4</f>
        <v>0</v>
      </c>
      <c r="I312" s="145">
        <v>0</v>
      </c>
      <c r="J312" s="145">
        <f t="shared" ca="1" si="87"/>
        <v>2.8678782907634277</v>
      </c>
      <c r="K312" s="145">
        <f t="shared" ca="1" si="88"/>
        <v>157.16349758583823</v>
      </c>
      <c r="L312" s="145">
        <f t="shared" ca="1" si="89"/>
        <v>132.80908233247919</v>
      </c>
      <c r="M312" s="145">
        <f t="shared" ca="1" si="90"/>
        <v>2.8453498960342487</v>
      </c>
      <c r="N312" s="145">
        <f t="shared" ca="1" si="91"/>
        <v>2.8453498960342487</v>
      </c>
      <c r="O312" s="143">
        <f t="shared" ca="1" si="86"/>
        <v>156.36676675050646</v>
      </c>
      <c r="P312" s="145">
        <f t="shared" ca="1" si="92"/>
        <v>0</v>
      </c>
      <c r="Q312" s="145">
        <f t="shared" ca="1" si="93"/>
        <v>0</v>
      </c>
      <c r="R312" s="592">
        <f t="shared" ca="1" si="94"/>
        <v>1.2325863090862559</v>
      </c>
      <c r="S312" s="311"/>
      <c r="T312" s="392">
        <f t="shared" si="95"/>
        <v>2006</v>
      </c>
      <c r="U312" s="392">
        <f t="shared" si="96"/>
        <v>5</v>
      </c>
      <c r="V312" s="311">
        <f t="shared" ca="1" si="97"/>
        <v>103.84773433069488</v>
      </c>
      <c r="W312" s="269" t="str">
        <f t="shared" ca="1" si="98"/>
        <v>||||||</v>
      </c>
      <c r="X312" s="269" t="str">
        <f t="shared" ca="1" si="99"/>
        <v>|||</v>
      </c>
      <c r="Y312" s="434" t="str">
        <f t="shared" ca="1" si="100"/>
        <v/>
      </c>
      <c r="Z312" s="269" t="str">
        <f t="shared" ca="1" si="101"/>
        <v/>
      </c>
      <c r="AA312" s="270" t="str">
        <f t="shared" ca="1" si="102"/>
        <v/>
      </c>
    </row>
    <row r="313" spans="1:27" x14ac:dyDescent="0.25">
      <c r="A313" s="140">
        <f>+'Esc 2'!A323</f>
        <v>2006</v>
      </c>
      <c r="B313" s="140">
        <f>+'Esc 2'!B323</f>
        <v>6</v>
      </c>
      <c r="C313" s="141">
        <f>+'Esc 2'!O323</f>
        <v>2.3143495379603469</v>
      </c>
      <c r="D313" s="140">
        <f>+'Esc 2'!D323</f>
        <v>139.4</v>
      </c>
      <c r="E313" s="147">
        <f t="shared" ref="E313:F332" si="106">+E301</f>
        <v>41.019999999999996</v>
      </c>
      <c r="F313" s="146">
        <f t="shared" si="106"/>
        <v>0</v>
      </c>
      <c r="G313" s="144">
        <f t="shared" si="103"/>
        <v>9.8380000000000017E-4</v>
      </c>
      <c r="H313" s="145">
        <f>+F313/100000*'Bal Híd'!$G$4</f>
        <v>0</v>
      </c>
      <c r="I313" s="145">
        <v>0</v>
      </c>
      <c r="J313" s="145">
        <f t="shared" ca="1" si="87"/>
        <v>5.1596994339945956</v>
      </c>
      <c r="K313" s="145">
        <f t="shared" ca="1" si="88"/>
        <v>229.46941306526909</v>
      </c>
      <c r="L313" s="145">
        <f t="shared" ca="1" si="89"/>
        <v>192.91808990788778</v>
      </c>
      <c r="M313" s="145">
        <f t="shared" ca="1" si="90"/>
        <v>5.1797280332632711</v>
      </c>
      <c r="N313" s="145">
        <f t="shared" ca="1" si="91"/>
        <v>5.1797280332632711</v>
      </c>
      <c r="O313" s="143">
        <f t="shared" ca="1" si="86"/>
        <v>230.04304571071296</v>
      </c>
      <c r="P313" s="145">
        <f t="shared" ca="1" si="92"/>
        <v>0</v>
      </c>
      <c r="Q313" s="145">
        <f t="shared" ca="1" si="93"/>
        <v>0</v>
      </c>
      <c r="R313" s="592">
        <f t="shared" ca="1" si="94"/>
        <v>2.3343781372290224</v>
      </c>
      <c r="S313" s="311"/>
      <c r="T313" s="392">
        <f t="shared" si="95"/>
        <v>2006</v>
      </c>
      <c r="U313" s="392">
        <f t="shared" si="96"/>
        <v>6</v>
      </c>
      <c r="V313" s="311">
        <f t="shared" ca="1" si="97"/>
        <v>105.06263361763244</v>
      </c>
      <c r="W313" s="269" t="str">
        <f t="shared" ca="1" si="98"/>
        <v>||||||||</v>
      </c>
      <c r="X313" s="269" t="str">
        <f t="shared" ca="1" si="99"/>
        <v>||||||</v>
      </c>
      <c r="Y313" s="434" t="str">
        <f t="shared" ca="1" si="100"/>
        <v/>
      </c>
      <c r="Z313" s="269" t="str">
        <f t="shared" ca="1" si="101"/>
        <v/>
      </c>
      <c r="AA313" s="270" t="str">
        <f t="shared" ca="1" si="102"/>
        <v/>
      </c>
    </row>
    <row r="314" spans="1:27" x14ac:dyDescent="0.25">
      <c r="A314" s="140">
        <f>+'Esc 2'!A324</f>
        <v>2006</v>
      </c>
      <c r="B314" s="140">
        <f>+'Esc 2'!B324</f>
        <v>7</v>
      </c>
      <c r="C314" s="141">
        <f>+'Esc 2'!O324</f>
        <v>1.1146604626496359</v>
      </c>
      <c r="D314" s="140">
        <f>+'Esc 2'!D324</f>
        <v>52.6</v>
      </c>
      <c r="E314" s="147">
        <f t="shared" si="106"/>
        <v>50.819999999999993</v>
      </c>
      <c r="F314" s="146">
        <f t="shared" si="106"/>
        <v>0</v>
      </c>
      <c r="G314" s="144">
        <f t="shared" si="103"/>
        <v>1.7800000000000084E-5</v>
      </c>
      <c r="H314" s="145">
        <f>+F314/100000*'Bal Híd'!$G$4</f>
        <v>0</v>
      </c>
      <c r="I314" s="145">
        <v>0</v>
      </c>
      <c r="J314" s="145">
        <f t="shared" ca="1" si="87"/>
        <v>6.2943884959129068</v>
      </c>
      <c r="K314" s="145">
        <f t="shared" ca="1" si="88"/>
        <v>260.83070472382053</v>
      </c>
      <c r="L314" s="145">
        <f t="shared" ca="1" si="89"/>
        <v>245.43687521726673</v>
      </c>
      <c r="M314" s="145">
        <f t="shared" ca="1" si="90"/>
        <v>6.1947349221469228</v>
      </c>
      <c r="N314" s="145">
        <f t="shared" ca="1" si="91"/>
        <v>6.1947349221469228</v>
      </c>
      <c r="O314" s="143">
        <f t="shared" ca="1" si="86"/>
        <v>258.16194373834793</v>
      </c>
      <c r="P314" s="145">
        <f t="shared" ca="1" si="92"/>
        <v>0</v>
      </c>
      <c r="Q314" s="145">
        <f t="shared" ca="1" si="93"/>
        <v>0</v>
      </c>
      <c r="R314" s="592">
        <f t="shared" ca="1" si="94"/>
        <v>1.0150068888836516</v>
      </c>
      <c r="S314" s="311"/>
      <c r="T314" s="392">
        <f t="shared" si="95"/>
        <v>2006</v>
      </c>
      <c r="U314" s="392">
        <f t="shared" si="96"/>
        <v>7</v>
      </c>
      <c r="V314" s="311">
        <f t="shared" ca="1" si="97"/>
        <v>105.47865176376429</v>
      </c>
      <c r="W314" s="269" t="str">
        <f t="shared" ca="1" si="98"/>
        <v>|||||||||</v>
      </c>
      <c r="X314" s="269" t="str">
        <f t="shared" ca="1" si="99"/>
        <v>||||||||</v>
      </c>
      <c r="Y314" s="434" t="str">
        <f t="shared" ca="1" si="100"/>
        <v/>
      </c>
      <c r="Z314" s="269" t="str">
        <f t="shared" ca="1" si="101"/>
        <v/>
      </c>
      <c r="AA314" s="270" t="str">
        <f t="shared" ca="1" si="102"/>
        <v/>
      </c>
    </row>
    <row r="315" spans="1:27" x14ac:dyDescent="0.25">
      <c r="A315" s="140">
        <f>+'Esc 2'!A325</f>
        <v>2006</v>
      </c>
      <c r="B315" s="140">
        <f>+'Esc 2'!B325</f>
        <v>8</v>
      </c>
      <c r="C315" s="141">
        <f>+'Esc 2'!O325</f>
        <v>0.33147355403424439</v>
      </c>
      <c r="D315" s="140">
        <f>+'Esc 2'!D325</f>
        <v>26.8</v>
      </c>
      <c r="E315" s="147">
        <f t="shared" si="106"/>
        <v>72.449999999999989</v>
      </c>
      <c r="F315" s="146">
        <f t="shared" si="106"/>
        <v>0</v>
      </c>
      <c r="G315" s="144">
        <f t="shared" si="103"/>
        <v>-4.5649999999999993E-4</v>
      </c>
      <c r="H315" s="145">
        <f>+F315/100000*'Bal Híd'!$G$4</f>
        <v>0</v>
      </c>
      <c r="I315" s="145">
        <v>0</v>
      </c>
      <c r="J315" s="145">
        <f t="shared" ca="1" si="87"/>
        <v>6.526208476181167</v>
      </c>
      <c r="K315" s="145">
        <f t="shared" ca="1" si="88"/>
        <v>266.98150880453369</v>
      </c>
      <c r="L315" s="145">
        <f t="shared" ca="1" si="89"/>
        <v>262.57172627144081</v>
      </c>
      <c r="M315" s="145">
        <f t="shared" ca="1" si="90"/>
        <v>6.3732511054591292</v>
      </c>
      <c r="N315" s="145">
        <f t="shared" ca="1" si="91"/>
        <v>6.3732511054591292</v>
      </c>
      <c r="O315" s="143">
        <f t="shared" ca="1" si="86"/>
        <v>262.93204068916094</v>
      </c>
      <c r="P315" s="145">
        <f t="shared" ca="1" si="92"/>
        <v>0</v>
      </c>
      <c r="Q315" s="145">
        <f t="shared" ca="1" si="93"/>
        <v>0</v>
      </c>
      <c r="R315" s="592">
        <f t="shared" ca="1" si="94"/>
        <v>0.1785161833122057</v>
      </c>
      <c r="S315" s="311"/>
      <c r="T315" s="392">
        <f t="shared" si="95"/>
        <v>2006</v>
      </c>
      <c r="U315" s="392">
        <f t="shared" si="96"/>
        <v>8</v>
      </c>
      <c r="V315" s="311">
        <f t="shared" ca="1" si="97"/>
        <v>105.54716854726254</v>
      </c>
      <c r="W315" s="269" t="str">
        <f t="shared" ca="1" si="98"/>
        <v>|||||||||</v>
      </c>
      <c r="X315" s="269" t="str">
        <f t="shared" ca="1" si="99"/>
        <v>||||||||</v>
      </c>
      <c r="Y315" s="434" t="str">
        <f t="shared" ca="1" si="100"/>
        <v/>
      </c>
      <c r="Z315" s="269" t="str">
        <f t="shared" ca="1" si="101"/>
        <v/>
      </c>
      <c r="AA315" s="270" t="str">
        <f t="shared" ca="1" si="102"/>
        <v/>
      </c>
    </row>
    <row r="316" spans="1:27" x14ac:dyDescent="0.25">
      <c r="A316" s="140">
        <f>+'Esc 2'!A326</f>
        <v>2006</v>
      </c>
      <c r="B316" s="140">
        <f>+'Esc 2'!B326</f>
        <v>9</v>
      </c>
      <c r="C316" s="141">
        <f>+'Esc 2'!O326</f>
        <v>0.34027186275459198</v>
      </c>
      <c r="D316" s="140">
        <f>+'Esc 2'!D326</f>
        <v>52.3</v>
      </c>
      <c r="E316" s="147">
        <f t="shared" si="106"/>
        <v>85.89</v>
      </c>
      <c r="F316" s="146">
        <f t="shared" si="106"/>
        <v>0</v>
      </c>
      <c r="G316" s="144">
        <f t="shared" si="103"/>
        <v>-3.3590000000000003E-4</v>
      </c>
      <c r="H316" s="145">
        <f>+F316/100000*'Bal Híd'!$G$4</f>
        <v>0</v>
      </c>
      <c r="I316" s="145">
        <v>0</v>
      </c>
      <c r="J316" s="145">
        <f t="shared" ca="1" si="87"/>
        <v>6.713522968213721</v>
      </c>
      <c r="K316" s="145">
        <f t="shared" ca="1" si="88"/>
        <v>271.89489016723587</v>
      </c>
      <c r="L316" s="145">
        <f t="shared" ca="1" si="89"/>
        <v>267.41346542819838</v>
      </c>
      <c r="M316" s="145">
        <f t="shared" ca="1" si="90"/>
        <v>6.5891005806110226</v>
      </c>
      <c r="N316" s="145">
        <f t="shared" ca="1" si="91"/>
        <v>6.5891005806110226</v>
      </c>
      <c r="O316" s="143">
        <f t="shared" ca="1" si="86"/>
        <v>268.63673392489693</v>
      </c>
      <c r="P316" s="145">
        <f t="shared" ca="1" si="92"/>
        <v>0</v>
      </c>
      <c r="Q316" s="145">
        <f t="shared" ca="1" si="93"/>
        <v>0</v>
      </c>
      <c r="R316" s="592">
        <f t="shared" ca="1" si="94"/>
        <v>0.21584947515189368</v>
      </c>
      <c r="S316" s="311"/>
      <c r="T316" s="392">
        <f t="shared" si="95"/>
        <v>2006</v>
      </c>
      <c r="U316" s="392">
        <f t="shared" si="96"/>
        <v>9</v>
      </c>
      <c r="V316" s="311">
        <f t="shared" ca="1" si="97"/>
        <v>105.62838219268562</v>
      </c>
      <c r="W316" s="269" t="str">
        <f t="shared" ca="1" si="98"/>
        <v>|||||||||</v>
      </c>
      <c r="X316" s="269" t="str">
        <f t="shared" ca="1" si="99"/>
        <v>||||||||</v>
      </c>
      <c r="Y316" s="434" t="str">
        <f t="shared" ca="1" si="100"/>
        <v/>
      </c>
      <c r="Z316" s="269" t="str">
        <f t="shared" ca="1" si="101"/>
        <v/>
      </c>
      <c r="AA316" s="270" t="str">
        <f t="shared" ca="1" si="102"/>
        <v/>
      </c>
    </row>
    <row r="317" spans="1:27" x14ac:dyDescent="0.25">
      <c r="A317" s="140">
        <f>+'Esc 2'!A327</f>
        <v>2006</v>
      </c>
      <c r="B317" s="140">
        <f>+'Esc 2'!B327</f>
        <v>10</v>
      </c>
      <c r="C317" s="141">
        <f>+'Esc 2'!O327</f>
        <v>1.0586241636233671</v>
      </c>
      <c r="D317" s="140">
        <f>+'Esc 2'!D327</f>
        <v>114.3</v>
      </c>
      <c r="E317" s="147">
        <f t="shared" si="106"/>
        <v>114.86999999999999</v>
      </c>
      <c r="F317" s="146">
        <f t="shared" si="106"/>
        <v>59</v>
      </c>
      <c r="G317" s="144">
        <f t="shared" si="103"/>
        <v>-5.6999999999999319E-6</v>
      </c>
      <c r="H317" s="145">
        <f>+F317/100000*'Bal Híd'!$G$4</f>
        <v>0.64900000000000002</v>
      </c>
      <c r="I317" s="145">
        <v>0</v>
      </c>
      <c r="J317" s="145">
        <f t="shared" ca="1" si="87"/>
        <v>6.9987247442343898</v>
      </c>
      <c r="K317" s="145">
        <f t="shared" ca="1" si="88"/>
        <v>279.28335877756371</v>
      </c>
      <c r="L317" s="145">
        <f t="shared" ca="1" si="89"/>
        <v>273.96004635123029</v>
      </c>
      <c r="M317" s="145">
        <f t="shared" ca="1" si="90"/>
        <v>6.8868891320710279</v>
      </c>
      <c r="N317" s="145">
        <f t="shared" ca="1" si="91"/>
        <v>6.8868891320710279</v>
      </c>
      <c r="O317" s="143">
        <f t="shared" ca="1" si="86"/>
        <v>276.39913201417869</v>
      </c>
      <c r="P317" s="145">
        <f t="shared" ca="1" si="92"/>
        <v>0</v>
      </c>
      <c r="Q317" s="145">
        <f t="shared" ca="1" si="93"/>
        <v>0.64900000000000002</v>
      </c>
      <c r="R317" s="592">
        <f t="shared" ca="1" si="94"/>
        <v>0.94678855146000551</v>
      </c>
      <c r="S317" s="311"/>
      <c r="T317" s="392">
        <f t="shared" si="95"/>
        <v>2006</v>
      </c>
      <c r="U317" s="392">
        <f t="shared" si="96"/>
        <v>10</v>
      </c>
      <c r="V317" s="311">
        <f t="shared" ca="1" si="97"/>
        <v>105.73765851599119</v>
      </c>
      <c r="W317" s="269" t="str">
        <f t="shared" ca="1" si="98"/>
        <v>|||||||||</v>
      </c>
      <c r="X317" s="269" t="str">
        <f t="shared" ca="1" si="99"/>
        <v>||||||||</v>
      </c>
      <c r="Y317" s="434" t="str">
        <f t="shared" ca="1" si="100"/>
        <v/>
      </c>
      <c r="Z317" s="269" t="str">
        <f t="shared" ca="1" si="101"/>
        <v>|||</v>
      </c>
      <c r="AA317" s="270" t="str">
        <f t="shared" ca="1" si="102"/>
        <v/>
      </c>
    </row>
    <row r="318" spans="1:27" x14ac:dyDescent="0.25">
      <c r="A318" s="140">
        <f>+'Esc 2'!A328</f>
        <v>2006</v>
      </c>
      <c r="B318" s="140">
        <f>+'Esc 2'!B328</f>
        <v>11</v>
      </c>
      <c r="C318" s="141">
        <f>+'Esc 2'!O328</f>
        <v>3.3528384742299466</v>
      </c>
      <c r="D318" s="140">
        <f>+'Esc 2'!D328</f>
        <v>252.3</v>
      </c>
      <c r="E318" s="147">
        <f t="shared" si="106"/>
        <v>144.06</v>
      </c>
      <c r="F318" s="146">
        <f t="shared" si="106"/>
        <v>212</v>
      </c>
      <c r="G318" s="144">
        <f t="shared" si="103"/>
        <v>1.0824000000000001E-3</v>
      </c>
      <c r="H318" s="145">
        <f>+F318/100000*'Bal Híd'!$G$4</f>
        <v>2.3319999999999999</v>
      </c>
      <c r="I318" s="145">
        <v>0</v>
      </c>
      <c r="J318" s="145">
        <f t="shared" ca="1" si="87"/>
        <v>7.9077276063009743</v>
      </c>
      <c r="K318" s="145">
        <f t="shared" ca="1" si="88"/>
        <v>302.14922383487891</v>
      </c>
      <c r="L318" s="145">
        <f t="shared" ca="1" si="89"/>
        <v>289.27417792452877</v>
      </c>
      <c r="M318" s="145">
        <f t="shared" ca="1" si="90"/>
        <v>7.8520586634269423</v>
      </c>
      <c r="N318" s="145">
        <f t="shared" ca="1" si="91"/>
        <v>7.6368477630678893</v>
      </c>
      <c r="O318" s="143">
        <f t="shared" ca="1" si="86"/>
        <v>295.43791936297487</v>
      </c>
      <c r="P318" s="145">
        <f t="shared" ca="1" si="92"/>
        <v>0.21521090035905299</v>
      </c>
      <c r="Q318" s="145">
        <f t="shared" ca="1" si="93"/>
        <v>2.3319999999999999</v>
      </c>
      <c r="R318" s="592">
        <f t="shared" ca="1" si="94"/>
        <v>3.2971695313559128</v>
      </c>
      <c r="S318" s="311"/>
      <c r="T318" s="392">
        <f t="shared" si="95"/>
        <v>2006</v>
      </c>
      <c r="U318" s="392">
        <f t="shared" si="96"/>
        <v>11</v>
      </c>
      <c r="V318" s="311">
        <f t="shared" ca="1" si="97"/>
        <v>106</v>
      </c>
      <c r="W318" s="269" t="str">
        <f t="shared" ca="1" si="98"/>
        <v>||||||||||</v>
      </c>
      <c r="X318" s="269" t="str">
        <f t="shared" ca="1" si="99"/>
        <v>||||||||||</v>
      </c>
      <c r="Y318" s="434" t="str">
        <f t="shared" ca="1" si="100"/>
        <v/>
      </c>
      <c r="Z318" s="269" t="str">
        <f t="shared" ca="1" si="101"/>
        <v>|||||||||||</v>
      </c>
      <c r="AA318" s="270" t="str">
        <f t="shared" ca="1" si="102"/>
        <v>|</v>
      </c>
    </row>
    <row r="319" spans="1:27" x14ac:dyDescent="0.25">
      <c r="A319" s="140">
        <f>+'Esc 2'!A329</f>
        <v>2006</v>
      </c>
      <c r="B319" s="140">
        <f>+'Esc 2'!B329</f>
        <v>12</v>
      </c>
      <c r="C319" s="141">
        <f>+'Esc 2'!O329</f>
        <v>2.3338028063745155</v>
      </c>
      <c r="D319" s="140">
        <f>+'Esc 2'!D329</f>
        <v>173.5</v>
      </c>
      <c r="E319" s="147">
        <f t="shared" si="106"/>
        <v>179.62</v>
      </c>
      <c r="F319" s="146">
        <f t="shared" si="106"/>
        <v>388</v>
      </c>
      <c r="G319" s="144">
        <f t="shared" si="103"/>
        <v>-6.1200000000000051E-5</v>
      </c>
      <c r="H319" s="145">
        <f>+F319/100000*'Bal Híd'!$G$4</f>
        <v>4.2679999999999998</v>
      </c>
      <c r="I319" s="145">
        <v>0</v>
      </c>
      <c r="J319" s="145">
        <f t="shared" ca="1" si="87"/>
        <v>5.7026505694424054</v>
      </c>
      <c r="K319" s="145">
        <f t="shared" ca="1" si="88"/>
        <v>244.75254762214647</v>
      </c>
      <c r="L319" s="145">
        <f t="shared" ca="1" si="89"/>
        <v>270.09523349256068</v>
      </c>
      <c r="M319" s="145">
        <f t="shared" ca="1" si="90"/>
        <v>5.4464443100069113</v>
      </c>
      <c r="N319" s="145">
        <f t="shared" ca="1" si="91"/>
        <v>5.4464443100069113</v>
      </c>
      <c r="O319" s="143">
        <f t="shared" ca="1" si="86"/>
        <v>237.60842082907081</v>
      </c>
      <c r="P319" s="145">
        <f t="shared" ca="1" si="92"/>
        <v>0</v>
      </c>
      <c r="Q319" s="145">
        <f t="shared" ca="1" si="93"/>
        <v>4.2679999999999998</v>
      </c>
      <c r="R319" s="592">
        <f t="shared" ca="1" si="94"/>
        <v>2.0775965469390227</v>
      </c>
      <c r="S319" s="311"/>
      <c r="T319" s="392">
        <f t="shared" si="95"/>
        <v>2006</v>
      </c>
      <c r="U319" s="392">
        <f t="shared" si="96"/>
        <v>12</v>
      </c>
      <c r="V319" s="311">
        <f t="shared" ca="1" si="97"/>
        <v>105.17670434199357</v>
      </c>
      <c r="W319" s="269" t="str">
        <f t="shared" ca="1" si="98"/>
        <v>||||||||</v>
      </c>
      <c r="X319" s="269" t="str">
        <f t="shared" ca="1" si="99"/>
        <v>|||||||</v>
      </c>
      <c r="Y319" s="434" t="str">
        <f t="shared" ca="1" si="100"/>
        <v/>
      </c>
      <c r="Z319" s="269" t="str">
        <f t="shared" ca="1" si="101"/>
        <v>|||||||||||||||||||||</v>
      </c>
      <c r="AA319" s="270" t="str">
        <f t="shared" ca="1" si="102"/>
        <v/>
      </c>
    </row>
    <row r="320" spans="1:27" x14ac:dyDescent="0.25">
      <c r="A320" s="140">
        <f>+'Esc 2'!A330</f>
        <v>2007</v>
      </c>
      <c r="B320" s="140">
        <f>+'Esc 2'!B330</f>
        <v>1</v>
      </c>
      <c r="C320" s="141">
        <f>+'Esc 2'!O330</f>
        <v>0.70150070953023813</v>
      </c>
      <c r="D320" s="140">
        <f>+'Esc 2'!D330</f>
        <v>50.1</v>
      </c>
      <c r="E320" s="147">
        <f t="shared" si="106"/>
        <v>176.89</v>
      </c>
      <c r="F320" s="146">
        <f t="shared" si="106"/>
        <v>318</v>
      </c>
      <c r="G320" s="144">
        <f t="shared" si="103"/>
        <v>-1.2679E-3</v>
      </c>
      <c r="H320" s="145">
        <f>+F320/100000*'Bal Híd'!$G$4</f>
        <v>3.4980000000000002</v>
      </c>
      <c r="I320" s="145">
        <v>0</v>
      </c>
      <c r="J320" s="145">
        <f t="shared" ca="1" si="87"/>
        <v>2.6499450195371494</v>
      </c>
      <c r="K320" s="145">
        <f t="shared" ca="1" si="88"/>
        <v>149.35922033343311</v>
      </c>
      <c r="L320" s="145">
        <f t="shared" ca="1" si="89"/>
        <v>193.48382058125196</v>
      </c>
      <c r="M320" s="145">
        <f t="shared" ca="1" si="90"/>
        <v>2.3530188844030278</v>
      </c>
      <c r="N320" s="145">
        <f t="shared" ca="1" si="91"/>
        <v>2.3530188844030278</v>
      </c>
      <c r="O320" s="143">
        <f t="shared" ca="1" si="86"/>
        <v>138.34758404026476</v>
      </c>
      <c r="P320" s="145">
        <f t="shared" ca="1" si="92"/>
        <v>0</v>
      </c>
      <c r="Q320" s="145">
        <f t="shared" ca="1" si="93"/>
        <v>3.4980000000000002</v>
      </c>
      <c r="R320" s="592">
        <f t="shared" ca="1" si="94"/>
        <v>0.40457457439611688</v>
      </c>
      <c r="S320" s="311"/>
      <c r="T320" s="392">
        <f t="shared" si="95"/>
        <v>2007</v>
      </c>
      <c r="U320" s="392">
        <f t="shared" si="96"/>
        <v>1</v>
      </c>
      <c r="V320" s="311">
        <f t="shared" ca="1" si="97"/>
        <v>103.51344017703569</v>
      </c>
      <c r="W320" s="269" t="str">
        <f t="shared" ca="1" si="98"/>
        <v>|||||</v>
      </c>
      <c r="X320" s="269" t="str">
        <f t="shared" ca="1" si="99"/>
        <v>||</v>
      </c>
      <c r="Y320" s="434" t="str">
        <f t="shared" ca="1" si="100"/>
        <v/>
      </c>
      <c r="Z320" s="269" t="str">
        <f t="shared" ca="1" si="101"/>
        <v>|||||||||||||||||</v>
      </c>
      <c r="AA320" s="270" t="str">
        <f t="shared" ca="1" si="102"/>
        <v/>
      </c>
    </row>
    <row r="321" spans="1:27" x14ac:dyDescent="0.25">
      <c r="A321" s="140">
        <f>+'Esc 2'!A331</f>
        <v>2007</v>
      </c>
      <c r="B321" s="140">
        <f>+'Esc 2'!B331</f>
        <v>2</v>
      </c>
      <c r="C321" s="141">
        <f>+'Esc 2'!O331</f>
        <v>2.4448663837919011</v>
      </c>
      <c r="D321" s="140">
        <f>+'Esc 2'!D331</f>
        <v>213.5</v>
      </c>
      <c r="E321" s="147">
        <f t="shared" si="106"/>
        <v>131.73999999999998</v>
      </c>
      <c r="F321" s="146">
        <f t="shared" si="106"/>
        <v>153</v>
      </c>
      <c r="G321" s="144">
        <f t="shared" si="103"/>
        <v>8.1760000000000014E-4</v>
      </c>
      <c r="H321" s="145">
        <f>+F321/100000*'Bal Híd'!$G$4</f>
        <v>1.6829999999999998</v>
      </c>
      <c r="I321" s="145">
        <v>0</v>
      </c>
      <c r="J321" s="145">
        <f t="shared" ca="1" si="87"/>
        <v>3.1148852681949286</v>
      </c>
      <c r="K321" s="145">
        <f t="shared" ca="1" si="88"/>
        <v>165.75820594465227</v>
      </c>
      <c r="L321" s="145">
        <f t="shared" ca="1" si="89"/>
        <v>152.0528949924585</v>
      </c>
      <c r="M321" s="145">
        <f t="shared" ca="1" si="90"/>
        <v>3.0978542811007248</v>
      </c>
      <c r="N321" s="145">
        <f t="shared" ca="1" si="91"/>
        <v>3.0978542811007248</v>
      </c>
      <c r="O321" s="143">
        <f t="shared" ca="1" si="86"/>
        <v>165.17358017333996</v>
      </c>
      <c r="P321" s="145">
        <f t="shared" ca="1" si="92"/>
        <v>0</v>
      </c>
      <c r="Q321" s="145">
        <f t="shared" ca="1" si="93"/>
        <v>1.6829999999999998</v>
      </c>
      <c r="R321" s="592">
        <f t="shared" ca="1" si="94"/>
        <v>2.4278353966976969</v>
      </c>
      <c r="S321" s="311"/>
      <c r="T321" s="392">
        <f t="shared" si="95"/>
        <v>2007</v>
      </c>
      <c r="U321" s="392">
        <f t="shared" si="96"/>
        <v>2</v>
      </c>
      <c r="V321" s="311">
        <f t="shared" ca="1" si="97"/>
        <v>104.0048111640771</v>
      </c>
      <c r="W321" s="269" t="str">
        <f t="shared" ca="1" si="98"/>
        <v>||||||</v>
      </c>
      <c r="X321" s="269" t="str">
        <f t="shared" ca="1" si="99"/>
        <v>|||</v>
      </c>
      <c r="Y321" s="434" t="str">
        <f t="shared" ca="1" si="100"/>
        <v/>
      </c>
      <c r="Z321" s="269" t="str">
        <f t="shared" ca="1" si="101"/>
        <v>||||||||</v>
      </c>
      <c r="AA321" s="270" t="str">
        <f t="shared" ca="1" si="102"/>
        <v/>
      </c>
    </row>
    <row r="322" spans="1:27" x14ac:dyDescent="0.25">
      <c r="A322" s="140">
        <f>+'Esc 2'!A332</f>
        <v>2007</v>
      </c>
      <c r="B322" s="140">
        <f>+'Esc 2'!B332</f>
        <v>3</v>
      </c>
      <c r="C322" s="141">
        <f>+'Esc 2'!O332</f>
        <v>4.4355083714632766</v>
      </c>
      <c r="D322" s="140">
        <f>+'Esc 2'!D332</f>
        <v>277.7</v>
      </c>
      <c r="E322" s="147">
        <f t="shared" si="106"/>
        <v>118.64999999999999</v>
      </c>
      <c r="F322" s="146">
        <f t="shared" si="106"/>
        <v>47</v>
      </c>
      <c r="G322" s="144">
        <f t="shared" si="103"/>
        <v>1.5905000000000001E-3</v>
      </c>
      <c r="H322" s="145">
        <f>+F322/100000*'Bal Híd'!$G$4</f>
        <v>0.51700000000000002</v>
      </c>
      <c r="I322" s="145">
        <v>0</v>
      </c>
      <c r="J322" s="145">
        <f t="shared" ca="1" si="87"/>
        <v>7.016362652564001</v>
      </c>
      <c r="K322" s="145">
        <f t="shared" ca="1" si="88"/>
        <v>279.73673734881743</v>
      </c>
      <c r="L322" s="145">
        <f t="shared" ca="1" si="89"/>
        <v>222.45515876107868</v>
      </c>
      <c r="M322" s="145">
        <f t="shared" ca="1" si="90"/>
        <v>6.9950058263149586</v>
      </c>
      <c r="N322" s="145">
        <f t="shared" ca="1" si="91"/>
        <v>6.9950058263149586</v>
      </c>
      <c r="O322" s="143">
        <f t="shared" ca="1" si="86"/>
        <v>279.18771297023375</v>
      </c>
      <c r="P322" s="145">
        <f t="shared" ca="1" si="92"/>
        <v>0</v>
      </c>
      <c r="Q322" s="145">
        <f t="shared" ca="1" si="93"/>
        <v>0.51700000000000002</v>
      </c>
      <c r="R322" s="592">
        <f t="shared" ca="1" si="94"/>
        <v>4.4141515452142341</v>
      </c>
      <c r="S322" s="311"/>
      <c r="T322" s="392">
        <f t="shared" si="95"/>
        <v>2007</v>
      </c>
      <c r="U322" s="392">
        <f t="shared" si="96"/>
        <v>3</v>
      </c>
      <c r="V322" s="311">
        <f t="shared" ca="1" si="97"/>
        <v>105.77657848042132</v>
      </c>
      <c r="W322" s="269" t="str">
        <f t="shared" ca="1" si="98"/>
        <v>|||||||||</v>
      </c>
      <c r="X322" s="269" t="str">
        <f t="shared" ca="1" si="99"/>
        <v>|||||||||</v>
      </c>
      <c r="Y322" s="434" t="str">
        <f t="shared" ca="1" si="100"/>
        <v/>
      </c>
      <c r="Z322" s="269" t="str">
        <f t="shared" ca="1" si="101"/>
        <v>||</v>
      </c>
      <c r="AA322" s="270" t="str">
        <f t="shared" ca="1" si="102"/>
        <v/>
      </c>
    </row>
    <row r="323" spans="1:27" x14ac:dyDescent="0.25">
      <c r="A323" s="140">
        <f>+'Esc 2'!A333</f>
        <v>2007</v>
      </c>
      <c r="B323" s="140">
        <f>+'Esc 2'!B333</f>
        <v>4</v>
      </c>
      <c r="C323" s="141">
        <f>+'Esc 2'!O333</f>
        <v>2.1559300385696734</v>
      </c>
      <c r="D323" s="140">
        <f>+'Esc 2'!D333</f>
        <v>116.2</v>
      </c>
      <c r="E323" s="147">
        <f t="shared" si="106"/>
        <v>73.149999999999991</v>
      </c>
      <c r="F323" s="146">
        <f t="shared" si="106"/>
        <v>0</v>
      </c>
      <c r="G323" s="144">
        <f t="shared" si="103"/>
        <v>4.3050000000000011E-4</v>
      </c>
      <c r="H323" s="145">
        <f>+F323/100000*'Bal Híd'!$G$4</f>
        <v>0</v>
      </c>
      <c r="I323" s="145">
        <v>0</v>
      </c>
      <c r="J323" s="145">
        <f t="shared" ca="1" si="87"/>
        <v>9.150935864884632</v>
      </c>
      <c r="K323" s="145">
        <f t="shared" ca="1" si="88"/>
        <v>331.96159950889393</v>
      </c>
      <c r="L323" s="145">
        <f t="shared" ca="1" si="89"/>
        <v>305.57465623956386</v>
      </c>
      <c r="M323" s="145">
        <f t="shared" ca="1" si="90"/>
        <v>9.031992377813074</v>
      </c>
      <c r="N323" s="145">
        <f t="shared" ca="1" si="91"/>
        <v>7.6368477630678893</v>
      </c>
      <c r="O323" s="143">
        <f t="shared" ca="1" si="86"/>
        <v>295.43791936297487</v>
      </c>
      <c r="P323" s="145">
        <f t="shared" ca="1" si="92"/>
        <v>1.3951446147451847</v>
      </c>
      <c r="Q323" s="145">
        <f t="shared" ca="1" si="93"/>
        <v>0</v>
      </c>
      <c r="R323" s="592">
        <f t="shared" ca="1" si="94"/>
        <v>2.0369865514981149</v>
      </c>
      <c r="S323" s="311"/>
      <c r="T323" s="392">
        <f t="shared" si="95"/>
        <v>2007</v>
      </c>
      <c r="U323" s="392">
        <f t="shared" si="96"/>
        <v>4</v>
      </c>
      <c r="V323" s="311">
        <f t="shared" ca="1" si="97"/>
        <v>106</v>
      </c>
      <c r="W323" s="269" t="str">
        <f t="shared" ca="1" si="98"/>
        <v>||||||||||</v>
      </c>
      <c r="X323" s="269" t="str">
        <f t="shared" ca="1" si="99"/>
        <v>||||||||||</v>
      </c>
      <c r="Y323" s="434" t="str">
        <f t="shared" ca="1" si="100"/>
        <v/>
      </c>
      <c r="Z323" s="269" t="str">
        <f t="shared" ca="1" si="101"/>
        <v/>
      </c>
      <c r="AA323" s="270" t="str">
        <f t="shared" ca="1" si="102"/>
        <v>||||||</v>
      </c>
    </row>
    <row r="324" spans="1:27" x14ac:dyDescent="0.25">
      <c r="A324" s="140">
        <f>+'Esc 2'!A334</f>
        <v>2007</v>
      </c>
      <c r="B324" s="140">
        <f>+'Esc 2'!B334</f>
        <v>5</v>
      </c>
      <c r="C324" s="141">
        <f>+'Esc 2'!O334</f>
        <v>0.56471327673362115</v>
      </c>
      <c r="D324" s="140">
        <f>+'Esc 2'!D334</f>
        <v>24.2</v>
      </c>
      <c r="E324" s="147">
        <f t="shared" si="106"/>
        <v>51.24</v>
      </c>
      <c r="F324" s="146">
        <f t="shared" si="106"/>
        <v>0</v>
      </c>
      <c r="G324" s="144">
        <f t="shared" si="103"/>
        <v>-2.7040000000000001E-4</v>
      </c>
      <c r="H324" s="145">
        <f>+F324/100000*'Bal Híd'!$G$4</f>
        <v>0</v>
      </c>
      <c r="I324" s="145">
        <v>0</v>
      </c>
      <c r="J324" s="145">
        <f t="shared" ca="1" si="87"/>
        <v>8.2015610398015113</v>
      </c>
      <c r="K324" s="145">
        <f t="shared" ca="1" si="88"/>
        <v>309.33745734650859</v>
      </c>
      <c r="L324" s="145">
        <f t="shared" ca="1" si="89"/>
        <v>302.38768835474173</v>
      </c>
      <c r="M324" s="145">
        <f t="shared" ca="1" si="90"/>
        <v>8.0548667615948339</v>
      </c>
      <c r="N324" s="145">
        <f t="shared" ca="1" si="91"/>
        <v>7.6368477630678893</v>
      </c>
      <c r="O324" s="143">
        <f t="shared" ca="1" si="86"/>
        <v>295.43791936297487</v>
      </c>
      <c r="P324" s="145">
        <f t="shared" ca="1" si="92"/>
        <v>0.41801899852694469</v>
      </c>
      <c r="Q324" s="145">
        <f t="shared" ca="1" si="93"/>
        <v>0</v>
      </c>
      <c r="R324" s="592">
        <f t="shared" ca="1" si="94"/>
        <v>0.41801899852694341</v>
      </c>
      <c r="S324" s="311"/>
      <c r="T324" s="392">
        <f t="shared" si="95"/>
        <v>2007</v>
      </c>
      <c r="U324" s="392">
        <f t="shared" si="96"/>
        <v>5</v>
      </c>
      <c r="V324" s="311">
        <f t="shared" ca="1" si="97"/>
        <v>106</v>
      </c>
      <c r="W324" s="269" t="str">
        <f t="shared" ca="1" si="98"/>
        <v>||||||||||</v>
      </c>
      <c r="X324" s="269" t="str">
        <f t="shared" ca="1" si="99"/>
        <v>||||||||||</v>
      </c>
      <c r="Y324" s="434" t="str">
        <f t="shared" ca="1" si="100"/>
        <v/>
      </c>
      <c r="Z324" s="269" t="str">
        <f t="shared" ca="1" si="101"/>
        <v/>
      </c>
      <c r="AA324" s="270" t="str">
        <f t="shared" ca="1" si="102"/>
        <v>||</v>
      </c>
    </row>
    <row r="325" spans="1:27" x14ac:dyDescent="0.25">
      <c r="A325" s="140">
        <f>+'Esc 2'!A335</f>
        <v>2007</v>
      </c>
      <c r="B325" s="140">
        <f>+'Esc 2'!B335</f>
        <v>6</v>
      </c>
      <c r="C325" s="141">
        <f>+'Esc 2'!O335</f>
        <v>0.75375936521567566</v>
      </c>
      <c r="D325" s="140">
        <f>+'Esc 2'!D335</f>
        <v>67.599999999999994</v>
      </c>
      <c r="E325" s="147">
        <f t="shared" si="106"/>
        <v>41.019999999999996</v>
      </c>
      <c r="F325" s="146">
        <f t="shared" si="106"/>
        <v>0</v>
      </c>
      <c r="G325" s="144">
        <f t="shared" si="103"/>
        <v>2.6580000000000001E-4</v>
      </c>
      <c r="H325" s="145">
        <f>+F325/100000*'Bal Híd'!$G$4</f>
        <v>0</v>
      </c>
      <c r="I325" s="145">
        <v>0</v>
      </c>
      <c r="J325" s="145">
        <f t="shared" ca="1" si="87"/>
        <v>8.3906071282835644</v>
      </c>
      <c r="K325" s="145">
        <f t="shared" ca="1" si="88"/>
        <v>313.91382480143722</v>
      </c>
      <c r="L325" s="145">
        <f t="shared" ca="1" si="89"/>
        <v>304.67587208220607</v>
      </c>
      <c r="M325" s="145">
        <f t="shared" ca="1" si="90"/>
        <v>8.3842697119890168</v>
      </c>
      <c r="N325" s="145">
        <f t="shared" ca="1" si="91"/>
        <v>7.6368477630678893</v>
      </c>
      <c r="O325" s="143">
        <f t="shared" ca="1" si="86"/>
        <v>295.43791936297487</v>
      </c>
      <c r="P325" s="145">
        <f t="shared" ca="1" si="92"/>
        <v>0.74742194892112757</v>
      </c>
      <c r="Q325" s="145">
        <f t="shared" ca="1" si="93"/>
        <v>0</v>
      </c>
      <c r="R325" s="592">
        <f t="shared" ca="1" si="94"/>
        <v>0.74742194892112745</v>
      </c>
      <c r="S325" s="311"/>
      <c r="T325" s="392">
        <f t="shared" si="95"/>
        <v>2007</v>
      </c>
      <c r="U325" s="392">
        <f t="shared" si="96"/>
        <v>6</v>
      </c>
      <c r="V325" s="311">
        <f t="shared" ca="1" si="97"/>
        <v>106</v>
      </c>
      <c r="W325" s="269" t="str">
        <f t="shared" ca="1" si="98"/>
        <v>||||||||||</v>
      </c>
      <c r="X325" s="269" t="str">
        <f t="shared" ca="1" si="99"/>
        <v>||||||||||</v>
      </c>
      <c r="Y325" s="434" t="str">
        <f t="shared" ca="1" si="100"/>
        <v/>
      </c>
      <c r="Z325" s="269" t="str">
        <f t="shared" ca="1" si="101"/>
        <v/>
      </c>
      <c r="AA325" s="270" t="str">
        <f t="shared" ca="1" si="102"/>
        <v>|||</v>
      </c>
    </row>
    <row r="326" spans="1:27" x14ac:dyDescent="0.25">
      <c r="A326" s="140">
        <f>+'Esc 2'!A336</f>
        <v>2007</v>
      </c>
      <c r="B326" s="140">
        <f>+'Esc 2'!B336</f>
        <v>7</v>
      </c>
      <c r="C326" s="141">
        <f>+'Esc 2'!O336</f>
        <v>0.52477884448659573</v>
      </c>
      <c r="D326" s="140">
        <f>+'Esc 2'!D336</f>
        <v>40.6</v>
      </c>
      <c r="E326" s="147">
        <f t="shared" si="106"/>
        <v>50.819999999999993</v>
      </c>
      <c r="F326" s="146">
        <f t="shared" si="106"/>
        <v>0</v>
      </c>
      <c r="G326" s="144">
        <f t="shared" si="103"/>
        <v>-1.0219999999999992E-4</v>
      </c>
      <c r="H326" s="145">
        <f>+F326/100000*'Bal Híd'!$G$4</f>
        <v>0</v>
      </c>
      <c r="I326" s="145">
        <v>0</v>
      </c>
      <c r="J326" s="145">
        <f t="shared" ca="1" si="87"/>
        <v>8.161626607554485</v>
      </c>
      <c r="K326" s="145">
        <f t="shared" ca="1" si="88"/>
        <v>308.36595853215005</v>
      </c>
      <c r="L326" s="145">
        <f t="shared" ca="1" si="89"/>
        <v>301.90193894756248</v>
      </c>
      <c r="M326" s="145">
        <f t="shared" ca="1" si="90"/>
        <v>8.0705320200141326</v>
      </c>
      <c r="N326" s="145">
        <f t="shared" ca="1" si="91"/>
        <v>7.6368477630678893</v>
      </c>
      <c r="O326" s="143">
        <f t="shared" ca="1" si="86"/>
        <v>295.43791936297487</v>
      </c>
      <c r="P326" s="145">
        <f t="shared" ca="1" si="92"/>
        <v>0.43368425694624335</v>
      </c>
      <c r="Q326" s="145">
        <f t="shared" ca="1" si="93"/>
        <v>0</v>
      </c>
      <c r="R326" s="592">
        <f t="shared" ca="1" si="94"/>
        <v>0.43368425694624441</v>
      </c>
      <c r="S326" s="311"/>
      <c r="T326" s="392">
        <f t="shared" si="95"/>
        <v>2007</v>
      </c>
      <c r="U326" s="392">
        <f t="shared" si="96"/>
        <v>7</v>
      </c>
      <c r="V326" s="311">
        <f t="shared" ca="1" si="97"/>
        <v>106</v>
      </c>
      <c r="W326" s="269" t="str">
        <f t="shared" ca="1" si="98"/>
        <v>||||||||||</v>
      </c>
      <c r="X326" s="269" t="str">
        <f t="shared" ca="1" si="99"/>
        <v>||||||||||</v>
      </c>
      <c r="Y326" s="434" t="str">
        <f t="shared" ca="1" si="100"/>
        <v/>
      </c>
      <c r="Z326" s="269" t="str">
        <f t="shared" ca="1" si="101"/>
        <v/>
      </c>
      <c r="AA326" s="270" t="str">
        <f t="shared" ca="1" si="102"/>
        <v>||</v>
      </c>
    </row>
    <row r="327" spans="1:27" x14ac:dyDescent="0.25">
      <c r="A327" s="140">
        <f>+'Esc 2'!A337</f>
        <v>2007</v>
      </c>
      <c r="B327" s="140">
        <f>+'Esc 2'!B337</f>
        <v>8</v>
      </c>
      <c r="C327" s="141">
        <f>+'Esc 2'!O337</f>
        <v>1.3117120342468203</v>
      </c>
      <c r="D327" s="140">
        <f>+'Esc 2'!D337</f>
        <v>109.3</v>
      </c>
      <c r="E327" s="147">
        <f t="shared" si="106"/>
        <v>72.449999999999989</v>
      </c>
      <c r="F327" s="146">
        <f t="shared" si="106"/>
        <v>0</v>
      </c>
      <c r="G327" s="144">
        <f t="shared" si="103"/>
        <v>3.6850000000000007E-4</v>
      </c>
      <c r="H327" s="145">
        <f>+F327/100000*'Bal Híd'!$G$4</f>
        <v>0</v>
      </c>
      <c r="I327" s="145">
        <v>0</v>
      </c>
      <c r="J327" s="145">
        <f t="shared" ca="1" si="87"/>
        <v>8.9485597973147097</v>
      </c>
      <c r="K327" s="145">
        <f t="shared" ca="1" si="88"/>
        <v>327.21169335415118</v>
      </c>
      <c r="L327" s="145">
        <f t="shared" ca="1" si="89"/>
        <v>311.32480635856302</v>
      </c>
      <c r="M327" s="145">
        <f t="shared" ca="1" si="90"/>
        <v>8.9080097964197851</v>
      </c>
      <c r="N327" s="145">
        <f t="shared" ca="1" si="91"/>
        <v>7.6368477630678893</v>
      </c>
      <c r="O327" s="143">
        <f t="shared" ref="O327:O367" ca="1" si="107">+g_*N327^h_</f>
        <v>295.43791936297487</v>
      </c>
      <c r="P327" s="145">
        <f t="shared" ca="1" si="92"/>
        <v>1.2711620333518958</v>
      </c>
      <c r="Q327" s="145">
        <f t="shared" ca="1" si="93"/>
        <v>0</v>
      </c>
      <c r="R327" s="592">
        <f t="shared" ca="1" si="94"/>
        <v>1.2711620333518945</v>
      </c>
      <c r="S327" s="311"/>
      <c r="T327" s="392">
        <f t="shared" si="95"/>
        <v>2007</v>
      </c>
      <c r="U327" s="392">
        <f t="shared" si="96"/>
        <v>8</v>
      </c>
      <c r="V327" s="311">
        <f t="shared" ca="1" si="97"/>
        <v>106</v>
      </c>
      <c r="W327" s="269" t="str">
        <f t="shared" ca="1" si="98"/>
        <v>||||||||||</v>
      </c>
      <c r="X327" s="269" t="str">
        <f t="shared" ca="1" si="99"/>
        <v>||||||||||</v>
      </c>
      <c r="Y327" s="434" t="str">
        <f t="shared" ca="1" si="100"/>
        <v/>
      </c>
      <c r="Z327" s="269" t="str">
        <f t="shared" ca="1" si="101"/>
        <v/>
      </c>
      <c r="AA327" s="270" t="str">
        <f t="shared" ca="1" si="102"/>
        <v>||||||</v>
      </c>
    </row>
    <row r="328" spans="1:27" x14ac:dyDescent="0.25">
      <c r="A328" s="140">
        <f>+'Esc 2'!A338</f>
        <v>2007</v>
      </c>
      <c r="B328" s="140">
        <f>+'Esc 2'!B338</f>
        <v>9</v>
      </c>
      <c r="C328" s="141">
        <f>+'Esc 2'!O338</f>
        <v>1.5556878831701981</v>
      </c>
      <c r="D328" s="140">
        <f>+'Esc 2'!D338</f>
        <v>116.6</v>
      </c>
      <c r="E328" s="147">
        <f t="shared" si="106"/>
        <v>85.89</v>
      </c>
      <c r="F328" s="146">
        <f t="shared" si="106"/>
        <v>0</v>
      </c>
      <c r="G328" s="144">
        <f t="shared" si="103"/>
        <v>3.0709999999999993E-4</v>
      </c>
      <c r="H328" s="145">
        <f>+F328/100000*'Bal Híd'!$G$4</f>
        <v>0</v>
      </c>
      <c r="I328" s="145">
        <v>0</v>
      </c>
      <c r="J328" s="145">
        <f t="shared" ref="J328:J367" ca="1" si="108">+N327+C328-H328-I328</f>
        <v>9.1925356462380883</v>
      </c>
      <c r="K328" s="145">
        <f t="shared" ref="K328:K367" ca="1" si="109">+IF(J328&lt;0,0,g_*J328^h_)</f>
        <v>332.93332845084893</v>
      </c>
      <c r="L328" s="145">
        <f t="shared" ref="L328:L367" ca="1" si="110">+(K328+O327)/2</f>
        <v>314.18562390691193</v>
      </c>
      <c r="M328" s="145">
        <f t="shared" ref="M328:M367" ca="1" si="111">+N327+C328*(Ac-L328)/Ac+G328*L328-H328-I328</f>
        <v>9.1031761318804882</v>
      </c>
      <c r="N328" s="145">
        <f t="shared" ref="N328:N367" ca="1" si="112">+IF(M328&gt;VolHv,VolHv,IF(M328&lt;VolHt,VolHt,M328))</f>
        <v>7.6368477630678893</v>
      </c>
      <c r="O328" s="143">
        <f t="shared" ca="1" si="107"/>
        <v>295.43791936297487</v>
      </c>
      <c r="P328" s="145">
        <f t="shared" ref="P328:P367" ca="1" si="113">+IF(M328&gt;VolHv,M328-VolHv,0)</f>
        <v>1.466328368812599</v>
      </c>
      <c r="Q328" s="145">
        <f t="shared" ref="Q328:Q367" ca="1" si="114">+IF(M328&lt;VolHt,IF(H328&lt;(VolHt-M328),0,H328-(VolHt-M328)),H328)</f>
        <v>0</v>
      </c>
      <c r="R328" s="592">
        <f t="shared" ref="R328:R367" ca="1" si="115">+C328*(Ac-L328)/Ac+G328*L328</f>
        <v>1.4663283688125992</v>
      </c>
      <c r="S328" s="311"/>
      <c r="T328" s="392">
        <f t="shared" ref="T328:T367" si="116">+A328</f>
        <v>2007</v>
      </c>
      <c r="U328" s="392">
        <f t="shared" ref="U328:U367" si="117">+B328</f>
        <v>9</v>
      </c>
      <c r="V328" s="311">
        <f t="shared" ref="V328:V367" ca="1" si="118">+Hast+e_*N328^f_</f>
        <v>106</v>
      </c>
      <c r="W328" s="269" t="str">
        <f t="shared" ref="W328:W367" ca="1" si="119">+REPT("|",(V328-Ht)/(Hv-Ht)*10)</f>
        <v>||||||||||</v>
      </c>
      <c r="X328" s="269" t="str">
        <f t="shared" ref="X328:X367" ca="1" si="120">+REPT("|",(N328-VolHt)/(VolHv-VolHt)*10)</f>
        <v>||||||||||</v>
      </c>
      <c r="Y328" s="434" t="str">
        <f t="shared" ref="Y328:Y367" ca="1" si="121">+REPT("|",(H328-Q328)*$AA$4)</f>
        <v/>
      </c>
      <c r="Z328" s="269" t="str">
        <f t="shared" ref="Z328:Z367" ca="1" si="122">+REPT("|",Q328*$AA$4)</f>
        <v/>
      </c>
      <c r="AA328" s="270" t="str">
        <f t="shared" ref="AA328:AA367" ca="1" si="123">+REPT("|",P328*$AA$4)</f>
        <v>|||||||</v>
      </c>
    </row>
    <row r="329" spans="1:27" x14ac:dyDescent="0.25">
      <c r="A329" s="140">
        <f>+'Esc 2'!A339</f>
        <v>2007</v>
      </c>
      <c r="B329" s="140">
        <f>+'Esc 2'!B339</f>
        <v>10</v>
      </c>
      <c r="C329" s="141">
        <f>+'Esc 2'!O339</f>
        <v>3.4835128703473868</v>
      </c>
      <c r="D329" s="140">
        <f>+'Esc 2'!D339</f>
        <v>238.6</v>
      </c>
      <c r="E329" s="147">
        <f t="shared" si="106"/>
        <v>114.86999999999999</v>
      </c>
      <c r="F329" s="146">
        <f t="shared" si="106"/>
        <v>59</v>
      </c>
      <c r="G329" s="144">
        <f t="shared" si="103"/>
        <v>1.2373E-3</v>
      </c>
      <c r="H329" s="145">
        <f>+F329/100000*'Bal Híd'!$G$4</f>
        <v>0.64900000000000002</v>
      </c>
      <c r="I329" s="145">
        <v>0</v>
      </c>
      <c r="J329" s="145">
        <f t="shared" ca="1" si="108"/>
        <v>10.471360633415276</v>
      </c>
      <c r="K329" s="145">
        <f t="shared" ca="1" si="109"/>
        <v>362.08605126009758</v>
      </c>
      <c r="L329" s="145">
        <f t="shared" ca="1" si="110"/>
        <v>328.76198531153625</v>
      </c>
      <c r="M329" s="145">
        <f t="shared" ca="1" si="111"/>
        <v>10.442682854147819</v>
      </c>
      <c r="N329" s="145">
        <f t="shared" ca="1" si="112"/>
        <v>7.6368477630678893</v>
      </c>
      <c r="O329" s="143">
        <f t="shared" ca="1" si="107"/>
        <v>295.43791936297487</v>
      </c>
      <c r="P329" s="145">
        <f t="shared" ca="1" si="113"/>
        <v>2.8058350910799295</v>
      </c>
      <c r="Q329" s="145">
        <f t="shared" ca="1" si="114"/>
        <v>0.64900000000000002</v>
      </c>
      <c r="R329" s="592">
        <f t="shared" ca="1" si="115"/>
        <v>3.4548350910799304</v>
      </c>
      <c r="S329" s="311"/>
      <c r="T329" s="392">
        <f t="shared" si="116"/>
        <v>2007</v>
      </c>
      <c r="U329" s="392">
        <f t="shared" si="117"/>
        <v>10</v>
      </c>
      <c r="V329" s="311">
        <f t="shared" ca="1" si="118"/>
        <v>106</v>
      </c>
      <c r="W329" s="269" t="str">
        <f t="shared" ca="1" si="119"/>
        <v>||||||||||</v>
      </c>
      <c r="X329" s="269" t="str">
        <f t="shared" ca="1" si="120"/>
        <v>||||||||||</v>
      </c>
      <c r="Y329" s="434" t="str">
        <f t="shared" ca="1" si="121"/>
        <v/>
      </c>
      <c r="Z329" s="269" t="str">
        <f t="shared" ca="1" si="122"/>
        <v>|||</v>
      </c>
      <c r="AA329" s="270" t="str">
        <f t="shared" ca="1" si="123"/>
        <v>||||||||||||||</v>
      </c>
    </row>
    <row r="330" spans="1:27" x14ac:dyDescent="0.25">
      <c r="A330" s="140">
        <f>+'Esc 2'!A340</f>
        <v>2007</v>
      </c>
      <c r="B330" s="140">
        <f>+'Esc 2'!B340</f>
        <v>11</v>
      </c>
      <c r="C330" s="141">
        <f>+'Esc 2'!O340</f>
        <v>0.89744338873678209</v>
      </c>
      <c r="D330" s="140">
        <f>+'Esc 2'!D340</f>
        <v>29.7</v>
      </c>
      <c r="E330" s="147">
        <f t="shared" si="106"/>
        <v>144.06</v>
      </c>
      <c r="F330" s="146">
        <f t="shared" si="106"/>
        <v>212</v>
      </c>
      <c r="G330" s="144">
        <f t="shared" si="103"/>
        <v>-1.1436E-3</v>
      </c>
      <c r="H330" s="145">
        <f>+F330/100000*'Bal Híd'!$G$4</f>
        <v>2.3319999999999999</v>
      </c>
      <c r="I330" s="145">
        <v>0</v>
      </c>
      <c r="J330" s="145">
        <f t="shared" ca="1" si="108"/>
        <v>6.2022911518046717</v>
      </c>
      <c r="K330" s="145">
        <f t="shared" ca="1" si="109"/>
        <v>258.36483468648959</v>
      </c>
      <c r="L330" s="145">
        <f t="shared" ca="1" si="110"/>
        <v>276.90137702473226</v>
      </c>
      <c r="M330" s="145">
        <f t="shared" ca="1" si="111"/>
        <v>5.7911387864144901</v>
      </c>
      <c r="N330" s="145">
        <f t="shared" ca="1" si="112"/>
        <v>5.7911387864144901</v>
      </c>
      <c r="O330" s="143">
        <f t="shared" ca="1" si="107"/>
        <v>247.19331677379859</v>
      </c>
      <c r="P330" s="145">
        <f t="shared" ca="1" si="113"/>
        <v>0</v>
      </c>
      <c r="Q330" s="145">
        <f t="shared" ca="1" si="114"/>
        <v>2.3319999999999999</v>
      </c>
      <c r="R330" s="592">
        <f t="shared" ca="1" si="115"/>
        <v>0.4862910233465999</v>
      </c>
      <c r="S330" s="311"/>
      <c r="T330" s="392">
        <f t="shared" si="116"/>
        <v>2007</v>
      </c>
      <c r="U330" s="392">
        <f t="shared" si="117"/>
        <v>11</v>
      </c>
      <c r="V330" s="311">
        <f t="shared" ca="1" si="118"/>
        <v>105.31891283057189</v>
      </c>
      <c r="W330" s="269" t="str">
        <f t="shared" ca="1" si="119"/>
        <v>||||||||</v>
      </c>
      <c r="X330" s="269" t="str">
        <f t="shared" ca="1" si="120"/>
        <v>|||||||</v>
      </c>
      <c r="Y330" s="434" t="str">
        <f t="shared" ca="1" si="121"/>
        <v/>
      </c>
      <c r="Z330" s="269" t="str">
        <f t="shared" ca="1" si="122"/>
        <v>|||||||||||</v>
      </c>
      <c r="AA330" s="270" t="str">
        <f t="shared" ca="1" si="123"/>
        <v/>
      </c>
    </row>
    <row r="331" spans="1:27" x14ac:dyDescent="0.25">
      <c r="A331" s="140">
        <f>+'Esc 2'!A341</f>
        <v>2007</v>
      </c>
      <c r="B331" s="140">
        <f>+'Esc 2'!B341</f>
        <v>12</v>
      </c>
      <c r="C331" s="141">
        <f>+'Esc 2'!O341</f>
        <v>0.38543698511258301</v>
      </c>
      <c r="D331" s="140">
        <f>+'Esc 2'!D341</f>
        <v>68.8</v>
      </c>
      <c r="E331" s="147">
        <f t="shared" si="106"/>
        <v>179.62</v>
      </c>
      <c r="F331" s="146">
        <f t="shared" si="106"/>
        <v>388</v>
      </c>
      <c r="G331" s="144">
        <f t="shared" si="103"/>
        <v>-1.1082000000000002E-3</v>
      </c>
      <c r="H331" s="145">
        <f>+F331/100000*'Bal Híd'!$G$4</f>
        <v>4.2679999999999998</v>
      </c>
      <c r="I331" s="145">
        <v>0</v>
      </c>
      <c r="J331" s="145">
        <f t="shared" ca="1" si="108"/>
        <v>1.9085757715270733</v>
      </c>
      <c r="K331" s="145">
        <f t="shared" ca="1" si="109"/>
        <v>120.88758792990824</v>
      </c>
      <c r="L331" s="145">
        <f t="shared" ca="1" si="110"/>
        <v>184.04045235185342</v>
      </c>
      <c r="M331" s="145">
        <f t="shared" ca="1" si="111"/>
        <v>1.6776502802181055</v>
      </c>
      <c r="N331" s="145">
        <f t="shared" ca="1" si="112"/>
        <v>1.6776502802181055</v>
      </c>
      <c r="O331" s="143">
        <f t="shared" ca="1" si="107"/>
        <v>111.24691114433512</v>
      </c>
      <c r="P331" s="145">
        <f t="shared" ca="1" si="113"/>
        <v>0</v>
      </c>
      <c r="Q331" s="145">
        <f t="shared" ca="1" si="114"/>
        <v>4.2679999999999998</v>
      </c>
      <c r="R331" s="592">
        <f t="shared" ca="1" si="115"/>
        <v>0.15451149380361479</v>
      </c>
      <c r="S331" s="311"/>
      <c r="T331" s="392">
        <f t="shared" si="116"/>
        <v>2007</v>
      </c>
      <c r="U331" s="392">
        <f t="shared" si="117"/>
        <v>12</v>
      </c>
      <c r="V331" s="311">
        <f t="shared" ca="1" si="118"/>
        <v>102.97130970396132</v>
      </c>
      <c r="W331" s="269" t="str">
        <f t="shared" ca="1" si="119"/>
        <v>||||</v>
      </c>
      <c r="X331" s="269" t="str">
        <f t="shared" ca="1" si="120"/>
        <v>||</v>
      </c>
      <c r="Y331" s="434" t="str">
        <f t="shared" ca="1" si="121"/>
        <v/>
      </c>
      <c r="Z331" s="269" t="str">
        <f t="shared" ca="1" si="122"/>
        <v>|||||||||||||||||||||</v>
      </c>
      <c r="AA331" s="270" t="str">
        <f t="shared" ca="1" si="123"/>
        <v/>
      </c>
    </row>
    <row r="332" spans="1:27" x14ac:dyDescent="0.25">
      <c r="A332" s="140">
        <f>+'Esc 2'!A342</f>
        <v>2008</v>
      </c>
      <c r="B332" s="140">
        <f>+'Esc 2'!B342</f>
        <v>1</v>
      </c>
      <c r="C332" s="141">
        <f>+'Esc 2'!O342</f>
        <v>0.33759697609359379</v>
      </c>
      <c r="D332" s="140">
        <f>+'Esc 2'!D342</f>
        <v>61.8</v>
      </c>
      <c r="E332" s="147">
        <f t="shared" si="106"/>
        <v>176.89</v>
      </c>
      <c r="F332" s="146">
        <f t="shared" si="106"/>
        <v>318</v>
      </c>
      <c r="G332" s="144">
        <f t="shared" si="103"/>
        <v>-1.1508999999999998E-3</v>
      </c>
      <c r="H332" s="145">
        <f>+F332/100000*'Bal Híd'!$G$4</f>
        <v>3.4980000000000002</v>
      </c>
      <c r="I332" s="145">
        <v>0</v>
      </c>
      <c r="J332" s="145">
        <f t="shared" ca="1" si="108"/>
        <v>-1.4827527436883008</v>
      </c>
      <c r="K332" s="145">
        <f t="shared" ca="1" si="109"/>
        <v>0</v>
      </c>
      <c r="L332" s="145">
        <f t="shared" ca="1" si="110"/>
        <v>55.623455572167558</v>
      </c>
      <c r="M332" s="145">
        <f t="shared" ca="1" si="111"/>
        <v>-1.5539098206838904</v>
      </c>
      <c r="N332" s="145">
        <f t="shared" ca="1" si="112"/>
        <v>0.14364725252241328</v>
      </c>
      <c r="O332" s="143">
        <f t="shared" ca="1" si="107"/>
        <v>22.824988701237128</v>
      </c>
      <c r="P332" s="145">
        <f t="shared" ca="1" si="113"/>
        <v>0</v>
      </c>
      <c r="Q332" s="145">
        <f t="shared" ca="1" si="114"/>
        <v>1.8004429267936966</v>
      </c>
      <c r="R332" s="592">
        <f t="shared" ca="1" si="115"/>
        <v>0.26643989909800436</v>
      </c>
      <c r="S332" s="311"/>
      <c r="T332" s="392">
        <f t="shared" si="116"/>
        <v>2008</v>
      </c>
      <c r="U332" s="392">
        <f t="shared" si="117"/>
        <v>1</v>
      </c>
      <c r="V332" s="311">
        <f t="shared" ca="1" si="118"/>
        <v>100.5</v>
      </c>
      <c r="W332" s="269" t="str">
        <f t="shared" ca="1" si="119"/>
        <v/>
      </c>
      <c r="X332" s="269" t="str">
        <f t="shared" ca="1" si="120"/>
        <v/>
      </c>
      <c r="Y332" s="434" t="str">
        <f t="shared" ca="1" si="121"/>
        <v>||||||||</v>
      </c>
      <c r="Z332" s="269" t="str">
        <f t="shared" ca="1" si="122"/>
        <v>|||||||||</v>
      </c>
      <c r="AA332" s="270" t="str">
        <f t="shared" ca="1" si="123"/>
        <v/>
      </c>
    </row>
    <row r="333" spans="1:27" x14ac:dyDescent="0.25">
      <c r="A333" s="140">
        <f>+'Esc 2'!A343</f>
        <v>2008</v>
      </c>
      <c r="B333" s="140">
        <f>+'Esc 2'!B343</f>
        <v>2</v>
      </c>
      <c r="C333" s="141">
        <f>+'Esc 2'!O343</f>
        <v>0.55685887798099354</v>
      </c>
      <c r="D333" s="140">
        <f>+'Esc 2'!D343</f>
        <v>82.8</v>
      </c>
      <c r="E333" s="147">
        <f t="shared" ref="E333:F352" si="124">+E321</f>
        <v>131.73999999999998</v>
      </c>
      <c r="F333" s="146">
        <f t="shared" si="124"/>
        <v>153</v>
      </c>
      <c r="G333" s="144">
        <f t="shared" si="103"/>
        <v>-4.8939999999999986E-4</v>
      </c>
      <c r="H333" s="145">
        <f>+F333/100000*'Bal Híd'!$G$4</f>
        <v>1.6829999999999998</v>
      </c>
      <c r="I333" s="145">
        <v>0</v>
      </c>
      <c r="J333" s="145">
        <f t="shared" ca="1" si="108"/>
        <v>-0.98249386949659301</v>
      </c>
      <c r="K333" s="145">
        <f t="shared" ca="1" si="109"/>
        <v>0</v>
      </c>
      <c r="L333" s="145">
        <f t="shared" ca="1" si="110"/>
        <v>11.412494350618564</v>
      </c>
      <c r="M333" s="145">
        <f t="shared" ca="1" si="111"/>
        <v>-0.9904955506192572</v>
      </c>
      <c r="N333" s="145">
        <f t="shared" ca="1" si="112"/>
        <v>0.14364725252241328</v>
      </c>
      <c r="O333" s="143">
        <f t="shared" ca="1" si="107"/>
        <v>22.824988701237128</v>
      </c>
      <c r="P333" s="145">
        <f t="shared" ca="1" si="113"/>
        <v>0</v>
      </c>
      <c r="Q333" s="145">
        <f t="shared" ca="1" si="114"/>
        <v>0.54885719685832934</v>
      </c>
      <c r="R333" s="592">
        <f t="shared" ca="1" si="115"/>
        <v>0.54885719685832934</v>
      </c>
      <c r="S333" s="311"/>
      <c r="T333" s="392">
        <f t="shared" si="116"/>
        <v>2008</v>
      </c>
      <c r="U333" s="392">
        <f t="shared" si="117"/>
        <v>2</v>
      </c>
      <c r="V333" s="311">
        <f t="shared" ca="1" si="118"/>
        <v>100.5</v>
      </c>
      <c r="W333" s="269" t="str">
        <f t="shared" ca="1" si="119"/>
        <v/>
      </c>
      <c r="X333" s="269" t="str">
        <f t="shared" ca="1" si="120"/>
        <v/>
      </c>
      <c r="Y333" s="434" t="str">
        <f t="shared" ca="1" si="121"/>
        <v>|||||</v>
      </c>
      <c r="Z333" s="269" t="str">
        <f t="shared" ca="1" si="122"/>
        <v>||</v>
      </c>
      <c r="AA333" s="270" t="str">
        <f t="shared" ca="1" si="123"/>
        <v/>
      </c>
    </row>
    <row r="334" spans="1:27" x14ac:dyDescent="0.25">
      <c r="A334" s="140">
        <f>+'Esc 2'!A344</f>
        <v>2008</v>
      </c>
      <c r="B334" s="140">
        <f>+'Esc 2'!B344</f>
        <v>3</v>
      </c>
      <c r="C334" s="141">
        <f>+'Esc 2'!O344</f>
        <v>0.61740377875672092</v>
      </c>
      <c r="D334" s="140">
        <f>+'Esc 2'!D344</f>
        <v>75.3</v>
      </c>
      <c r="E334" s="147">
        <f t="shared" si="124"/>
        <v>118.64999999999999</v>
      </c>
      <c r="F334" s="146">
        <f t="shared" si="124"/>
        <v>47</v>
      </c>
      <c r="G334" s="144">
        <f t="shared" si="103"/>
        <v>-4.3349999999999997E-4</v>
      </c>
      <c r="H334" s="145">
        <f>+F334/100000*'Bal Híd'!$G$4</f>
        <v>0.51700000000000002</v>
      </c>
      <c r="I334" s="145">
        <v>0</v>
      </c>
      <c r="J334" s="145">
        <f t="shared" ca="1" si="108"/>
        <v>0.24405103127913419</v>
      </c>
      <c r="K334" s="145">
        <f t="shared" ca="1" si="109"/>
        <v>32.118096687856244</v>
      </c>
      <c r="L334" s="145">
        <f t="shared" ca="1" si="110"/>
        <v>27.471542694546685</v>
      </c>
      <c r="M334" s="145">
        <f t="shared" ca="1" si="111"/>
        <v>0.22569305506177451</v>
      </c>
      <c r="N334" s="145">
        <f t="shared" ca="1" si="112"/>
        <v>0.22569305506177451</v>
      </c>
      <c r="O334" s="143">
        <f t="shared" ca="1" si="107"/>
        <v>30.539579648883727</v>
      </c>
      <c r="P334" s="145">
        <f t="shared" ca="1" si="113"/>
        <v>0</v>
      </c>
      <c r="Q334" s="145">
        <f t="shared" ca="1" si="114"/>
        <v>0.51700000000000002</v>
      </c>
      <c r="R334" s="592">
        <f t="shared" ca="1" si="115"/>
        <v>0.59904580253936124</v>
      </c>
      <c r="S334" s="311"/>
      <c r="T334" s="392">
        <f t="shared" si="116"/>
        <v>2008</v>
      </c>
      <c r="U334" s="392">
        <f t="shared" si="117"/>
        <v>3</v>
      </c>
      <c r="V334" s="311">
        <f t="shared" ca="1" si="118"/>
        <v>100.80845991908154</v>
      </c>
      <c r="W334" s="269" t="str">
        <f t="shared" ca="1" si="119"/>
        <v/>
      </c>
      <c r="X334" s="269" t="str">
        <f t="shared" ca="1" si="120"/>
        <v/>
      </c>
      <c r="Y334" s="434" t="str">
        <f t="shared" ca="1" si="121"/>
        <v/>
      </c>
      <c r="Z334" s="269" t="str">
        <f t="shared" ca="1" si="122"/>
        <v>||</v>
      </c>
      <c r="AA334" s="270" t="str">
        <f t="shared" ca="1" si="123"/>
        <v/>
      </c>
    </row>
    <row r="335" spans="1:27" x14ac:dyDescent="0.25">
      <c r="A335" s="140">
        <f>+'Esc 2'!A345</f>
        <v>2008</v>
      </c>
      <c r="B335" s="140">
        <f>+'Esc 2'!B345</f>
        <v>4</v>
      </c>
      <c r="C335" s="141">
        <f>+'Esc 2'!O345</f>
        <v>1.5521319418630715</v>
      </c>
      <c r="D335" s="140">
        <f>+'Esc 2'!D345</f>
        <v>128.1</v>
      </c>
      <c r="E335" s="147">
        <f t="shared" si="124"/>
        <v>73.149999999999991</v>
      </c>
      <c r="F335" s="146">
        <f t="shared" si="124"/>
        <v>0</v>
      </c>
      <c r="G335" s="144">
        <f t="shared" si="103"/>
        <v>5.4950000000000008E-4</v>
      </c>
      <c r="H335" s="145">
        <f>+F335/100000*'Bal Híd'!$G$4</f>
        <v>0</v>
      </c>
      <c r="I335" s="145">
        <v>0</v>
      </c>
      <c r="J335" s="145">
        <f t="shared" ca="1" si="108"/>
        <v>1.7778249969248461</v>
      </c>
      <c r="K335" s="145">
        <f t="shared" ca="1" si="109"/>
        <v>115.48347127246096</v>
      </c>
      <c r="L335" s="145">
        <f t="shared" ca="1" si="110"/>
        <v>73.011525460672345</v>
      </c>
      <c r="M335" s="145">
        <f t="shared" ca="1" si="111"/>
        <v>1.7748560389899501</v>
      </c>
      <c r="N335" s="145">
        <f t="shared" ca="1" si="112"/>
        <v>1.7748560389899501</v>
      </c>
      <c r="O335" s="143">
        <f t="shared" ca="1" si="107"/>
        <v>115.35914982818545</v>
      </c>
      <c r="P335" s="145">
        <f t="shared" ca="1" si="113"/>
        <v>0</v>
      </c>
      <c r="Q335" s="145">
        <f t="shared" ca="1" si="114"/>
        <v>0</v>
      </c>
      <c r="R335" s="592">
        <f t="shared" ca="1" si="115"/>
        <v>1.5491629839281755</v>
      </c>
      <c r="S335" s="311"/>
      <c r="T335" s="392">
        <f t="shared" si="116"/>
        <v>2008</v>
      </c>
      <c r="U335" s="392">
        <f t="shared" si="117"/>
        <v>4</v>
      </c>
      <c r="V335" s="311">
        <f t="shared" ca="1" si="118"/>
        <v>103.05710665235213</v>
      </c>
      <c r="W335" s="269" t="str">
        <f t="shared" ca="1" si="119"/>
        <v>||||</v>
      </c>
      <c r="X335" s="269" t="str">
        <f t="shared" ca="1" si="120"/>
        <v>||</v>
      </c>
      <c r="Y335" s="434" t="str">
        <f t="shared" ca="1" si="121"/>
        <v/>
      </c>
      <c r="Z335" s="269" t="str">
        <f t="shared" ca="1" si="122"/>
        <v/>
      </c>
      <c r="AA335" s="270" t="str">
        <f t="shared" ca="1" si="123"/>
        <v/>
      </c>
    </row>
    <row r="336" spans="1:27" x14ac:dyDescent="0.25">
      <c r="A336" s="140">
        <f>+'Esc 2'!A346</f>
        <v>2008</v>
      </c>
      <c r="B336" s="140">
        <f>+'Esc 2'!B346</f>
        <v>5</v>
      </c>
      <c r="C336" s="141">
        <f>+'Esc 2'!O346</f>
        <v>0.83967172951887992</v>
      </c>
      <c r="D336" s="140">
        <f>+'Esc 2'!D346</f>
        <v>52.5</v>
      </c>
      <c r="E336" s="147">
        <f t="shared" si="124"/>
        <v>51.24</v>
      </c>
      <c r="F336" s="146">
        <f t="shared" si="124"/>
        <v>0</v>
      </c>
      <c r="G336" s="144">
        <f t="shared" ref="G336:G367" si="125">+(D336-E336)/100000</f>
        <v>1.2599999999999979E-5</v>
      </c>
      <c r="H336" s="145">
        <f>+F336/100000*'Bal Híd'!$G$4</f>
        <v>0</v>
      </c>
      <c r="I336" s="145">
        <v>0</v>
      </c>
      <c r="J336" s="145">
        <f t="shared" ca="1" si="108"/>
        <v>2.6145277685088302</v>
      </c>
      <c r="K336" s="145">
        <f t="shared" ca="1" si="109"/>
        <v>148.06969716260275</v>
      </c>
      <c r="L336" s="145">
        <f t="shared" ca="1" si="110"/>
        <v>131.7144234953941</v>
      </c>
      <c r="M336" s="145">
        <f t="shared" ca="1" si="111"/>
        <v>2.5741353254619974</v>
      </c>
      <c r="N336" s="145">
        <f t="shared" ca="1" si="112"/>
        <v>2.5741353254619974</v>
      </c>
      <c r="O336" s="143">
        <f t="shared" ca="1" si="107"/>
        <v>146.59142370457596</v>
      </c>
      <c r="P336" s="145">
        <f t="shared" ca="1" si="113"/>
        <v>0</v>
      </c>
      <c r="Q336" s="145">
        <f t="shared" ca="1" si="114"/>
        <v>0</v>
      </c>
      <c r="R336" s="592">
        <f t="shared" ca="1" si="115"/>
        <v>0.79927928647204749</v>
      </c>
      <c r="S336" s="311"/>
      <c r="T336" s="392">
        <f t="shared" si="116"/>
        <v>2008</v>
      </c>
      <c r="U336" s="392">
        <f t="shared" si="117"/>
        <v>5</v>
      </c>
      <c r="V336" s="311">
        <f t="shared" ca="1" si="118"/>
        <v>103.66866224223924</v>
      </c>
      <c r="W336" s="269" t="str">
        <f t="shared" ca="1" si="119"/>
        <v>|||||</v>
      </c>
      <c r="X336" s="269" t="str">
        <f t="shared" ca="1" si="120"/>
        <v>|||</v>
      </c>
      <c r="Y336" s="434" t="str">
        <f t="shared" ca="1" si="121"/>
        <v/>
      </c>
      <c r="Z336" s="269" t="str">
        <f t="shared" ca="1" si="122"/>
        <v/>
      </c>
      <c r="AA336" s="270" t="str">
        <f t="shared" ca="1" si="123"/>
        <v/>
      </c>
    </row>
    <row r="337" spans="1:27" x14ac:dyDescent="0.25">
      <c r="A337" s="140">
        <f>+'Esc 2'!A347</f>
        <v>2008</v>
      </c>
      <c r="B337" s="140">
        <f>+'Esc 2'!B347</f>
        <v>6</v>
      </c>
      <c r="C337" s="141">
        <f>+'Esc 2'!O347</f>
        <v>1.5530036263473679</v>
      </c>
      <c r="D337" s="140">
        <f>+'Esc 2'!D347</f>
        <v>107.1</v>
      </c>
      <c r="E337" s="147">
        <f t="shared" si="124"/>
        <v>41.019999999999996</v>
      </c>
      <c r="F337" s="146">
        <f t="shared" si="124"/>
        <v>0</v>
      </c>
      <c r="G337" s="144">
        <f t="shared" si="125"/>
        <v>6.6080000000000002E-4</v>
      </c>
      <c r="H337" s="145">
        <f>+F337/100000*'Bal Híd'!$G$4</f>
        <v>0</v>
      </c>
      <c r="I337" s="145">
        <v>0</v>
      </c>
      <c r="J337" s="145">
        <f t="shared" ca="1" si="108"/>
        <v>4.1271389518093651</v>
      </c>
      <c r="K337" s="145">
        <f t="shared" ca="1" si="109"/>
        <v>198.71473918037796</v>
      </c>
      <c r="L337" s="145">
        <f t="shared" ca="1" si="110"/>
        <v>172.65308144247695</v>
      </c>
      <c r="M337" s="145">
        <f t="shared" ca="1" si="111"/>
        <v>4.1392772100873092</v>
      </c>
      <c r="N337" s="145">
        <f t="shared" ca="1" si="112"/>
        <v>4.1392772100873092</v>
      </c>
      <c r="O337" s="143">
        <f t="shared" ca="1" si="107"/>
        <v>199.0911765174076</v>
      </c>
      <c r="P337" s="145">
        <f t="shared" ca="1" si="113"/>
        <v>0</v>
      </c>
      <c r="Q337" s="145">
        <f t="shared" ca="1" si="114"/>
        <v>0</v>
      </c>
      <c r="R337" s="592">
        <f t="shared" ca="1" si="115"/>
        <v>1.565141884625312</v>
      </c>
      <c r="S337" s="311"/>
      <c r="T337" s="392">
        <f t="shared" si="116"/>
        <v>2008</v>
      </c>
      <c r="U337" s="392">
        <f t="shared" si="117"/>
        <v>6</v>
      </c>
      <c r="V337" s="311">
        <f t="shared" ca="1" si="118"/>
        <v>104.57734896638338</v>
      </c>
      <c r="W337" s="269" t="str">
        <f t="shared" ca="1" si="119"/>
        <v>|||||||</v>
      </c>
      <c r="X337" s="269" t="str">
        <f t="shared" ca="1" si="120"/>
        <v>|||||</v>
      </c>
      <c r="Y337" s="434" t="str">
        <f t="shared" ca="1" si="121"/>
        <v/>
      </c>
      <c r="Z337" s="269" t="str">
        <f t="shared" ca="1" si="122"/>
        <v/>
      </c>
      <c r="AA337" s="270" t="str">
        <f t="shared" ca="1" si="123"/>
        <v/>
      </c>
    </row>
    <row r="338" spans="1:27" x14ac:dyDescent="0.25">
      <c r="A338" s="140">
        <f>+'Esc 2'!A348</f>
        <v>2008</v>
      </c>
      <c r="B338" s="140">
        <f>+'Esc 2'!B348</f>
        <v>7</v>
      </c>
      <c r="C338" s="141">
        <f>+'Esc 2'!O348</f>
        <v>2.2399470660624541</v>
      </c>
      <c r="D338" s="140">
        <f>+'Esc 2'!D348</f>
        <v>127.3</v>
      </c>
      <c r="E338" s="147">
        <f t="shared" si="124"/>
        <v>50.819999999999993</v>
      </c>
      <c r="F338" s="146">
        <f t="shared" si="124"/>
        <v>0</v>
      </c>
      <c r="G338" s="144">
        <f t="shared" si="125"/>
        <v>7.6480000000000005E-4</v>
      </c>
      <c r="H338" s="145">
        <f>+F338/100000*'Bal Híd'!$G$4</f>
        <v>0</v>
      </c>
      <c r="I338" s="145">
        <v>0</v>
      </c>
      <c r="J338" s="145">
        <f t="shared" ca="1" si="108"/>
        <v>6.3792242761497633</v>
      </c>
      <c r="K338" s="145">
        <f t="shared" ca="1" si="109"/>
        <v>263.09082121435699</v>
      </c>
      <c r="L338" s="145">
        <f t="shared" ca="1" si="110"/>
        <v>231.09099886588228</v>
      </c>
      <c r="M338" s="145">
        <f t="shared" ca="1" si="111"/>
        <v>6.3591445713587875</v>
      </c>
      <c r="N338" s="145">
        <f t="shared" ca="1" si="112"/>
        <v>6.3591445713587875</v>
      </c>
      <c r="O338" s="143">
        <f t="shared" ca="1" si="107"/>
        <v>262.55684658873042</v>
      </c>
      <c r="P338" s="145">
        <f t="shared" ca="1" si="113"/>
        <v>0</v>
      </c>
      <c r="Q338" s="145">
        <f t="shared" ca="1" si="114"/>
        <v>0</v>
      </c>
      <c r="R338" s="592">
        <f t="shared" ca="1" si="115"/>
        <v>2.2198673612714783</v>
      </c>
      <c r="S338" s="311"/>
      <c r="T338" s="392">
        <f t="shared" si="116"/>
        <v>2008</v>
      </c>
      <c r="U338" s="392">
        <f t="shared" si="117"/>
        <v>7</v>
      </c>
      <c r="V338" s="311">
        <f t="shared" ca="1" si="118"/>
        <v>105.54179962871206</v>
      </c>
      <c r="W338" s="269" t="str">
        <f t="shared" ca="1" si="119"/>
        <v>|||||||||</v>
      </c>
      <c r="X338" s="269" t="str">
        <f t="shared" ca="1" si="120"/>
        <v>||||||||</v>
      </c>
      <c r="Y338" s="434" t="str">
        <f t="shared" ca="1" si="121"/>
        <v/>
      </c>
      <c r="Z338" s="269" t="str">
        <f t="shared" ca="1" si="122"/>
        <v/>
      </c>
      <c r="AA338" s="270" t="str">
        <f t="shared" ca="1" si="123"/>
        <v/>
      </c>
    </row>
    <row r="339" spans="1:27" x14ac:dyDescent="0.25">
      <c r="A339" s="140">
        <f>+'Esc 2'!A349</f>
        <v>2008</v>
      </c>
      <c r="B339" s="140">
        <f>+'Esc 2'!B349</f>
        <v>8</v>
      </c>
      <c r="C339" s="141">
        <f>+'Esc 2'!O349</f>
        <v>1.4351137448071876</v>
      </c>
      <c r="D339" s="140">
        <f>+'Esc 2'!D349</f>
        <v>83.8</v>
      </c>
      <c r="E339" s="147">
        <f t="shared" si="124"/>
        <v>72.449999999999989</v>
      </c>
      <c r="F339" s="146">
        <f t="shared" si="124"/>
        <v>0</v>
      </c>
      <c r="G339" s="144">
        <f t="shared" si="125"/>
        <v>1.1350000000000009E-4</v>
      </c>
      <c r="H339" s="145">
        <f>+F339/100000*'Bal Híd'!$G$4</f>
        <v>0</v>
      </c>
      <c r="I339" s="145">
        <v>0</v>
      </c>
      <c r="J339" s="145">
        <f t="shared" ca="1" si="108"/>
        <v>7.7942583161659753</v>
      </c>
      <c r="K339" s="145">
        <f t="shared" ca="1" si="109"/>
        <v>299.3480246986889</v>
      </c>
      <c r="L339" s="145">
        <f t="shared" ca="1" si="110"/>
        <v>280.95243564370969</v>
      </c>
      <c r="M339" s="145">
        <f t="shared" ca="1" si="111"/>
        <v>7.6728389263456256</v>
      </c>
      <c r="N339" s="145">
        <f t="shared" ca="1" si="112"/>
        <v>7.6368477630678893</v>
      </c>
      <c r="O339" s="143">
        <f t="shared" ca="1" si="107"/>
        <v>295.43791936297487</v>
      </c>
      <c r="P339" s="145">
        <f t="shared" ca="1" si="113"/>
        <v>3.5991163277736327E-2</v>
      </c>
      <c r="Q339" s="145">
        <f t="shared" ca="1" si="114"/>
        <v>0</v>
      </c>
      <c r="R339" s="592">
        <f t="shared" ca="1" si="115"/>
        <v>1.3136943549868383</v>
      </c>
      <c r="S339" s="311"/>
      <c r="T339" s="392">
        <f t="shared" si="116"/>
        <v>2008</v>
      </c>
      <c r="U339" s="392">
        <f t="shared" si="117"/>
        <v>8</v>
      </c>
      <c r="V339" s="311">
        <f t="shared" ca="1" si="118"/>
        <v>106</v>
      </c>
      <c r="W339" s="269" t="str">
        <f t="shared" ca="1" si="119"/>
        <v>||||||||||</v>
      </c>
      <c r="X339" s="269" t="str">
        <f t="shared" ca="1" si="120"/>
        <v>||||||||||</v>
      </c>
      <c r="Y339" s="434" t="str">
        <f t="shared" ca="1" si="121"/>
        <v/>
      </c>
      <c r="Z339" s="269" t="str">
        <f t="shared" ca="1" si="122"/>
        <v/>
      </c>
      <c r="AA339" s="270" t="str">
        <f t="shared" ca="1" si="123"/>
        <v/>
      </c>
    </row>
    <row r="340" spans="1:27" x14ac:dyDescent="0.25">
      <c r="A340" s="140">
        <f>+'Esc 2'!A350</f>
        <v>2008</v>
      </c>
      <c r="B340" s="140">
        <f>+'Esc 2'!B350</f>
        <v>9</v>
      </c>
      <c r="C340" s="141">
        <f>+'Esc 2'!O350</f>
        <v>0.84634856841611517</v>
      </c>
      <c r="D340" s="140">
        <f>+'Esc 2'!D350</f>
        <v>70.7</v>
      </c>
      <c r="E340" s="147">
        <f t="shared" si="124"/>
        <v>85.89</v>
      </c>
      <c r="F340" s="146">
        <f t="shared" si="124"/>
        <v>0</v>
      </c>
      <c r="G340" s="144">
        <f t="shared" si="125"/>
        <v>-1.5189999999999998E-4</v>
      </c>
      <c r="H340" s="145">
        <f>+F340/100000*'Bal Híd'!$G$4</f>
        <v>0</v>
      </c>
      <c r="I340" s="145">
        <v>0</v>
      </c>
      <c r="J340" s="145">
        <f t="shared" ca="1" si="108"/>
        <v>8.4831963314840042</v>
      </c>
      <c r="K340" s="145">
        <f t="shared" ca="1" si="109"/>
        <v>316.1418031617431</v>
      </c>
      <c r="L340" s="145">
        <f t="shared" ca="1" si="110"/>
        <v>305.78986126235895</v>
      </c>
      <c r="M340" s="145">
        <f t="shared" ca="1" si="111"/>
        <v>8.3383419803356063</v>
      </c>
      <c r="N340" s="145">
        <f t="shared" ca="1" si="112"/>
        <v>7.6368477630678893</v>
      </c>
      <c r="O340" s="143">
        <f t="shared" ca="1" si="107"/>
        <v>295.43791936297487</v>
      </c>
      <c r="P340" s="145">
        <f t="shared" ca="1" si="113"/>
        <v>0.70149421726771699</v>
      </c>
      <c r="Q340" s="145">
        <f t="shared" ca="1" si="114"/>
        <v>0</v>
      </c>
      <c r="R340" s="592">
        <f t="shared" ca="1" si="115"/>
        <v>0.70149421726771644</v>
      </c>
      <c r="S340" s="311"/>
      <c r="T340" s="392">
        <f t="shared" si="116"/>
        <v>2008</v>
      </c>
      <c r="U340" s="392">
        <f t="shared" si="117"/>
        <v>9</v>
      </c>
      <c r="V340" s="311">
        <f t="shared" ca="1" si="118"/>
        <v>106</v>
      </c>
      <c r="W340" s="269" t="str">
        <f t="shared" ca="1" si="119"/>
        <v>||||||||||</v>
      </c>
      <c r="X340" s="269" t="str">
        <f t="shared" ca="1" si="120"/>
        <v>||||||||||</v>
      </c>
      <c r="Y340" s="434" t="str">
        <f t="shared" ca="1" si="121"/>
        <v/>
      </c>
      <c r="Z340" s="269" t="str">
        <f t="shared" ca="1" si="122"/>
        <v/>
      </c>
      <c r="AA340" s="270" t="str">
        <f t="shared" ca="1" si="123"/>
        <v>|||</v>
      </c>
    </row>
    <row r="341" spans="1:27" x14ac:dyDescent="0.25">
      <c r="A341" s="140">
        <f>+'Esc 2'!A351</f>
        <v>2008</v>
      </c>
      <c r="B341" s="140">
        <f>+'Esc 2'!B351</f>
        <v>10</v>
      </c>
      <c r="C341" s="141">
        <f>+'Esc 2'!O351</f>
        <v>2.6498952698780021</v>
      </c>
      <c r="D341" s="140">
        <f>+'Esc 2'!D351</f>
        <v>205.2</v>
      </c>
      <c r="E341" s="147">
        <f t="shared" si="124"/>
        <v>114.86999999999999</v>
      </c>
      <c r="F341" s="146">
        <f t="shared" si="124"/>
        <v>59</v>
      </c>
      <c r="G341" s="144">
        <f t="shared" si="125"/>
        <v>9.033E-4</v>
      </c>
      <c r="H341" s="145">
        <f>+F341/100000*'Bal Híd'!$G$4</f>
        <v>0.64900000000000002</v>
      </c>
      <c r="I341" s="145">
        <v>0</v>
      </c>
      <c r="J341" s="145">
        <f t="shared" ca="1" si="108"/>
        <v>9.6377430329458917</v>
      </c>
      <c r="K341" s="145">
        <f t="shared" ca="1" si="109"/>
        <v>343.23698086565349</v>
      </c>
      <c r="L341" s="145">
        <f t="shared" ca="1" si="110"/>
        <v>319.33745011431415</v>
      </c>
      <c r="M341" s="145">
        <f t="shared" ca="1" si="111"/>
        <v>9.6044473962908725</v>
      </c>
      <c r="N341" s="145">
        <f t="shared" ca="1" si="112"/>
        <v>7.6368477630678893</v>
      </c>
      <c r="O341" s="143">
        <f t="shared" ca="1" si="107"/>
        <v>295.43791936297487</v>
      </c>
      <c r="P341" s="145">
        <f t="shared" ca="1" si="113"/>
        <v>1.9675996332229833</v>
      </c>
      <c r="Q341" s="145">
        <f t="shared" ca="1" si="114"/>
        <v>0.64900000000000002</v>
      </c>
      <c r="R341" s="592">
        <f t="shared" ca="1" si="115"/>
        <v>2.6165996332229833</v>
      </c>
      <c r="S341" s="311"/>
      <c r="T341" s="392">
        <f t="shared" si="116"/>
        <v>2008</v>
      </c>
      <c r="U341" s="392">
        <f t="shared" si="117"/>
        <v>10</v>
      </c>
      <c r="V341" s="311">
        <f t="shared" ca="1" si="118"/>
        <v>106</v>
      </c>
      <c r="W341" s="269" t="str">
        <f t="shared" ca="1" si="119"/>
        <v>||||||||||</v>
      </c>
      <c r="X341" s="269" t="str">
        <f t="shared" ca="1" si="120"/>
        <v>||||||||||</v>
      </c>
      <c r="Y341" s="434" t="str">
        <f t="shared" ca="1" si="121"/>
        <v/>
      </c>
      <c r="Z341" s="269" t="str">
        <f t="shared" ca="1" si="122"/>
        <v>|||</v>
      </c>
      <c r="AA341" s="270" t="str">
        <f t="shared" ca="1" si="123"/>
        <v>|||||||||</v>
      </c>
    </row>
    <row r="342" spans="1:27" x14ac:dyDescent="0.25">
      <c r="A342" s="140">
        <f>+'Esc 2'!A352</f>
        <v>2008</v>
      </c>
      <c r="B342" s="140">
        <f>+'Esc 2'!B352</f>
        <v>11</v>
      </c>
      <c r="C342" s="141">
        <f>+'Esc 2'!O352</f>
        <v>0.72084582568108946</v>
      </c>
      <c r="D342" s="140">
        <f>+'Esc 2'!D352</f>
        <v>18</v>
      </c>
      <c r="E342" s="147">
        <f t="shared" si="124"/>
        <v>144.06</v>
      </c>
      <c r="F342" s="146">
        <f t="shared" si="124"/>
        <v>212</v>
      </c>
      <c r="G342" s="144">
        <f t="shared" si="125"/>
        <v>-1.2606E-3</v>
      </c>
      <c r="H342" s="145">
        <f>+F342/100000*'Bal Híd'!$G$4</f>
        <v>2.3319999999999999</v>
      </c>
      <c r="I342" s="145">
        <v>0</v>
      </c>
      <c r="J342" s="145">
        <f t="shared" ca="1" si="108"/>
        <v>6.0256935887489798</v>
      </c>
      <c r="K342" s="145">
        <f t="shared" ca="1" si="109"/>
        <v>253.59976158702335</v>
      </c>
      <c r="L342" s="145">
        <f t="shared" ca="1" si="110"/>
        <v>274.51884047499914</v>
      </c>
      <c r="M342" s="145">
        <f t="shared" ca="1" si="111"/>
        <v>5.604393404519497</v>
      </c>
      <c r="N342" s="145">
        <f t="shared" ca="1" si="112"/>
        <v>5.604393404519497</v>
      </c>
      <c r="O342" s="143">
        <f t="shared" ca="1" si="107"/>
        <v>242.0264866280628</v>
      </c>
      <c r="P342" s="145">
        <f t="shared" ca="1" si="113"/>
        <v>0</v>
      </c>
      <c r="Q342" s="145">
        <f t="shared" ca="1" si="114"/>
        <v>2.3319999999999999</v>
      </c>
      <c r="R342" s="592">
        <f t="shared" ca="1" si="115"/>
        <v>0.29954564145160734</v>
      </c>
      <c r="S342" s="311"/>
      <c r="T342" s="392">
        <f t="shared" si="116"/>
        <v>2008</v>
      </c>
      <c r="U342" s="392">
        <f t="shared" si="117"/>
        <v>11</v>
      </c>
      <c r="V342" s="311">
        <f t="shared" ca="1" si="118"/>
        <v>105.2425673951718</v>
      </c>
      <c r="W342" s="269" t="str">
        <f t="shared" ca="1" si="119"/>
        <v>||||||||</v>
      </c>
      <c r="X342" s="269" t="str">
        <f t="shared" ca="1" si="120"/>
        <v>|||||||</v>
      </c>
      <c r="Y342" s="434" t="str">
        <f t="shared" ca="1" si="121"/>
        <v/>
      </c>
      <c r="Z342" s="269" t="str">
        <f t="shared" ca="1" si="122"/>
        <v>|||||||||||</v>
      </c>
      <c r="AA342" s="270" t="str">
        <f t="shared" ca="1" si="123"/>
        <v/>
      </c>
    </row>
    <row r="343" spans="1:27" x14ac:dyDescent="0.25">
      <c r="A343" s="140">
        <f>+'Esc 2'!A353</f>
        <v>2008</v>
      </c>
      <c r="B343" s="140">
        <f>+'Esc 2'!B353</f>
        <v>12</v>
      </c>
      <c r="C343" s="141">
        <f>+'Esc 2'!O353</f>
        <v>0.32783713033537853</v>
      </c>
      <c r="D343" s="140">
        <f>+'Esc 2'!D353</f>
        <v>65.2</v>
      </c>
      <c r="E343" s="147">
        <f t="shared" si="124"/>
        <v>179.62</v>
      </c>
      <c r="F343" s="146">
        <f t="shared" si="124"/>
        <v>388</v>
      </c>
      <c r="G343" s="144">
        <f t="shared" si="125"/>
        <v>-1.1441999999999999E-3</v>
      </c>
      <c r="H343" s="145">
        <f>+F343/100000*'Bal Híd'!$G$4</f>
        <v>4.2679999999999998</v>
      </c>
      <c r="I343" s="145">
        <v>0</v>
      </c>
      <c r="J343" s="145">
        <f t="shared" ca="1" si="108"/>
        <v>1.6642305348548758</v>
      </c>
      <c r="K343" s="145">
        <f t="shared" ca="1" si="109"/>
        <v>110.67261966508316</v>
      </c>
      <c r="L343" s="145">
        <f t="shared" ca="1" si="110"/>
        <v>176.34955314657299</v>
      </c>
      <c r="M343" s="145">
        <f t="shared" ca="1" si="111"/>
        <v>1.4404688927074947</v>
      </c>
      <c r="N343" s="145">
        <f t="shared" ca="1" si="112"/>
        <v>1.4404688927074947</v>
      </c>
      <c r="O343" s="143">
        <f t="shared" ca="1" si="107"/>
        <v>100.83879429329764</v>
      </c>
      <c r="P343" s="145">
        <f t="shared" ca="1" si="113"/>
        <v>0</v>
      </c>
      <c r="Q343" s="145">
        <f t="shared" ca="1" si="114"/>
        <v>4.2679999999999998</v>
      </c>
      <c r="R343" s="592">
        <f t="shared" ca="1" si="115"/>
        <v>0.10407548818799797</v>
      </c>
      <c r="S343" s="311"/>
      <c r="T343" s="392">
        <f t="shared" si="116"/>
        <v>2008</v>
      </c>
      <c r="U343" s="392">
        <f t="shared" si="117"/>
        <v>12</v>
      </c>
      <c r="V343" s="311">
        <f t="shared" ca="1" si="118"/>
        <v>102.74756353427864</v>
      </c>
      <c r="W343" s="269" t="str">
        <f t="shared" ca="1" si="119"/>
        <v>||||</v>
      </c>
      <c r="X343" s="269" t="str">
        <f t="shared" ca="1" si="120"/>
        <v>|</v>
      </c>
      <c r="Y343" s="434" t="str">
        <f t="shared" ca="1" si="121"/>
        <v/>
      </c>
      <c r="Z343" s="269" t="str">
        <f t="shared" ca="1" si="122"/>
        <v>|||||||||||||||||||||</v>
      </c>
      <c r="AA343" s="270" t="str">
        <f t="shared" ca="1" si="123"/>
        <v/>
      </c>
    </row>
    <row r="344" spans="1:27" x14ac:dyDescent="0.25">
      <c r="A344" s="140">
        <f>+'Esc 2'!A354</f>
        <v>2009</v>
      </c>
      <c r="B344" s="140">
        <f>+'Esc 2'!B354</f>
        <v>1</v>
      </c>
      <c r="C344" s="141">
        <f>+'Esc 2'!O354</f>
        <v>0.2776216617604737</v>
      </c>
      <c r="D344" s="140">
        <f>+'Esc 2'!D354</f>
        <v>54.9</v>
      </c>
      <c r="E344" s="147">
        <f t="shared" si="124"/>
        <v>176.89</v>
      </c>
      <c r="F344" s="146">
        <f t="shared" si="124"/>
        <v>318</v>
      </c>
      <c r="G344" s="144">
        <f t="shared" si="125"/>
        <v>-1.2198999999999999E-3</v>
      </c>
      <c r="H344" s="145">
        <f>+F344/100000*'Bal Híd'!$G$4</f>
        <v>3.4980000000000002</v>
      </c>
      <c r="I344" s="145">
        <v>0</v>
      </c>
      <c r="J344" s="145">
        <f t="shared" ca="1" si="108"/>
        <v>-1.7799094455320319</v>
      </c>
      <c r="K344" s="145">
        <f t="shared" ca="1" si="109"/>
        <v>0</v>
      </c>
      <c r="L344" s="145">
        <f t="shared" ca="1" si="110"/>
        <v>50.419397146648819</v>
      </c>
      <c r="M344" s="145">
        <f t="shared" ca="1" si="111"/>
        <v>-1.846738317852983</v>
      </c>
      <c r="N344" s="145">
        <f t="shared" ca="1" si="112"/>
        <v>0.14364725252241328</v>
      </c>
      <c r="O344" s="143">
        <f t="shared" ca="1" si="107"/>
        <v>22.824988701237128</v>
      </c>
      <c r="P344" s="145">
        <f t="shared" ca="1" si="113"/>
        <v>0</v>
      </c>
      <c r="Q344" s="145">
        <f t="shared" ca="1" si="114"/>
        <v>1.5076144296246039</v>
      </c>
      <c r="R344" s="592">
        <f t="shared" ca="1" si="115"/>
        <v>0.21079278943952243</v>
      </c>
      <c r="S344" s="311"/>
      <c r="T344" s="392">
        <f t="shared" si="116"/>
        <v>2009</v>
      </c>
      <c r="U344" s="392">
        <f t="shared" si="117"/>
        <v>1</v>
      </c>
      <c r="V344" s="311">
        <f t="shared" ca="1" si="118"/>
        <v>100.5</v>
      </c>
      <c r="W344" s="269" t="str">
        <f t="shared" ca="1" si="119"/>
        <v/>
      </c>
      <c r="X344" s="269" t="str">
        <f t="shared" ca="1" si="120"/>
        <v/>
      </c>
      <c r="Y344" s="434" t="str">
        <f t="shared" ca="1" si="121"/>
        <v>|||||||||</v>
      </c>
      <c r="Z344" s="269" t="str">
        <f t="shared" ca="1" si="122"/>
        <v>|||||||</v>
      </c>
      <c r="AA344" s="270" t="str">
        <f t="shared" ca="1" si="123"/>
        <v/>
      </c>
    </row>
    <row r="345" spans="1:27" x14ac:dyDescent="0.25">
      <c r="A345" s="140">
        <f>+'Esc 2'!A355</f>
        <v>2009</v>
      </c>
      <c r="B345" s="140">
        <f>+'Esc 2'!B355</f>
        <v>2</v>
      </c>
      <c r="C345" s="141">
        <f>+'Esc 2'!O355</f>
        <v>3.3026918419001565</v>
      </c>
      <c r="D345" s="140">
        <f>+'Esc 2'!D355</f>
        <v>262.60000000000002</v>
      </c>
      <c r="E345" s="147">
        <f t="shared" si="124"/>
        <v>131.73999999999998</v>
      </c>
      <c r="F345" s="146">
        <f t="shared" si="124"/>
        <v>153</v>
      </c>
      <c r="G345" s="144">
        <f t="shared" si="125"/>
        <v>1.3086000000000005E-3</v>
      </c>
      <c r="H345" s="145">
        <f>+F345/100000*'Bal Híd'!$G$4</f>
        <v>1.6829999999999998</v>
      </c>
      <c r="I345" s="145">
        <v>0</v>
      </c>
      <c r="J345" s="145">
        <f t="shared" ca="1" si="108"/>
        <v>1.76333909442257</v>
      </c>
      <c r="K345" s="145">
        <f t="shared" ca="1" si="109"/>
        <v>114.87619051656779</v>
      </c>
      <c r="L345" s="145">
        <f t="shared" ca="1" si="110"/>
        <v>68.850589608902453</v>
      </c>
      <c r="M345" s="145">
        <f t="shared" ca="1" si="111"/>
        <v>1.7669760327865531</v>
      </c>
      <c r="N345" s="145">
        <f t="shared" ca="1" si="112"/>
        <v>1.7669760327865531</v>
      </c>
      <c r="O345" s="143">
        <f t="shared" ca="1" si="107"/>
        <v>115.02882517792932</v>
      </c>
      <c r="P345" s="145">
        <f t="shared" ca="1" si="113"/>
        <v>0</v>
      </c>
      <c r="Q345" s="145">
        <f t="shared" ca="1" si="114"/>
        <v>1.6829999999999998</v>
      </c>
      <c r="R345" s="592">
        <f t="shared" ca="1" si="115"/>
        <v>3.3063287802641397</v>
      </c>
      <c r="S345" s="311"/>
      <c r="T345" s="392">
        <f t="shared" si="116"/>
        <v>2009</v>
      </c>
      <c r="U345" s="392">
        <f t="shared" si="117"/>
        <v>2</v>
      </c>
      <c r="V345" s="311">
        <f t="shared" ca="1" si="118"/>
        <v>103.05026601006281</v>
      </c>
      <c r="W345" s="269" t="str">
        <f t="shared" ca="1" si="119"/>
        <v>||||</v>
      </c>
      <c r="X345" s="269" t="str">
        <f t="shared" ca="1" si="120"/>
        <v>||</v>
      </c>
      <c r="Y345" s="434" t="str">
        <f t="shared" ca="1" si="121"/>
        <v/>
      </c>
      <c r="Z345" s="269" t="str">
        <f t="shared" ca="1" si="122"/>
        <v>||||||||</v>
      </c>
      <c r="AA345" s="270" t="str">
        <f t="shared" ca="1" si="123"/>
        <v/>
      </c>
    </row>
    <row r="346" spans="1:27" x14ac:dyDescent="0.25">
      <c r="A346" s="140">
        <f>+'Esc 2'!A356</f>
        <v>2009</v>
      </c>
      <c r="B346" s="140">
        <f>+'Esc 2'!B356</f>
        <v>3</v>
      </c>
      <c r="C346" s="141">
        <f>+'Esc 2'!O356</f>
        <v>0.98750866282925387</v>
      </c>
      <c r="D346" s="140">
        <f>+'Esc 2'!D356</f>
        <v>43.7</v>
      </c>
      <c r="E346" s="147">
        <f t="shared" si="124"/>
        <v>118.64999999999999</v>
      </c>
      <c r="F346" s="146">
        <f t="shared" si="124"/>
        <v>47</v>
      </c>
      <c r="G346" s="144">
        <f t="shared" si="125"/>
        <v>-7.4949999999999984E-4</v>
      </c>
      <c r="H346" s="145">
        <f>+F346/100000*'Bal Híd'!$G$4</f>
        <v>0.51700000000000002</v>
      </c>
      <c r="I346" s="145">
        <v>0</v>
      </c>
      <c r="J346" s="145">
        <f t="shared" ca="1" si="108"/>
        <v>2.237484695615807</v>
      </c>
      <c r="K346" s="145">
        <f t="shared" ca="1" si="109"/>
        <v>133.93087025214999</v>
      </c>
      <c r="L346" s="145">
        <f t="shared" ca="1" si="110"/>
        <v>124.47984771503965</v>
      </c>
      <c r="M346" s="145">
        <f t="shared" ca="1" si="111"/>
        <v>2.0974475334164007</v>
      </c>
      <c r="N346" s="145">
        <f t="shared" ca="1" si="112"/>
        <v>2.0974475334164007</v>
      </c>
      <c r="O346" s="143">
        <f t="shared" ca="1" si="107"/>
        <v>128.46710544740486</v>
      </c>
      <c r="P346" s="145">
        <f t="shared" ca="1" si="113"/>
        <v>0</v>
      </c>
      <c r="Q346" s="145">
        <f t="shared" ca="1" si="114"/>
        <v>0.51700000000000002</v>
      </c>
      <c r="R346" s="592">
        <f t="shared" ca="1" si="115"/>
        <v>0.84747150062984766</v>
      </c>
      <c r="S346" s="311"/>
      <c r="T346" s="392">
        <f t="shared" si="116"/>
        <v>2009</v>
      </c>
      <c r="U346" s="392">
        <f t="shared" si="117"/>
        <v>3</v>
      </c>
      <c r="V346" s="311">
        <f t="shared" ca="1" si="118"/>
        <v>103.32182872764174</v>
      </c>
      <c r="W346" s="269" t="str">
        <f t="shared" ca="1" si="119"/>
        <v>|||||</v>
      </c>
      <c r="X346" s="269" t="str">
        <f t="shared" ca="1" si="120"/>
        <v>||</v>
      </c>
      <c r="Y346" s="434" t="str">
        <f t="shared" ca="1" si="121"/>
        <v/>
      </c>
      <c r="Z346" s="269" t="str">
        <f t="shared" ca="1" si="122"/>
        <v>||</v>
      </c>
      <c r="AA346" s="270" t="str">
        <f t="shared" ca="1" si="123"/>
        <v/>
      </c>
    </row>
    <row r="347" spans="1:27" x14ac:dyDescent="0.25">
      <c r="A347" s="140">
        <f>+'Esc 2'!A357</f>
        <v>2009</v>
      </c>
      <c r="B347" s="140">
        <f>+'Esc 2'!B357</f>
        <v>4</v>
      </c>
      <c r="C347" s="141">
        <f>+'Esc 2'!O357</f>
        <v>0.16498180994988842</v>
      </c>
      <c r="D347" s="140">
        <f>+'Esc 2'!D357</f>
        <v>17.5</v>
      </c>
      <c r="E347" s="147">
        <f t="shared" si="124"/>
        <v>73.149999999999991</v>
      </c>
      <c r="F347" s="146">
        <f t="shared" si="124"/>
        <v>0</v>
      </c>
      <c r="G347" s="144">
        <f t="shared" si="125"/>
        <v>-5.5649999999999992E-4</v>
      </c>
      <c r="H347" s="145">
        <f>+F347/100000*'Bal Híd'!$G$4</f>
        <v>0</v>
      </c>
      <c r="I347" s="145">
        <v>0</v>
      </c>
      <c r="J347" s="145">
        <f t="shared" ca="1" si="108"/>
        <v>2.2624293433662892</v>
      </c>
      <c r="K347" s="145">
        <f t="shared" ca="1" si="109"/>
        <v>134.89120546446819</v>
      </c>
      <c r="L347" s="145">
        <f t="shared" ca="1" si="110"/>
        <v>131.67915545593652</v>
      </c>
      <c r="M347" s="145">
        <f t="shared" ca="1" si="111"/>
        <v>2.1808895643057093</v>
      </c>
      <c r="N347" s="145">
        <f t="shared" ca="1" si="112"/>
        <v>2.1808895643057093</v>
      </c>
      <c r="O347" s="143">
        <f t="shared" ca="1" si="107"/>
        <v>131.73779788494363</v>
      </c>
      <c r="P347" s="145">
        <f t="shared" ca="1" si="113"/>
        <v>0</v>
      </c>
      <c r="Q347" s="145">
        <f t="shared" ca="1" si="114"/>
        <v>0</v>
      </c>
      <c r="R347" s="592">
        <f t="shared" ca="1" si="115"/>
        <v>8.344203088930878E-2</v>
      </c>
      <c r="S347" s="311"/>
      <c r="T347" s="392">
        <f t="shared" si="116"/>
        <v>2009</v>
      </c>
      <c r="U347" s="392">
        <f t="shared" si="117"/>
        <v>4</v>
      </c>
      <c r="V347" s="311">
        <f t="shared" ca="1" si="118"/>
        <v>103.38596587482984</v>
      </c>
      <c r="W347" s="269" t="str">
        <f t="shared" ca="1" si="119"/>
        <v>|||||</v>
      </c>
      <c r="X347" s="269" t="str">
        <f t="shared" ca="1" si="120"/>
        <v>||</v>
      </c>
      <c r="Y347" s="434" t="str">
        <f t="shared" ca="1" si="121"/>
        <v/>
      </c>
      <c r="Z347" s="269" t="str">
        <f t="shared" ca="1" si="122"/>
        <v/>
      </c>
      <c r="AA347" s="270" t="str">
        <f t="shared" ca="1" si="123"/>
        <v/>
      </c>
    </row>
    <row r="348" spans="1:27" x14ac:dyDescent="0.25">
      <c r="A348" s="140">
        <f>+'Esc 2'!A358</f>
        <v>2009</v>
      </c>
      <c r="B348" s="140">
        <f>+'Esc 2'!B358</f>
        <v>5</v>
      </c>
      <c r="C348" s="141">
        <f>+'Esc 2'!O358</f>
        <v>1.9679056611099606</v>
      </c>
      <c r="D348" s="140">
        <f>+'Esc 2'!D358</f>
        <v>146</v>
      </c>
      <c r="E348" s="147">
        <f t="shared" si="124"/>
        <v>51.24</v>
      </c>
      <c r="F348" s="146">
        <f t="shared" si="124"/>
        <v>0</v>
      </c>
      <c r="G348" s="144">
        <f t="shared" si="125"/>
        <v>9.4759999999999994E-4</v>
      </c>
      <c r="H348" s="145">
        <f>+F348/100000*'Bal Híd'!$G$4</f>
        <v>0</v>
      </c>
      <c r="I348" s="145">
        <v>0</v>
      </c>
      <c r="J348" s="145">
        <f t="shared" ca="1" si="108"/>
        <v>4.1487952254156699</v>
      </c>
      <c r="K348" s="145">
        <f t="shared" ca="1" si="109"/>
        <v>199.38607916756001</v>
      </c>
      <c r="L348" s="145">
        <f t="shared" ca="1" si="110"/>
        <v>165.56193852625182</v>
      </c>
      <c r="M348" s="145">
        <f t="shared" ca="1" si="111"/>
        <v>4.1817994841083364</v>
      </c>
      <c r="N348" s="145">
        <f t="shared" ca="1" si="112"/>
        <v>4.1817994841083364</v>
      </c>
      <c r="O348" s="143">
        <f t="shared" ca="1" si="107"/>
        <v>200.40681306571526</v>
      </c>
      <c r="P348" s="145">
        <f t="shared" ca="1" si="113"/>
        <v>0</v>
      </c>
      <c r="Q348" s="145">
        <f t="shared" ca="1" si="114"/>
        <v>0</v>
      </c>
      <c r="R348" s="592">
        <f t="shared" ca="1" si="115"/>
        <v>2.000909919802627</v>
      </c>
      <c r="S348" s="311"/>
      <c r="T348" s="392">
        <f t="shared" si="116"/>
        <v>2009</v>
      </c>
      <c r="U348" s="392">
        <f t="shared" si="117"/>
        <v>5</v>
      </c>
      <c r="V348" s="311">
        <f t="shared" ca="1" si="118"/>
        <v>104.59863685470243</v>
      </c>
      <c r="W348" s="269" t="str">
        <f t="shared" ca="1" si="119"/>
        <v>|||||||</v>
      </c>
      <c r="X348" s="269" t="str">
        <f t="shared" ca="1" si="120"/>
        <v>|||||</v>
      </c>
      <c r="Y348" s="434" t="str">
        <f t="shared" ca="1" si="121"/>
        <v/>
      </c>
      <c r="Z348" s="269" t="str">
        <f t="shared" ca="1" si="122"/>
        <v/>
      </c>
      <c r="AA348" s="270" t="str">
        <f t="shared" ca="1" si="123"/>
        <v/>
      </c>
    </row>
    <row r="349" spans="1:27" x14ac:dyDescent="0.25">
      <c r="A349" s="140">
        <f>+'Esc 2'!A359</f>
        <v>2009</v>
      </c>
      <c r="B349" s="140">
        <f>+'Esc 2'!B359</f>
        <v>6</v>
      </c>
      <c r="C349" s="141">
        <f>+'Esc 2'!O359</f>
        <v>0.61216802526258307</v>
      </c>
      <c r="D349" s="140">
        <f>+'Esc 2'!D359</f>
        <v>14</v>
      </c>
      <c r="E349" s="147">
        <f t="shared" si="124"/>
        <v>41.019999999999996</v>
      </c>
      <c r="F349" s="146">
        <f t="shared" si="124"/>
        <v>0</v>
      </c>
      <c r="G349" s="144">
        <f t="shared" si="125"/>
        <v>-2.7019999999999995E-4</v>
      </c>
      <c r="H349" s="145">
        <f>+F349/100000*'Bal Híd'!$G$4</f>
        <v>0</v>
      </c>
      <c r="I349" s="145">
        <v>0</v>
      </c>
      <c r="J349" s="145">
        <f t="shared" ca="1" si="108"/>
        <v>4.7939675093709191</v>
      </c>
      <c r="K349" s="145">
        <f t="shared" ca="1" si="109"/>
        <v>218.8508768439178</v>
      </c>
      <c r="L349" s="145">
        <f t="shared" ca="1" si="110"/>
        <v>209.62884495481654</v>
      </c>
      <c r="M349" s="145">
        <f t="shared" ca="1" si="111"/>
        <v>4.6885318501964219</v>
      </c>
      <c r="N349" s="145">
        <f t="shared" ca="1" si="112"/>
        <v>4.6885318501964219</v>
      </c>
      <c r="O349" s="143">
        <f t="shared" ca="1" si="107"/>
        <v>215.73676150585939</v>
      </c>
      <c r="P349" s="145">
        <f t="shared" ca="1" si="113"/>
        <v>0</v>
      </c>
      <c r="Q349" s="145">
        <f t="shared" ca="1" si="114"/>
        <v>0</v>
      </c>
      <c r="R349" s="592">
        <f t="shared" ca="1" si="115"/>
        <v>0.50673236608808592</v>
      </c>
      <c r="S349" s="311"/>
      <c r="T349" s="392">
        <f t="shared" si="116"/>
        <v>2009</v>
      </c>
      <c r="U349" s="392">
        <f t="shared" si="117"/>
        <v>6</v>
      </c>
      <c r="V349" s="311">
        <f t="shared" ca="1" si="118"/>
        <v>104.84222354128592</v>
      </c>
      <c r="W349" s="269" t="str">
        <f t="shared" ca="1" si="119"/>
        <v>|||||||</v>
      </c>
      <c r="X349" s="269" t="str">
        <f t="shared" ca="1" si="120"/>
        <v>||||||</v>
      </c>
      <c r="Y349" s="434" t="str">
        <f t="shared" ca="1" si="121"/>
        <v/>
      </c>
      <c r="Z349" s="269" t="str">
        <f t="shared" ca="1" si="122"/>
        <v/>
      </c>
      <c r="AA349" s="270" t="str">
        <f t="shared" ca="1" si="123"/>
        <v/>
      </c>
    </row>
    <row r="350" spans="1:27" x14ac:dyDescent="0.25">
      <c r="A350" s="140">
        <f>+'Esc 2'!A360</f>
        <v>2009</v>
      </c>
      <c r="B350" s="140">
        <f>+'Esc 2'!B360</f>
        <v>7</v>
      </c>
      <c r="C350" s="141">
        <f>+'Esc 2'!O360</f>
        <v>0.13206731052670065</v>
      </c>
      <c r="D350" s="140">
        <f>+'Esc 2'!D360</f>
        <v>21.2</v>
      </c>
      <c r="E350" s="147">
        <f t="shared" si="124"/>
        <v>50.819999999999993</v>
      </c>
      <c r="F350" s="146">
        <f t="shared" si="124"/>
        <v>0</v>
      </c>
      <c r="G350" s="144">
        <f t="shared" si="125"/>
        <v>-2.9619999999999994E-4</v>
      </c>
      <c r="H350" s="145">
        <f>+F350/100000*'Bal Híd'!$G$4</f>
        <v>0</v>
      </c>
      <c r="I350" s="145">
        <v>0</v>
      </c>
      <c r="J350" s="145">
        <f t="shared" ca="1" si="108"/>
        <v>4.8205991607231224</v>
      </c>
      <c r="K350" s="145">
        <f t="shared" ca="1" si="109"/>
        <v>219.63359500937531</v>
      </c>
      <c r="L350" s="145">
        <f t="shared" ca="1" si="110"/>
        <v>217.68517825761734</v>
      </c>
      <c r="M350" s="145">
        <f t="shared" ca="1" si="111"/>
        <v>4.7451895957011594</v>
      </c>
      <c r="N350" s="145">
        <f t="shared" ca="1" si="112"/>
        <v>4.7451895957011594</v>
      </c>
      <c r="O350" s="143">
        <f t="shared" ca="1" si="107"/>
        <v>217.4132469434237</v>
      </c>
      <c r="P350" s="145">
        <f t="shared" ca="1" si="113"/>
        <v>0</v>
      </c>
      <c r="Q350" s="145">
        <f t="shared" ca="1" si="114"/>
        <v>0</v>
      </c>
      <c r="R350" s="592">
        <f t="shared" ca="1" si="115"/>
        <v>5.6657745504737775E-2</v>
      </c>
      <c r="S350" s="311"/>
      <c r="T350" s="392">
        <f t="shared" si="116"/>
        <v>2009</v>
      </c>
      <c r="U350" s="392">
        <f t="shared" si="117"/>
        <v>7</v>
      </c>
      <c r="V350" s="311">
        <f t="shared" ca="1" si="118"/>
        <v>104.86838439605786</v>
      </c>
      <c r="W350" s="269" t="str">
        <f t="shared" ca="1" si="119"/>
        <v>|||||||</v>
      </c>
      <c r="X350" s="269" t="str">
        <f t="shared" ca="1" si="120"/>
        <v>||||||</v>
      </c>
      <c r="Y350" s="434" t="str">
        <f t="shared" ca="1" si="121"/>
        <v/>
      </c>
      <c r="Z350" s="269" t="str">
        <f t="shared" ca="1" si="122"/>
        <v/>
      </c>
      <c r="AA350" s="270" t="str">
        <f t="shared" ca="1" si="123"/>
        <v/>
      </c>
    </row>
    <row r="351" spans="1:27" x14ac:dyDescent="0.25">
      <c r="A351" s="140">
        <f>+'Esc 2'!A361</f>
        <v>2009</v>
      </c>
      <c r="B351" s="140">
        <f>+'Esc 2'!B361</f>
        <v>8</v>
      </c>
      <c r="C351" s="141">
        <f>+'Esc 2'!O361</f>
        <v>8.4454796819812369E-2</v>
      </c>
      <c r="D351" s="140">
        <f>+'Esc 2'!D361</f>
        <v>21.8</v>
      </c>
      <c r="E351" s="147">
        <f t="shared" si="124"/>
        <v>72.449999999999989</v>
      </c>
      <c r="F351" s="146">
        <f t="shared" si="124"/>
        <v>0</v>
      </c>
      <c r="G351" s="144">
        <f t="shared" si="125"/>
        <v>-5.064999999999999E-4</v>
      </c>
      <c r="H351" s="145">
        <f>+F351/100000*'Bal Híd'!$G$4</f>
        <v>0</v>
      </c>
      <c r="I351" s="145">
        <v>0</v>
      </c>
      <c r="J351" s="145">
        <f t="shared" ca="1" si="108"/>
        <v>4.8296443925209713</v>
      </c>
      <c r="K351" s="145">
        <f t="shared" ca="1" si="109"/>
        <v>219.8990890885637</v>
      </c>
      <c r="L351" s="145">
        <f t="shared" ca="1" si="110"/>
        <v>218.6561680159937</v>
      </c>
      <c r="M351" s="145">
        <f t="shared" ca="1" si="111"/>
        <v>4.711873536864525</v>
      </c>
      <c r="N351" s="145">
        <f t="shared" ca="1" si="112"/>
        <v>4.711873536864525</v>
      </c>
      <c r="O351" s="143">
        <f t="shared" ca="1" si="107"/>
        <v>216.42830260231176</v>
      </c>
      <c r="P351" s="145">
        <f t="shared" ca="1" si="113"/>
        <v>0</v>
      </c>
      <c r="Q351" s="145">
        <f t="shared" ca="1" si="114"/>
        <v>0</v>
      </c>
      <c r="R351" s="592">
        <f t="shared" ca="1" si="115"/>
        <v>-3.3316058836634244E-2</v>
      </c>
      <c r="S351" s="311"/>
      <c r="T351" s="392">
        <f t="shared" si="116"/>
        <v>2009</v>
      </c>
      <c r="U351" s="392">
        <f t="shared" si="117"/>
        <v>8</v>
      </c>
      <c r="V351" s="311">
        <f t="shared" ca="1" si="118"/>
        <v>104.85302575439258</v>
      </c>
      <c r="W351" s="269" t="str">
        <f t="shared" ca="1" si="119"/>
        <v>|||||||</v>
      </c>
      <c r="X351" s="269" t="str">
        <f t="shared" ca="1" si="120"/>
        <v>||||||</v>
      </c>
      <c r="Y351" s="434" t="str">
        <f t="shared" ca="1" si="121"/>
        <v/>
      </c>
      <c r="Z351" s="269" t="str">
        <f t="shared" ca="1" si="122"/>
        <v/>
      </c>
      <c r="AA351" s="270" t="str">
        <f t="shared" ca="1" si="123"/>
        <v/>
      </c>
    </row>
    <row r="352" spans="1:27" x14ac:dyDescent="0.25">
      <c r="A352" s="140">
        <f>+'Esc 2'!A362</f>
        <v>2009</v>
      </c>
      <c r="B352" s="140">
        <f>+'Esc 2'!B362</f>
        <v>9</v>
      </c>
      <c r="C352" s="141">
        <f>+'Esc 2'!O362</f>
        <v>2.5805411963110343</v>
      </c>
      <c r="D352" s="140">
        <f>+'Esc 2'!D362</f>
        <v>195.7</v>
      </c>
      <c r="E352" s="147">
        <f t="shared" si="124"/>
        <v>85.89</v>
      </c>
      <c r="F352" s="146">
        <f t="shared" si="124"/>
        <v>0</v>
      </c>
      <c r="G352" s="144">
        <f t="shared" si="125"/>
        <v>1.0980999999999999E-3</v>
      </c>
      <c r="H352" s="145">
        <f>+F352/100000*'Bal Híd'!$G$4</f>
        <v>0</v>
      </c>
      <c r="I352" s="145">
        <v>0</v>
      </c>
      <c r="J352" s="145">
        <f t="shared" ca="1" si="108"/>
        <v>7.2924147331755593</v>
      </c>
      <c r="K352" s="145">
        <f t="shared" ca="1" si="109"/>
        <v>286.78067384790751</v>
      </c>
      <c r="L352" s="145">
        <f t="shared" ca="1" si="110"/>
        <v>251.60448822510963</v>
      </c>
      <c r="M352" s="145">
        <f t="shared" ca="1" si="111"/>
        <v>7.3218287140751528</v>
      </c>
      <c r="N352" s="145">
        <f t="shared" ca="1" si="112"/>
        <v>7.3218287140751528</v>
      </c>
      <c r="O352" s="143">
        <f t="shared" ca="1" si="107"/>
        <v>287.5255833660147</v>
      </c>
      <c r="P352" s="145">
        <f t="shared" ca="1" si="113"/>
        <v>0</v>
      </c>
      <c r="Q352" s="145">
        <f t="shared" ca="1" si="114"/>
        <v>0</v>
      </c>
      <c r="R352" s="592">
        <f t="shared" ca="1" si="115"/>
        <v>2.6099551772106282</v>
      </c>
      <c r="S352" s="311"/>
      <c r="T352" s="392">
        <f t="shared" si="116"/>
        <v>2009</v>
      </c>
      <c r="U352" s="392">
        <f t="shared" si="117"/>
        <v>9</v>
      </c>
      <c r="V352" s="311">
        <f t="shared" ca="1" si="118"/>
        <v>105.89192197477577</v>
      </c>
      <c r="W352" s="269" t="str">
        <f t="shared" ca="1" si="119"/>
        <v>|||||||||</v>
      </c>
      <c r="X352" s="269" t="str">
        <f t="shared" ca="1" si="120"/>
        <v>|||||||||</v>
      </c>
      <c r="Y352" s="434" t="str">
        <f t="shared" ca="1" si="121"/>
        <v/>
      </c>
      <c r="Z352" s="269" t="str">
        <f t="shared" ca="1" si="122"/>
        <v/>
      </c>
      <c r="AA352" s="270" t="str">
        <f t="shared" ca="1" si="123"/>
        <v/>
      </c>
    </row>
    <row r="353" spans="1:27" x14ac:dyDescent="0.25">
      <c r="A353" s="140">
        <f>+'Esc 2'!A363</f>
        <v>2009</v>
      </c>
      <c r="B353" s="140">
        <f>+'Esc 2'!B363</f>
        <v>10</v>
      </c>
      <c r="C353" s="141">
        <f>+'Esc 2'!O363</f>
        <v>1.2287162213699232</v>
      </c>
      <c r="D353" s="140">
        <f>+'Esc 2'!D363</f>
        <v>81.099999999999994</v>
      </c>
      <c r="E353" s="147">
        <f t="shared" ref="E353:F367" si="126">+E341</f>
        <v>114.86999999999999</v>
      </c>
      <c r="F353" s="146">
        <f t="shared" si="126"/>
        <v>59</v>
      </c>
      <c r="G353" s="144">
        <f t="shared" si="125"/>
        <v>-3.3769999999999997E-4</v>
      </c>
      <c r="H353" s="145">
        <f>+F353/100000*'Bal Híd'!$G$4</f>
        <v>0.64900000000000002</v>
      </c>
      <c r="I353" s="145">
        <v>0</v>
      </c>
      <c r="J353" s="145">
        <f t="shared" ca="1" si="108"/>
        <v>7.9015449354450764</v>
      </c>
      <c r="K353" s="145">
        <f t="shared" ca="1" si="109"/>
        <v>301.99696291261694</v>
      </c>
      <c r="L353" s="145">
        <f t="shared" ca="1" si="110"/>
        <v>294.76127313931579</v>
      </c>
      <c r="M353" s="145">
        <f t="shared" ca="1" si="111"/>
        <v>7.664293803415462</v>
      </c>
      <c r="N353" s="145">
        <f t="shared" ca="1" si="112"/>
        <v>7.6368477630678893</v>
      </c>
      <c r="O353" s="143">
        <f t="shared" ca="1" si="107"/>
        <v>295.43791936297487</v>
      </c>
      <c r="P353" s="145">
        <f t="shared" ca="1" si="113"/>
        <v>2.7446040347572698E-2</v>
      </c>
      <c r="Q353" s="145">
        <f t="shared" ca="1" si="114"/>
        <v>0.64900000000000002</v>
      </c>
      <c r="R353" s="592">
        <f t="shared" ca="1" si="115"/>
        <v>0.99146508934030952</v>
      </c>
      <c r="S353" s="311"/>
      <c r="T353" s="392">
        <f t="shared" si="116"/>
        <v>2009</v>
      </c>
      <c r="U353" s="392">
        <f t="shared" si="117"/>
        <v>10</v>
      </c>
      <c r="V353" s="311">
        <f t="shared" ca="1" si="118"/>
        <v>106</v>
      </c>
      <c r="W353" s="269" t="str">
        <f t="shared" ca="1" si="119"/>
        <v>||||||||||</v>
      </c>
      <c r="X353" s="269" t="str">
        <f t="shared" ca="1" si="120"/>
        <v>||||||||||</v>
      </c>
      <c r="Y353" s="434" t="str">
        <f t="shared" ca="1" si="121"/>
        <v/>
      </c>
      <c r="Z353" s="269" t="str">
        <f t="shared" ca="1" si="122"/>
        <v>|||</v>
      </c>
      <c r="AA353" s="270" t="str">
        <f t="shared" ca="1" si="123"/>
        <v/>
      </c>
    </row>
    <row r="354" spans="1:27" x14ac:dyDescent="0.25">
      <c r="A354" s="140">
        <f>+'Esc 2'!A364</f>
        <v>2009</v>
      </c>
      <c r="B354" s="140">
        <f>+'Esc 2'!B364</f>
        <v>11</v>
      </c>
      <c r="C354" s="141">
        <f>+'Esc 2'!O364</f>
        <v>11.094163374253856</v>
      </c>
      <c r="D354" s="140">
        <f>+'Esc 2'!D364</f>
        <v>613.29999999999995</v>
      </c>
      <c r="E354" s="147">
        <f t="shared" si="126"/>
        <v>144.06</v>
      </c>
      <c r="F354" s="146">
        <f t="shared" si="126"/>
        <v>212</v>
      </c>
      <c r="G354" s="144">
        <f t="shared" si="125"/>
        <v>4.6923999999999993E-3</v>
      </c>
      <c r="H354" s="145">
        <f>+F354/100000*'Bal Híd'!$G$4</f>
        <v>2.3319999999999999</v>
      </c>
      <c r="I354" s="145">
        <v>0</v>
      </c>
      <c r="J354" s="145">
        <f t="shared" ca="1" si="108"/>
        <v>16.399011137321743</v>
      </c>
      <c r="K354" s="145">
        <f t="shared" ca="1" si="109"/>
        <v>483.45714768084537</v>
      </c>
      <c r="L354" s="145">
        <f t="shared" ca="1" si="110"/>
        <v>389.44753352191015</v>
      </c>
      <c r="M354" s="145">
        <f t="shared" ca="1" si="111"/>
        <v>16.583643122862433</v>
      </c>
      <c r="N354" s="145">
        <f t="shared" ca="1" si="112"/>
        <v>7.6368477630678893</v>
      </c>
      <c r="O354" s="143">
        <f t="shared" ca="1" si="107"/>
        <v>295.43791936297487</v>
      </c>
      <c r="P354" s="145">
        <f t="shared" ca="1" si="113"/>
        <v>8.9467953597945442</v>
      </c>
      <c r="Q354" s="145">
        <f t="shared" ca="1" si="114"/>
        <v>2.3319999999999999</v>
      </c>
      <c r="R354" s="592">
        <f t="shared" ca="1" si="115"/>
        <v>11.278795359794547</v>
      </c>
      <c r="S354" s="311"/>
      <c r="T354" s="392">
        <f t="shared" si="116"/>
        <v>2009</v>
      </c>
      <c r="U354" s="392">
        <f t="shared" si="117"/>
        <v>11</v>
      </c>
      <c r="V354" s="311">
        <f t="shared" ca="1" si="118"/>
        <v>106</v>
      </c>
      <c r="W354" s="269" t="str">
        <f t="shared" ca="1" si="119"/>
        <v>||||||||||</v>
      </c>
      <c r="X354" s="269" t="str">
        <f t="shared" ca="1" si="120"/>
        <v>||||||||||</v>
      </c>
      <c r="Y354" s="434" t="str">
        <f t="shared" ca="1" si="121"/>
        <v/>
      </c>
      <c r="Z354" s="269" t="str">
        <f t="shared" ca="1" si="122"/>
        <v>|||||||||||</v>
      </c>
      <c r="AA354" s="270" t="str">
        <f t="shared" ca="1" si="123"/>
        <v>||||||||||||||||||||||||||||||||||||||||||||</v>
      </c>
    </row>
    <row r="355" spans="1:27" x14ac:dyDescent="0.25">
      <c r="A355" s="140">
        <f>+'Esc 2'!A365</f>
        <v>2009</v>
      </c>
      <c r="B355" s="140">
        <f>+'Esc 2'!B365</f>
        <v>12</v>
      </c>
      <c r="C355" s="141">
        <f>+'Esc 2'!O365</f>
        <v>4.7547699096318947</v>
      </c>
      <c r="D355" s="140">
        <f>+'Esc 2'!D365</f>
        <v>272.39999999999998</v>
      </c>
      <c r="E355" s="147">
        <f t="shared" si="126"/>
        <v>179.62</v>
      </c>
      <c r="F355" s="146">
        <f t="shared" si="126"/>
        <v>388</v>
      </c>
      <c r="G355" s="144">
        <f t="shared" si="125"/>
        <v>9.2779999999999968E-4</v>
      </c>
      <c r="H355" s="145">
        <f>+F355/100000*'Bal Híd'!$G$4</f>
        <v>4.2679999999999998</v>
      </c>
      <c r="I355" s="145">
        <v>0</v>
      </c>
      <c r="J355" s="145">
        <f t="shared" ca="1" si="108"/>
        <v>8.1236176726997833</v>
      </c>
      <c r="K355" s="145">
        <f t="shared" ca="1" si="109"/>
        <v>307.43973087657275</v>
      </c>
      <c r="L355" s="145">
        <f t="shared" ca="1" si="110"/>
        <v>301.43882511977381</v>
      </c>
      <c r="M355" s="145">
        <f t="shared" ca="1" si="111"/>
        <v>7.8583221753781194</v>
      </c>
      <c r="N355" s="145">
        <f t="shared" ca="1" si="112"/>
        <v>7.6368477630678893</v>
      </c>
      <c r="O355" s="143">
        <f t="shared" ca="1" si="107"/>
        <v>295.43791936297487</v>
      </c>
      <c r="P355" s="145">
        <f t="shared" ca="1" si="113"/>
        <v>0.22147441231023013</v>
      </c>
      <c r="Q355" s="145">
        <f t="shared" ca="1" si="114"/>
        <v>4.2679999999999998</v>
      </c>
      <c r="R355" s="592">
        <f t="shared" ca="1" si="115"/>
        <v>4.4894744123102299</v>
      </c>
      <c r="S355" s="311"/>
      <c r="T355" s="392">
        <f t="shared" si="116"/>
        <v>2009</v>
      </c>
      <c r="U355" s="392">
        <f t="shared" si="117"/>
        <v>12</v>
      </c>
      <c r="V355" s="311">
        <f t="shared" ca="1" si="118"/>
        <v>106</v>
      </c>
      <c r="W355" s="269" t="str">
        <f t="shared" ca="1" si="119"/>
        <v>||||||||||</v>
      </c>
      <c r="X355" s="269" t="str">
        <f t="shared" ca="1" si="120"/>
        <v>||||||||||</v>
      </c>
      <c r="Y355" s="434" t="str">
        <f t="shared" ca="1" si="121"/>
        <v/>
      </c>
      <c r="Z355" s="269" t="str">
        <f t="shared" ca="1" si="122"/>
        <v>|||||||||||||||||||||</v>
      </c>
      <c r="AA355" s="270" t="str">
        <f t="shared" ca="1" si="123"/>
        <v>|</v>
      </c>
    </row>
    <row r="356" spans="1:27" x14ac:dyDescent="0.25">
      <c r="A356" s="140">
        <f>+'Esc 2'!A366</f>
        <v>2010</v>
      </c>
      <c r="B356" s="140">
        <f>+'Esc 2'!B366</f>
        <v>1</v>
      </c>
      <c r="C356" s="141">
        <f>+'Esc 2'!O366</f>
        <v>5.6569382009131388</v>
      </c>
      <c r="D356" s="140">
        <f>+'Esc 2'!D366</f>
        <v>357.5</v>
      </c>
      <c r="E356" s="147">
        <f t="shared" si="126"/>
        <v>176.89</v>
      </c>
      <c r="F356" s="146">
        <f t="shared" si="126"/>
        <v>318</v>
      </c>
      <c r="G356" s="144">
        <f t="shared" si="125"/>
        <v>1.8061000000000002E-3</v>
      </c>
      <c r="H356" s="145">
        <f>+F356/100000*'Bal Híd'!$G$4</f>
        <v>3.4980000000000002</v>
      </c>
      <c r="I356" s="145">
        <v>0</v>
      </c>
      <c r="J356" s="145">
        <f t="shared" ca="1" si="108"/>
        <v>9.7957859639810287</v>
      </c>
      <c r="K356" s="145">
        <f t="shared" ca="1" si="109"/>
        <v>346.85372129719195</v>
      </c>
      <c r="L356" s="145">
        <f t="shared" ca="1" si="110"/>
        <v>321.14582033008344</v>
      </c>
      <c r="M356" s="145">
        <f t="shared" ca="1" si="111"/>
        <v>9.6850461908819128</v>
      </c>
      <c r="N356" s="145">
        <f t="shared" ca="1" si="112"/>
        <v>7.6368477630678893</v>
      </c>
      <c r="O356" s="143">
        <f t="shared" ca="1" si="107"/>
        <v>295.43791936297487</v>
      </c>
      <c r="P356" s="145">
        <f t="shared" ca="1" si="113"/>
        <v>2.0481984278140235</v>
      </c>
      <c r="Q356" s="145">
        <f t="shared" ca="1" si="114"/>
        <v>3.4980000000000002</v>
      </c>
      <c r="R356" s="592">
        <f t="shared" ca="1" si="115"/>
        <v>5.5461984278140264</v>
      </c>
      <c r="S356" s="311"/>
      <c r="T356" s="392">
        <f t="shared" si="116"/>
        <v>2010</v>
      </c>
      <c r="U356" s="392">
        <f t="shared" si="117"/>
        <v>1</v>
      </c>
      <c r="V356" s="311">
        <f t="shared" ca="1" si="118"/>
        <v>106</v>
      </c>
      <c r="W356" s="269" t="str">
        <f t="shared" ca="1" si="119"/>
        <v>||||||||||</v>
      </c>
      <c r="X356" s="269" t="str">
        <f t="shared" ca="1" si="120"/>
        <v>||||||||||</v>
      </c>
      <c r="Y356" s="434" t="str">
        <f t="shared" ca="1" si="121"/>
        <v/>
      </c>
      <c r="Z356" s="269" t="str">
        <f t="shared" ca="1" si="122"/>
        <v>|||||||||||||||||</v>
      </c>
      <c r="AA356" s="270" t="str">
        <f t="shared" ca="1" si="123"/>
        <v>||||||||||</v>
      </c>
    </row>
    <row r="357" spans="1:27" x14ac:dyDescent="0.25">
      <c r="A357" s="140">
        <f>+'Esc 2'!A367</f>
        <v>2010</v>
      </c>
      <c r="B357" s="140">
        <f>+'Esc 2'!B367</f>
        <v>2</v>
      </c>
      <c r="C357" s="141">
        <f>+'Esc 2'!O367</f>
        <v>2.6967714196430803</v>
      </c>
      <c r="D357" s="140">
        <f>+'Esc 2'!D367</f>
        <v>166.2</v>
      </c>
      <c r="E357" s="147">
        <f t="shared" si="126"/>
        <v>131.73999999999998</v>
      </c>
      <c r="F357" s="146">
        <f t="shared" si="126"/>
        <v>153</v>
      </c>
      <c r="G357" s="144">
        <f t="shared" si="125"/>
        <v>3.4460000000000008E-4</v>
      </c>
      <c r="H357" s="145">
        <f>+F357/100000*'Bal Híd'!$G$4</f>
        <v>1.6829999999999998</v>
      </c>
      <c r="I357" s="145">
        <v>0</v>
      </c>
      <c r="J357" s="145">
        <f t="shared" ca="1" si="108"/>
        <v>8.6506191827109689</v>
      </c>
      <c r="K357" s="145">
        <f t="shared" ca="1" si="109"/>
        <v>320.14868304421384</v>
      </c>
      <c r="L357" s="145">
        <f t="shared" ca="1" si="110"/>
        <v>307.79330120359435</v>
      </c>
      <c r="M357" s="145">
        <f t="shared" ca="1" si="111"/>
        <v>8.4410770821219074</v>
      </c>
      <c r="N357" s="145">
        <f t="shared" ca="1" si="112"/>
        <v>7.6368477630678893</v>
      </c>
      <c r="O357" s="143">
        <f t="shared" ca="1" si="107"/>
        <v>295.43791936297487</v>
      </c>
      <c r="P357" s="145">
        <f t="shared" ca="1" si="113"/>
        <v>0.80422931905401818</v>
      </c>
      <c r="Q357" s="145">
        <f t="shared" ca="1" si="114"/>
        <v>1.6829999999999998</v>
      </c>
      <c r="R357" s="592">
        <f t="shared" ca="1" si="115"/>
        <v>2.4872293190540189</v>
      </c>
      <c r="S357" s="311"/>
      <c r="T357" s="392">
        <f t="shared" si="116"/>
        <v>2010</v>
      </c>
      <c r="U357" s="392">
        <f t="shared" si="117"/>
        <v>2</v>
      </c>
      <c r="V357" s="311">
        <f t="shared" ca="1" si="118"/>
        <v>106</v>
      </c>
      <c r="W357" s="269" t="str">
        <f t="shared" ca="1" si="119"/>
        <v>||||||||||</v>
      </c>
      <c r="X357" s="269" t="str">
        <f t="shared" ca="1" si="120"/>
        <v>||||||||||</v>
      </c>
      <c r="Y357" s="434" t="str">
        <f t="shared" ca="1" si="121"/>
        <v/>
      </c>
      <c r="Z357" s="269" t="str">
        <f t="shared" ca="1" si="122"/>
        <v>||||||||</v>
      </c>
      <c r="AA357" s="270" t="str">
        <f t="shared" ca="1" si="123"/>
        <v>||||</v>
      </c>
    </row>
    <row r="358" spans="1:27" x14ac:dyDescent="0.25">
      <c r="A358" s="140">
        <f>+'Esc 2'!A368</f>
        <v>2010</v>
      </c>
      <c r="B358" s="140">
        <f>+'Esc 2'!B368</f>
        <v>3</v>
      </c>
      <c r="C358" s="141">
        <f>+'Esc 2'!O368</f>
        <v>0.77400116822994414</v>
      </c>
      <c r="D358" s="140">
        <f>+'Esc 2'!D368</f>
        <v>46.7</v>
      </c>
      <c r="E358" s="147">
        <f t="shared" si="126"/>
        <v>118.64999999999999</v>
      </c>
      <c r="F358" s="146">
        <f t="shared" si="126"/>
        <v>47</v>
      </c>
      <c r="G358" s="144">
        <f t="shared" si="125"/>
        <v>-7.1949999999999987E-4</v>
      </c>
      <c r="H358" s="145">
        <f>+F358/100000*'Bal Híd'!$G$4</f>
        <v>0.51700000000000002</v>
      </c>
      <c r="I358" s="145">
        <v>0</v>
      </c>
      <c r="J358" s="145">
        <f t="shared" ca="1" si="108"/>
        <v>7.8938489312978328</v>
      </c>
      <c r="K358" s="145">
        <f t="shared" ca="1" si="109"/>
        <v>301.80737386473339</v>
      </c>
      <c r="L358" s="145">
        <f t="shared" ca="1" si="110"/>
        <v>298.62264661385416</v>
      </c>
      <c r="M358" s="145">
        <f t="shared" ca="1" si="111"/>
        <v>7.5911061814169445</v>
      </c>
      <c r="N358" s="145">
        <f t="shared" ca="1" si="112"/>
        <v>7.5911061814169445</v>
      </c>
      <c r="O358" s="143">
        <f t="shared" ca="1" si="107"/>
        <v>294.29633265541958</v>
      </c>
      <c r="P358" s="145">
        <f t="shared" ca="1" si="113"/>
        <v>0</v>
      </c>
      <c r="Q358" s="145">
        <f t="shared" ca="1" si="114"/>
        <v>0.51700000000000002</v>
      </c>
      <c r="R358" s="592">
        <f t="shared" ca="1" si="115"/>
        <v>0.47125841834905524</v>
      </c>
      <c r="S358" s="311"/>
      <c r="T358" s="392">
        <f t="shared" si="116"/>
        <v>2010</v>
      </c>
      <c r="U358" s="392">
        <f t="shared" si="117"/>
        <v>3</v>
      </c>
      <c r="V358" s="311">
        <f t="shared" ca="1" si="118"/>
        <v>105.98448738322199</v>
      </c>
      <c r="W358" s="269" t="str">
        <f t="shared" ca="1" si="119"/>
        <v>|||||||||</v>
      </c>
      <c r="X358" s="269" t="str">
        <f t="shared" ca="1" si="120"/>
        <v>|||||||||</v>
      </c>
      <c r="Y358" s="434" t="str">
        <f t="shared" ca="1" si="121"/>
        <v/>
      </c>
      <c r="Z358" s="269" t="str">
        <f t="shared" ca="1" si="122"/>
        <v>||</v>
      </c>
      <c r="AA358" s="270" t="str">
        <f t="shared" ca="1" si="123"/>
        <v/>
      </c>
    </row>
    <row r="359" spans="1:27" x14ac:dyDescent="0.25">
      <c r="A359" s="140">
        <f>+'Esc 2'!A369</f>
        <v>2010</v>
      </c>
      <c r="B359" s="140">
        <f>+'Esc 2'!B369</f>
        <v>4</v>
      </c>
      <c r="C359" s="141">
        <f>+'Esc 2'!O369</f>
        <v>0.53890348851404068</v>
      </c>
      <c r="D359" s="140">
        <f>+'Esc 2'!D369</f>
        <v>62.9</v>
      </c>
      <c r="E359" s="147">
        <f t="shared" si="126"/>
        <v>73.149999999999991</v>
      </c>
      <c r="F359" s="146">
        <f t="shared" si="126"/>
        <v>0</v>
      </c>
      <c r="G359" s="144">
        <f t="shared" si="125"/>
        <v>-1.0249999999999993E-4</v>
      </c>
      <c r="H359" s="145">
        <f>+F359/100000*'Bal Híd'!$G$4</f>
        <v>0</v>
      </c>
      <c r="I359" s="145">
        <v>0</v>
      </c>
      <c r="J359" s="145">
        <f t="shared" ca="1" si="108"/>
        <v>8.1300096699309847</v>
      </c>
      <c r="K359" s="145">
        <f t="shared" ca="1" si="109"/>
        <v>307.5956030259328</v>
      </c>
      <c r="L359" s="145">
        <f t="shared" ca="1" si="110"/>
        <v>300.94596784067619</v>
      </c>
      <c r="M359" s="145">
        <f t="shared" ca="1" si="111"/>
        <v>8.0374969926670214</v>
      </c>
      <c r="N359" s="145">
        <f t="shared" ca="1" si="112"/>
        <v>7.6368477630678893</v>
      </c>
      <c r="O359" s="143">
        <f t="shared" ca="1" si="107"/>
        <v>295.43791936297487</v>
      </c>
      <c r="P359" s="145">
        <f t="shared" ca="1" si="113"/>
        <v>0.40064922959913218</v>
      </c>
      <c r="Q359" s="145">
        <f t="shared" ca="1" si="114"/>
        <v>0</v>
      </c>
      <c r="R359" s="592">
        <f t="shared" ca="1" si="115"/>
        <v>0.44639081125007685</v>
      </c>
      <c r="S359" s="311"/>
      <c r="T359" s="392">
        <f t="shared" si="116"/>
        <v>2010</v>
      </c>
      <c r="U359" s="392">
        <f t="shared" si="117"/>
        <v>4</v>
      </c>
      <c r="V359" s="311">
        <f t="shared" ca="1" si="118"/>
        <v>106</v>
      </c>
      <c r="W359" s="269" t="str">
        <f t="shared" ca="1" si="119"/>
        <v>||||||||||</v>
      </c>
      <c r="X359" s="269" t="str">
        <f t="shared" ca="1" si="120"/>
        <v>||||||||||</v>
      </c>
      <c r="Y359" s="434" t="str">
        <f t="shared" ca="1" si="121"/>
        <v/>
      </c>
      <c r="Z359" s="269" t="str">
        <f t="shared" ca="1" si="122"/>
        <v/>
      </c>
      <c r="AA359" s="270" t="str">
        <f t="shared" ca="1" si="123"/>
        <v>||</v>
      </c>
    </row>
    <row r="360" spans="1:27" x14ac:dyDescent="0.25">
      <c r="A360" s="140">
        <f>+'Esc 2'!A370</f>
        <v>2010</v>
      </c>
      <c r="B360" s="140">
        <f>+'Esc 2'!B370</f>
        <v>5</v>
      </c>
      <c r="C360" s="141">
        <f>+'Esc 2'!O370</f>
        <v>1.7507974781102629</v>
      </c>
      <c r="D360" s="140">
        <f>+'Esc 2'!D370</f>
        <v>126.8</v>
      </c>
      <c r="E360" s="147">
        <f t="shared" si="126"/>
        <v>51.24</v>
      </c>
      <c r="F360" s="146">
        <f t="shared" si="126"/>
        <v>0</v>
      </c>
      <c r="G360" s="144">
        <f t="shared" si="125"/>
        <v>7.5560000000000004E-4</v>
      </c>
      <c r="H360" s="145">
        <f>+F360/100000*'Bal Híd'!$G$4</f>
        <v>0</v>
      </c>
      <c r="I360" s="145">
        <v>0</v>
      </c>
      <c r="J360" s="145">
        <f t="shared" ca="1" si="108"/>
        <v>9.3876452411781521</v>
      </c>
      <c r="K360" s="145">
        <f t="shared" ca="1" si="109"/>
        <v>337.47019995459664</v>
      </c>
      <c r="L360" s="145">
        <f t="shared" ca="1" si="110"/>
        <v>316.45405965878575</v>
      </c>
      <c r="M360" s="145">
        <f t="shared" ca="1" si="111"/>
        <v>9.4160936816645595</v>
      </c>
      <c r="N360" s="145">
        <f t="shared" ca="1" si="112"/>
        <v>7.6368477630678893</v>
      </c>
      <c r="O360" s="143">
        <f t="shared" ca="1" si="107"/>
        <v>295.43791936297487</v>
      </c>
      <c r="P360" s="145">
        <f t="shared" ca="1" si="113"/>
        <v>1.7792459185966703</v>
      </c>
      <c r="Q360" s="145">
        <f t="shared" ca="1" si="114"/>
        <v>0</v>
      </c>
      <c r="R360" s="592">
        <f t="shared" ca="1" si="115"/>
        <v>1.7792459185966709</v>
      </c>
      <c r="S360" s="311"/>
      <c r="T360" s="392">
        <f t="shared" si="116"/>
        <v>2010</v>
      </c>
      <c r="U360" s="392">
        <f t="shared" si="117"/>
        <v>5</v>
      </c>
      <c r="V360" s="311">
        <f t="shared" ca="1" si="118"/>
        <v>106</v>
      </c>
      <c r="W360" s="269" t="str">
        <f t="shared" ca="1" si="119"/>
        <v>||||||||||</v>
      </c>
      <c r="X360" s="269" t="str">
        <f t="shared" ca="1" si="120"/>
        <v>||||||||||</v>
      </c>
      <c r="Y360" s="434" t="str">
        <f t="shared" ca="1" si="121"/>
        <v/>
      </c>
      <c r="Z360" s="269" t="str">
        <f t="shared" ca="1" si="122"/>
        <v/>
      </c>
      <c r="AA360" s="270" t="str">
        <f t="shared" ca="1" si="123"/>
        <v>||||||||</v>
      </c>
    </row>
    <row r="361" spans="1:27" x14ac:dyDescent="0.25">
      <c r="A361" s="140">
        <f>+'Esc 2'!A371</f>
        <v>2010</v>
      </c>
      <c r="B361" s="140">
        <f>+'Esc 2'!B371</f>
        <v>6</v>
      </c>
      <c r="C361" s="141">
        <f>+'Esc 2'!O371</f>
        <v>0.59837205000656934</v>
      </c>
      <c r="D361" s="140">
        <f>+'Esc 2'!D371</f>
        <v>22.4</v>
      </c>
      <c r="E361" s="147">
        <f t="shared" si="126"/>
        <v>41.019999999999996</v>
      </c>
      <c r="F361" s="146">
        <f t="shared" si="126"/>
        <v>0</v>
      </c>
      <c r="G361" s="144">
        <f t="shared" si="125"/>
        <v>-1.8619999999999997E-4</v>
      </c>
      <c r="H361" s="145">
        <f>+F361/100000*'Bal Híd'!$G$4</f>
        <v>0</v>
      </c>
      <c r="I361" s="145">
        <v>0</v>
      </c>
      <c r="J361" s="145">
        <f t="shared" ca="1" si="108"/>
        <v>8.2352198130744583</v>
      </c>
      <c r="K361" s="145">
        <f t="shared" ca="1" si="109"/>
        <v>310.15498047322279</v>
      </c>
      <c r="L361" s="145">
        <f t="shared" ca="1" si="110"/>
        <v>302.7964499180988</v>
      </c>
      <c r="M361" s="145">
        <f t="shared" ca="1" si="111"/>
        <v>8.1099475047946878</v>
      </c>
      <c r="N361" s="145">
        <f t="shared" ca="1" si="112"/>
        <v>7.6368477630678893</v>
      </c>
      <c r="O361" s="143">
        <f t="shared" ca="1" si="107"/>
        <v>295.43791936297487</v>
      </c>
      <c r="P361" s="145">
        <f t="shared" ca="1" si="113"/>
        <v>0.47309974172679858</v>
      </c>
      <c r="Q361" s="145">
        <f t="shared" ca="1" si="114"/>
        <v>0</v>
      </c>
      <c r="R361" s="592">
        <f t="shared" ca="1" si="115"/>
        <v>0.47309974172679864</v>
      </c>
      <c r="S361" s="311"/>
      <c r="T361" s="392">
        <f t="shared" si="116"/>
        <v>2010</v>
      </c>
      <c r="U361" s="392">
        <f t="shared" si="117"/>
        <v>6</v>
      </c>
      <c r="V361" s="311">
        <f t="shared" ca="1" si="118"/>
        <v>106</v>
      </c>
      <c r="W361" s="269" t="str">
        <f t="shared" ca="1" si="119"/>
        <v>||||||||||</v>
      </c>
      <c r="X361" s="269" t="str">
        <f t="shared" ca="1" si="120"/>
        <v>||||||||||</v>
      </c>
      <c r="Y361" s="434" t="str">
        <f t="shared" ca="1" si="121"/>
        <v/>
      </c>
      <c r="Z361" s="269" t="str">
        <f t="shared" ca="1" si="122"/>
        <v/>
      </c>
      <c r="AA361" s="270" t="str">
        <f t="shared" ca="1" si="123"/>
        <v>||</v>
      </c>
    </row>
    <row r="362" spans="1:27" x14ac:dyDescent="0.25">
      <c r="A362" s="140">
        <f>+'Esc 2'!A372</f>
        <v>2010</v>
      </c>
      <c r="B362" s="140">
        <f>+'Esc 2'!B372</f>
        <v>7</v>
      </c>
      <c r="C362" s="141">
        <f>+'Esc 2'!O372</f>
        <v>2.5804005844467772</v>
      </c>
      <c r="D362" s="140">
        <f>+'Esc 2'!D372</f>
        <v>168.5</v>
      </c>
      <c r="E362" s="147">
        <f t="shared" si="126"/>
        <v>50.819999999999993</v>
      </c>
      <c r="F362" s="146">
        <f t="shared" si="126"/>
        <v>0</v>
      </c>
      <c r="G362" s="144">
        <f t="shared" si="125"/>
        <v>1.1768E-3</v>
      </c>
      <c r="H362" s="145">
        <f>+F362/100000*'Bal Híd'!$G$4</f>
        <v>0</v>
      </c>
      <c r="I362" s="145">
        <v>0</v>
      </c>
      <c r="J362" s="145">
        <f t="shared" ca="1" si="108"/>
        <v>10.217248347514666</v>
      </c>
      <c r="K362" s="145">
        <f t="shared" ca="1" si="109"/>
        <v>356.39874145163958</v>
      </c>
      <c r="L362" s="145">
        <f t="shared" ca="1" si="110"/>
        <v>325.91833040730722</v>
      </c>
      <c r="M362" s="145">
        <f t="shared" ca="1" si="111"/>
        <v>10.2810172325536</v>
      </c>
      <c r="N362" s="145">
        <f t="shared" ca="1" si="112"/>
        <v>7.6368477630678893</v>
      </c>
      <c r="O362" s="143">
        <f t="shared" ca="1" si="107"/>
        <v>295.43791936297487</v>
      </c>
      <c r="P362" s="145">
        <f t="shared" ca="1" si="113"/>
        <v>2.6441694694857105</v>
      </c>
      <c r="Q362" s="145">
        <f t="shared" ca="1" si="114"/>
        <v>0</v>
      </c>
      <c r="R362" s="592">
        <f t="shared" ca="1" si="115"/>
        <v>2.644169469485711</v>
      </c>
      <c r="S362" s="311"/>
      <c r="T362" s="392">
        <f t="shared" si="116"/>
        <v>2010</v>
      </c>
      <c r="U362" s="392">
        <f t="shared" si="117"/>
        <v>7</v>
      </c>
      <c r="V362" s="311">
        <f t="shared" ca="1" si="118"/>
        <v>106</v>
      </c>
      <c r="W362" s="269" t="str">
        <f t="shared" ca="1" si="119"/>
        <v>||||||||||</v>
      </c>
      <c r="X362" s="269" t="str">
        <f t="shared" ca="1" si="120"/>
        <v>||||||||||</v>
      </c>
      <c r="Y362" s="434" t="str">
        <f t="shared" ca="1" si="121"/>
        <v/>
      </c>
      <c r="Z362" s="269" t="str">
        <f t="shared" ca="1" si="122"/>
        <v/>
      </c>
      <c r="AA362" s="270" t="str">
        <f t="shared" ca="1" si="123"/>
        <v>|||||||||||||</v>
      </c>
    </row>
    <row r="363" spans="1:27" x14ac:dyDescent="0.25">
      <c r="A363" s="140">
        <f>+'Esc 2'!A373</f>
        <v>2010</v>
      </c>
      <c r="B363" s="140">
        <f>+'Esc 2'!B373</f>
        <v>8</v>
      </c>
      <c r="C363" s="141">
        <f>+'Esc 2'!O373</f>
        <v>0.73096378480596391</v>
      </c>
      <c r="D363" s="140">
        <f>+'Esc 2'!D373</f>
        <v>13.6</v>
      </c>
      <c r="E363" s="147">
        <f t="shared" si="126"/>
        <v>72.449999999999989</v>
      </c>
      <c r="F363" s="146">
        <f t="shared" si="126"/>
        <v>0</v>
      </c>
      <c r="G363" s="144">
        <f t="shared" si="125"/>
        <v>-5.8849999999999983E-4</v>
      </c>
      <c r="H363" s="145">
        <f>+F363/100000*'Bal Híd'!$G$4</f>
        <v>0</v>
      </c>
      <c r="I363" s="145">
        <v>0</v>
      </c>
      <c r="J363" s="145">
        <f t="shared" ca="1" si="108"/>
        <v>8.3678115478738526</v>
      </c>
      <c r="K363" s="145">
        <f t="shared" ca="1" si="109"/>
        <v>313.3639550333823</v>
      </c>
      <c r="L363" s="145">
        <f t="shared" ca="1" si="110"/>
        <v>304.40093719817855</v>
      </c>
      <c r="M363" s="145">
        <f t="shared" ca="1" si="111"/>
        <v>8.1040685312555905</v>
      </c>
      <c r="N363" s="145">
        <f t="shared" ca="1" si="112"/>
        <v>7.6368477630678893</v>
      </c>
      <c r="O363" s="143">
        <f t="shared" ca="1" si="107"/>
        <v>295.43791936297487</v>
      </c>
      <c r="P363" s="145">
        <f t="shared" ca="1" si="113"/>
        <v>0.4672207681877012</v>
      </c>
      <c r="Q363" s="145">
        <f t="shared" ca="1" si="114"/>
        <v>0</v>
      </c>
      <c r="R363" s="592">
        <f t="shared" ca="1" si="115"/>
        <v>0.46722076818770164</v>
      </c>
      <c r="S363" s="311"/>
      <c r="T363" s="392">
        <f t="shared" si="116"/>
        <v>2010</v>
      </c>
      <c r="U363" s="392">
        <f t="shared" si="117"/>
        <v>8</v>
      </c>
      <c r="V363" s="311">
        <f t="shared" ca="1" si="118"/>
        <v>106</v>
      </c>
      <c r="W363" s="269" t="str">
        <f t="shared" ca="1" si="119"/>
        <v>||||||||||</v>
      </c>
      <c r="X363" s="269" t="str">
        <f t="shared" ca="1" si="120"/>
        <v>||||||||||</v>
      </c>
      <c r="Y363" s="434" t="str">
        <f t="shared" ca="1" si="121"/>
        <v/>
      </c>
      <c r="Z363" s="269" t="str">
        <f t="shared" ca="1" si="122"/>
        <v/>
      </c>
      <c r="AA363" s="270" t="str">
        <f t="shared" ca="1" si="123"/>
        <v>||</v>
      </c>
    </row>
    <row r="364" spans="1:27" x14ac:dyDescent="0.25">
      <c r="A364" s="140">
        <f>+'Esc 2'!A374</f>
        <v>2010</v>
      </c>
      <c r="B364" s="140">
        <f>+'Esc 2'!B374</f>
        <v>9</v>
      </c>
      <c r="C364" s="141">
        <f>+'Esc 2'!O374</f>
        <v>1.6833945615019299</v>
      </c>
      <c r="D364" s="140">
        <f>+'Esc 2'!D374</f>
        <v>143.9</v>
      </c>
      <c r="E364" s="147">
        <f t="shared" si="126"/>
        <v>85.89</v>
      </c>
      <c r="F364" s="146">
        <f t="shared" si="126"/>
        <v>0</v>
      </c>
      <c r="G364" s="144">
        <f t="shared" si="125"/>
        <v>5.8010000000000006E-4</v>
      </c>
      <c r="H364" s="145">
        <f>+F364/100000*'Bal Híd'!$G$4</f>
        <v>0</v>
      </c>
      <c r="I364" s="145">
        <v>0</v>
      </c>
      <c r="J364" s="145">
        <f t="shared" ca="1" si="108"/>
        <v>9.3202423245698185</v>
      </c>
      <c r="K364" s="145">
        <f t="shared" ca="1" si="109"/>
        <v>335.90670882796815</v>
      </c>
      <c r="L364" s="145">
        <f t="shared" ca="1" si="110"/>
        <v>315.67231409547151</v>
      </c>
      <c r="M364" s="145">
        <f t="shared" ca="1" si="111"/>
        <v>9.3013102002256343</v>
      </c>
      <c r="N364" s="145">
        <f t="shared" ca="1" si="112"/>
        <v>7.6368477630678893</v>
      </c>
      <c r="O364" s="143">
        <f t="shared" ca="1" si="107"/>
        <v>295.43791936297487</v>
      </c>
      <c r="P364" s="145">
        <f t="shared" ca="1" si="113"/>
        <v>1.664462437157745</v>
      </c>
      <c r="Q364" s="145">
        <f t="shared" ca="1" si="114"/>
        <v>0</v>
      </c>
      <c r="R364" s="592">
        <f t="shared" ca="1" si="115"/>
        <v>1.6644624371577452</v>
      </c>
      <c r="S364" s="311"/>
      <c r="T364" s="392">
        <f t="shared" si="116"/>
        <v>2010</v>
      </c>
      <c r="U364" s="392">
        <f t="shared" si="117"/>
        <v>9</v>
      </c>
      <c r="V364" s="311">
        <f t="shared" ca="1" si="118"/>
        <v>106</v>
      </c>
      <c r="W364" s="269" t="str">
        <f t="shared" ca="1" si="119"/>
        <v>||||||||||</v>
      </c>
      <c r="X364" s="269" t="str">
        <f t="shared" ca="1" si="120"/>
        <v>||||||||||</v>
      </c>
      <c r="Y364" s="434" t="str">
        <f t="shared" ca="1" si="121"/>
        <v/>
      </c>
      <c r="Z364" s="269" t="str">
        <f t="shared" ca="1" si="122"/>
        <v/>
      </c>
      <c r="AA364" s="270" t="str">
        <f t="shared" ca="1" si="123"/>
        <v>||||||||</v>
      </c>
    </row>
    <row r="365" spans="1:27" x14ac:dyDescent="0.25">
      <c r="A365" s="140">
        <f>+'Esc 2'!A375</f>
        <v>2010</v>
      </c>
      <c r="B365" s="140">
        <f>+'Esc 2'!B375</f>
        <v>10</v>
      </c>
      <c r="C365" s="141">
        <f>+'Esc 2'!O375</f>
        <v>0.55195651306105964</v>
      </c>
      <c r="D365" s="140">
        <f>+'Esc 2'!D375</f>
        <v>24.4</v>
      </c>
      <c r="E365" s="147">
        <f t="shared" si="126"/>
        <v>114.86999999999999</v>
      </c>
      <c r="F365" s="146">
        <f t="shared" si="126"/>
        <v>59</v>
      </c>
      <c r="G365" s="144">
        <f t="shared" si="125"/>
        <v>-9.0470000000000004E-4</v>
      </c>
      <c r="H365" s="145">
        <f>+F365/100000*'Bal Híd'!$G$4</f>
        <v>0.64900000000000002</v>
      </c>
      <c r="I365" s="145">
        <v>0</v>
      </c>
      <c r="J365" s="145">
        <f t="shared" ca="1" si="108"/>
        <v>7.5398042761289483</v>
      </c>
      <c r="K365" s="145">
        <f t="shared" ca="1" si="109"/>
        <v>293.01306124779023</v>
      </c>
      <c r="L365" s="145">
        <f t="shared" ca="1" si="110"/>
        <v>294.22549030538255</v>
      </c>
      <c r="M365" s="145">
        <f t="shared" ca="1" si="111"/>
        <v>7.2118695489345965</v>
      </c>
      <c r="N365" s="145">
        <f t="shared" ca="1" si="112"/>
        <v>7.2118695489345965</v>
      </c>
      <c r="O365" s="143">
        <f t="shared" ca="1" si="107"/>
        <v>284.73537637453671</v>
      </c>
      <c r="P365" s="145">
        <f t="shared" ca="1" si="113"/>
        <v>0</v>
      </c>
      <c r="Q365" s="145">
        <f t="shared" ca="1" si="114"/>
        <v>0.64900000000000002</v>
      </c>
      <c r="R365" s="592">
        <f t="shared" ca="1" si="115"/>
        <v>0.22402178586670801</v>
      </c>
      <c r="S365" s="311"/>
      <c r="T365" s="392">
        <f t="shared" si="116"/>
        <v>2010</v>
      </c>
      <c r="U365" s="392">
        <f t="shared" si="117"/>
        <v>10</v>
      </c>
      <c r="V365" s="311">
        <f t="shared" ca="1" si="118"/>
        <v>105.853492110264</v>
      </c>
      <c r="W365" s="269" t="str">
        <f t="shared" ca="1" si="119"/>
        <v>|||||||||</v>
      </c>
      <c r="X365" s="269" t="str">
        <f t="shared" ca="1" si="120"/>
        <v>|||||||||</v>
      </c>
      <c r="Y365" s="434" t="str">
        <f t="shared" ca="1" si="121"/>
        <v/>
      </c>
      <c r="Z365" s="269" t="str">
        <f t="shared" ca="1" si="122"/>
        <v>|||</v>
      </c>
      <c r="AA365" s="270" t="str">
        <f t="shared" ca="1" si="123"/>
        <v/>
      </c>
    </row>
    <row r="366" spans="1:27" x14ac:dyDescent="0.25">
      <c r="A366" s="140">
        <f>+'Esc 2'!A376</f>
        <v>2010</v>
      </c>
      <c r="B366" s="140">
        <f>+'Esc 2'!B376</f>
        <v>11</v>
      </c>
      <c r="C366" s="141">
        <f>+'Esc 2'!O376</f>
        <v>0.13439598683121523</v>
      </c>
      <c r="D366" s="140">
        <f>+'Esc 2'!D376</f>
        <v>32.700000000000003</v>
      </c>
      <c r="E366" s="147">
        <f t="shared" si="126"/>
        <v>144.06</v>
      </c>
      <c r="F366" s="146">
        <f t="shared" si="126"/>
        <v>212</v>
      </c>
      <c r="G366" s="144">
        <f t="shared" si="125"/>
        <v>-1.1136E-3</v>
      </c>
      <c r="H366" s="145">
        <f>+F366/100000*'Bal Híd'!$G$4</f>
        <v>2.3319999999999999</v>
      </c>
      <c r="I366" s="145">
        <v>0</v>
      </c>
      <c r="J366" s="145">
        <f t="shared" ca="1" si="108"/>
        <v>5.0142655357658121</v>
      </c>
      <c r="K366" s="145">
        <f t="shared" ca="1" si="109"/>
        <v>225.28005894697915</v>
      </c>
      <c r="L366" s="145">
        <f t="shared" ca="1" si="110"/>
        <v>255.00771766075792</v>
      </c>
      <c r="M366" s="145">
        <f t="shared" ca="1" si="111"/>
        <v>4.7172577573998593</v>
      </c>
      <c r="N366" s="145">
        <f t="shared" ca="1" si="112"/>
        <v>4.7172577573998593</v>
      </c>
      <c r="O366" s="143">
        <f t="shared" ca="1" si="107"/>
        <v>216.58764716267996</v>
      </c>
      <c r="P366" s="145">
        <f t="shared" ca="1" si="113"/>
        <v>0</v>
      </c>
      <c r="Q366" s="145">
        <f t="shared" ca="1" si="114"/>
        <v>2.3319999999999999</v>
      </c>
      <c r="R366" s="592">
        <f t="shared" ca="1" si="115"/>
        <v>-0.16261179153473765</v>
      </c>
      <c r="S366" s="311"/>
      <c r="T366" s="392">
        <f t="shared" si="116"/>
        <v>2010</v>
      </c>
      <c r="U366" s="392">
        <f t="shared" si="117"/>
        <v>11</v>
      </c>
      <c r="V366" s="311">
        <f t="shared" ca="1" si="118"/>
        <v>104.85551260073031</v>
      </c>
      <c r="W366" s="269" t="str">
        <f t="shared" ca="1" si="119"/>
        <v>|||||||</v>
      </c>
      <c r="X366" s="269" t="str">
        <f t="shared" ca="1" si="120"/>
        <v>||||||</v>
      </c>
      <c r="Y366" s="434" t="str">
        <f t="shared" ca="1" si="121"/>
        <v/>
      </c>
      <c r="Z366" s="269" t="str">
        <f t="shared" ca="1" si="122"/>
        <v>|||||||||||</v>
      </c>
      <c r="AA366" s="270" t="str">
        <f t="shared" ca="1" si="123"/>
        <v/>
      </c>
    </row>
    <row r="367" spans="1:27" x14ac:dyDescent="0.25">
      <c r="A367" s="140">
        <f>+'Esc 2'!A377</f>
        <v>2010</v>
      </c>
      <c r="B367" s="140">
        <f>+'Esc 2'!B377</f>
        <v>12</v>
      </c>
      <c r="C367" s="141">
        <f>+'Esc 2'!O377</f>
        <v>0.39671249245561202</v>
      </c>
      <c r="D367" s="140">
        <f>+'Esc 2'!D377</f>
        <v>78.5</v>
      </c>
      <c r="E367" s="147">
        <f t="shared" si="126"/>
        <v>179.62</v>
      </c>
      <c r="F367" s="146">
        <f t="shared" si="126"/>
        <v>388</v>
      </c>
      <c r="G367" s="144">
        <f t="shared" si="125"/>
        <v>-1.0112000000000001E-3</v>
      </c>
      <c r="H367" s="145">
        <f>+F367/100000*'Bal Híd'!$G$4</f>
        <v>4.2679999999999998</v>
      </c>
      <c r="I367" s="145">
        <v>0</v>
      </c>
      <c r="J367" s="145">
        <f t="shared" ca="1" si="108"/>
        <v>0.84597024985547176</v>
      </c>
      <c r="K367" s="145">
        <f t="shared" ca="1" si="109"/>
        <v>71.559323661464958</v>
      </c>
      <c r="L367" s="145">
        <f t="shared" ca="1" si="110"/>
        <v>144.07348541207244</v>
      </c>
      <c r="M367" s="145">
        <f t="shared" ca="1" si="111"/>
        <v>0.67855091650389721</v>
      </c>
      <c r="N367" s="145">
        <f t="shared" ca="1" si="112"/>
        <v>0.67855091650389721</v>
      </c>
      <c r="O367" s="143">
        <f t="shared" ca="1" si="107"/>
        <v>62.079262287356997</v>
      </c>
      <c r="P367" s="145">
        <f t="shared" ca="1" si="113"/>
        <v>0</v>
      </c>
      <c r="Q367" s="145">
        <f t="shared" ca="1" si="114"/>
        <v>4.2679999999999998</v>
      </c>
      <c r="R367" s="592">
        <f t="shared" ca="1" si="115"/>
        <v>0.22929315910403825</v>
      </c>
      <c r="S367" s="311"/>
      <c r="T367" s="392">
        <f t="shared" si="116"/>
        <v>2010</v>
      </c>
      <c r="U367" s="392">
        <f t="shared" si="117"/>
        <v>12</v>
      </c>
      <c r="V367" s="311">
        <f t="shared" ca="1" si="118"/>
        <v>101.80413126427311</v>
      </c>
      <c r="W367" s="269" t="str">
        <f t="shared" ca="1" si="119"/>
        <v>||</v>
      </c>
      <c r="X367" s="269" t="str">
        <f t="shared" ca="1" si="120"/>
        <v/>
      </c>
      <c r="Y367" s="434" t="str">
        <f t="shared" ca="1" si="121"/>
        <v/>
      </c>
      <c r="Z367" s="269" t="str">
        <f t="shared" ca="1" si="122"/>
        <v>|||||||||||||||||||||</v>
      </c>
      <c r="AA367" s="270" t="str">
        <f t="shared" ca="1" si="123"/>
        <v/>
      </c>
    </row>
    <row r="368" spans="1:27" x14ac:dyDescent="0.25">
      <c r="A368" s="140">
        <f>+'Esc 2'!A378</f>
        <v>2011</v>
      </c>
      <c r="B368" s="140">
        <f>+'Esc 2'!B378</f>
        <v>1</v>
      </c>
      <c r="C368" s="141">
        <f>+'Esc 2'!O378</f>
        <v>0.48701005294308175</v>
      </c>
      <c r="D368" s="140">
        <f>+'Esc 2'!D378</f>
        <v>78</v>
      </c>
      <c r="E368" s="147">
        <f t="shared" ref="E368:F391" si="127">+E356</f>
        <v>176.89</v>
      </c>
      <c r="F368" s="146">
        <f t="shared" si="127"/>
        <v>318</v>
      </c>
      <c r="G368" s="144">
        <f t="shared" ref="G368:G391" si="128">+(D368-E368)/100000</f>
        <v>-9.8889999999999981E-4</v>
      </c>
      <c r="H368" s="145">
        <f>+F368/100000*'Bal Híd'!$G$4</f>
        <v>3.4980000000000002</v>
      </c>
      <c r="I368" s="145">
        <v>0</v>
      </c>
      <c r="J368" s="145">
        <f t="shared" ref="J368:J391" ca="1" si="129">+N367+C368-H368-I368</f>
        <v>-2.3324390305530214</v>
      </c>
      <c r="K368" s="145">
        <f t="shared" ref="K368:K391" ca="1" si="130">+IF(J368&lt;0,0,g_*J368^h_)</f>
        <v>0</v>
      </c>
      <c r="L368" s="145">
        <f t="shared" ref="L368:L391" ca="1" si="131">+(K368+O367)/2</f>
        <v>31.039631143678498</v>
      </c>
      <c r="M368" s="145">
        <f t="shared" ref="M368:M391" ca="1" si="132">+N367+C368*(Ac-L368)/Ac+G368*L368-H368-I368</f>
        <v>-2.3688818831623424</v>
      </c>
      <c r="N368" s="145">
        <f t="shared" ref="N368:N391" ca="1" si="133">+IF(M368&gt;VolHv,VolHv,IF(M368&lt;VolHt,VolHt,M368))</f>
        <v>0.14364725252241328</v>
      </c>
      <c r="O368" s="143">
        <f t="shared" ref="O368:O391" ca="1" si="134">+g_*N368^h_</f>
        <v>22.824988701237128</v>
      </c>
      <c r="P368" s="145">
        <f t="shared" ref="P368:P391" ca="1" si="135">+IF(M368&gt;VolHv,M368-VolHv,0)</f>
        <v>0</v>
      </c>
      <c r="Q368" s="145">
        <f t="shared" ref="Q368:Q391" ca="1" si="136">+IF(M368&lt;VolHt,IF(H368&lt;(VolHt-M368),0,H368-(VolHt-M368)),H368)</f>
        <v>0.98547086431524455</v>
      </c>
      <c r="R368" s="592">
        <f t="shared" ref="R368:R391" ca="1" si="137">+C368*(Ac-L368)/Ac+G368*L368</f>
        <v>0.45056720033376096</v>
      </c>
      <c r="S368" s="311"/>
      <c r="T368" s="392">
        <f t="shared" ref="T368:T391" si="138">+A368</f>
        <v>2011</v>
      </c>
      <c r="U368" s="392">
        <f t="shared" ref="U368:U391" si="139">+B368</f>
        <v>1</v>
      </c>
      <c r="V368" s="311">
        <f t="shared" ref="V368:V391" ca="1" si="140">+Hast+e_*N368^f_</f>
        <v>100.5</v>
      </c>
      <c r="W368" s="269" t="str">
        <f t="shared" ref="W368:W391" ca="1" si="141">+REPT("|",(V368-Ht)/(Hv-Ht)*10)</f>
        <v/>
      </c>
      <c r="X368" s="269" t="str">
        <f t="shared" ref="X368:X391" ca="1" si="142">+REPT("|",(N368-VolHt)/(VolHv-VolHt)*10)</f>
        <v/>
      </c>
      <c r="Y368" s="434" t="str">
        <f t="shared" ref="Y368:Y391" ca="1" si="143">+REPT("|",(H368-Q368)*$AA$4)</f>
        <v>||||||||||||</v>
      </c>
      <c r="Z368" s="269" t="str">
        <f t="shared" ref="Z368:Z391" ca="1" si="144">+REPT("|",Q368*$AA$4)</f>
        <v>||||</v>
      </c>
      <c r="AA368" s="270" t="str">
        <f t="shared" ref="AA368:AA391" ca="1" si="145">+REPT("|",P368*$AA$4)</f>
        <v/>
      </c>
    </row>
    <row r="369" spans="1:27" x14ac:dyDescent="0.25">
      <c r="A369" s="140">
        <f>+'Esc 2'!A379</f>
        <v>2011</v>
      </c>
      <c r="B369" s="140">
        <f>+'Esc 2'!B379</f>
        <v>2</v>
      </c>
      <c r="C369" s="141">
        <f>+'Esc 2'!O379</f>
        <v>1.0938049301948733</v>
      </c>
      <c r="D369" s="140">
        <f>+'Esc 2'!D379</f>
        <v>124</v>
      </c>
      <c r="E369" s="147">
        <f t="shared" si="127"/>
        <v>131.73999999999998</v>
      </c>
      <c r="F369" s="146">
        <f t="shared" si="127"/>
        <v>153</v>
      </c>
      <c r="G369" s="144">
        <f t="shared" si="128"/>
        <v>-7.7399999999999808E-5</v>
      </c>
      <c r="H369" s="145">
        <f>+F369/100000*'Bal Híd'!$G$4</f>
        <v>1.6829999999999998</v>
      </c>
      <c r="I369" s="145">
        <v>0</v>
      </c>
      <c r="J369" s="145">
        <f t="shared" ca="1" si="129"/>
        <v>-0.4455478172827132</v>
      </c>
      <c r="K369" s="145">
        <f t="shared" ca="1" si="130"/>
        <v>0</v>
      </c>
      <c r="L369" s="145">
        <f t="shared" ca="1" si="131"/>
        <v>11.412494350618564</v>
      </c>
      <c r="M369" s="145">
        <f t="shared" ca="1" si="132"/>
        <v>-0.45117754837074697</v>
      </c>
      <c r="N369" s="145">
        <f t="shared" ca="1" si="133"/>
        <v>0.14364725252241328</v>
      </c>
      <c r="O369" s="143">
        <f t="shared" ca="1" si="134"/>
        <v>22.824988701237128</v>
      </c>
      <c r="P369" s="145">
        <f t="shared" ca="1" si="135"/>
        <v>0</v>
      </c>
      <c r="Q369" s="145">
        <f t="shared" ca="1" si="136"/>
        <v>1.0881751991068396</v>
      </c>
      <c r="R369" s="592">
        <f t="shared" ca="1" si="137"/>
        <v>1.0881751991068396</v>
      </c>
      <c r="S369" s="311"/>
      <c r="T369" s="392">
        <f t="shared" si="138"/>
        <v>2011</v>
      </c>
      <c r="U369" s="392">
        <f t="shared" si="139"/>
        <v>2</v>
      </c>
      <c r="V369" s="311">
        <f t="shared" ca="1" si="140"/>
        <v>100.5</v>
      </c>
      <c r="W369" s="269" t="str">
        <f t="shared" ca="1" si="141"/>
        <v/>
      </c>
      <c r="X369" s="269" t="str">
        <f t="shared" ca="1" si="142"/>
        <v/>
      </c>
      <c r="Y369" s="434" t="str">
        <f t="shared" ca="1" si="143"/>
        <v>||</v>
      </c>
      <c r="Z369" s="269" t="str">
        <f t="shared" ca="1" si="144"/>
        <v>|||||</v>
      </c>
      <c r="AA369" s="270" t="str">
        <f t="shared" ca="1" si="145"/>
        <v/>
      </c>
    </row>
    <row r="370" spans="1:27" x14ac:dyDescent="0.25">
      <c r="A370" s="140">
        <f>+'Esc 2'!A380</f>
        <v>2011</v>
      </c>
      <c r="B370" s="140">
        <f>+'Esc 2'!B380</f>
        <v>3</v>
      </c>
      <c r="C370" s="141">
        <f>+'Esc 2'!O380</f>
        <v>0.49417112334495794</v>
      </c>
      <c r="D370" s="140">
        <f>+'Esc 2'!D380</f>
        <v>44.1</v>
      </c>
      <c r="E370" s="147">
        <f t="shared" si="127"/>
        <v>118.64999999999999</v>
      </c>
      <c r="F370" s="146">
        <f t="shared" si="127"/>
        <v>47</v>
      </c>
      <c r="G370" s="144">
        <f t="shared" si="128"/>
        <v>-7.4549999999999985E-4</v>
      </c>
      <c r="H370" s="145">
        <f>+F370/100000*'Bal Híd'!$G$4</f>
        <v>0.51700000000000002</v>
      </c>
      <c r="I370" s="145">
        <v>0</v>
      </c>
      <c r="J370" s="145">
        <f t="shared" ca="1" si="129"/>
        <v>0.12081837586737121</v>
      </c>
      <c r="K370" s="145">
        <f t="shared" ca="1" si="130"/>
        <v>20.416049324517026</v>
      </c>
      <c r="L370" s="145">
        <f t="shared" ca="1" si="131"/>
        <v>21.620519012877075</v>
      </c>
      <c r="M370" s="145">
        <f t="shared" ca="1" si="132"/>
        <v>0.10063783173114427</v>
      </c>
      <c r="N370" s="145">
        <f t="shared" ca="1" si="133"/>
        <v>0.14364725252241328</v>
      </c>
      <c r="O370" s="143">
        <f t="shared" ca="1" si="134"/>
        <v>22.824988701237128</v>
      </c>
      <c r="P370" s="145">
        <f t="shared" ca="1" si="135"/>
        <v>0</v>
      </c>
      <c r="Q370" s="145">
        <f t="shared" ca="1" si="136"/>
        <v>0.473990579208731</v>
      </c>
      <c r="R370" s="592">
        <f t="shared" ca="1" si="137"/>
        <v>0.47399057920873089</v>
      </c>
      <c r="S370" s="311"/>
      <c r="T370" s="392">
        <f t="shared" si="138"/>
        <v>2011</v>
      </c>
      <c r="U370" s="392">
        <f t="shared" si="139"/>
        <v>3</v>
      </c>
      <c r="V370" s="311">
        <f t="shared" ca="1" si="140"/>
        <v>100.5</v>
      </c>
      <c r="W370" s="269" t="str">
        <f t="shared" ca="1" si="141"/>
        <v/>
      </c>
      <c r="X370" s="269" t="str">
        <f t="shared" ca="1" si="142"/>
        <v/>
      </c>
      <c r="Y370" s="434" t="str">
        <f t="shared" ca="1" si="143"/>
        <v/>
      </c>
      <c r="Z370" s="269" t="str">
        <f t="shared" ca="1" si="144"/>
        <v>||</v>
      </c>
      <c r="AA370" s="270" t="str">
        <f t="shared" ca="1" si="145"/>
        <v/>
      </c>
    </row>
    <row r="371" spans="1:27" x14ac:dyDescent="0.25">
      <c r="A371" s="140">
        <f>+'Esc 2'!A381</f>
        <v>2011</v>
      </c>
      <c r="B371" s="140">
        <f>+'Esc 2'!B381</f>
        <v>4</v>
      </c>
      <c r="C371" s="141">
        <f>+'Esc 2'!O381</f>
        <v>0.94454743775202044</v>
      </c>
      <c r="D371" s="140">
        <f>+'Esc 2'!D381</f>
        <v>95.4</v>
      </c>
      <c r="E371" s="147">
        <f t="shared" si="127"/>
        <v>73.149999999999991</v>
      </c>
      <c r="F371" s="146">
        <f t="shared" si="127"/>
        <v>0</v>
      </c>
      <c r="G371" s="144">
        <f t="shared" si="128"/>
        <v>2.2250000000000015E-4</v>
      </c>
      <c r="H371" s="145">
        <f>+F371/100000*'Bal Híd'!$G$4</f>
        <v>0</v>
      </c>
      <c r="I371" s="145">
        <v>0</v>
      </c>
      <c r="J371" s="145">
        <f t="shared" ca="1" si="129"/>
        <v>1.0881946902744337</v>
      </c>
      <c r="K371" s="145">
        <f t="shared" ca="1" si="130"/>
        <v>84.165995175116649</v>
      </c>
      <c r="L371" s="145">
        <f t="shared" ca="1" si="131"/>
        <v>53.49549193817689</v>
      </c>
      <c r="M371" s="145">
        <f t="shared" ca="1" si="132"/>
        <v>1.0808848783555871</v>
      </c>
      <c r="N371" s="145">
        <f t="shared" ca="1" si="133"/>
        <v>1.0808848783555871</v>
      </c>
      <c r="O371" s="143">
        <f t="shared" ca="1" si="134"/>
        <v>83.80120902750582</v>
      </c>
      <c r="P371" s="145">
        <f t="shared" ca="1" si="135"/>
        <v>0</v>
      </c>
      <c r="Q371" s="145">
        <f t="shared" ca="1" si="136"/>
        <v>0</v>
      </c>
      <c r="R371" s="592">
        <f t="shared" ca="1" si="137"/>
        <v>0.93723762583317394</v>
      </c>
      <c r="S371" s="311"/>
      <c r="T371" s="392">
        <f t="shared" si="138"/>
        <v>2011</v>
      </c>
      <c r="U371" s="392">
        <f t="shared" si="139"/>
        <v>4</v>
      </c>
      <c r="V371" s="311">
        <f t="shared" ca="1" si="140"/>
        <v>102.35756890416037</v>
      </c>
      <c r="W371" s="269" t="str">
        <f t="shared" ca="1" si="141"/>
        <v>|||</v>
      </c>
      <c r="X371" s="269" t="str">
        <f t="shared" ca="1" si="142"/>
        <v>|</v>
      </c>
      <c r="Y371" s="434" t="str">
        <f t="shared" ca="1" si="143"/>
        <v/>
      </c>
      <c r="Z371" s="269" t="str">
        <f t="shared" ca="1" si="144"/>
        <v/>
      </c>
      <c r="AA371" s="270" t="str">
        <f t="shared" ca="1" si="145"/>
        <v/>
      </c>
    </row>
    <row r="372" spans="1:27" x14ac:dyDescent="0.25">
      <c r="A372" s="140">
        <f>+'Esc 2'!A382</f>
        <v>2011</v>
      </c>
      <c r="B372" s="140">
        <f>+'Esc 2'!B382</f>
        <v>5</v>
      </c>
      <c r="C372" s="141">
        <f>+'Esc 2'!O382</f>
        <v>1.6754256000882841</v>
      </c>
      <c r="D372" s="140">
        <f>+'Esc 2'!D382</f>
        <v>115</v>
      </c>
      <c r="E372" s="147">
        <f t="shared" si="127"/>
        <v>51.24</v>
      </c>
      <c r="F372" s="146">
        <f t="shared" si="127"/>
        <v>0</v>
      </c>
      <c r="G372" s="144">
        <f t="shared" si="128"/>
        <v>6.3759999999999999E-4</v>
      </c>
      <c r="H372" s="145">
        <f>+F372/100000*'Bal Híd'!$G$4</f>
        <v>0</v>
      </c>
      <c r="I372" s="145">
        <v>0</v>
      </c>
      <c r="J372" s="145">
        <f t="shared" ca="1" si="129"/>
        <v>2.7563104784438712</v>
      </c>
      <c r="K372" s="145">
        <f t="shared" ca="1" si="130"/>
        <v>153.19561324695576</v>
      </c>
      <c r="L372" s="145">
        <f t="shared" ca="1" si="131"/>
        <v>118.49841113723079</v>
      </c>
      <c r="M372" s="145">
        <f t="shared" ca="1" si="132"/>
        <v>2.7563763689632572</v>
      </c>
      <c r="N372" s="145">
        <f t="shared" ca="1" si="133"/>
        <v>2.7563763689632572</v>
      </c>
      <c r="O372" s="143">
        <f t="shared" ca="1" si="134"/>
        <v>153.1979732982528</v>
      </c>
      <c r="P372" s="145">
        <f t="shared" ca="1" si="135"/>
        <v>0</v>
      </c>
      <c r="Q372" s="145">
        <f t="shared" ca="1" si="136"/>
        <v>0</v>
      </c>
      <c r="R372" s="592">
        <f t="shared" ca="1" si="137"/>
        <v>1.6754914906076699</v>
      </c>
      <c r="S372" s="311"/>
      <c r="T372" s="392">
        <f t="shared" si="138"/>
        <v>2011</v>
      </c>
      <c r="U372" s="392">
        <f t="shared" si="139"/>
        <v>5</v>
      </c>
      <c r="V372" s="311">
        <f t="shared" ca="1" si="140"/>
        <v>103.79025044532874</v>
      </c>
      <c r="W372" s="269" t="str">
        <f t="shared" ca="1" si="141"/>
        <v>|||||</v>
      </c>
      <c r="X372" s="269" t="str">
        <f t="shared" ca="1" si="142"/>
        <v>|||</v>
      </c>
      <c r="Y372" s="434" t="str">
        <f t="shared" ca="1" si="143"/>
        <v/>
      </c>
      <c r="Z372" s="269" t="str">
        <f t="shared" ca="1" si="144"/>
        <v/>
      </c>
      <c r="AA372" s="270" t="str">
        <f t="shared" ca="1" si="145"/>
        <v/>
      </c>
    </row>
    <row r="373" spans="1:27" x14ac:dyDescent="0.25">
      <c r="A373" s="140">
        <f>+'Esc 2'!A383</f>
        <v>2011</v>
      </c>
      <c r="B373" s="140">
        <f>+'Esc 2'!B383</f>
        <v>6</v>
      </c>
      <c r="C373" s="141">
        <f>+'Esc 2'!O383</f>
        <v>1.0058686506208585</v>
      </c>
      <c r="D373" s="140">
        <f>+'Esc 2'!D383</f>
        <v>58.5</v>
      </c>
      <c r="E373" s="147">
        <f t="shared" si="127"/>
        <v>41.019999999999996</v>
      </c>
      <c r="F373" s="146">
        <f t="shared" si="127"/>
        <v>0</v>
      </c>
      <c r="G373" s="144">
        <f t="shared" si="128"/>
        <v>1.7480000000000005E-4</v>
      </c>
      <c r="H373" s="145">
        <f>+F373/100000*'Bal Híd'!$G$4</f>
        <v>0</v>
      </c>
      <c r="I373" s="145">
        <v>0</v>
      </c>
      <c r="J373" s="145">
        <f t="shared" ca="1" si="129"/>
        <v>3.7622450195841157</v>
      </c>
      <c r="K373" s="145">
        <f t="shared" ca="1" si="130"/>
        <v>187.20709921929705</v>
      </c>
      <c r="L373" s="145">
        <f t="shared" ca="1" si="131"/>
        <v>170.20253625877493</v>
      </c>
      <c r="M373" s="145">
        <f t="shared" ca="1" si="132"/>
        <v>3.7269008352876014</v>
      </c>
      <c r="N373" s="145">
        <f t="shared" ca="1" si="133"/>
        <v>3.7269008352876014</v>
      </c>
      <c r="O373" s="143">
        <f t="shared" ca="1" si="134"/>
        <v>186.07181869864087</v>
      </c>
      <c r="P373" s="145">
        <f t="shared" ca="1" si="135"/>
        <v>0</v>
      </c>
      <c r="Q373" s="145">
        <f t="shared" ca="1" si="136"/>
        <v>0</v>
      </c>
      <c r="R373" s="592">
        <f t="shared" ca="1" si="137"/>
        <v>0.97052446632434419</v>
      </c>
      <c r="S373" s="311"/>
      <c r="T373" s="392">
        <f t="shared" si="138"/>
        <v>2011</v>
      </c>
      <c r="U373" s="392">
        <f t="shared" si="139"/>
        <v>6</v>
      </c>
      <c r="V373" s="311">
        <f t="shared" ca="1" si="140"/>
        <v>104.36318155381794</v>
      </c>
      <c r="W373" s="269" t="str">
        <f t="shared" ca="1" si="141"/>
        <v>|||||||</v>
      </c>
      <c r="X373" s="269" t="str">
        <f t="shared" ca="1" si="142"/>
        <v>||||</v>
      </c>
      <c r="Y373" s="434" t="str">
        <f t="shared" ca="1" si="143"/>
        <v/>
      </c>
      <c r="Z373" s="269" t="str">
        <f t="shared" ca="1" si="144"/>
        <v/>
      </c>
      <c r="AA373" s="270" t="str">
        <f t="shared" ca="1" si="145"/>
        <v/>
      </c>
    </row>
    <row r="374" spans="1:27" x14ac:dyDescent="0.25">
      <c r="A374" s="140">
        <f>+'Esc 2'!A384</f>
        <v>2011</v>
      </c>
      <c r="B374" s="140">
        <f>+'Esc 2'!B384</f>
        <v>7</v>
      </c>
      <c r="C374" s="141">
        <f>+'Esc 2'!O384</f>
        <v>0.68657441339423342</v>
      </c>
      <c r="D374" s="140">
        <f>+'Esc 2'!D384</f>
        <v>54.2</v>
      </c>
      <c r="E374" s="147">
        <f t="shared" si="127"/>
        <v>50.819999999999993</v>
      </c>
      <c r="F374" s="146">
        <f t="shared" si="127"/>
        <v>0</v>
      </c>
      <c r="G374" s="144">
        <f t="shared" si="128"/>
        <v>3.3800000000000097E-5</v>
      </c>
      <c r="H374" s="145">
        <f>+F374/100000*'Bal Híd'!$G$4</f>
        <v>0</v>
      </c>
      <c r="I374" s="145">
        <v>0</v>
      </c>
      <c r="J374" s="145">
        <f t="shared" ca="1" si="129"/>
        <v>4.4134752486818352</v>
      </c>
      <c r="K374" s="145">
        <f t="shared" ca="1" si="130"/>
        <v>207.4930899553392</v>
      </c>
      <c r="L374" s="145">
        <f t="shared" ca="1" si="131"/>
        <v>196.78245432699003</v>
      </c>
      <c r="M374" s="145">
        <f t="shared" ca="1" si="132"/>
        <v>4.3687554697271249</v>
      </c>
      <c r="N374" s="145">
        <f t="shared" ca="1" si="133"/>
        <v>4.3687554697271249</v>
      </c>
      <c r="O374" s="143">
        <f t="shared" ca="1" si="134"/>
        <v>206.13574581495416</v>
      </c>
      <c r="P374" s="145">
        <f t="shared" ca="1" si="135"/>
        <v>0</v>
      </c>
      <c r="Q374" s="145">
        <f t="shared" ca="1" si="136"/>
        <v>0</v>
      </c>
      <c r="R374" s="592">
        <f t="shared" ca="1" si="137"/>
        <v>0.64185463443952351</v>
      </c>
      <c r="S374" s="311"/>
      <c r="T374" s="392">
        <f t="shared" si="138"/>
        <v>2011</v>
      </c>
      <c r="U374" s="392">
        <f t="shared" si="139"/>
        <v>7</v>
      </c>
      <c r="V374" s="311">
        <f t="shared" ca="1" si="140"/>
        <v>104.69061321946137</v>
      </c>
      <c r="W374" s="269" t="str">
        <f t="shared" ca="1" si="141"/>
        <v>|||||||</v>
      </c>
      <c r="X374" s="269" t="str">
        <f t="shared" ca="1" si="142"/>
        <v>|||||</v>
      </c>
      <c r="Y374" s="434" t="str">
        <f t="shared" ca="1" si="143"/>
        <v/>
      </c>
      <c r="Z374" s="269" t="str">
        <f t="shared" ca="1" si="144"/>
        <v/>
      </c>
      <c r="AA374" s="270" t="str">
        <f t="shared" ca="1" si="145"/>
        <v/>
      </c>
    </row>
    <row r="375" spans="1:27" x14ac:dyDescent="0.25">
      <c r="A375" s="140">
        <f>+'Esc 2'!A385</f>
        <v>2011</v>
      </c>
      <c r="B375" s="140">
        <f>+'Esc 2'!B385</f>
        <v>8</v>
      </c>
      <c r="C375" s="141">
        <f>+'Esc 2'!O385</f>
        <v>0.37203752568884041</v>
      </c>
      <c r="D375" s="140">
        <f>+'Esc 2'!D385</f>
        <v>37.9</v>
      </c>
      <c r="E375" s="147">
        <f t="shared" si="127"/>
        <v>72.449999999999989</v>
      </c>
      <c r="F375" s="146">
        <f t="shared" si="127"/>
        <v>0</v>
      </c>
      <c r="G375" s="144">
        <f t="shared" si="128"/>
        <v>-3.4549999999999989E-4</v>
      </c>
      <c r="H375" s="145">
        <f>+F375/100000*'Bal Híd'!$G$4</f>
        <v>0</v>
      </c>
      <c r="I375" s="145">
        <v>0</v>
      </c>
      <c r="J375" s="145">
        <f t="shared" ca="1" si="129"/>
        <v>4.7407929954159655</v>
      </c>
      <c r="K375" s="145">
        <f t="shared" ca="1" si="130"/>
        <v>217.2834085474482</v>
      </c>
      <c r="L375" s="145">
        <f t="shared" ca="1" si="131"/>
        <v>211.70957718120118</v>
      </c>
      <c r="M375" s="145">
        <f t="shared" ca="1" si="132"/>
        <v>4.6376990827891662</v>
      </c>
      <c r="N375" s="145">
        <f t="shared" ca="1" si="133"/>
        <v>4.6376990827891662</v>
      </c>
      <c r="O375" s="143">
        <f t="shared" ca="1" si="134"/>
        <v>214.22649492970902</v>
      </c>
      <c r="P375" s="145">
        <f t="shared" ca="1" si="135"/>
        <v>0</v>
      </c>
      <c r="Q375" s="145">
        <f t="shared" ca="1" si="136"/>
        <v>0</v>
      </c>
      <c r="R375" s="592">
        <f t="shared" ca="1" si="137"/>
        <v>0.26894361306204168</v>
      </c>
      <c r="S375" s="311"/>
      <c r="T375" s="392">
        <f t="shared" si="138"/>
        <v>2011</v>
      </c>
      <c r="U375" s="392">
        <f t="shared" si="139"/>
        <v>8</v>
      </c>
      <c r="V375" s="311">
        <f t="shared" ca="1" si="140"/>
        <v>104.81857832957999</v>
      </c>
      <c r="W375" s="269" t="str">
        <f t="shared" ca="1" si="141"/>
        <v>|||||||</v>
      </c>
      <c r="X375" s="269" t="str">
        <f t="shared" ca="1" si="142"/>
        <v>|||||</v>
      </c>
      <c r="Y375" s="434" t="str">
        <f t="shared" ca="1" si="143"/>
        <v/>
      </c>
      <c r="Z375" s="269" t="str">
        <f t="shared" ca="1" si="144"/>
        <v/>
      </c>
      <c r="AA375" s="270" t="str">
        <f t="shared" ca="1" si="145"/>
        <v/>
      </c>
    </row>
    <row r="376" spans="1:27" x14ac:dyDescent="0.25">
      <c r="A376" s="140">
        <f>+'Esc 2'!A386</f>
        <v>2011</v>
      </c>
      <c r="B376" s="140">
        <f>+'Esc 2'!B386</f>
        <v>9</v>
      </c>
      <c r="C376" s="141">
        <f>+'Esc 2'!O386</f>
        <v>0.83617929611427866</v>
      </c>
      <c r="D376" s="140">
        <f>+'Esc 2'!D386</f>
        <v>89.8</v>
      </c>
      <c r="E376" s="147">
        <f t="shared" si="127"/>
        <v>85.89</v>
      </c>
      <c r="F376" s="146">
        <f t="shared" si="127"/>
        <v>0</v>
      </c>
      <c r="G376" s="144">
        <f t="shared" si="128"/>
        <v>3.9099999999999968E-5</v>
      </c>
      <c r="H376" s="145">
        <f>+F376/100000*'Bal Híd'!$G$4</f>
        <v>0</v>
      </c>
      <c r="I376" s="145">
        <v>0</v>
      </c>
      <c r="J376" s="145">
        <f t="shared" ca="1" si="129"/>
        <v>5.4738783789034446</v>
      </c>
      <c r="K376" s="145">
        <f t="shared" ca="1" si="130"/>
        <v>238.37902783412099</v>
      </c>
      <c r="L376" s="145">
        <f t="shared" ca="1" si="131"/>
        <v>226.30276138191499</v>
      </c>
      <c r="M376" s="145">
        <f t="shared" ca="1" si="132"/>
        <v>5.4107763667894293</v>
      </c>
      <c r="N376" s="145">
        <f t="shared" ca="1" si="133"/>
        <v>5.4107763667894293</v>
      </c>
      <c r="O376" s="143">
        <f t="shared" ca="1" si="134"/>
        <v>236.60446217543304</v>
      </c>
      <c r="P376" s="145">
        <f t="shared" ca="1" si="135"/>
        <v>0</v>
      </c>
      <c r="Q376" s="145">
        <f t="shared" ca="1" si="136"/>
        <v>0</v>
      </c>
      <c r="R376" s="592">
        <f t="shared" ca="1" si="137"/>
        <v>0.77307728400026321</v>
      </c>
      <c r="S376" s="311"/>
      <c r="T376" s="392">
        <f t="shared" si="138"/>
        <v>2011</v>
      </c>
      <c r="U376" s="392">
        <f t="shared" si="139"/>
        <v>9</v>
      </c>
      <c r="V376" s="311">
        <f t="shared" ca="1" si="140"/>
        <v>105.16166132296831</v>
      </c>
      <c r="W376" s="269" t="str">
        <f t="shared" ca="1" si="141"/>
        <v>||||||||</v>
      </c>
      <c r="X376" s="269" t="str">
        <f t="shared" ca="1" si="142"/>
        <v>|||||||</v>
      </c>
      <c r="Y376" s="434" t="str">
        <f t="shared" ca="1" si="143"/>
        <v/>
      </c>
      <c r="Z376" s="269" t="str">
        <f t="shared" ca="1" si="144"/>
        <v/>
      </c>
      <c r="AA376" s="270" t="str">
        <f t="shared" ca="1" si="145"/>
        <v/>
      </c>
    </row>
    <row r="377" spans="1:27" x14ac:dyDescent="0.25">
      <c r="A377" s="140">
        <f>+'Esc 2'!A387</f>
        <v>2011</v>
      </c>
      <c r="B377" s="140">
        <f>+'Esc 2'!B387</f>
        <v>10</v>
      </c>
      <c r="C377" s="141">
        <f>+'Esc 2'!O387</f>
        <v>1.3201349788235048</v>
      </c>
      <c r="D377" s="140">
        <f>+'Esc 2'!D387</f>
        <v>121.4</v>
      </c>
      <c r="E377" s="147">
        <f t="shared" si="127"/>
        <v>114.86999999999999</v>
      </c>
      <c r="F377" s="146">
        <f t="shared" si="127"/>
        <v>59</v>
      </c>
      <c r="G377" s="144">
        <f t="shared" si="128"/>
        <v>6.5300000000000151E-5</v>
      </c>
      <c r="H377" s="145">
        <f>+F377/100000*'Bal Híd'!$G$4</f>
        <v>0.64900000000000002</v>
      </c>
      <c r="I377" s="145">
        <v>0</v>
      </c>
      <c r="J377" s="145">
        <f t="shared" ca="1" si="129"/>
        <v>6.0819113456129346</v>
      </c>
      <c r="K377" s="145">
        <f t="shared" ca="1" si="130"/>
        <v>255.12198909850608</v>
      </c>
      <c r="L377" s="145">
        <f t="shared" ca="1" si="131"/>
        <v>245.86322563696956</v>
      </c>
      <c r="M377" s="145">
        <f t="shared" ca="1" si="132"/>
        <v>5.9745545624714618</v>
      </c>
      <c r="N377" s="145">
        <f t="shared" ca="1" si="133"/>
        <v>5.9745545624714618</v>
      </c>
      <c r="O377" s="143">
        <f t="shared" ca="1" si="134"/>
        <v>252.21066097389883</v>
      </c>
      <c r="P377" s="145">
        <f t="shared" ca="1" si="135"/>
        <v>0</v>
      </c>
      <c r="Q377" s="145">
        <f t="shared" ca="1" si="136"/>
        <v>0.64900000000000002</v>
      </c>
      <c r="R377" s="592">
        <f t="shared" ca="1" si="137"/>
        <v>1.2127781956820327</v>
      </c>
      <c r="S377" s="311"/>
      <c r="T377" s="392">
        <f t="shared" si="138"/>
        <v>2011</v>
      </c>
      <c r="U377" s="392">
        <f t="shared" si="139"/>
        <v>10</v>
      </c>
      <c r="V377" s="311">
        <f t="shared" ca="1" si="140"/>
        <v>105.39236780914668</v>
      </c>
      <c r="W377" s="269" t="str">
        <f t="shared" ca="1" si="141"/>
        <v>||||||||</v>
      </c>
      <c r="X377" s="269" t="str">
        <f t="shared" ca="1" si="142"/>
        <v>|||||||</v>
      </c>
      <c r="Y377" s="434" t="str">
        <f t="shared" ca="1" si="143"/>
        <v/>
      </c>
      <c r="Z377" s="269" t="str">
        <f t="shared" ca="1" si="144"/>
        <v>|||</v>
      </c>
      <c r="AA377" s="270" t="str">
        <f t="shared" ca="1" si="145"/>
        <v/>
      </c>
    </row>
    <row r="378" spans="1:27" x14ac:dyDescent="0.25">
      <c r="A378" s="140">
        <f>+'Esc 2'!A388</f>
        <v>2011</v>
      </c>
      <c r="B378" s="140">
        <f>+'Esc 2'!B388</f>
        <v>11</v>
      </c>
      <c r="C378" s="141">
        <f>+'Esc 2'!O388</f>
        <v>1.036135347863435</v>
      </c>
      <c r="D378" s="140">
        <f>+'Esc 2'!D388</f>
        <v>100.9</v>
      </c>
      <c r="E378" s="147">
        <f t="shared" si="127"/>
        <v>144.06</v>
      </c>
      <c r="F378" s="146">
        <f t="shared" si="127"/>
        <v>212</v>
      </c>
      <c r="G378" s="144">
        <f t="shared" si="128"/>
        <v>-4.3159999999999997E-4</v>
      </c>
      <c r="H378" s="145">
        <f>+F378/100000*'Bal Híd'!$G$4</f>
        <v>2.3319999999999999</v>
      </c>
      <c r="I378" s="145">
        <v>0</v>
      </c>
      <c r="J378" s="145">
        <f t="shared" ca="1" si="129"/>
        <v>4.6786899103348967</v>
      </c>
      <c r="K378" s="145">
        <f t="shared" ca="1" si="130"/>
        <v>215.44480890223977</v>
      </c>
      <c r="L378" s="145">
        <f t="shared" ca="1" si="131"/>
        <v>233.82773493806928</v>
      </c>
      <c r="M378" s="145">
        <f t="shared" ca="1" si="132"/>
        <v>4.4856492586123657</v>
      </c>
      <c r="N378" s="145">
        <f t="shared" ca="1" si="133"/>
        <v>4.4856492586123657</v>
      </c>
      <c r="O378" s="143">
        <f t="shared" ca="1" si="134"/>
        <v>209.67346279975541</v>
      </c>
      <c r="P378" s="145">
        <f t="shared" ca="1" si="135"/>
        <v>0</v>
      </c>
      <c r="Q378" s="145">
        <f t="shared" ca="1" si="136"/>
        <v>2.3319999999999999</v>
      </c>
      <c r="R378" s="592">
        <f t="shared" ca="1" si="137"/>
        <v>0.84309469614090371</v>
      </c>
      <c r="S378" s="311"/>
      <c r="T378" s="392">
        <f t="shared" si="138"/>
        <v>2011</v>
      </c>
      <c r="U378" s="392">
        <f t="shared" si="139"/>
        <v>11</v>
      </c>
      <c r="V378" s="311">
        <f t="shared" ca="1" si="140"/>
        <v>104.74683855109627</v>
      </c>
      <c r="W378" s="269" t="str">
        <f t="shared" ca="1" si="141"/>
        <v>|||||||</v>
      </c>
      <c r="X378" s="269" t="str">
        <f t="shared" ca="1" si="142"/>
        <v>|||||</v>
      </c>
      <c r="Y378" s="434" t="str">
        <f t="shared" ca="1" si="143"/>
        <v/>
      </c>
      <c r="Z378" s="269" t="str">
        <f t="shared" ca="1" si="144"/>
        <v>|||||||||||</v>
      </c>
      <c r="AA378" s="270" t="str">
        <f t="shared" ca="1" si="145"/>
        <v/>
      </c>
    </row>
    <row r="379" spans="1:27" x14ac:dyDescent="0.25">
      <c r="A379" s="140">
        <f>+'Esc 2'!A389</f>
        <v>2011</v>
      </c>
      <c r="B379" s="140">
        <f>+'Esc 2'!B389</f>
        <v>12</v>
      </c>
      <c r="C379" s="141">
        <f>+'Esc 2'!O389</f>
        <v>1.1965369595009541</v>
      </c>
      <c r="D379" s="140">
        <f>+'Esc 2'!D389</f>
        <v>130.5</v>
      </c>
      <c r="E379" s="147">
        <f t="shared" si="127"/>
        <v>179.62</v>
      </c>
      <c r="F379" s="146">
        <f t="shared" si="127"/>
        <v>388</v>
      </c>
      <c r="G379" s="144">
        <f t="shared" si="128"/>
        <v>-4.9120000000000001E-4</v>
      </c>
      <c r="H379" s="145">
        <f>+F379/100000*'Bal Híd'!$G$4</f>
        <v>4.2679999999999998</v>
      </c>
      <c r="I379" s="145">
        <v>0</v>
      </c>
      <c r="J379" s="145">
        <f t="shared" ca="1" si="129"/>
        <v>1.4141862181133202</v>
      </c>
      <c r="K379" s="145">
        <f t="shared" ca="1" si="130"/>
        <v>99.649214293775842</v>
      </c>
      <c r="L379" s="145">
        <f t="shared" ca="1" si="131"/>
        <v>154.66133854676562</v>
      </c>
      <c r="M379" s="145">
        <f t="shared" ca="1" si="132"/>
        <v>1.2678523071069456</v>
      </c>
      <c r="N379" s="145">
        <f t="shared" ca="1" si="133"/>
        <v>1.2678523071069456</v>
      </c>
      <c r="O379" s="143">
        <f t="shared" ca="1" si="134"/>
        <v>92.875892165298367</v>
      </c>
      <c r="P379" s="145">
        <f t="shared" ca="1" si="135"/>
        <v>0</v>
      </c>
      <c r="Q379" s="145">
        <f t="shared" ca="1" si="136"/>
        <v>4.2679999999999998</v>
      </c>
      <c r="R379" s="592">
        <f t="shared" ca="1" si="137"/>
        <v>1.0502030484945795</v>
      </c>
      <c r="S379" s="311"/>
      <c r="T379" s="392">
        <f t="shared" si="138"/>
        <v>2011</v>
      </c>
      <c r="U379" s="392">
        <f t="shared" si="139"/>
        <v>12</v>
      </c>
      <c r="V379" s="311">
        <f t="shared" ca="1" si="140"/>
        <v>102.56930116244013</v>
      </c>
      <c r="W379" s="269" t="str">
        <f t="shared" ca="1" si="141"/>
        <v>|||</v>
      </c>
      <c r="X379" s="269" t="str">
        <f t="shared" ca="1" si="142"/>
        <v>|</v>
      </c>
      <c r="Y379" s="434" t="str">
        <f t="shared" ca="1" si="143"/>
        <v/>
      </c>
      <c r="Z379" s="269" t="str">
        <f t="shared" ca="1" si="144"/>
        <v>|||||||||||||||||||||</v>
      </c>
      <c r="AA379" s="270" t="str">
        <f t="shared" ca="1" si="145"/>
        <v/>
      </c>
    </row>
    <row r="380" spans="1:27" x14ac:dyDescent="0.25">
      <c r="A380" s="140">
        <f>+'Esc 2'!A390</f>
        <v>2012</v>
      </c>
      <c r="B380" s="140">
        <f>+'Esc 2'!B390</f>
        <v>1</v>
      </c>
      <c r="C380" s="141">
        <f>+'Esc 2'!O390</f>
        <v>0.44213596727781768</v>
      </c>
      <c r="D380" s="140">
        <f>+'Esc 2'!D390</f>
        <v>41.6</v>
      </c>
      <c r="E380" s="147">
        <f t="shared" si="127"/>
        <v>176.89</v>
      </c>
      <c r="F380" s="146">
        <f t="shared" si="127"/>
        <v>318</v>
      </c>
      <c r="G380" s="144">
        <f t="shared" si="128"/>
        <v>-1.3529E-3</v>
      </c>
      <c r="H380" s="145">
        <f>+F380/100000*'Bal Híd'!$G$4</f>
        <v>3.4980000000000002</v>
      </c>
      <c r="I380" s="145">
        <v>0</v>
      </c>
      <c r="J380" s="145">
        <f t="shared" ca="1" si="129"/>
        <v>-1.7880117256152368</v>
      </c>
      <c r="K380" s="145">
        <f t="shared" ca="1" si="130"/>
        <v>0</v>
      </c>
      <c r="L380" s="145">
        <f t="shared" ca="1" si="131"/>
        <v>46.437946082649184</v>
      </c>
      <c r="M380" s="145">
        <f t="shared" ca="1" si="132"/>
        <v>-1.858644423710623</v>
      </c>
      <c r="N380" s="145">
        <f t="shared" ca="1" si="133"/>
        <v>0.14364725252241328</v>
      </c>
      <c r="O380" s="143">
        <f t="shared" ca="1" si="134"/>
        <v>22.824988701237128</v>
      </c>
      <c r="P380" s="145">
        <f t="shared" ca="1" si="135"/>
        <v>0</v>
      </c>
      <c r="Q380" s="145">
        <f t="shared" ca="1" si="136"/>
        <v>1.4957083237669639</v>
      </c>
      <c r="R380" s="592">
        <f t="shared" ca="1" si="137"/>
        <v>0.37150326918243159</v>
      </c>
      <c r="S380" s="311"/>
      <c r="T380" s="392">
        <f t="shared" si="138"/>
        <v>2012</v>
      </c>
      <c r="U380" s="392">
        <f t="shared" si="139"/>
        <v>1</v>
      </c>
      <c r="V380" s="311">
        <f t="shared" ca="1" si="140"/>
        <v>100.5</v>
      </c>
      <c r="W380" s="269" t="str">
        <f t="shared" ca="1" si="141"/>
        <v/>
      </c>
      <c r="X380" s="269" t="str">
        <f t="shared" ca="1" si="142"/>
        <v/>
      </c>
      <c r="Y380" s="434" t="str">
        <f t="shared" ca="1" si="143"/>
        <v>||||||||||</v>
      </c>
      <c r="Z380" s="269" t="str">
        <f t="shared" ca="1" si="144"/>
        <v>|||||||</v>
      </c>
      <c r="AA380" s="270" t="str">
        <f t="shared" ca="1" si="145"/>
        <v/>
      </c>
    </row>
    <row r="381" spans="1:27" x14ac:dyDescent="0.25">
      <c r="A381" s="140">
        <f>+'Esc 2'!A391</f>
        <v>2012</v>
      </c>
      <c r="B381" s="140">
        <f>+'Esc 2'!B391</f>
        <v>2</v>
      </c>
      <c r="C381" s="141">
        <f>+'Esc 2'!O391</f>
        <v>1.0358366832257739</v>
      </c>
      <c r="D381" s="140">
        <f>+'Esc 2'!D391</f>
        <v>125.2</v>
      </c>
      <c r="E381" s="147">
        <f t="shared" si="127"/>
        <v>131.73999999999998</v>
      </c>
      <c r="F381" s="146">
        <f t="shared" si="127"/>
        <v>153</v>
      </c>
      <c r="G381" s="144">
        <f t="shared" si="128"/>
        <v>-6.5399999999999774E-5</v>
      </c>
      <c r="H381" s="145">
        <f>+F381/100000*'Bal Híd'!$G$4</f>
        <v>1.6829999999999998</v>
      </c>
      <c r="I381" s="145">
        <v>0</v>
      </c>
      <c r="J381" s="145">
        <f t="shared" ca="1" si="129"/>
        <v>-0.50351606425181261</v>
      </c>
      <c r="K381" s="145">
        <f t="shared" ca="1" si="130"/>
        <v>0</v>
      </c>
      <c r="L381" s="145">
        <f t="shared" ca="1" si="131"/>
        <v>11.412494350618564</v>
      </c>
      <c r="M381" s="145">
        <f t="shared" ca="1" si="132"/>
        <v>-0.50875730081028148</v>
      </c>
      <c r="N381" s="145">
        <f t="shared" ca="1" si="133"/>
        <v>0.14364725252241328</v>
      </c>
      <c r="O381" s="143">
        <f t="shared" ca="1" si="134"/>
        <v>22.824988701237128</v>
      </c>
      <c r="P381" s="145">
        <f t="shared" ca="1" si="135"/>
        <v>0</v>
      </c>
      <c r="Q381" s="145">
        <f t="shared" ca="1" si="136"/>
        <v>1.0305954466673051</v>
      </c>
      <c r="R381" s="592">
        <f t="shared" ca="1" si="137"/>
        <v>1.0305954466673051</v>
      </c>
      <c r="S381" s="311"/>
      <c r="T381" s="392">
        <f t="shared" si="138"/>
        <v>2012</v>
      </c>
      <c r="U381" s="392">
        <f t="shared" si="139"/>
        <v>2</v>
      </c>
      <c r="V381" s="311">
        <f t="shared" ca="1" si="140"/>
        <v>100.5</v>
      </c>
      <c r="W381" s="269" t="str">
        <f t="shared" ca="1" si="141"/>
        <v/>
      </c>
      <c r="X381" s="269" t="str">
        <f t="shared" ca="1" si="142"/>
        <v/>
      </c>
      <c r="Y381" s="434" t="str">
        <f t="shared" ca="1" si="143"/>
        <v>|||</v>
      </c>
      <c r="Z381" s="269" t="str">
        <f t="shared" ca="1" si="144"/>
        <v>|||||</v>
      </c>
      <c r="AA381" s="270" t="str">
        <f t="shared" ca="1" si="145"/>
        <v/>
      </c>
    </row>
    <row r="382" spans="1:27" x14ac:dyDescent="0.25">
      <c r="A382" s="140">
        <f>+'Esc 2'!A392</f>
        <v>2012</v>
      </c>
      <c r="B382" s="140">
        <f>+'Esc 2'!B392</f>
        <v>3</v>
      </c>
      <c r="C382" s="141">
        <f>+'Esc 2'!O392</f>
        <v>0.53646098715421542</v>
      </c>
      <c r="D382" s="140">
        <f>+'Esc 2'!D392</f>
        <v>50</v>
      </c>
      <c r="E382" s="147">
        <f t="shared" si="127"/>
        <v>118.64999999999999</v>
      </c>
      <c r="F382" s="146">
        <f t="shared" si="127"/>
        <v>47</v>
      </c>
      <c r="G382" s="144">
        <f t="shared" si="128"/>
        <v>-6.8649999999999994E-4</v>
      </c>
      <c r="H382" s="145">
        <f>+F382/100000*'Bal Híd'!$G$4</f>
        <v>0.51700000000000002</v>
      </c>
      <c r="I382" s="145">
        <v>0</v>
      </c>
      <c r="J382" s="145">
        <f t="shared" ca="1" si="129"/>
        <v>0.16310823967662869</v>
      </c>
      <c r="K382" s="145">
        <f t="shared" ca="1" si="130"/>
        <v>24.772499406712647</v>
      </c>
      <c r="L382" s="145">
        <f t="shared" ca="1" si="131"/>
        <v>23.798744053974886</v>
      </c>
      <c r="M382" s="145">
        <f t="shared" ca="1" si="132"/>
        <v>0.14191599210097949</v>
      </c>
      <c r="N382" s="145">
        <f t="shared" ca="1" si="133"/>
        <v>0.14364725252241328</v>
      </c>
      <c r="O382" s="143">
        <f t="shared" ca="1" si="134"/>
        <v>22.824988701237128</v>
      </c>
      <c r="P382" s="145">
        <f t="shared" ca="1" si="135"/>
        <v>0</v>
      </c>
      <c r="Q382" s="145">
        <f t="shared" ca="1" si="136"/>
        <v>0.51526873957856623</v>
      </c>
      <c r="R382" s="592">
        <f t="shared" ca="1" si="137"/>
        <v>0.51526873957856623</v>
      </c>
      <c r="S382" s="311"/>
      <c r="T382" s="392">
        <f t="shared" si="138"/>
        <v>2012</v>
      </c>
      <c r="U382" s="392">
        <f t="shared" si="139"/>
        <v>3</v>
      </c>
      <c r="V382" s="311">
        <f t="shared" ca="1" si="140"/>
        <v>100.5</v>
      </c>
      <c r="W382" s="269" t="str">
        <f t="shared" ca="1" si="141"/>
        <v/>
      </c>
      <c r="X382" s="269" t="str">
        <f t="shared" ca="1" si="142"/>
        <v/>
      </c>
      <c r="Y382" s="434" t="str">
        <f t="shared" ca="1" si="143"/>
        <v/>
      </c>
      <c r="Z382" s="269" t="str">
        <f t="shared" ca="1" si="144"/>
        <v>||</v>
      </c>
      <c r="AA382" s="270" t="str">
        <f t="shared" ca="1" si="145"/>
        <v/>
      </c>
    </row>
    <row r="383" spans="1:27" x14ac:dyDescent="0.25">
      <c r="A383" s="140">
        <f>+'Esc 2'!A393</f>
        <v>2012</v>
      </c>
      <c r="B383" s="140">
        <f>+'Esc 2'!B393</f>
        <v>4</v>
      </c>
      <c r="C383" s="141">
        <f>+'Esc 2'!O393</f>
        <v>1.8810768154581674</v>
      </c>
      <c r="D383" s="140">
        <f>+'Esc 2'!D393</f>
        <v>151.1</v>
      </c>
      <c r="E383" s="147">
        <f t="shared" si="127"/>
        <v>73.149999999999991</v>
      </c>
      <c r="F383" s="146">
        <f t="shared" si="127"/>
        <v>0</v>
      </c>
      <c r="G383" s="144">
        <f t="shared" si="128"/>
        <v>7.7950000000000003E-4</v>
      </c>
      <c r="H383" s="145">
        <f>+F383/100000*'Bal Híd'!$G$4</f>
        <v>0</v>
      </c>
      <c r="I383" s="145">
        <v>0</v>
      </c>
      <c r="J383" s="145">
        <f t="shared" ca="1" si="129"/>
        <v>2.0247240679805807</v>
      </c>
      <c r="K383" s="145">
        <f t="shared" ca="1" si="130"/>
        <v>125.57862842834624</v>
      </c>
      <c r="L383" s="145">
        <f t="shared" ca="1" si="131"/>
        <v>74.201808564791676</v>
      </c>
      <c r="M383" s="145">
        <f t="shared" ca="1" si="132"/>
        <v>2.0294923999027317</v>
      </c>
      <c r="N383" s="145">
        <f t="shared" ca="1" si="133"/>
        <v>2.0294923999027317</v>
      </c>
      <c r="O383" s="143">
        <f t="shared" ca="1" si="134"/>
        <v>125.76913802479571</v>
      </c>
      <c r="P383" s="145">
        <f t="shared" ca="1" si="135"/>
        <v>0</v>
      </c>
      <c r="Q383" s="145">
        <f t="shared" ca="1" si="136"/>
        <v>0</v>
      </c>
      <c r="R383" s="592">
        <f t="shared" ca="1" si="137"/>
        <v>1.8858451473803184</v>
      </c>
      <c r="S383" s="311"/>
      <c r="T383" s="392">
        <f t="shared" si="138"/>
        <v>2012</v>
      </c>
      <c r="U383" s="392">
        <f t="shared" si="139"/>
        <v>4</v>
      </c>
      <c r="V383" s="311">
        <f t="shared" ca="1" si="140"/>
        <v>103.26836957002588</v>
      </c>
      <c r="W383" s="269" t="str">
        <f t="shared" ca="1" si="141"/>
        <v>|||||</v>
      </c>
      <c r="X383" s="269" t="str">
        <f t="shared" ca="1" si="142"/>
        <v>||</v>
      </c>
      <c r="Y383" s="434" t="str">
        <f t="shared" ca="1" si="143"/>
        <v/>
      </c>
      <c r="Z383" s="269" t="str">
        <f t="shared" ca="1" si="144"/>
        <v/>
      </c>
      <c r="AA383" s="270" t="str">
        <f t="shared" ca="1" si="145"/>
        <v/>
      </c>
    </row>
    <row r="384" spans="1:27" x14ac:dyDescent="0.25">
      <c r="A384" s="140">
        <f>+'Esc 2'!A394</f>
        <v>2012</v>
      </c>
      <c r="B384" s="140">
        <f>+'Esc 2'!B394</f>
        <v>5</v>
      </c>
      <c r="C384" s="141">
        <f>+'Esc 2'!O394</f>
        <v>0.7098478090230157</v>
      </c>
      <c r="D384" s="140">
        <f>+'Esc 2'!D394</f>
        <v>33.299999999999997</v>
      </c>
      <c r="E384" s="147">
        <f t="shared" si="127"/>
        <v>51.24</v>
      </c>
      <c r="F384" s="146">
        <f t="shared" si="127"/>
        <v>0</v>
      </c>
      <c r="G384" s="144">
        <f t="shared" si="128"/>
        <v>-1.7940000000000005E-4</v>
      </c>
      <c r="H384" s="145">
        <f>+F384/100000*'Bal Híd'!$G$4</f>
        <v>0</v>
      </c>
      <c r="I384" s="145">
        <v>0</v>
      </c>
      <c r="J384" s="145">
        <f t="shared" ca="1" si="129"/>
        <v>2.7393402089257473</v>
      </c>
      <c r="K384" s="145">
        <f t="shared" ca="1" si="130"/>
        <v>152.58710631577605</v>
      </c>
      <c r="L384" s="145">
        <f t="shared" ca="1" si="131"/>
        <v>139.17812217028589</v>
      </c>
      <c r="M384" s="145">
        <f t="shared" ca="1" si="132"/>
        <v>2.6768069066272138</v>
      </c>
      <c r="N384" s="145">
        <f t="shared" ca="1" si="133"/>
        <v>2.6768069066272138</v>
      </c>
      <c r="O384" s="143">
        <f t="shared" ca="1" si="134"/>
        <v>150.33316452544912</v>
      </c>
      <c r="P384" s="145">
        <f t="shared" ca="1" si="135"/>
        <v>0</v>
      </c>
      <c r="Q384" s="145">
        <f t="shared" ca="1" si="136"/>
        <v>0</v>
      </c>
      <c r="R384" s="592">
        <f t="shared" ca="1" si="137"/>
        <v>0.64731450672448199</v>
      </c>
      <c r="S384" s="311"/>
      <c r="T384" s="392">
        <f t="shared" si="138"/>
        <v>2012</v>
      </c>
      <c r="U384" s="392">
        <f t="shared" si="139"/>
        <v>5</v>
      </c>
      <c r="V384" s="311">
        <f t="shared" ca="1" si="140"/>
        <v>103.73782055489932</v>
      </c>
      <c r="W384" s="269" t="str">
        <f t="shared" ca="1" si="141"/>
        <v>|||||</v>
      </c>
      <c r="X384" s="269" t="str">
        <f t="shared" ca="1" si="142"/>
        <v>|||</v>
      </c>
      <c r="Y384" s="434" t="str">
        <f t="shared" ca="1" si="143"/>
        <v/>
      </c>
      <c r="Z384" s="269" t="str">
        <f t="shared" ca="1" si="144"/>
        <v/>
      </c>
      <c r="AA384" s="270" t="str">
        <f t="shared" ca="1" si="145"/>
        <v/>
      </c>
    </row>
    <row r="385" spans="1:27" x14ac:dyDescent="0.25">
      <c r="A385" s="140">
        <f>+'Esc 2'!A395</f>
        <v>2012</v>
      </c>
      <c r="B385" s="140">
        <f>+'Esc 2'!B395</f>
        <v>6</v>
      </c>
      <c r="C385" s="141">
        <f>+'Esc 2'!O395</f>
        <v>0.88591983692282872</v>
      </c>
      <c r="D385" s="140">
        <f>+'Esc 2'!D395</f>
        <v>73.400000000000006</v>
      </c>
      <c r="E385" s="147">
        <f t="shared" si="127"/>
        <v>41.019999999999996</v>
      </c>
      <c r="F385" s="146">
        <f t="shared" si="127"/>
        <v>0</v>
      </c>
      <c r="G385" s="144">
        <f t="shared" si="128"/>
        <v>3.2380000000000012E-4</v>
      </c>
      <c r="H385" s="145">
        <f>+F385/100000*'Bal Híd'!$G$4</f>
        <v>0</v>
      </c>
      <c r="I385" s="145">
        <v>0</v>
      </c>
      <c r="J385" s="145">
        <f t="shared" ca="1" si="129"/>
        <v>3.5627267435500425</v>
      </c>
      <c r="K385" s="145">
        <f t="shared" ca="1" si="130"/>
        <v>180.74734843027659</v>
      </c>
      <c r="L385" s="145">
        <f t="shared" ca="1" si="131"/>
        <v>165.54025647786284</v>
      </c>
      <c r="M385" s="145">
        <f t="shared" ca="1" si="132"/>
        <v>3.5605661702237978</v>
      </c>
      <c r="N385" s="145">
        <f t="shared" ca="1" si="133"/>
        <v>3.5605661702237978</v>
      </c>
      <c r="O385" s="143">
        <f t="shared" ca="1" si="134"/>
        <v>180.67670245448855</v>
      </c>
      <c r="P385" s="145">
        <f t="shared" ca="1" si="135"/>
        <v>0</v>
      </c>
      <c r="Q385" s="145">
        <f t="shared" ca="1" si="136"/>
        <v>0</v>
      </c>
      <c r="R385" s="592">
        <f t="shared" ca="1" si="137"/>
        <v>0.88375926359658441</v>
      </c>
      <c r="S385" s="311"/>
      <c r="T385" s="392">
        <f t="shared" si="138"/>
        <v>2012</v>
      </c>
      <c r="U385" s="392">
        <f t="shared" si="139"/>
        <v>6</v>
      </c>
      <c r="V385" s="311">
        <f t="shared" ca="1" si="140"/>
        <v>104.27247087092817</v>
      </c>
      <c r="W385" s="269" t="str">
        <f t="shared" ca="1" si="141"/>
        <v>||||||</v>
      </c>
      <c r="X385" s="269" t="str">
        <f t="shared" ca="1" si="142"/>
        <v>||||</v>
      </c>
      <c r="Y385" s="434" t="str">
        <f t="shared" ca="1" si="143"/>
        <v/>
      </c>
      <c r="Z385" s="269" t="str">
        <f t="shared" ca="1" si="144"/>
        <v/>
      </c>
      <c r="AA385" s="270" t="str">
        <f t="shared" ca="1" si="145"/>
        <v/>
      </c>
    </row>
    <row r="386" spans="1:27" x14ac:dyDescent="0.25">
      <c r="A386" s="140">
        <f>+'Esc 2'!A396</f>
        <v>2012</v>
      </c>
      <c r="B386" s="140">
        <f>+'Esc 2'!B396</f>
        <v>7</v>
      </c>
      <c r="C386" s="141">
        <f>+'Esc 2'!O396</f>
        <v>0.31527889782511082</v>
      </c>
      <c r="D386" s="140">
        <f>+'Esc 2'!D396</f>
        <v>14.9</v>
      </c>
      <c r="E386" s="147">
        <f t="shared" si="127"/>
        <v>50.819999999999993</v>
      </c>
      <c r="F386" s="146">
        <f t="shared" si="127"/>
        <v>0</v>
      </c>
      <c r="G386" s="144">
        <f t="shared" si="128"/>
        <v>-3.5919999999999995E-4</v>
      </c>
      <c r="H386" s="145">
        <f>+F386/100000*'Bal Híd'!$G$4</f>
        <v>0</v>
      </c>
      <c r="I386" s="145">
        <v>0</v>
      </c>
      <c r="J386" s="145">
        <f t="shared" ca="1" si="129"/>
        <v>3.8758450680489087</v>
      </c>
      <c r="K386" s="145">
        <f t="shared" ca="1" si="130"/>
        <v>190.83061163571909</v>
      </c>
      <c r="L386" s="145">
        <f t="shared" ca="1" si="131"/>
        <v>185.75365704510381</v>
      </c>
      <c r="M386" s="145">
        <f t="shared" ca="1" si="132"/>
        <v>3.7868545946435681</v>
      </c>
      <c r="N386" s="145">
        <f t="shared" ca="1" si="133"/>
        <v>3.7868545946435681</v>
      </c>
      <c r="O386" s="143">
        <f t="shared" ca="1" si="134"/>
        <v>187.99533777266151</v>
      </c>
      <c r="P386" s="145">
        <f t="shared" ca="1" si="135"/>
        <v>0</v>
      </c>
      <c r="Q386" s="145">
        <f t="shared" ca="1" si="136"/>
        <v>0</v>
      </c>
      <c r="R386" s="592">
        <f t="shared" ca="1" si="137"/>
        <v>0.22628842441977037</v>
      </c>
      <c r="S386" s="311"/>
      <c r="T386" s="392">
        <f t="shared" si="138"/>
        <v>2012</v>
      </c>
      <c r="U386" s="392">
        <f t="shared" si="139"/>
        <v>7</v>
      </c>
      <c r="V386" s="311">
        <f t="shared" ca="1" si="140"/>
        <v>104.39523675845071</v>
      </c>
      <c r="W386" s="269" t="str">
        <f t="shared" ca="1" si="141"/>
        <v>|||||||</v>
      </c>
      <c r="X386" s="269" t="str">
        <f t="shared" ca="1" si="142"/>
        <v>||||</v>
      </c>
      <c r="Y386" s="434" t="str">
        <f t="shared" ca="1" si="143"/>
        <v/>
      </c>
      <c r="Z386" s="269" t="str">
        <f t="shared" ca="1" si="144"/>
        <v/>
      </c>
      <c r="AA386" s="270" t="str">
        <f t="shared" ca="1" si="145"/>
        <v/>
      </c>
    </row>
    <row r="387" spans="1:27" x14ac:dyDescent="0.25">
      <c r="A387" s="140">
        <f>+'Esc 2'!A397</f>
        <v>2012</v>
      </c>
      <c r="B387" s="140">
        <f>+'Esc 2'!B397</f>
        <v>8</v>
      </c>
      <c r="C387" s="141">
        <f>+'Esc 2'!O397</f>
        <v>1.3079747847515204</v>
      </c>
      <c r="D387" s="140">
        <f>+'Esc 2'!D397</f>
        <v>114.4</v>
      </c>
      <c r="E387" s="147">
        <f t="shared" si="127"/>
        <v>72.449999999999989</v>
      </c>
      <c r="F387" s="146">
        <f t="shared" si="127"/>
        <v>0</v>
      </c>
      <c r="G387" s="144">
        <f t="shared" si="128"/>
        <v>4.1950000000000017E-4</v>
      </c>
      <c r="H387" s="145">
        <f>+F387/100000*'Bal Híd'!$G$4</f>
        <v>0</v>
      </c>
      <c r="I387" s="145">
        <v>0</v>
      </c>
      <c r="J387" s="145">
        <f t="shared" ca="1" si="129"/>
        <v>5.0948293793950885</v>
      </c>
      <c r="K387" s="145">
        <f t="shared" ca="1" si="130"/>
        <v>227.6060306413199</v>
      </c>
      <c r="L387" s="145">
        <f t="shared" ca="1" si="131"/>
        <v>207.8006842069907</v>
      </c>
      <c r="M387" s="145">
        <f t="shared" ca="1" si="132"/>
        <v>5.0786564982842339</v>
      </c>
      <c r="N387" s="145">
        <f t="shared" ca="1" si="133"/>
        <v>5.0786564982842339</v>
      </c>
      <c r="O387" s="143">
        <f t="shared" ca="1" si="134"/>
        <v>227.14015602142828</v>
      </c>
      <c r="P387" s="145">
        <f t="shared" ca="1" si="135"/>
        <v>0</v>
      </c>
      <c r="Q387" s="145">
        <f t="shared" ca="1" si="136"/>
        <v>0</v>
      </c>
      <c r="R387" s="592">
        <f t="shared" ca="1" si="137"/>
        <v>1.2918019036406658</v>
      </c>
      <c r="S387" s="311"/>
      <c r="T387" s="392">
        <f t="shared" si="138"/>
        <v>2012</v>
      </c>
      <c r="U387" s="392">
        <f t="shared" si="139"/>
        <v>8</v>
      </c>
      <c r="V387" s="311">
        <f t="shared" ca="1" si="140"/>
        <v>105.01841845685129</v>
      </c>
      <c r="W387" s="269" t="str">
        <f t="shared" ca="1" si="141"/>
        <v>||||||||</v>
      </c>
      <c r="X387" s="269" t="str">
        <f t="shared" ca="1" si="142"/>
        <v>||||||</v>
      </c>
      <c r="Y387" s="434" t="str">
        <f t="shared" ca="1" si="143"/>
        <v/>
      </c>
      <c r="Z387" s="269" t="str">
        <f t="shared" ca="1" si="144"/>
        <v/>
      </c>
      <c r="AA387" s="270" t="str">
        <f t="shared" ca="1" si="145"/>
        <v/>
      </c>
    </row>
    <row r="388" spans="1:27" x14ac:dyDescent="0.25">
      <c r="A388" s="140">
        <f>+'Esc 2'!A398</f>
        <v>2012</v>
      </c>
      <c r="B388" s="140">
        <f>+'Esc 2'!B398</f>
        <v>9</v>
      </c>
      <c r="C388" s="141">
        <f>+'Esc 2'!O398</f>
        <v>1.254202635131918</v>
      </c>
      <c r="D388" s="140">
        <f>+'Esc 2'!D398</f>
        <v>95.9</v>
      </c>
      <c r="E388" s="147">
        <f t="shared" si="127"/>
        <v>85.89</v>
      </c>
      <c r="F388" s="146">
        <f t="shared" si="127"/>
        <v>0</v>
      </c>
      <c r="G388" s="144">
        <f t="shared" si="128"/>
        <v>1.0010000000000005E-4</v>
      </c>
      <c r="H388" s="145">
        <f>+F388/100000*'Bal Híd'!$G$4</f>
        <v>0</v>
      </c>
      <c r="I388" s="145">
        <v>0</v>
      </c>
      <c r="J388" s="145">
        <f t="shared" ca="1" si="129"/>
        <v>6.3328591334161519</v>
      </c>
      <c r="K388" s="145">
        <f t="shared" ca="1" si="130"/>
        <v>261.85693746847409</v>
      </c>
      <c r="L388" s="145">
        <f t="shared" ca="1" si="131"/>
        <v>244.49854674495117</v>
      </c>
      <c r="M388" s="145">
        <f t="shared" ca="1" si="132"/>
        <v>6.2407362053926825</v>
      </c>
      <c r="N388" s="145">
        <f t="shared" ca="1" si="133"/>
        <v>6.2407362053926825</v>
      </c>
      <c r="O388" s="143">
        <f t="shared" ca="1" si="134"/>
        <v>259.39575804421565</v>
      </c>
      <c r="P388" s="145">
        <f t="shared" ca="1" si="135"/>
        <v>0</v>
      </c>
      <c r="Q388" s="145">
        <f t="shared" ca="1" si="136"/>
        <v>0</v>
      </c>
      <c r="R388" s="592">
        <f t="shared" ca="1" si="137"/>
        <v>1.1620797071084481</v>
      </c>
      <c r="S388" s="311"/>
      <c r="T388" s="392">
        <f t="shared" si="138"/>
        <v>2012</v>
      </c>
      <c r="U388" s="392">
        <f t="shared" si="139"/>
        <v>9</v>
      </c>
      <c r="V388" s="311">
        <f t="shared" ca="1" si="140"/>
        <v>105.49642807050277</v>
      </c>
      <c r="W388" s="269" t="str">
        <f t="shared" ca="1" si="141"/>
        <v>|||||||||</v>
      </c>
      <c r="X388" s="269" t="str">
        <f t="shared" ca="1" si="142"/>
        <v>||||||||</v>
      </c>
      <c r="Y388" s="434" t="str">
        <f t="shared" ca="1" si="143"/>
        <v/>
      </c>
      <c r="Z388" s="269" t="str">
        <f t="shared" ca="1" si="144"/>
        <v/>
      </c>
      <c r="AA388" s="270" t="str">
        <f t="shared" ca="1" si="145"/>
        <v/>
      </c>
    </row>
    <row r="389" spans="1:27" x14ac:dyDescent="0.25">
      <c r="A389" s="140">
        <f>+'Esc 2'!A399</f>
        <v>2012</v>
      </c>
      <c r="B389" s="140">
        <f>+'Esc 2'!B399</f>
        <v>10</v>
      </c>
      <c r="C389" s="141">
        <f>+'Esc 2'!O399</f>
        <v>6.0956730241857606</v>
      </c>
      <c r="D389" s="140">
        <f>+'Esc 2'!D399</f>
        <v>369.1</v>
      </c>
      <c r="E389" s="147">
        <f t="shared" si="127"/>
        <v>114.86999999999999</v>
      </c>
      <c r="F389" s="146">
        <f t="shared" si="127"/>
        <v>59</v>
      </c>
      <c r="G389" s="144">
        <f t="shared" si="128"/>
        <v>2.5423000000000004E-3</v>
      </c>
      <c r="H389" s="145">
        <f>+F389/100000*'Bal Híd'!$G$4</f>
        <v>0.64900000000000002</v>
      </c>
      <c r="I389" s="145">
        <v>0</v>
      </c>
      <c r="J389" s="145">
        <f t="shared" ca="1" si="129"/>
        <v>11.687409229578442</v>
      </c>
      <c r="K389" s="145">
        <f t="shared" ca="1" si="130"/>
        <v>388.65236308673241</v>
      </c>
      <c r="L389" s="145">
        <f t="shared" ca="1" si="131"/>
        <v>324.02406056547403</v>
      </c>
      <c r="M389" s="145">
        <f t="shared" ca="1" si="132"/>
        <v>11.760169999827777</v>
      </c>
      <c r="N389" s="145">
        <f t="shared" ca="1" si="133"/>
        <v>7.6368477630678893</v>
      </c>
      <c r="O389" s="143">
        <f t="shared" ca="1" si="134"/>
        <v>295.43791936297487</v>
      </c>
      <c r="P389" s="145">
        <f t="shared" ca="1" si="135"/>
        <v>4.1233222367598881</v>
      </c>
      <c r="Q389" s="145">
        <f t="shared" ca="1" si="136"/>
        <v>0.64900000000000002</v>
      </c>
      <c r="R389" s="592">
        <f t="shared" ca="1" si="137"/>
        <v>6.1684337944350949</v>
      </c>
      <c r="S389" s="311"/>
      <c r="T389" s="392">
        <f t="shared" si="138"/>
        <v>2012</v>
      </c>
      <c r="U389" s="392">
        <f t="shared" si="139"/>
        <v>10</v>
      </c>
      <c r="V389" s="311">
        <f t="shared" ca="1" si="140"/>
        <v>106</v>
      </c>
      <c r="W389" s="269" t="str">
        <f t="shared" ca="1" si="141"/>
        <v>||||||||||</v>
      </c>
      <c r="X389" s="269" t="str">
        <f t="shared" ca="1" si="142"/>
        <v>||||||||||</v>
      </c>
      <c r="Y389" s="434" t="str">
        <f t="shared" ca="1" si="143"/>
        <v/>
      </c>
      <c r="Z389" s="269" t="str">
        <f t="shared" ca="1" si="144"/>
        <v>|||</v>
      </c>
      <c r="AA389" s="270" t="str">
        <f t="shared" ca="1" si="145"/>
        <v>||||||||||||||||||||</v>
      </c>
    </row>
    <row r="390" spans="1:27" x14ac:dyDescent="0.25">
      <c r="A390" s="140">
        <f>+'Esc 2'!A400</f>
        <v>2012</v>
      </c>
      <c r="B390" s="140">
        <f>+'Esc 2'!B400</f>
        <v>11</v>
      </c>
      <c r="C390" s="141">
        <f>+'Esc 2'!O400</f>
        <v>1.2422735450723712</v>
      </c>
      <c r="D390" s="140">
        <f>+'Esc 2'!D400</f>
        <v>24.7</v>
      </c>
      <c r="E390" s="147">
        <f t="shared" si="127"/>
        <v>144.06</v>
      </c>
      <c r="F390" s="146">
        <f t="shared" si="127"/>
        <v>212</v>
      </c>
      <c r="G390" s="144">
        <f t="shared" si="128"/>
        <v>-1.1936E-3</v>
      </c>
      <c r="H390" s="145">
        <f>+F390/100000*'Bal Híd'!$G$4</f>
        <v>2.3319999999999999</v>
      </c>
      <c r="I390" s="145">
        <v>0</v>
      </c>
      <c r="J390" s="145">
        <f t="shared" ca="1" si="129"/>
        <v>6.5471213081402597</v>
      </c>
      <c r="K390" s="145">
        <f t="shared" ca="1" si="130"/>
        <v>267.53252977574579</v>
      </c>
      <c r="L390" s="145">
        <f t="shared" ca="1" si="131"/>
        <v>281.4852245693603</v>
      </c>
      <c r="M390" s="145">
        <f t="shared" ca="1" si="132"/>
        <v>6.0781817426451203</v>
      </c>
      <c r="N390" s="145">
        <f t="shared" ca="1" si="133"/>
        <v>6.0781817426451203</v>
      </c>
      <c r="O390" s="143">
        <f t="shared" ca="1" si="134"/>
        <v>255.0211567389224</v>
      </c>
      <c r="P390" s="145">
        <f t="shared" ca="1" si="135"/>
        <v>0</v>
      </c>
      <c r="Q390" s="145">
        <f t="shared" ca="1" si="136"/>
        <v>2.3319999999999999</v>
      </c>
      <c r="R390" s="592">
        <f t="shared" ca="1" si="137"/>
        <v>0.77333397957723027</v>
      </c>
      <c r="S390" s="311"/>
      <c r="T390" s="392">
        <f t="shared" si="138"/>
        <v>2012</v>
      </c>
      <c r="U390" s="392">
        <f t="shared" si="139"/>
        <v>11</v>
      </c>
      <c r="V390" s="311">
        <f t="shared" ca="1" si="140"/>
        <v>105.43322788611299</v>
      </c>
      <c r="W390" s="269" t="str">
        <f t="shared" ca="1" si="141"/>
        <v>||||||||</v>
      </c>
      <c r="X390" s="269" t="str">
        <f t="shared" ca="1" si="142"/>
        <v>|||||||</v>
      </c>
      <c r="Y390" s="434" t="str">
        <f t="shared" ca="1" si="143"/>
        <v/>
      </c>
      <c r="Z390" s="269" t="str">
        <f t="shared" ca="1" si="144"/>
        <v>|||||||||||</v>
      </c>
      <c r="AA390" s="270" t="str">
        <f t="shared" ca="1" si="145"/>
        <v/>
      </c>
    </row>
    <row r="391" spans="1:27" x14ac:dyDescent="0.25">
      <c r="A391" s="140">
        <f>+'Esc 2'!A401</f>
        <v>2012</v>
      </c>
      <c r="B391" s="140">
        <f>+'Esc 2'!B401</f>
        <v>12</v>
      </c>
      <c r="C391" s="141">
        <f>+'Esc 2'!O401</f>
        <v>3.7682939510531757</v>
      </c>
      <c r="D391" s="140">
        <f>+'Esc 2'!D401</f>
        <v>299</v>
      </c>
      <c r="E391" s="147">
        <f t="shared" si="127"/>
        <v>179.62</v>
      </c>
      <c r="F391" s="146">
        <f t="shared" si="127"/>
        <v>388</v>
      </c>
      <c r="G391" s="144">
        <f t="shared" si="128"/>
        <v>1.1937999999999999E-3</v>
      </c>
      <c r="H391" s="145">
        <f>+F391/100000*'Bal Híd'!$G$4</f>
        <v>4.2679999999999998</v>
      </c>
      <c r="I391" s="145">
        <v>0</v>
      </c>
      <c r="J391" s="145">
        <f t="shared" ca="1" si="129"/>
        <v>5.5784756936982953</v>
      </c>
      <c r="K391" s="145">
        <f t="shared" ca="1" si="130"/>
        <v>241.30459709715373</v>
      </c>
      <c r="L391" s="145">
        <f t="shared" ca="1" si="131"/>
        <v>248.16287691803808</v>
      </c>
      <c r="M391" s="145">
        <f t="shared" ca="1" si="132"/>
        <v>5.5191619399781837</v>
      </c>
      <c r="N391" s="145">
        <f t="shared" ca="1" si="133"/>
        <v>5.5191619399781837</v>
      </c>
      <c r="O391" s="143">
        <f t="shared" ca="1" si="134"/>
        <v>239.64801965281339</v>
      </c>
      <c r="P391" s="145">
        <f t="shared" ca="1" si="135"/>
        <v>0</v>
      </c>
      <c r="Q391" s="145">
        <f t="shared" ca="1" si="136"/>
        <v>4.2679999999999998</v>
      </c>
      <c r="R391" s="592">
        <f t="shared" ca="1" si="137"/>
        <v>3.7089801973330641</v>
      </c>
      <c r="S391" s="311"/>
      <c r="T391" s="392">
        <f t="shared" si="138"/>
        <v>2012</v>
      </c>
      <c r="U391" s="392">
        <f t="shared" si="139"/>
        <v>12</v>
      </c>
      <c r="V391" s="311">
        <f t="shared" ca="1" si="140"/>
        <v>105.20717761474539</v>
      </c>
      <c r="W391" s="269" t="str">
        <f t="shared" ca="1" si="141"/>
        <v>||||||||</v>
      </c>
      <c r="X391" s="269" t="str">
        <f t="shared" ca="1" si="142"/>
        <v>|||||||</v>
      </c>
      <c r="Y391" s="434" t="str">
        <f t="shared" ca="1" si="143"/>
        <v/>
      </c>
      <c r="Z391" s="269" t="str">
        <f t="shared" ca="1" si="144"/>
        <v>|||||||||||||||||||||</v>
      </c>
      <c r="AA391" s="270" t="str">
        <f t="shared" ca="1" si="145"/>
        <v/>
      </c>
    </row>
    <row r="392" spans="1:27" x14ac:dyDescent="0.25">
      <c r="A392" s="140">
        <f>+'Esc 2'!A402</f>
        <v>2013</v>
      </c>
      <c r="B392" s="140">
        <f>+'Esc 2'!B402</f>
        <v>1</v>
      </c>
    </row>
    <row r="393" spans="1:27" x14ac:dyDescent="0.25">
      <c r="A393" s="140">
        <f>+'Esc 2'!A403</f>
        <v>2013</v>
      </c>
      <c r="B393" s="140">
        <f>+'Esc 2'!B403</f>
        <v>2</v>
      </c>
    </row>
    <row r="394" spans="1:27" x14ac:dyDescent="0.25">
      <c r="A394" s="140">
        <f>+'Esc 2'!A404</f>
        <v>2013</v>
      </c>
      <c r="B394" s="140">
        <f>+'Esc 2'!B404</f>
        <v>3</v>
      </c>
    </row>
    <row r="395" spans="1:27" x14ac:dyDescent="0.25">
      <c r="A395" s="140">
        <f>+'Esc 2'!A405</f>
        <v>2013</v>
      </c>
      <c r="B395" s="140">
        <f>+'Esc 2'!B405</f>
        <v>4</v>
      </c>
    </row>
    <row r="396" spans="1:27" x14ac:dyDescent="0.25">
      <c r="A396" s="140">
        <f>+'Esc 2'!A406</f>
        <v>2013</v>
      </c>
      <c r="B396" s="140">
        <f>+'Esc 2'!B406</f>
        <v>5</v>
      </c>
    </row>
    <row r="397" spans="1:27" x14ac:dyDescent="0.25">
      <c r="A397" s="140">
        <f>+'Esc 2'!A407</f>
        <v>2013</v>
      </c>
      <c r="B397" s="140">
        <f>+'Esc 2'!B407</f>
        <v>6</v>
      </c>
    </row>
    <row r="398" spans="1:27" x14ac:dyDescent="0.25">
      <c r="A398" s="140">
        <f>+'Esc 2'!A408</f>
        <v>2013</v>
      </c>
      <c r="B398" s="140">
        <f>+'Esc 2'!B408</f>
        <v>7</v>
      </c>
    </row>
    <row r="399" spans="1:27" x14ac:dyDescent="0.25">
      <c r="A399" s="140">
        <f>+'Esc 2'!A409</f>
        <v>2013</v>
      </c>
      <c r="B399" s="140">
        <f>+'Esc 2'!B409</f>
        <v>8</v>
      </c>
    </row>
    <row r="400" spans="1:27" x14ac:dyDescent="0.25">
      <c r="A400" s="140">
        <f>+'Esc 2'!A410</f>
        <v>2013</v>
      </c>
      <c r="B400" s="140">
        <f>+'Esc 2'!B410</f>
        <v>9</v>
      </c>
    </row>
    <row r="401" spans="1:2" x14ac:dyDescent="0.25">
      <c r="A401" s="140">
        <f>+'Esc 2'!A411</f>
        <v>2013</v>
      </c>
      <c r="B401" s="140">
        <f>+'Esc 2'!B411</f>
        <v>10</v>
      </c>
    </row>
    <row r="402" spans="1:2" x14ac:dyDescent="0.25">
      <c r="A402" s="140">
        <f>+'Esc 2'!A412</f>
        <v>2013</v>
      </c>
      <c r="B402" s="140">
        <f>+'Esc 2'!B412</f>
        <v>11</v>
      </c>
    </row>
    <row r="403" spans="1:2" x14ac:dyDescent="0.25">
      <c r="A403" s="140">
        <f>+'Esc 2'!A413</f>
        <v>2013</v>
      </c>
      <c r="B403" s="140">
        <f>+'Esc 2'!B413</f>
        <v>12</v>
      </c>
    </row>
    <row r="404" spans="1:2" x14ac:dyDescent="0.25">
      <c r="A404" s="140">
        <f>+'Esc 2'!A414</f>
        <v>2014</v>
      </c>
      <c r="B404" s="140">
        <f>+'Esc 2'!B414</f>
        <v>1</v>
      </c>
    </row>
    <row r="405" spans="1:2" x14ac:dyDescent="0.25">
      <c r="A405" s="140">
        <f>+'Esc 2'!A415</f>
        <v>2014</v>
      </c>
      <c r="B405" s="140">
        <f>+'Esc 2'!B415</f>
        <v>2</v>
      </c>
    </row>
    <row r="406" spans="1:2" x14ac:dyDescent="0.25">
      <c r="A406" s="140">
        <f>+'Esc 2'!A416</f>
        <v>2014</v>
      </c>
      <c r="B406" s="140">
        <f>+'Esc 2'!B416</f>
        <v>3</v>
      </c>
    </row>
    <row r="407" spans="1:2" x14ac:dyDescent="0.25">
      <c r="A407" s="140">
        <f>+'Esc 2'!A417</f>
        <v>2014</v>
      </c>
      <c r="B407" s="140">
        <f>+'Esc 2'!B417</f>
        <v>4</v>
      </c>
    </row>
    <row r="408" spans="1:2" x14ac:dyDescent="0.25">
      <c r="A408" s="140">
        <f>+'Esc 2'!A418</f>
        <v>2014</v>
      </c>
      <c r="B408" s="140">
        <f>+'Esc 2'!B418</f>
        <v>5</v>
      </c>
    </row>
    <row r="409" spans="1:2" x14ac:dyDescent="0.25">
      <c r="A409" s="140">
        <f>+'Esc 2'!A419</f>
        <v>2014</v>
      </c>
      <c r="B409" s="140">
        <f>+'Esc 2'!B419</f>
        <v>6</v>
      </c>
    </row>
    <row r="410" spans="1:2" x14ac:dyDescent="0.25">
      <c r="A410" s="140">
        <f>+'Esc 2'!A420</f>
        <v>2014</v>
      </c>
      <c r="B410" s="140">
        <f>+'Esc 2'!B420</f>
        <v>7</v>
      </c>
    </row>
    <row r="411" spans="1:2" x14ac:dyDescent="0.25">
      <c r="A411" s="140">
        <f>+'Esc 2'!A421</f>
        <v>2014</v>
      </c>
      <c r="B411" s="140">
        <f>+'Esc 2'!B421</f>
        <v>8</v>
      </c>
    </row>
    <row r="412" spans="1:2" x14ac:dyDescent="0.25">
      <c r="A412" s="140">
        <f>+'Esc 2'!A422</f>
        <v>2014</v>
      </c>
      <c r="B412" s="140">
        <f>+'Esc 2'!B422</f>
        <v>9</v>
      </c>
    </row>
    <row r="413" spans="1:2" x14ac:dyDescent="0.25">
      <c r="A413" s="140">
        <f>+'Esc 2'!A423</f>
        <v>2014</v>
      </c>
      <c r="B413" s="140">
        <f>+'Esc 2'!B423</f>
        <v>10</v>
      </c>
    </row>
    <row r="414" spans="1:2" x14ac:dyDescent="0.25">
      <c r="A414" s="140">
        <f>+'Esc 2'!A424</f>
        <v>2014</v>
      </c>
      <c r="B414" s="140">
        <f>+'Esc 2'!B424</f>
        <v>11</v>
      </c>
    </row>
    <row r="415" spans="1:2" x14ac:dyDescent="0.25">
      <c r="A415" s="140">
        <f>+'Esc 2'!A425</f>
        <v>2014</v>
      </c>
      <c r="B415" s="140">
        <f>+'Esc 2'!B425</f>
        <v>12</v>
      </c>
    </row>
    <row r="416" spans="1:2" x14ac:dyDescent="0.25">
      <c r="A416" s="140">
        <f>+'Esc 2'!A426</f>
        <v>2015</v>
      </c>
      <c r="B416" s="140">
        <f>+'Esc 2'!B426</f>
        <v>1</v>
      </c>
    </row>
    <row r="417" spans="1:2" x14ac:dyDescent="0.25">
      <c r="A417" s="140">
        <f>+'Esc 2'!A427</f>
        <v>2015</v>
      </c>
      <c r="B417" s="140">
        <f>+'Esc 2'!B427</f>
        <v>2</v>
      </c>
    </row>
    <row r="418" spans="1:2" x14ac:dyDescent="0.25">
      <c r="A418" s="140">
        <f>+'Esc 2'!A428</f>
        <v>2015</v>
      </c>
      <c r="B418" s="140">
        <f>+'Esc 2'!B428</f>
        <v>3</v>
      </c>
    </row>
    <row r="419" spans="1:2" x14ac:dyDescent="0.25">
      <c r="A419" s="140">
        <f>+'Esc 2'!A429</f>
        <v>2015</v>
      </c>
      <c r="B419" s="140">
        <f>+'Esc 2'!B429</f>
        <v>4</v>
      </c>
    </row>
    <row r="420" spans="1:2" x14ac:dyDescent="0.25">
      <c r="A420" s="140">
        <f>+'Esc 2'!A430</f>
        <v>2015</v>
      </c>
      <c r="B420" s="140">
        <f>+'Esc 2'!B430</f>
        <v>5</v>
      </c>
    </row>
    <row r="421" spans="1:2" x14ac:dyDescent="0.25">
      <c r="A421" s="140">
        <f>+'Esc 2'!A431</f>
        <v>2015</v>
      </c>
      <c r="B421" s="140">
        <f>+'Esc 2'!B431</f>
        <v>6</v>
      </c>
    </row>
    <row r="422" spans="1:2" x14ac:dyDescent="0.25">
      <c r="A422" s="140">
        <f>+'Esc 2'!A432</f>
        <v>2015</v>
      </c>
      <c r="B422" s="140">
        <f>+'Esc 2'!B432</f>
        <v>7</v>
      </c>
    </row>
    <row r="423" spans="1:2" x14ac:dyDescent="0.25">
      <c r="A423" s="140">
        <f>+'Esc 2'!A433</f>
        <v>2015</v>
      </c>
      <c r="B423" s="140">
        <f>+'Esc 2'!B433</f>
        <v>8</v>
      </c>
    </row>
    <row r="424" spans="1:2" x14ac:dyDescent="0.25">
      <c r="A424" s="140">
        <f>+'Esc 2'!A434</f>
        <v>2015</v>
      </c>
      <c r="B424" s="140">
        <f>+'Esc 2'!B434</f>
        <v>9</v>
      </c>
    </row>
    <row r="425" spans="1:2" x14ac:dyDescent="0.25">
      <c r="A425" s="140">
        <f>+'Esc 2'!A435</f>
        <v>2015</v>
      </c>
      <c r="B425" s="140">
        <f>+'Esc 2'!B435</f>
        <v>10</v>
      </c>
    </row>
    <row r="426" spans="1:2" x14ac:dyDescent="0.25">
      <c r="A426" s="140">
        <f>+'Esc 2'!A436</f>
        <v>2015</v>
      </c>
      <c r="B426" s="140">
        <f>+'Esc 2'!B436</f>
        <v>11</v>
      </c>
    </row>
    <row r="427" spans="1:2" x14ac:dyDescent="0.25">
      <c r="A427" s="140">
        <f>+'Esc 2'!A437</f>
        <v>2015</v>
      </c>
      <c r="B427" s="140">
        <f>+'Esc 2'!B437</f>
        <v>12</v>
      </c>
    </row>
  </sheetData>
  <sheetProtection sheet="1"/>
  <mergeCells count="4">
    <mergeCell ref="Y5:AA5"/>
    <mergeCell ref="A1:Q1"/>
    <mergeCell ref="K3:O3"/>
    <mergeCell ref="T1:AC1"/>
  </mergeCells>
  <phoneticPr fontId="15" type="noConversion"/>
  <pageMargins left="0.76" right="0.8" top="0.56999999999999995" bottom="0.63" header="0.3" footer="0.3"/>
  <pageSetup paperSize="9" pageOrder="overThenDown" orientation="landscape" r:id="rId1"/>
  <headerFooter>
    <oddFooter xml:space="preserve">&amp;LPágina  &amp;P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indexed="40"/>
  </sheetPr>
  <dimension ref="A1:G21"/>
  <sheetViews>
    <sheetView zoomScaleNormal="100" workbookViewId="0">
      <selection activeCell="B11" sqref="B11"/>
    </sheetView>
  </sheetViews>
  <sheetFormatPr baseColWidth="10" defaultRowHeight="15" x14ac:dyDescent="0.25"/>
  <sheetData>
    <row r="1" spans="1:7" s="61" customFormat="1" ht="21" x14ac:dyDescent="0.35">
      <c r="A1" s="892" t="s">
        <v>435</v>
      </c>
      <c r="B1" s="892"/>
      <c r="C1" s="892"/>
      <c r="D1" s="892"/>
      <c r="E1" s="892"/>
      <c r="F1" s="892"/>
      <c r="G1" s="892"/>
    </row>
    <row r="2" spans="1:7" ht="21" x14ac:dyDescent="0.25">
      <c r="A2" s="826" t="s">
        <v>479</v>
      </c>
      <c r="B2" s="826"/>
      <c r="C2" s="826"/>
      <c r="D2" s="826"/>
      <c r="E2" s="826"/>
      <c r="F2" s="826"/>
      <c r="G2" s="826"/>
    </row>
    <row r="3" spans="1:7" ht="18.75" x14ac:dyDescent="0.3">
      <c r="A3" t="s">
        <v>480</v>
      </c>
      <c r="G3" s="179" t="str">
        <f>+'Ingreso Datos'!G2</f>
        <v>Presa del Ejemplo del Manual</v>
      </c>
    </row>
    <row r="4" spans="1:7" x14ac:dyDescent="0.25">
      <c r="A4" s="493" t="str">
        <f>+Pasos!A3</f>
        <v>Planilla complementaria al Manual de diseño y construcción de pequeñas presas, Versión 1.04, del 01/04/2013</v>
      </c>
      <c r="G4" s="2"/>
    </row>
    <row r="5" spans="1:7" x14ac:dyDescent="0.25">
      <c r="E5" s="51" t="s">
        <v>437</v>
      </c>
      <c r="F5" s="51" t="s">
        <v>477</v>
      </c>
      <c r="G5" s="51" t="s">
        <v>478</v>
      </c>
    </row>
    <row r="6" spans="1:7" x14ac:dyDescent="0.25">
      <c r="E6" s="51" t="s">
        <v>390</v>
      </c>
      <c r="F6" s="51" t="s">
        <v>337</v>
      </c>
      <c r="G6" s="51" t="s">
        <v>337</v>
      </c>
    </row>
    <row r="7" spans="1:7" ht="21" x14ac:dyDescent="0.35">
      <c r="B7" s="179" t="s">
        <v>1004</v>
      </c>
      <c r="C7" s="348" t="s">
        <v>1005</v>
      </c>
      <c r="D7" s="348"/>
      <c r="E7" s="46" t="s">
        <v>438</v>
      </c>
      <c r="F7" s="46">
        <v>1.2</v>
      </c>
      <c r="G7" s="46">
        <v>0.9</v>
      </c>
    </row>
    <row r="8" spans="1:7" x14ac:dyDescent="0.25">
      <c r="E8" s="46">
        <v>1.6</v>
      </c>
      <c r="F8" s="46">
        <v>1.5</v>
      </c>
      <c r="G8" s="46">
        <v>1.2</v>
      </c>
    </row>
    <row r="9" spans="1:7" ht="18.75" x14ac:dyDescent="0.3">
      <c r="A9" s="348" t="s">
        <v>1009</v>
      </c>
      <c r="E9" s="46">
        <v>4</v>
      </c>
      <c r="F9" s="46">
        <v>1.8</v>
      </c>
      <c r="G9" s="46">
        <v>1.5</v>
      </c>
    </row>
    <row r="10" spans="1:7" ht="18.75" x14ac:dyDescent="0.3">
      <c r="A10" s="179" t="s">
        <v>1008</v>
      </c>
      <c r="B10" s="349">
        <f>+'I-Satisfac-Demanda'!G7</f>
        <v>106</v>
      </c>
      <c r="C10" s="348" t="s">
        <v>424</v>
      </c>
      <c r="E10" s="46">
        <v>8</v>
      </c>
      <c r="F10" s="46">
        <v>2.4</v>
      </c>
      <c r="G10" s="46">
        <v>1.8</v>
      </c>
    </row>
    <row r="11" spans="1:7" ht="18.75" x14ac:dyDescent="0.3">
      <c r="A11" s="179" t="s">
        <v>1007</v>
      </c>
      <c r="B11" s="349">
        <f>+ROUND(2*'Diseño Aliv-Canal'!G6,1)/2</f>
        <v>0.45</v>
      </c>
      <c r="C11" s="348" t="s">
        <v>205</v>
      </c>
      <c r="E11" s="46">
        <v>16.100000000000001</v>
      </c>
      <c r="F11" s="46">
        <v>3</v>
      </c>
      <c r="G11" s="46">
        <v>2.1</v>
      </c>
    </row>
    <row r="12" spans="1:7" ht="18.75" x14ac:dyDescent="0.3">
      <c r="A12" s="179" t="s">
        <v>1006</v>
      </c>
      <c r="B12" s="350">
        <f>+'Ingreso Datos'!F47</f>
        <v>0.77</v>
      </c>
      <c r="C12" s="348" t="s">
        <v>472</v>
      </c>
      <c r="E12" s="347" t="s">
        <v>475</v>
      </c>
    </row>
    <row r="13" spans="1:7" x14ac:dyDescent="0.25">
      <c r="E13" s="4" t="s">
        <v>476</v>
      </c>
    </row>
    <row r="14" spans="1:7" ht="18.75" x14ac:dyDescent="0.3">
      <c r="A14" s="348" t="s">
        <v>1010</v>
      </c>
    </row>
    <row r="15" spans="1:7" ht="19.5" x14ac:dyDescent="0.35">
      <c r="C15" s="243" t="s">
        <v>547</v>
      </c>
      <c r="D15" s="244">
        <f>IF($B$12&lt;1.6,1.2,+VLOOKUP($B$12,$E$8:$G$11,2,TRUE))</f>
        <v>1.2</v>
      </c>
      <c r="E15" s="245" t="s">
        <v>205</v>
      </c>
    </row>
    <row r="16" spans="1:7" ht="19.5" x14ac:dyDescent="0.35">
      <c r="C16" s="243" t="s">
        <v>548</v>
      </c>
      <c r="D16" s="244">
        <f>IF($B$12&lt;1.6,0.9,+VLOOKUP($B$12,$E$8:$G$11,3,TRUE))</f>
        <v>0.9</v>
      </c>
      <c r="E16" s="245" t="s">
        <v>205</v>
      </c>
    </row>
    <row r="17" spans="3:6" ht="19.5" x14ac:dyDescent="0.35">
      <c r="C17" s="243" t="s">
        <v>474</v>
      </c>
      <c r="D17" s="244">
        <f>+B11+D16</f>
        <v>1.35</v>
      </c>
      <c r="E17" s="245" t="s">
        <v>205</v>
      </c>
    </row>
    <row r="18" spans="3:6" ht="19.5" x14ac:dyDescent="0.35">
      <c r="C18" s="243" t="s">
        <v>473</v>
      </c>
      <c r="D18" s="244">
        <f>+MAX(D17,D15)</f>
        <v>1.35</v>
      </c>
      <c r="E18" s="245" t="s">
        <v>205</v>
      </c>
    </row>
    <row r="19" spans="3:6" ht="18.75" x14ac:dyDescent="0.3">
      <c r="D19" s="52" t="s">
        <v>481</v>
      </c>
      <c r="E19" s="53">
        <f>+B10+D18</f>
        <v>107.35</v>
      </c>
      <c r="F19" s="54" t="s">
        <v>424</v>
      </c>
    </row>
    <row r="20" spans="3:6" ht="15.75" x14ac:dyDescent="0.25">
      <c r="D20" s="247" t="s">
        <v>531</v>
      </c>
      <c r="E20" s="346">
        <f>+'Ingreso Datos'!F48</f>
        <v>98</v>
      </c>
      <c r="F20" s="245" t="s">
        <v>424</v>
      </c>
    </row>
    <row r="21" spans="3:6" ht="18.75" x14ac:dyDescent="0.3">
      <c r="D21" s="52" t="s">
        <v>552</v>
      </c>
      <c r="E21" s="53">
        <f>+E19-E20</f>
        <v>9.3499999999999943</v>
      </c>
      <c r="F21" s="54" t="s">
        <v>205</v>
      </c>
    </row>
  </sheetData>
  <sheetProtection sheet="1"/>
  <mergeCells count="2">
    <mergeCell ref="A1:G1"/>
    <mergeCell ref="A2:G2"/>
  </mergeCells>
  <phoneticPr fontId="15" type="noConversion"/>
  <pageMargins left="0.75" right="0.75" top="1" bottom="0.56999999999999995" header="0" footer="0"/>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indexed="53"/>
  </sheetPr>
  <dimension ref="A1:D104"/>
  <sheetViews>
    <sheetView workbookViewId="0">
      <selection activeCell="F3" sqref="F3"/>
    </sheetView>
  </sheetViews>
  <sheetFormatPr baseColWidth="10" defaultRowHeight="15" x14ac:dyDescent="0.25"/>
  <cols>
    <col min="1" max="1" width="33" style="214" bestFit="1" customWidth="1"/>
    <col min="2" max="2" width="7.140625" style="214" customWidth="1"/>
    <col min="3" max="3" width="18.85546875" style="214" bestFit="1" customWidth="1"/>
    <col min="4" max="4" width="15.42578125" style="214" bestFit="1" customWidth="1"/>
  </cols>
  <sheetData>
    <row r="1" spans="1:4" x14ac:dyDescent="0.25">
      <c r="A1" s="930" t="s">
        <v>872</v>
      </c>
      <c r="B1" s="930"/>
      <c r="C1" s="930"/>
      <c r="D1" s="930"/>
    </row>
    <row r="2" spans="1:4" ht="15.75" thickBot="1" x14ac:dyDescent="0.3"/>
    <row r="3" spans="1:4" ht="24" customHeight="1" thickBot="1" x14ac:dyDescent="0.3">
      <c r="A3" s="928" t="s">
        <v>670</v>
      </c>
      <c r="B3" s="929"/>
      <c r="C3" s="232" t="s">
        <v>671</v>
      </c>
      <c r="D3" s="231" t="s">
        <v>672</v>
      </c>
    </row>
    <row r="4" spans="1:4" ht="15.75" hidden="1" customHeight="1" thickBot="1" x14ac:dyDescent="0.3">
      <c r="A4" s="215">
        <v>0</v>
      </c>
      <c r="B4" s="216"/>
      <c r="C4" s="216">
        <v>0</v>
      </c>
      <c r="D4" s="217"/>
    </row>
    <row r="5" spans="1:4" ht="15.75" hidden="1" customHeight="1" thickBot="1" x14ac:dyDescent="0.3">
      <c r="A5" s="215"/>
      <c r="B5" s="216"/>
      <c r="C5" s="216"/>
      <c r="D5" s="217"/>
    </row>
    <row r="6" spans="1:4" ht="15.75" thickBot="1" x14ac:dyDescent="0.3">
      <c r="A6" s="218" t="s">
        <v>673</v>
      </c>
      <c r="B6" s="216" t="s">
        <v>674</v>
      </c>
      <c r="C6" s="216">
        <v>124.7</v>
      </c>
      <c r="D6" s="216" t="s">
        <v>331</v>
      </c>
    </row>
    <row r="7" spans="1:4" ht="15.75" thickBot="1" x14ac:dyDescent="0.3">
      <c r="A7" s="218" t="s">
        <v>675</v>
      </c>
      <c r="B7" s="216" t="s">
        <v>676</v>
      </c>
      <c r="C7" s="216">
        <v>123.7</v>
      </c>
      <c r="D7" s="216" t="s">
        <v>677</v>
      </c>
    </row>
    <row r="8" spans="1:4" ht="15.75" thickBot="1" x14ac:dyDescent="0.3">
      <c r="A8" s="218" t="s">
        <v>678</v>
      </c>
      <c r="B8" s="216" t="s">
        <v>679</v>
      </c>
      <c r="C8" s="216">
        <v>63.7</v>
      </c>
      <c r="D8" s="216" t="s">
        <v>336</v>
      </c>
    </row>
    <row r="9" spans="1:4" ht="15.75" thickBot="1" x14ac:dyDescent="0.3">
      <c r="A9" s="218" t="s">
        <v>680</v>
      </c>
      <c r="B9" s="216" t="s">
        <v>681</v>
      </c>
      <c r="C9" s="216">
        <v>155.1</v>
      </c>
      <c r="D9" s="216" t="s">
        <v>682</v>
      </c>
    </row>
    <row r="10" spans="1:4" ht="15.75" thickBot="1" x14ac:dyDescent="0.3">
      <c r="A10" s="218" t="s">
        <v>683</v>
      </c>
      <c r="B10" s="216" t="s">
        <v>684</v>
      </c>
      <c r="C10" s="216">
        <v>139.69999999999999</v>
      </c>
      <c r="D10" s="216" t="s">
        <v>331</v>
      </c>
    </row>
    <row r="11" spans="1:4" ht="15.75" thickBot="1" x14ac:dyDescent="0.3">
      <c r="A11" s="218" t="s">
        <v>685</v>
      </c>
      <c r="B11" s="216" t="s">
        <v>686</v>
      </c>
      <c r="C11" s="216">
        <v>136.80000000000001</v>
      </c>
      <c r="D11" s="216" t="s">
        <v>233</v>
      </c>
    </row>
    <row r="12" spans="1:4" ht="15.75" thickBot="1" x14ac:dyDescent="0.3">
      <c r="A12" s="218" t="s">
        <v>687</v>
      </c>
      <c r="B12" s="216" t="s">
        <v>688</v>
      </c>
      <c r="C12" s="216">
        <v>101</v>
      </c>
      <c r="D12" s="216" t="s">
        <v>331</v>
      </c>
    </row>
    <row r="13" spans="1:4" ht="15.75" thickBot="1" x14ac:dyDescent="0.3">
      <c r="A13" s="218" t="s">
        <v>689</v>
      </c>
      <c r="B13" s="216" t="s">
        <v>690</v>
      </c>
      <c r="C13" s="216">
        <v>86.1</v>
      </c>
      <c r="D13" s="216" t="s">
        <v>331</v>
      </c>
    </row>
    <row r="14" spans="1:4" ht="15.75" thickBot="1" x14ac:dyDescent="0.3">
      <c r="A14" s="218" t="s">
        <v>691</v>
      </c>
      <c r="B14" s="216" t="s">
        <v>692</v>
      </c>
      <c r="C14" s="216">
        <v>97.1</v>
      </c>
      <c r="D14" s="216" t="s">
        <v>336</v>
      </c>
    </row>
    <row r="15" spans="1:4" ht="15.75" thickBot="1" x14ac:dyDescent="0.3">
      <c r="A15" s="218" t="s">
        <v>693</v>
      </c>
      <c r="B15" s="216" t="s">
        <v>694</v>
      </c>
      <c r="C15" s="216">
        <v>134.5</v>
      </c>
      <c r="D15" s="216" t="s">
        <v>185</v>
      </c>
    </row>
    <row r="16" spans="1:4" ht="15.75" thickBot="1" x14ac:dyDescent="0.3">
      <c r="A16" s="218" t="s">
        <v>695</v>
      </c>
      <c r="B16" s="216" t="s">
        <v>696</v>
      </c>
      <c r="C16" s="216">
        <v>178.7</v>
      </c>
      <c r="D16" s="216" t="s">
        <v>233</v>
      </c>
    </row>
    <row r="17" spans="1:4" ht="15.75" thickBot="1" x14ac:dyDescent="0.3">
      <c r="A17" s="218" t="s">
        <v>697</v>
      </c>
      <c r="B17" s="216" t="s">
        <v>698</v>
      </c>
      <c r="C17" s="216">
        <v>89</v>
      </c>
      <c r="D17" s="216" t="s">
        <v>331</v>
      </c>
    </row>
    <row r="18" spans="1:4" ht="15.75" thickBot="1" x14ac:dyDescent="0.3">
      <c r="A18" s="218" t="s">
        <v>699</v>
      </c>
      <c r="B18" s="216" t="s">
        <v>700</v>
      </c>
      <c r="C18" s="216">
        <v>110.5</v>
      </c>
      <c r="D18" s="216" t="s">
        <v>331</v>
      </c>
    </row>
    <row r="19" spans="1:4" ht="15.75" thickBot="1" x14ac:dyDescent="0.3">
      <c r="A19" s="218" t="s">
        <v>701</v>
      </c>
      <c r="B19" s="216" t="s">
        <v>702</v>
      </c>
      <c r="C19" s="216">
        <v>146.19999999999999</v>
      </c>
      <c r="D19" s="216" t="s">
        <v>233</v>
      </c>
    </row>
    <row r="20" spans="1:4" ht="15.75" thickBot="1" x14ac:dyDescent="0.3">
      <c r="A20" s="218" t="s">
        <v>703</v>
      </c>
      <c r="B20" s="216" t="s">
        <v>704</v>
      </c>
      <c r="C20" s="216">
        <v>138.19999999999999</v>
      </c>
      <c r="D20" s="216" t="s">
        <v>331</v>
      </c>
    </row>
    <row r="21" spans="1:4" ht="15.75" thickBot="1" x14ac:dyDescent="0.3">
      <c r="A21" s="218" t="s">
        <v>705</v>
      </c>
      <c r="B21" s="216" t="s">
        <v>706</v>
      </c>
      <c r="C21" s="216">
        <v>114.6</v>
      </c>
      <c r="D21" s="216" t="s">
        <v>331</v>
      </c>
    </row>
    <row r="22" spans="1:4" ht="15.75" thickBot="1" x14ac:dyDescent="0.3">
      <c r="A22" s="218" t="s">
        <v>707</v>
      </c>
      <c r="B22" s="216" t="s">
        <v>708</v>
      </c>
      <c r="C22" s="216">
        <v>146.4</v>
      </c>
      <c r="D22" s="216" t="s">
        <v>233</v>
      </c>
    </row>
    <row r="23" spans="1:4" ht="15.75" thickBot="1" x14ac:dyDescent="0.3">
      <c r="A23" s="218" t="s">
        <v>709</v>
      </c>
      <c r="B23" s="216" t="s">
        <v>710</v>
      </c>
      <c r="C23" s="216">
        <v>35.4</v>
      </c>
      <c r="D23" s="216" t="s">
        <v>711</v>
      </c>
    </row>
    <row r="24" spans="1:4" ht="15.75" thickBot="1" x14ac:dyDescent="0.3">
      <c r="A24" s="218" t="s">
        <v>712</v>
      </c>
      <c r="B24" s="216" t="s">
        <v>713</v>
      </c>
      <c r="C24" s="216">
        <v>41.5</v>
      </c>
      <c r="D24" s="216" t="s">
        <v>336</v>
      </c>
    </row>
    <row r="25" spans="1:4" ht="15.75" thickBot="1" x14ac:dyDescent="0.3">
      <c r="A25" s="218" t="s">
        <v>714</v>
      </c>
      <c r="B25" s="216" t="s">
        <v>715</v>
      </c>
      <c r="C25" s="216">
        <v>139</v>
      </c>
      <c r="D25" s="216" t="s">
        <v>233</v>
      </c>
    </row>
    <row r="26" spans="1:4" ht="15.75" thickBot="1" x14ac:dyDescent="0.3">
      <c r="A26" s="218" t="s">
        <v>716</v>
      </c>
      <c r="B26" s="216" t="s">
        <v>717</v>
      </c>
      <c r="C26" s="216">
        <v>167.6</v>
      </c>
      <c r="D26" s="216" t="s">
        <v>331</v>
      </c>
    </row>
    <row r="27" spans="1:4" ht="15.75" thickBot="1" x14ac:dyDescent="0.3">
      <c r="A27" s="218" t="s">
        <v>262</v>
      </c>
      <c r="B27" s="216" t="s">
        <v>718</v>
      </c>
      <c r="C27" s="216">
        <v>78.599999999999994</v>
      </c>
      <c r="D27" s="216" t="s">
        <v>336</v>
      </c>
    </row>
    <row r="28" spans="1:4" ht="15.75" thickBot="1" x14ac:dyDescent="0.3">
      <c r="A28" s="218" t="s">
        <v>719</v>
      </c>
      <c r="B28" s="216" t="s">
        <v>720</v>
      </c>
      <c r="C28" s="216">
        <v>100.1</v>
      </c>
      <c r="D28" s="548" t="s">
        <v>336</v>
      </c>
    </row>
    <row r="29" spans="1:4" ht="15.75" thickBot="1" x14ac:dyDescent="0.3">
      <c r="A29" s="218" t="s">
        <v>721</v>
      </c>
      <c r="B29" s="216" t="s">
        <v>722</v>
      </c>
      <c r="C29" s="216">
        <v>108.9</v>
      </c>
      <c r="D29" s="548" t="s">
        <v>331</v>
      </c>
    </row>
    <row r="30" spans="1:4" ht="15.75" thickBot="1" x14ac:dyDescent="0.3">
      <c r="A30" s="218" t="s">
        <v>723</v>
      </c>
      <c r="B30" s="216" t="s">
        <v>724</v>
      </c>
      <c r="C30" s="216">
        <v>73.599999999999994</v>
      </c>
      <c r="D30" s="548" t="s">
        <v>185</v>
      </c>
    </row>
    <row r="31" spans="1:4" ht="15.75" thickBot="1" x14ac:dyDescent="0.3">
      <c r="A31" s="218" t="s">
        <v>725</v>
      </c>
      <c r="B31" s="216" t="s">
        <v>726</v>
      </c>
      <c r="C31" s="216">
        <v>93.2</v>
      </c>
      <c r="D31" s="548" t="s">
        <v>233</v>
      </c>
    </row>
    <row r="32" spans="1:4" ht="15.75" thickBot="1" x14ac:dyDescent="0.3">
      <c r="A32" s="218" t="s">
        <v>727</v>
      </c>
      <c r="B32" s="216" t="s">
        <v>728</v>
      </c>
      <c r="C32" s="216">
        <v>71.2</v>
      </c>
      <c r="D32" s="548" t="s">
        <v>331</v>
      </c>
    </row>
    <row r="33" spans="1:4" ht="15.75" thickBot="1" x14ac:dyDescent="0.3">
      <c r="A33" s="218" t="s">
        <v>729</v>
      </c>
      <c r="B33" s="216" t="s">
        <v>730</v>
      </c>
      <c r="C33" s="216">
        <v>160.6</v>
      </c>
      <c r="D33" s="548" t="s">
        <v>331</v>
      </c>
    </row>
    <row r="34" spans="1:4" ht="15.75" thickBot="1" x14ac:dyDescent="0.3">
      <c r="A34" s="218" t="s">
        <v>311</v>
      </c>
      <c r="B34" s="216" t="s">
        <v>731</v>
      </c>
      <c r="C34" s="216">
        <v>21.5</v>
      </c>
      <c r="D34" s="548" t="s">
        <v>233</v>
      </c>
    </row>
    <row r="35" spans="1:4" ht="15.75" thickBot="1" x14ac:dyDescent="0.3">
      <c r="A35" s="218" t="s">
        <v>732</v>
      </c>
      <c r="B35" s="216" t="s">
        <v>733</v>
      </c>
      <c r="C35" s="216">
        <v>119.8</v>
      </c>
      <c r="D35" s="548" t="s">
        <v>677</v>
      </c>
    </row>
    <row r="36" spans="1:4" ht="15.75" thickBot="1" x14ac:dyDescent="0.3">
      <c r="A36" s="218" t="s">
        <v>734</v>
      </c>
      <c r="B36" s="216" t="s">
        <v>735</v>
      </c>
      <c r="C36" s="216">
        <v>150.19999999999999</v>
      </c>
      <c r="D36" s="548" t="s">
        <v>331</v>
      </c>
    </row>
    <row r="37" spans="1:4" ht="15.75" thickBot="1" x14ac:dyDescent="0.3">
      <c r="A37" s="218" t="s">
        <v>736</v>
      </c>
      <c r="B37" s="216" t="s">
        <v>737</v>
      </c>
      <c r="C37" s="216">
        <v>51.8</v>
      </c>
      <c r="D37" s="548" t="s">
        <v>233</v>
      </c>
    </row>
    <row r="38" spans="1:4" ht="15.75" thickBot="1" x14ac:dyDescent="0.3">
      <c r="A38" s="218" t="s">
        <v>738</v>
      </c>
      <c r="B38" s="216" t="s">
        <v>739</v>
      </c>
      <c r="C38" s="216">
        <v>55.2</v>
      </c>
      <c r="D38" s="548" t="s">
        <v>233</v>
      </c>
    </row>
    <row r="39" spans="1:4" ht="15.75" thickBot="1" x14ac:dyDescent="0.3">
      <c r="A39" s="218" t="s">
        <v>740</v>
      </c>
      <c r="B39" s="216" t="s">
        <v>741</v>
      </c>
      <c r="C39" s="216">
        <v>136.69999999999999</v>
      </c>
      <c r="D39" s="548" t="s">
        <v>331</v>
      </c>
    </row>
    <row r="40" spans="1:4" ht="15.75" thickBot="1" x14ac:dyDescent="0.3">
      <c r="A40" s="218" t="s">
        <v>742</v>
      </c>
      <c r="B40" s="216" t="s">
        <v>743</v>
      </c>
      <c r="C40" s="216">
        <v>78.599999999999994</v>
      </c>
      <c r="D40" s="216" t="s">
        <v>233</v>
      </c>
    </row>
    <row r="41" spans="1:4" ht="15.75" thickBot="1" x14ac:dyDescent="0.3">
      <c r="A41" s="218" t="s">
        <v>744</v>
      </c>
      <c r="B41" s="216" t="s">
        <v>745</v>
      </c>
      <c r="C41" s="216">
        <v>142.30000000000001</v>
      </c>
      <c r="D41" s="216" t="s">
        <v>331</v>
      </c>
    </row>
    <row r="42" spans="1:4" ht="15.75" thickBot="1" x14ac:dyDescent="0.3">
      <c r="A42" s="218" t="s">
        <v>746</v>
      </c>
      <c r="B42" s="216" t="s">
        <v>747</v>
      </c>
      <c r="C42" s="216">
        <v>141</v>
      </c>
      <c r="D42" s="216" t="s">
        <v>331</v>
      </c>
    </row>
    <row r="43" spans="1:4" ht="15.75" thickBot="1" x14ac:dyDescent="0.3">
      <c r="A43" s="218" t="s">
        <v>259</v>
      </c>
      <c r="B43" s="216" t="s">
        <v>748</v>
      </c>
      <c r="C43" s="216">
        <v>133.4</v>
      </c>
      <c r="D43" s="216" t="s">
        <v>331</v>
      </c>
    </row>
    <row r="44" spans="1:4" ht="15.75" thickBot="1" x14ac:dyDescent="0.3">
      <c r="A44" s="218" t="s">
        <v>749</v>
      </c>
      <c r="B44" s="216" t="s">
        <v>750</v>
      </c>
      <c r="C44" s="216">
        <v>115.4</v>
      </c>
      <c r="D44" s="216" t="s">
        <v>331</v>
      </c>
    </row>
    <row r="45" spans="1:4" ht="15.75" thickBot="1" x14ac:dyDescent="0.3">
      <c r="A45" s="218" t="s">
        <v>751</v>
      </c>
      <c r="B45" s="216" t="s">
        <v>752</v>
      </c>
      <c r="C45" s="216">
        <v>171.1</v>
      </c>
      <c r="D45" s="216" t="s">
        <v>233</v>
      </c>
    </row>
    <row r="46" spans="1:4" ht="15.75" thickBot="1" x14ac:dyDescent="0.3">
      <c r="A46" s="218" t="s">
        <v>753</v>
      </c>
      <c r="B46" s="216" t="s">
        <v>754</v>
      </c>
      <c r="C46" s="216">
        <v>102.1</v>
      </c>
      <c r="D46" s="216" t="s">
        <v>331</v>
      </c>
    </row>
    <row r="47" spans="1:4" ht="15.75" thickBot="1" x14ac:dyDescent="0.3">
      <c r="A47" s="218" t="s">
        <v>755</v>
      </c>
      <c r="B47" s="216" t="s">
        <v>756</v>
      </c>
      <c r="C47" s="216">
        <v>183</v>
      </c>
      <c r="D47" s="216" t="s">
        <v>233</v>
      </c>
    </row>
    <row r="48" spans="1:4" ht="15.75" thickBot="1" x14ac:dyDescent="0.3">
      <c r="A48" s="218" t="s">
        <v>757</v>
      </c>
      <c r="B48" s="216" t="s">
        <v>758</v>
      </c>
      <c r="C48" s="216">
        <v>124.2</v>
      </c>
      <c r="D48" s="216" t="s">
        <v>233</v>
      </c>
    </row>
    <row r="49" spans="1:4" ht="15.75" thickBot="1" x14ac:dyDescent="0.3">
      <c r="A49" s="218" t="s">
        <v>250</v>
      </c>
      <c r="B49" s="216" t="s">
        <v>759</v>
      </c>
      <c r="C49" s="216">
        <v>87.2</v>
      </c>
      <c r="D49" s="216" t="s">
        <v>331</v>
      </c>
    </row>
    <row r="50" spans="1:4" ht="15.75" thickBot="1" x14ac:dyDescent="0.3">
      <c r="A50" s="218" t="s">
        <v>760</v>
      </c>
      <c r="B50" s="216" t="s">
        <v>761</v>
      </c>
      <c r="C50" s="216">
        <v>154.69999999999999</v>
      </c>
      <c r="D50" s="216" t="s">
        <v>677</v>
      </c>
    </row>
    <row r="51" spans="1:4" ht="15.75" thickBot="1" x14ac:dyDescent="0.3">
      <c r="A51" s="218" t="s">
        <v>762</v>
      </c>
      <c r="B51" s="216" t="s">
        <v>763</v>
      </c>
      <c r="C51" s="216">
        <v>156.1</v>
      </c>
      <c r="D51" s="216" t="s">
        <v>677</v>
      </c>
    </row>
    <row r="52" spans="1:4" ht="15.75" thickBot="1" x14ac:dyDescent="0.3">
      <c r="A52" s="218" t="s">
        <v>764</v>
      </c>
      <c r="B52" s="216" t="s">
        <v>765</v>
      </c>
      <c r="C52" s="216">
        <v>95.2</v>
      </c>
      <c r="D52" s="216" t="s">
        <v>233</v>
      </c>
    </row>
    <row r="53" spans="1:4" ht="15.75" thickBot="1" x14ac:dyDescent="0.3">
      <c r="A53" s="218" t="s">
        <v>766</v>
      </c>
      <c r="B53" s="216" t="s">
        <v>767</v>
      </c>
      <c r="C53" s="216">
        <v>169.3</v>
      </c>
      <c r="D53" s="216" t="s">
        <v>233</v>
      </c>
    </row>
    <row r="54" spans="1:4" ht="15.75" thickBot="1" x14ac:dyDescent="0.3">
      <c r="A54" s="218" t="s">
        <v>768</v>
      </c>
      <c r="B54" s="216" t="s">
        <v>769</v>
      </c>
      <c r="C54" s="216">
        <v>177.5</v>
      </c>
      <c r="D54" s="216" t="s">
        <v>336</v>
      </c>
    </row>
    <row r="55" spans="1:4" ht="15.75" thickBot="1" x14ac:dyDescent="0.3">
      <c r="A55" s="218" t="s">
        <v>770</v>
      </c>
      <c r="B55" s="216" t="s">
        <v>771</v>
      </c>
      <c r="C55" s="216">
        <v>126.4</v>
      </c>
      <c r="D55" s="216" t="s">
        <v>233</v>
      </c>
    </row>
    <row r="56" spans="1:4" ht="15.75" customHeight="1" thickBot="1" x14ac:dyDescent="0.3">
      <c r="A56" s="219" t="s">
        <v>772</v>
      </c>
      <c r="B56" s="216" t="s">
        <v>773</v>
      </c>
      <c r="C56" s="216">
        <v>113.3</v>
      </c>
      <c r="D56" s="216" t="s">
        <v>233</v>
      </c>
    </row>
    <row r="57" spans="1:4" ht="15.75" thickBot="1" x14ac:dyDescent="0.3">
      <c r="A57" s="219" t="s">
        <v>774</v>
      </c>
      <c r="B57" s="216" t="s">
        <v>775</v>
      </c>
      <c r="C57" s="216">
        <v>146.69999999999999</v>
      </c>
      <c r="D57" s="216" t="s">
        <v>331</v>
      </c>
    </row>
    <row r="58" spans="1:4" ht="15.75" thickBot="1" x14ac:dyDescent="0.3">
      <c r="A58" s="219" t="s">
        <v>776</v>
      </c>
      <c r="B58" s="216" t="s">
        <v>777</v>
      </c>
      <c r="C58" s="216">
        <v>100.1</v>
      </c>
      <c r="D58" s="216" t="s">
        <v>331</v>
      </c>
    </row>
    <row r="59" spans="1:4" ht="15.75" thickBot="1" x14ac:dyDescent="0.3">
      <c r="A59" s="219" t="s">
        <v>778</v>
      </c>
      <c r="B59" s="216" t="s">
        <v>779</v>
      </c>
      <c r="C59" s="216">
        <v>145.80000000000001</v>
      </c>
      <c r="D59" s="216" t="s">
        <v>331</v>
      </c>
    </row>
    <row r="60" spans="1:4" ht="15.75" thickBot="1" x14ac:dyDescent="0.3">
      <c r="A60" s="219" t="s">
        <v>312</v>
      </c>
      <c r="B60" s="216" t="s">
        <v>780</v>
      </c>
      <c r="C60" s="216">
        <v>52.1</v>
      </c>
      <c r="D60" s="216" t="s">
        <v>331</v>
      </c>
    </row>
    <row r="61" spans="1:4" ht="15.75" thickBot="1" x14ac:dyDescent="0.3">
      <c r="A61" s="219" t="s">
        <v>781</v>
      </c>
      <c r="B61" s="216" t="s">
        <v>782</v>
      </c>
      <c r="C61" s="216">
        <v>84.7</v>
      </c>
      <c r="D61" s="216" t="s">
        <v>233</v>
      </c>
    </row>
    <row r="62" spans="1:4" ht="15.75" thickBot="1" x14ac:dyDescent="0.3">
      <c r="A62" s="219" t="s">
        <v>783</v>
      </c>
      <c r="B62" s="216" t="s">
        <v>784</v>
      </c>
      <c r="C62" s="216">
        <v>116.5</v>
      </c>
      <c r="D62" s="216" t="s">
        <v>677</v>
      </c>
    </row>
    <row r="63" spans="1:4" ht="15.75" thickBot="1" x14ac:dyDescent="0.3">
      <c r="A63" s="219" t="s">
        <v>785</v>
      </c>
      <c r="B63" s="216" t="s">
        <v>786</v>
      </c>
      <c r="C63" s="216">
        <v>147.4</v>
      </c>
      <c r="D63" s="216" t="s">
        <v>233</v>
      </c>
    </row>
    <row r="64" spans="1:4" ht="15.75" thickBot="1" x14ac:dyDescent="0.3">
      <c r="A64" s="219" t="s">
        <v>787</v>
      </c>
      <c r="B64" s="216" t="s">
        <v>788</v>
      </c>
      <c r="C64" s="216">
        <v>88.2</v>
      </c>
      <c r="D64" s="216" t="s">
        <v>336</v>
      </c>
    </row>
    <row r="65" spans="1:4" ht="15.75" thickBot="1" x14ac:dyDescent="0.3">
      <c r="A65" s="219" t="s">
        <v>789</v>
      </c>
      <c r="B65" s="216" t="s">
        <v>790</v>
      </c>
      <c r="C65" s="216">
        <v>131.6</v>
      </c>
      <c r="D65" s="216" t="s">
        <v>233</v>
      </c>
    </row>
    <row r="66" spans="1:4" ht="15.75" thickBot="1" x14ac:dyDescent="0.3">
      <c r="A66" s="219" t="s">
        <v>791</v>
      </c>
      <c r="B66" s="216" t="s">
        <v>792</v>
      </c>
      <c r="C66" s="216">
        <v>85.8</v>
      </c>
      <c r="D66" s="216" t="s">
        <v>331</v>
      </c>
    </row>
    <row r="67" spans="1:4" ht="15.75" thickBot="1" x14ac:dyDescent="0.3">
      <c r="A67" s="219" t="s">
        <v>258</v>
      </c>
      <c r="B67" s="216" t="s">
        <v>793</v>
      </c>
      <c r="C67" s="216">
        <v>32.700000000000003</v>
      </c>
      <c r="D67" s="216" t="s">
        <v>233</v>
      </c>
    </row>
    <row r="68" spans="1:4" ht="15.75" thickBot="1" x14ac:dyDescent="0.3">
      <c r="A68" s="219" t="s">
        <v>794</v>
      </c>
      <c r="B68" s="216" t="s">
        <v>795</v>
      </c>
      <c r="C68" s="216">
        <v>131.1</v>
      </c>
      <c r="D68" s="216" t="s">
        <v>331</v>
      </c>
    </row>
    <row r="69" spans="1:4" ht="15.75" thickBot="1" x14ac:dyDescent="0.3">
      <c r="A69" s="219" t="s">
        <v>796</v>
      </c>
      <c r="B69" s="216" t="s">
        <v>797</v>
      </c>
      <c r="C69" s="216">
        <v>73.3</v>
      </c>
      <c r="D69" s="216" t="s">
        <v>233</v>
      </c>
    </row>
    <row r="70" spans="1:4" ht="15.75" thickBot="1" x14ac:dyDescent="0.3">
      <c r="A70" s="219" t="s">
        <v>798</v>
      </c>
      <c r="B70" s="216" t="s">
        <v>799</v>
      </c>
      <c r="C70" s="216">
        <v>148.30000000000001</v>
      </c>
      <c r="D70" s="216" t="s">
        <v>800</v>
      </c>
    </row>
    <row r="71" spans="1:4" ht="15.75" thickBot="1" x14ac:dyDescent="0.3">
      <c r="A71" s="219" t="s">
        <v>801</v>
      </c>
      <c r="B71" s="216" t="s">
        <v>802</v>
      </c>
      <c r="C71" s="216">
        <v>102</v>
      </c>
      <c r="D71" s="216" t="s">
        <v>233</v>
      </c>
    </row>
    <row r="72" spans="1:4" ht="15.75" thickBot="1" x14ac:dyDescent="0.3">
      <c r="A72" s="219" t="s">
        <v>803</v>
      </c>
      <c r="B72" s="216" t="s">
        <v>804</v>
      </c>
      <c r="C72" s="216">
        <v>161</v>
      </c>
      <c r="D72" s="216" t="s">
        <v>233</v>
      </c>
    </row>
    <row r="73" spans="1:4" ht="15.75" thickBot="1" x14ac:dyDescent="0.3">
      <c r="A73" s="219" t="s">
        <v>805</v>
      </c>
      <c r="B73" s="216" t="s">
        <v>806</v>
      </c>
      <c r="C73" s="216">
        <v>150.6</v>
      </c>
      <c r="D73" s="216" t="s">
        <v>233</v>
      </c>
    </row>
    <row r="74" spans="1:4" ht="15.75" thickBot="1" x14ac:dyDescent="0.3">
      <c r="A74" s="219" t="s">
        <v>238</v>
      </c>
      <c r="B74" s="216" t="s">
        <v>807</v>
      </c>
      <c r="C74" s="216">
        <v>179.6</v>
      </c>
      <c r="D74" s="216" t="s">
        <v>336</v>
      </c>
    </row>
    <row r="75" spans="1:4" ht="15.75" thickBot="1" x14ac:dyDescent="0.3">
      <c r="A75" s="219" t="s">
        <v>236</v>
      </c>
      <c r="B75" s="216" t="s">
        <v>808</v>
      </c>
      <c r="C75" s="216">
        <v>107.2</v>
      </c>
      <c r="D75" s="216" t="s">
        <v>233</v>
      </c>
    </row>
    <row r="76" spans="1:4" ht="15.75" thickBot="1" x14ac:dyDescent="0.3">
      <c r="A76" s="219" t="s">
        <v>809</v>
      </c>
      <c r="B76" s="216" t="s">
        <v>810</v>
      </c>
      <c r="C76" s="216">
        <v>78</v>
      </c>
      <c r="D76" s="216" t="s">
        <v>331</v>
      </c>
    </row>
    <row r="77" spans="1:4" ht="15.75" thickBot="1" x14ac:dyDescent="0.3">
      <c r="A77" s="219" t="s">
        <v>811</v>
      </c>
      <c r="B77" s="216" t="s">
        <v>812</v>
      </c>
      <c r="C77" s="216">
        <v>92.4</v>
      </c>
      <c r="D77" s="216" t="s">
        <v>336</v>
      </c>
    </row>
    <row r="78" spans="1:4" ht="15.75" thickBot="1" x14ac:dyDescent="0.3">
      <c r="A78" s="219" t="s">
        <v>813</v>
      </c>
      <c r="B78" s="216" t="s">
        <v>814</v>
      </c>
      <c r="C78" s="216">
        <v>83.1</v>
      </c>
      <c r="D78" s="216" t="s">
        <v>331</v>
      </c>
    </row>
    <row r="79" spans="1:4" ht="15.75" thickBot="1" x14ac:dyDescent="0.3">
      <c r="A79" s="219" t="s">
        <v>815</v>
      </c>
      <c r="B79" s="216" t="s">
        <v>816</v>
      </c>
      <c r="C79" s="216">
        <v>141.19999999999999</v>
      </c>
      <c r="D79" s="216" t="s">
        <v>331</v>
      </c>
    </row>
    <row r="80" spans="1:4" ht="15.75" thickBot="1" x14ac:dyDescent="0.3">
      <c r="A80" s="219" t="s">
        <v>817</v>
      </c>
      <c r="B80" s="216" t="s">
        <v>818</v>
      </c>
      <c r="C80" s="216">
        <v>176.2</v>
      </c>
      <c r="D80" s="216" t="s">
        <v>233</v>
      </c>
    </row>
    <row r="81" spans="1:4" ht="15.75" thickBot="1" x14ac:dyDescent="0.3">
      <c r="A81" s="219" t="s">
        <v>819</v>
      </c>
      <c r="B81" s="216" t="s">
        <v>820</v>
      </c>
      <c r="C81" s="216">
        <v>117.3</v>
      </c>
      <c r="D81" s="216" t="s">
        <v>331</v>
      </c>
    </row>
    <row r="82" spans="1:4" ht="15.75" thickBot="1" x14ac:dyDescent="0.3">
      <c r="A82" s="219" t="s">
        <v>821</v>
      </c>
      <c r="B82" s="216" t="s">
        <v>822</v>
      </c>
      <c r="C82" s="216">
        <v>152.69999999999999</v>
      </c>
      <c r="D82" s="216" t="s">
        <v>233</v>
      </c>
    </row>
    <row r="83" spans="1:4" ht="15.75" thickBot="1" x14ac:dyDescent="0.3">
      <c r="A83" s="219" t="s">
        <v>823</v>
      </c>
      <c r="B83" s="216" t="s">
        <v>824</v>
      </c>
      <c r="C83" s="216">
        <v>63.6</v>
      </c>
      <c r="D83" s="216" t="s">
        <v>336</v>
      </c>
    </row>
    <row r="84" spans="1:4" ht="15.75" thickBot="1" x14ac:dyDescent="0.3">
      <c r="A84" s="219" t="s">
        <v>825</v>
      </c>
      <c r="B84" s="216" t="s">
        <v>826</v>
      </c>
      <c r="C84" s="216">
        <v>50</v>
      </c>
      <c r="D84" s="216" t="s">
        <v>800</v>
      </c>
    </row>
    <row r="85" spans="1:4" ht="15.75" thickBot="1" x14ac:dyDescent="0.3">
      <c r="A85" s="219" t="s">
        <v>827</v>
      </c>
      <c r="B85" s="216" t="s">
        <v>828</v>
      </c>
      <c r="C85" s="216">
        <v>42.6</v>
      </c>
      <c r="D85" s="216" t="s">
        <v>233</v>
      </c>
    </row>
    <row r="86" spans="1:4" ht="15.75" thickBot="1" x14ac:dyDescent="0.3">
      <c r="A86" s="219" t="s">
        <v>829</v>
      </c>
      <c r="B86" s="216" t="s">
        <v>830</v>
      </c>
      <c r="C86" s="216">
        <v>50.1</v>
      </c>
      <c r="D86" s="216" t="s">
        <v>336</v>
      </c>
    </row>
    <row r="87" spans="1:4" ht="15.75" thickBot="1" x14ac:dyDescent="0.3">
      <c r="A87" s="219" t="s">
        <v>831</v>
      </c>
      <c r="B87" s="216" t="s">
        <v>832</v>
      </c>
      <c r="C87" s="216">
        <v>43.9</v>
      </c>
      <c r="D87" s="216" t="s">
        <v>336</v>
      </c>
    </row>
    <row r="88" spans="1:4" ht="15.75" thickBot="1" x14ac:dyDescent="0.3">
      <c r="A88" s="219" t="s">
        <v>833</v>
      </c>
      <c r="B88" s="216" t="s">
        <v>834</v>
      </c>
      <c r="C88" s="216">
        <v>73</v>
      </c>
      <c r="D88" s="216" t="s">
        <v>800</v>
      </c>
    </row>
    <row r="89" spans="1:4" ht="15.75" thickBot="1" x14ac:dyDescent="0.3">
      <c r="A89" s="219" t="s">
        <v>243</v>
      </c>
      <c r="B89" s="216" t="s">
        <v>835</v>
      </c>
      <c r="C89" s="216">
        <v>168.4</v>
      </c>
      <c r="D89" s="216" t="s">
        <v>331</v>
      </c>
    </row>
    <row r="90" spans="1:4" ht="15.75" thickBot="1" x14ac:dyDescent="0.3">
      <c r="A90" s="219" t="s">
        <v>836</v>
      </c>
      <c r="B90" s="216" t="s">
        <v>837</v>
      </c>
      <c r="C90" s="216">
        <v>130.9</v>
      </c>
      <c r="D90" s="216" t="s">
        <v>677</v>
      </c>
    </row>
    <row r="91" spans="1:4" ht="15.75" thickBot="1" x14ac:dyDescent="0.3">
      <c r="A91" s="219" t="s">
        <v>838</v>
      </c>
      <c r="B91" s="216" t="s">
        <v>839</v>
      </c>
      <c r="C91" s="216">
        <v>118.7</v>
      </c>
      <c r="D91" s="216" t="s">
        <v>331</v>
      </c>
    </row>
    <row r="92" spans="1:4" ht="15.75" thickBot="1" x14ac:dyDescent="0.3">
      <c r="A92" s="219" t="s">
        <v>840</v>
      </c>
      <c r="B92" s="216" t="s">
        <v>841</v>
      </c>
      <c r="C92" s="216">
        <v>110.8</v>
      </c>
      <c r="D92" s="216" t="s">
        <v>331</v>
      </c>
    </row>
    <row r="93" spans="1:4" ht="15.75" thickBot="1" x14ac:dyDescent="0.3">
      <c r="A93" s="219" t="s">
        <v>842</v>
      </c>
      <c r="B93" s="216" t="s">
        <v>843</v>
      </c>
      <c r="C93" s="216">
        <v>85.1</v>
      </c>
      <c r="D93" s="216" t="s">
        <v>800</v>
      </c>
    </row>
    <row r="94" spans="1:4" ht="15.75" thickBot="1" x14ac:dyDescent="0.3">
      <c r="A94" s="219" t="s">
        <v>844</v>
      </c>
      <c r="B94" s="216" t="s">
        <v>845</v>
      </c>
      <c r="C94" s="216">
        <v>96.6</v>
      </c>
      <c r="D94" s="216" t="s">
        <v>336</v>
      </c>
    </row>
    <row r="95" spans="1:4" ht="15.75" thickBot="1" x14ac:dyDescent="0.3">
      <c r="A95" s="219" t="s">
        <v>846</v>
      </c>
      <c r="B95" s="216" t="s">
        <v>847</v>
      </c>
      <c r="C95" s="216">
        <v>103.4</v>
      </c>
      <c r="D95" s="216" t="s">
        <v>800</v>
      </c>
    </row>
    <row r="96" spans="1:4" ht="15.75" thickBot="1" x14ac:dyDescent="0.3">
      <c r="A96" s="219" t="s">
        <v>848</v>
      </c>
      <c r="B96" s="216" t="s">
        <v>562</v>
      </c>
      <c r="C96" s="216">
        <v>148.4</v>
      </c>
      <c r="D96" s="216" t="s">
        <v>677</v>
      </c>
    </row>
    <row r="97" spans="1:4" ht="15.75" thickBot="1" x14ac:dyDescent="0.3">
      <c r="A97" s="219" t="s">
        <v>849</v>
      </c>
      <c r="B97" s="216" t="s">
        <v>850</v>
      </c>
      <c r="C97" s="216">
        <v>102.8</v>
      </c>
      <c r="D97" s="216" t="s">
        <v>331</v>
      </c>
    </row>
    <row r="98" spans="1:4" ht="15.75" thickBot="1" x14ac:dyDescent="0.3">
      <c r="A98" s="219" t="s">
        <v>854</v>
      </c>
      <c r="B98" s="216" t="s">
        <v>855</v>
      </c>
      <c r="C98" s="216">
        <v>131.4</v>
      </c>
      <c r="D98" s="216" t="s">
        <v>331</v>
      </c>
    </row>
    <row r="99" spans="1:4" ht="15.75" thickBot="1" x14ac:dyDescent="0.3">
      <c r="A99" s="219" t="s">
        <v>856</v>
      </c>
      <c r="B99" s="216" t="s">
        <v>857</v>
      </c>
      <c r="C99" s="216">
        <v>117.1</v>
      </c>
      <c r="D99" s="216" t="s">
        <v>233</v>
      </c>
    </row>
    <row r="100" spans="1:4" ht="15.75" thickBot="1" x14ac:dyDescent="0.3">
      <c r="A100" s="219" t="s">
        <v>858</v>
      </c>
      <c r="B100" s="216" t="s">
        <v>859</v>
      </c>
      <c r="C100" s="216">
        <v>173.3</v>
      </c>
      <c r="D100" s="216" t="s">
        <v>331</v>
      </c>
    </row>
    <row r="101" spans="1:4" ht="15.75" thickBot="1" x14ac:dyDescent="0.3">
      <c r="A101" s="219" t="s">
        <v>860</v>
      </c>
      <c r="B101" s="216" t="s">
        <v>861</v>
      </c>
      <c r="C101" s="216">
        <v>71</v>
      </c>
      <c r="D101" s="216" t="s">
        <v>800</v>
      </c>
    </row>
    <row r="102" spans="1:4" ht="15.75" thickBot="1" x14ac:dyDescent="0.3">
      <c r="A102" s="219" t="s">
        <v>862</v>
      </c>
      <c r="B102" s="216" t="s">
        <v>863</v>
      </c>
      <c r="C102" s="216">
        <v>145</v>
      </c>
      <c r="D102" s="216" t="s">
        <v>331</v>
      </c>
    </row>
    <row r="103" spans="1:4" ht="15.75" thickBot="1" x14ac:dyDescent="0.3">
      <c r="A103" s="219" t="s">
        <v>864</v>
      </c>
      <c r="B103" s="216" t="s">
        <v>865</v>
      </c>
      <c r="C103" s="216">
        <v>153.19999999999999</v>
      </c>
      <c r="D103" s="216" t="s">
        <v>331</v>
      </c>
    </row>
    <row r="104" spans="1:4" ht="15.75" thickBot="1" x14ac:dyDescent="0.3">
      <c r="A104" s="219" t="s">
        <v>866</v>
      </c>
      <c r="B104" s="216" t="s">
        <v>867</v>
      </c>
      <c r="C104" s="216">
        <v>84.8</v>
      </c>
      <c r="D104" s="216" t="s">
        <v>331</v>
      </c>
    </row>
  </sheetData>
  <sheetProtection sheet="1"/>
  <mergeCells count="2">
    <mergeCell ref="A3:B3"/>
    <mergeCell ref="A1:D1"/>
  </mergeCells>
  <phoneticPr fontId="0" type="noConversion"/>
  <pageMargins left="1.26" right="0.7" top="0.75" bottom="0.75" header="0.3" footer="0.3"/>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indexed="53"/>
    <pageSetUpPr fitToPage="1"/>
  </sheetPr>
  <dimension ref="A1:P25"/>
  <sheetViews>
    <sheetView topLeftCell="D1" workbookViewId="0">
      <selection activeCell="D6" sqref="D6"/>
    </sheetView>
  </sheetViews>
  <sheetFormatPr baseColWidth="10" defaultRowHeight="15" x14ac:dyDescent="0.25"/>
  <cols>
    <col min="1" max="1" width="9.85546875" style="2" hidden="1" customWidth="1"/>
    <col min="2" max="2" width="12" style="2" hidden="1" customWidth="1"/>
    <col min="3" max="3" width="12.42578125" style="2" hidden="1" customWidth="1"/>
    <col min="4" max="4" width="18.140625" customWidth="1"/>
    <col min="5" max="5" width="11.85546875" bestFit="1" customWidth="1"/>
  </cols>
  <sheetData>
    <row r="1" spans="1:16" s="61" customFormat="1" ht="21" x14ac:dyDescent="0.35">
      <c r="D1" s="892" t="s">
        <v>433</v>
      </c>
      <c r="E1" s="892"/>
      <c r="F1" s="892"/>
    </row>
    <row r="2" spans="1:16" x14ac:dyDescent="0.25">
      <c r="D2" s="494" t="str">
        <f>+Pasos!A3</f>
        <v>Planilla complementaria al Manual de diseño y construcción de pequeñas presas, Versión 1.04, del 01/04/2013</v>
      </c>
    </row>
    <row r="3" spans="1:16" ht="15.75" thickBot="1" x14ac:dyDescent="0.3"/>
    <row r="4" spans="1:16" ht="15.75" customHeight="1" thickBot="1" x14ac:dyDescent="0.3">
      <c r="A4" s="936" t="s">
        <v>952</v>
      </c>
      <c r="B4" s="934" t="s">
        <v>953</v>
      </c>
      <c r="C4" s="935"/>
      <c r="D4" s="938" t="s">
        <v>315</v>
      </c>
      <c r="E4" s="931" t="s">
        <v>373</v>
      </c>
      <c r="F4" s="932"/>
      <c r="G4" s="932"/>
      <c r="H4" s="932"/>
      <c r="I4" s="932"/>
      <c r="J4" s="932"/>
      <c r="K4" s="932"/>
      <c r="L4" s="932"/>
      <c r="M4" s="932"/>
      <c r="N4" s="932"/>
      <c r="O4" s="932"/>
      <c r="P4" s="933"/>
    </row>
    <row r="5" spans="1:16" ht="15.75" thickBot="1" x14ac:dyDescent="0.3">
      <c r="A5" s="937"/>
      <c r="B5" s="39" t="s">
        <v>199</v>
      </c>
      <c r="C5" s="39" t="s">
        <v>308</v>
      </c>
      <c r="D5" s="939"/>
      <c r="E5" s="39" t="s">
        <v>164</v>
      </c>
      <c r="F5" s="39" t="s">
        <v>165</v>
      </c>
      <c r="G5" s="39" t="s">
        <v>166</v>
      </c>
      <c r="H5" s="39" t="s">
        <v>167</v>
      </c>
      <c r="I5" s="39" t="s">
        <v>168</v>
      </c>
      <c r="J5" s="39" t="s">
        <v>169</v>
      </c>
      <c r="K5" s="39" t="s">
        <v>170</v>
      </c>
      <c r="L5" s="39" t="s">
        <v>171</v>
      </c>
      <c r="M5" s="39" t="s">
        <v>172</v>
      </c>
      <c r="N5" s="39" t="s">
        <v>173</v>
      </c>
      <c r="O5" s="39" t="s">
        <v>174</v>
      </c>
      <c r="P5" s="39" t="s">
        <v>175</v>
      </c>
    </row>
    <row r="6" spans="1:16" ht="15.75" thickBot="1" x14ac:dyDescent="0.3">
      <c r="A6" s="440">
        <f>+SQRT((B6-'Ingreso Datos'!$J$5)^2+(C6-'Ingreso Datos'!$J$6)^2)/1000</f>
        <v>50.345255079302156</v>
      </c>
      <c r="B6" s="439">
        <v>431803</v>
      </c>
      <c r="C6" s="439">
        <v>6637780</v>
      </c>
      <c r="D6" s="483" t="s">
        <v>316</v>
      </c>
      <c r="E6" s="15">
        <v>252.7</v>
      </c>
      <c r="F6" s="15">
        <v>188.2</v>
      </c>
      <c r="G6" s="15">
        <v>169.5</v>
      </c>
      <c r="H6" s="15">
        <v>104.5</v>
      </c>
      <c r="I6" s="15">
        <v>73.2</v>
      </c>
      <c r="J6" s="15">
        <v>58.6</v>
      </c>
      <c r="K6" s="15">
        <v>72.599999999999994</v>
      </c>
      <c r="L6" s="15">
        <v>103.5</v>
      </c>
      <c r="M6" s="15">
        <v>122.7</v>
      </c>
      <c r="N6" s="15">
        <v>164.1</v>
      </c>
      <c r="O6" s="15">
        <v>205.8</v>
      </c>
      <c r="P6" s="15">
        <v>256.60000000000002</v>
      </c>
    </row>
    <row r="7" spans="1:16" ht="15.75" thickBot="1" x14ac:dyDescent="0.3">
      <c r="A7" s="440">
        <f>+SQRT((B7-'Ingreso Datos'!$J$5)^2+(C7-'Ingreso Datos'!$J$6)^2)/1000</f>
        <v>142.66664816978073</v>
      </c>
      <c r="B7" s="439">
        <v>323000</v>
      </c>
      <c r="C7" s="439">
        <v>6650000</v>
      </c>
      <c r="D7" s="483" t="s">
        <v>317</v>
      </c>
      <c r="E7" s="15">
        <v>245</v>
      </c>
      <c r="F7" s="15">
        <v>177.6</v>
      </c>
      <c r="G7" s="15">
        <v>156.4</v>
      </c>
      <c r="H7" s="15">
        <v>104.9</v>
      </c>
      <c r="I7" s="15">
        <v>72.5</v>
      </c>
      <c r="J7" s="15">
        <v>56.3</v>
      </c>
      <c r="K7" s="15">
        <v>69</v>
      </c>
      <c r="L7" s="15">
        <v>101</v>
      </c>
      <c r="M7" s="15">
        <v>131.6</v>
      </c>
      <c r="N7" s="15">
        <v>169.6</v>
      </c>
      <c r="O7" s="15">
        <v>204.4</v>
      </c>
      <c r="P7" s="15">
        <v>233.3</v>
      </c>
    </row>
    <row r="8" spans="1:16" ht="15.75" thickBot="1" x14ac:dyDescent="0.3">
      <c r="A8" s="440">
        <f>+SQRT((B8-'Ingreso Datos'!$J$5)^2+(C8-'Ingreso Datos'!$J$6)^2)/1000</f>
        <v>421.68278658252103</v>
      </c>
      <c r="B8" s="439">
        <v>420000</v>
      </c>
      <c r="C8" s="439">
        <v>6172000</v>
      </c>
      <c r="D8" s="483" t="s">
        <v>371</v>
      </c>
      <c r="E8" s="15">
        <v>212.4</v>
      </c>
      <c r="F8" s="15">
        <v>160.4</v>
      </c>
      <c r="G8" s="15">
        <v>140</v>
      </c>
      <c r="H8" s="15">
        <v>86.5</v>
      </c>
      <c r="I8" s="15">
        <v>57.9</v>
      </c>
      <c r="J8" s="15">
        <v>38.799999999999997</v>
      </c>
      <c r="K8" s="15">
        <v>41.9</v>
      </c>
      <c r="L8" s="15">
        <v>60.3</v>
      </c>
      <c r="M8" s="15">
        <v>83.4</v>
      </c>
      <c r="N8" s="15">
        <v>125.1</v>
      </c>
      <c r="O8" s="15">
        <v>154</v>
      </c>
      <c r="P8" s="15">
        <v>196.5</v>
      </c>
    </row>
    <row r="9" spans="1:16" ht="15.75" thickBot="1" x14ac:dyDescent="0.3">
      <c r="A9" s="440">
        <f>+SQRT((B9-'Ingreso Datos'!$J$5)^2+(C9-'Ingreso Datos'!$J$6)^2)/1000</f>
        <v>318.8114035742762</v>
      </c>
      <c r="B9" s="439">
        <v>288625</v>
      </c>
      <c r="C9" s="439">
        <v>6319482</v>
      </c>
      <c r="D9" s="483" t="s">
        <v>318</v>
      </c>
      <c r="E9" s="15">
        <v>257</v>
      </c>
      <c r="F9" s="15">
        <v>199.9</v>
      </c>
      <c r="G9" s="15">
        <v>176.3</v>
      </c>
      <c r="H9" s="15">
        <v>112.2</v>
      </c>
      <c r="I9" s="15">
        <v>75.599999999999994</v>
      </c>
      <c r="J9" s="15">
        <v>55.3</v>
      </c>
      <c r="K9" s="15">
        <v>62.9</v>
      </c>
      <c r="L9" s="15">
        <v>92.4</v>
      </c>
      <c r="M9" s="15">
        <v>121.5</v>
      </c>
      <c r="N9" s="15">
        <v>164.6</v>
      </c>
      <c r="O9" s="15">
        <v>204.4</v>
      </c>
      <c r="P9" s="15">
        <v>244.6</v>
      </c>
    </row>
    <row r="10" spans="1:16" ht="15.75" thickBot="1" x14ac:dyDescent="0.3">
      <c r="A10" s="440">
        <f>+SQRT((B10-'Ingreso Datos'!$J$5)^2+(C10-'Ingreso Datos'!$J$6)^2)/1000</f>
        <v>263.24780120639184</v>
      </c>
      <c r="B10" s="439">
        <v>651186</v>
      </c>
      <c r="C10" s="439">
        <v>6418512</v>
      </c>
      <c r="D10" s="483" t="s">
        <v>319</v>
      </c>
      <c r="E10" s="15">
        <v>225.4</v>
      </c>
      <c r="F10" s="15">
        <v>173.6</v>
      </c>
      <c r="G10" s="15">
        <v>157</v>
      </c>
      <c r="H10" s="15">
        <v>103.4</v>
      </c>
      <c r="I10" s="15">
        <v>66.8</v>
      </c>
      <c r="J10" s="15">
        <v>52.1</v>
      </c>
      <c r="K10" s="15">
        <v>58.6</v>
      </c>
      <c r="L10" s="15">
        <v>81.099999999999994</v>
      </c>
      <c r="M10" s="15">
        <v>105.4</v>
      </c>
      <c r="N10" s="15">
        <v>145.6</v>
      </c>
      <c r="O10" s="15">
        <v>176.7</v>
      </c>
      <c r="P10" s="15">
        <v>221.2</v>
      </c>
    </row>
    <row r="11" spans="1:16" ht="15.75" thickBot="1" x14ac:dyDescent="0.3">
      <c r="A11" s="440">
        <f>+SQRT((B11-'Ingreso Datos'!$J$5)^2+(C11-'Ingreso Datos'!$J$6)^2)/1000</f>
        <v>238.23569334799521</v>
      </c>
      <c r="B11" s="439">
        <v>289464</v>
      </c>
      <c r="C11" s="439">
        <v>6419583</v>
      </c>
      <c r="D11" s="483" t="s">
        <v>320</v>
      </c>
      <c r="E11" s="15">
        <v>264.7</v>
      </c>
      <c r="F11" s="15">
        <v>202.8</v>
      </c>
      <c r="G11" s="15">
        <v>182</v>
      </c>
      <c r="H11" s="15">
        <v>118.4</v>
      </c>
      <c r="I11" s="15">
        <v>82.7</v>
      </c>
      <c r="J11" s="15">
        <v>59.8</v>
      </c>
      <c r="K11" s="15">
        <v>71.599999999999994</v>
      </c>
      <c r="L11" s="15">
        <v>104.4</v>
      </c>
      <c r="M11" s="15">
        <v>128.69999999999999</v>
      </c>
      <c r="N11" s="15">
        <v>172.1</v>
      </c>
      <c r="O11" s="15">
        <v>212.4</v>
      </c>
      <c r="P11" s="15">
        <v>249.5</v>
      </c>
    </row>
    <row r="12" spans="1:16" ht="15.75" thickBot="1" x14ac:dyDescent="0.3">
      <c r="A12" s="440">
        <f>+SQRT((B12-'Ingreso Datos'!$J$5)^2+(C12-'Ingreso Datos'!$J$6)^2)/1000</f>
        <v>221.49576181046893</v>
      </c>
      <c r="B12" s="439">
        <v>431000</v>
      </c>
      <c r="C12" s="439">
        <v>6372000</v>
      </c>
      <c r="D12" s="483" t="s">
        <v>321</v>
      </c>
      <c r="E12" s="15">
        <v>265.3</v>
      </c>
      <c r="F12" s="15">
        <v>202.1</v>
      </c>
      <c r="G12" s="15">
        <v>180.3</v>
      </c>
      <c r="H12" s="15">
        <v>108.8</v>
      </c>
      <c r="I12" s="15">
        <v>79.3</v>
      </c>
      <c r="J12" s="15">
        <v>55.8</v>
      </c>
      <c r="K12" s="15">
        <v>66.2</v>
      </c>
      <c r="L12" s="15">
        <v>90</v>
      </c>
      <c r="M12" s="15">
        <v>119.5</v>
      </c>
      <c r="N12" s="15">
        <v>167.8</v>
      </c>
      <c r="O12" s="15">
        <v>213.1</v>
      </c>
      <c r="P12" s="15">
        <v>254.8</v>
      </c>
    </row>
    <row r="13" spans="1:16" ht="15.75" thickBot="1" x14ac:dyDescent="0.3">
      <c r="A13" s="440">
        <f>+SQRT((B13-'Ingreso Datos'!$J$5)^2+(C13-'Ingreso Datos'!$J$6)^2)/1000</f>
        <v>449.53010731318096</v>
      </c>
      <c r="B13" s="439">
        <v>462795</v>
      </c>
      <c r="C13" s="439">
        <v>6142916</v>
      </c>
      <c r="D13" s="483" t="s">
        <v>372</v>
      </c>
      <c r="E13" s="15">
        <v>202.1</v>
      </c>
      <c r="F13" s="15">
        <v>160.19999999999999</v>
      </c>
      <c r="G13" s="15">
        <v>134.5</v>
      </c>
      <c r="H13" s="15">
        <v>88.9</v>
      </c>
      <c r="I13" s="15">
        <v>62.1</v>
      </c>
      <c r="J13" s="15">
        <v>45.3</v>
      </c>
      <c r="K13" s="15">
        <v>45.8</v>
      </c>
      <c r="L13" s="15">
        <v>65.2</v>
      </c>
      <c r="M13" s="15">
        <v>91.1</v>
      </c>
      <c r="N13" s="15">
        <v>129.1</v>
      </c>
      <c r="O13" s="15">
        <v>160.80000000000001</v>
      </c>
      <c r="P13" s="15">
        <v>192.7</v>
      </c>
    </row>
    <row r="14" spans="1:16" ht="15.75" thickBot="1" x14ac:dyDescent="0.3">
      <c r="A14" s="440">
        <f>+SQRT((B14-'Ingreso Datos'!$J$5)^2+(C14-'Ingreso Datos'!$J$6)^2)/1000</f>
        <v>448.60388224468142</v>
      </c>
      <c r="B14" s="439">
        <v>636721</v>
      </c>
      <c r="C14" s="439">
        <v>6182868</v>
      </c>
      <c r="D14" s="483" t="s">
        <v>322</v>
      </c>
      <c r="E14" s="15">
        <v>208.3</v>
      </c>
      <c r="F14" s="15">
        <v>162.1</v>
      </c>
      <c r="G14" s="15">
        <v>138.69999999999999</v>
      </c>
      <c r="H14" s="15">
        <v>93.3</v>
      </c>
      <c r="I14" s="15">
        <v>63.4</v>
      </c>
      <c r="J14" s="15">
        <v>50.4</v>
      </c>
      <c r="K14" s="15">
        <v>54.8</v>
      </c>
      <c r="L14" s="15">
        <v>72.2</v>
      </c>
      <c r="M14" s="15">
        <v>94.8</v>
      </c>
      <c r="N14" s="15">
        <v>130.5</v>
      </c>
      <c r="O14" s="15">
        <v>160.5</v>
      </c>
      <c r="P14" s="15">
        <v>192.9</v>
      </c>
    </row>
    <row r="15" spans="1:16" ht="15.75" thickBot="1" x14ac:dyDescent="0.3">
      <c r="A15" s="440">
        <f>+SQRT((B15-'Ingreso Datos'!$J$5)^2+(C15-'Ingreso Datos'!$J$6)^2)/1000</f>
        <v>176.08332055308361</v>
      </c>
      <c r="B15" s="439">
        <v>292429</v>
      </c>
      <c r="C15" s="439">
        <v>6521206</v>
      </c>
      <c r="D15" s="483" t="s">
        <v>323</v>
      </c>
      <c r="E15" s="15">
        <v>237</v>
      </c>
      <c r="F15" s="15">
        <v>179.4</v>
      </c>
      <c r="G15" s="15">
        <v>161.19999999999999</v>
      </c>
      <c r="H15" s="15">
        <v>102.6</v>
      </c>
      <c r="I15" s="15">
        <v>71.5</v>
      </c>
      <c r="J15" s="15">
        <v>51.3</v>
      </c>
      <c r="K15" s="15">
        <v>61.7</v>
      </c>
      <c r="L15" s="15">
        <v>87.8</v>
      </c>
      <c r="M15" s="15">
        <v>115.7</v>
      </c>
      <c r="N15" s="15">
        <v>159.4</v>
      </c>
      <c r="O15" s="15">
        <v>199.7</v>
      </c>
      <c r="P15" s="15">
        <v>229.3</v>
      </c>
    </row>
    <row r="16" spans="1:16" ht="15.75" thickBot="1" x14ac:dyDescent="0.3">
      <c r="A16" s="440">
        <f>+SQRT((B16-'Ingreso Datos'!$J$5)^2+(C16-'Ingreso Datos'!$J$6)^2)/1000</f>
        <v>103.95471414034094</v>
      </c>
      <c r="B16" s="439">
        <v>481844</v>
      </c>
      <c r="C16" s="439">
        <v>6492334</v>
      </c>
      <c r="D16" s="483" t="s">
        <v>324</v>
      </c>
      <c r="E16" s="15">
        <v>256.10000000000002</v>
      </c>
      <c r="F16" s="15">
        <v>186.7</v>
      </c>
      <c r="G16" s="15">
        <v>176.4</v>
      </c>
      <c r="H16" s="15">
        <v>111</v>
      </c>
      <c r="I16" s="15">
        <v>76.3</v>
      </c>
      <c r="J16" s="15">
        <v>58.9</v>
      </c>
      <c r="K16" s="15">
        <v>73.400000000000006</v>
      </c>
      <c r="L16" s="15">
        <v>93.5</v>
      </c>
      <c r="M16" s="15">
        <v>116.5</v>
      </c>
      <c r="N16" s="15">
        <v>163.4</v>
      </c>
      <c r="O16" s="15">
        <v>202.8</v>
      </c>
      <c r="P16" s="15">
        <v>247.6</v>
      </c>
    </row>
    <row r="17" spans="1:16" ht="15.75" thickBot="1" x14ac:dyDescent="0.3">
      <c r="A17" s="440">
        <f>+SQRT((B17-'Ingreso Datos'!$J$5)^2+(C17-'Ingreso Datos'!$J$6)^2)/1000</f>
        <v>322.03013623572559</v>
      </c>
      <c r="B17" s="439">
        <v>631612</v>
      </c>
      <c r="C17" s="439">
        <v>6324060</v>
      </c>
      <c r="D17" s="483" t="s">
        <v>325</v>
      </c>
      <c r="E17" s="15">
        <v>234.9</v>
      </c>
      <c r="F17" s="15">
        <v>179.6</v>
      </c>
      <c r="G17" s="15">
        <v>162.1</v>
      </c>
      <c r="H17" s="15">
        <v>103.1</v>
      </c>
      <c r="I17" s="15">
        <v>71.8</v>
      </c>
      <c r="J17" s="15">
        <v>50.1</v>
      </c>
      <c r="K17" s="15">
        <v>57.2</v>
      </c>
      <c r="L17" s="15">
        <v>75.599999999999994</v>
      </c>
      <c r="M17" s="15">
        <v>101.6</v>
      </c>
      <c r="N17" s="15">
        <v>144.5</v>
      </c>
      <c r="O17" s="15">
        <v>182.2</v>
      </c>
      <c r="P17" s="15">
        <v>227.2</v>
      </c>
    </row>
    <row r="18" spans="1:16" ht="15.75" thickBot="1" x14ac:dyDescent="0.3">
      <c r="A18" s="440">
        <f>+SQRT((B18-'Ingreso Datos'!$J$5)^2+(C18-'Ingreso Datos'!$J$6)^2)/1000</f>
        <v>308.2735514522775</v>
      </c>
      <c r="B18" s="439">
        <v>396314</v>
      </c>
      <c r="C18" s="439">
        <v>6289427</v>
      </c>
      <c r="D18" s="483" t="s">
        <v>326</v>
      </c>
      <c r="E18" s="15">
        <v>226.3</v>
      </c>
      <c r="F18" s="15">
        <v>168.3</v>
      </c>
      <c r="G18" s="15">
        <v>147.6</v>
      </c>
      <c r="H18" s="15">
        <v>97.8</v>
      </c>
      <c r="I18" s="15">
        <v>67.3</v>
      </c>
      <c r="J18" s="15">
        <v>47.9</v>
      </c>
      <c r="K18" s="15">
        <v>56.3</v>
      </c>
      <c r="L18" s="15">
        <v>79.7</v>
      </c>
      <c r="M18" s="15">
        <v>102.1</v>
      </c>
      <c r="N18" s="15">
        <v>140.69999999999999</v>
      </c>
      <c r="O18" s="15">
        <v>173.2</v>
      </c>
      <c r="P18" s="15">
        <v>213</v>
      </c>
    </row>
    <row r="19" spans="1:16" ht="15.75" thickBot="1" x14ac:dyDescent="0.3">
      <c r="A19" s="440">
        <f>+SQRT((B19-'Ingreso Datos'!$J$5)^2+(C19-'Ingreso Datos'!$J$6)^2)/1000</f>
        <v>248.84484386862431</v>
      </c>
      <c r="B19" s="439">
        <v>321856</v>
      </c>
      <c r="C19" s="439">
        <v>6381178</v>
      </c>
      <c r="D19" s="483" t="s">
        <v>327</v>
      </c>
      <c r="E19" s="15">
        <v>230.6</v>
      </c>
      <c r="F19" s="15">
        <v>171.6</v>
      </c>
      <c r="G19" s="15">
        <v>158.5</v>
      </c>
      <c r="H19" s="15">
        <v>96.9</v>
      </c>
      <c r="I19" s="15">
        <v>65.900000000000006</v>
      </c>
      <c r="J19" s="15">
        <v>47.5</v>
      </c>
      <c r="K19" s="15">
        <v>55.6</v>
      </c>
      <c r="L19" s="15">
        <v>81.400000000000006</v>
      </c>
      <c r="M19" s="15">
        <v>103.9</v>
      </c>
      <c r="N19" s="15">
        <v>146.80000000000001</v>
      </c>
      <c r="O19" s="15">
        <v>182.3</v>
      </c>
      <c r="P19" s="15">
        <v>216.8</v>
      </c>
    </row>
    <row r="20" spans="1:16" x14ac:dyDescent="0.25">
      <c r="D20" s="302"/>
    </row>
    <row r="21" spans="1:16" x14ac:dyDescent="0.25">
      <c r="A21" s="5"/>
      <c r="B21" s="5"/>
    </row>
    <row r="22" spans="1:16" x14ac:dyDescent="0.25">
      <c r="A22" s="5"/>
      <c r="B22" s="5"/>
    </row>
    <row r="23" spans="1:16" x14ac:dyDescent="0.25">
      <c r="A23" s="5"/>
      <c r="B23" s="5"/>
    </row>
    <row r="24" spans="1:16" x14ac:dyDescent="0.25">
      <c r="A24" s="5"/>
      <c r="B24" s="5"/>
    </row>
    <row r="25" spans="1:16" x14ac:dyDescent="0.25">
      <c r="A25" s="5"/>
      <c r="B25" s="5"/>
    </row>
  </sheetData>
  <sheetProtection sheet="1"/>
  <mergeCells count="5">
    <mergeCell ref="D1:F1"/>
    <mergeCell ref="E4:P4"/>
    <mergeCell ref="B4:C4"/>
    <mergeCell ref="A4:A5"/>
    <mergeCell ref="D4:D5"/>
  </mergeCells>
  <phoneticPr fontId="15" type="noConversion"/>
  <pageMargins left="0.7" right="0.7" top="0.75" bottom="0.75" header="0.3" footer="0.3"/>
  <pageSetup paperSize="9" scale="8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FFFF00"/>
  </sheetPr>
  <dimension ref="A1:N47"/>
  <sheetViews>
    <sheetView workbookViewId="0">
      <selection activeCell="N4" sqref="N4"/>
    </sheetView>
  </sheetViews>
  <sheetFormatPr baseColWidth="10" defaultRowHeight="15" x14ac:dyDescent="0.25"/>
  <cols>
    <col min="1" max="1" width="35" customWidth="1"/>
    <col min="2" max="2" width="9.85546875" customWidth="1"/>
    <col min="3" max="3" width="12.85546875" customWidth="1"/>
    <col min="4" max="4" width="12.5703125" customWidth="1"/>
    <col min="5" max="5" width="11.85546875" customWidth="1"/>
    <col min="13" max="13" width="4.140625" customWidth="1"/>
    <col min="14" max="14" width="17" customWidth="1"/>
  </cols>
  <sheetData>
    <row r="1" spans="1:14" ht="23.25" x14ac:dyDescent="0.35">
      <c r="A1" s="569" t="s">
        <v>39</v>
      </c>
    </row>
    <row r="2" spans="1:14" s="233" customFormat="1" ht="31.5" x14ac:dyDescent="0.25">
      <c r="A2" s="571" t="s">
        <v>27</v>
      </c>
      <c r="B2" s="619" t="s">
        <v>28</v>
      </c>
      <c r="C2" s="619"/>
      <c r="D2" s="619"/>
      <c r="E2" s="619"/>
      <c r="F2" s="619"/>
      <c r="G2" s="619"/>
      <c r="H2" s="619"/>
      <c r="I2" s="619"/>
      <c r="J2" s="619"/>
      <c r="K2" s="619"/>
      <c r="L2" s="619"/>
      <c r="M2" s="619"/>
      <c r="N2" s="571" t="s">
        <v>29</v>
      </c>
    </row>
    <row r="3" spans="1:14" ht="31.5" x14ac:dyDescent="0.25">
      <c r="A3" s="568" t="s">
        <v>30</v>
      </c>
      <c r="B3" s="620" t="s">
        <v>31</v>
      </c>
      <c r="C3" s="620"/>
      <c r="D3" s="620"/>
      <c r="E3" s="620"/>
      <c r="F3" s="620"/>
      <c r="G3" s="620"/>
      <c r="H3" s="620"/>
      <c r="I3" s="620"/>
      <c r="J3" s="620"/>
      <c r="K3" s="620"/>
      <c r="L3" s="620"/>
      <c r="M3" s="620"/>
      <c r="N3" s="549">
        <v>40641</v>
      </c>
    </row>
    <row r="4" spans="1:14" ht="31.5" x14ac:dyDescent="0.25">
      <c r="A4" s="568" t="s">
        <v>38</v>
      </c>
      <c r="B4" s="621" t="s">
        <v>75</v>
      </c>
      <c r="C4" s="621"/>
      <c r="D4" s="621"/>
      <c r="E4" s="621"/>
      <c r="F4" s="621"/>
      <c r="G4" s="621"/>
      <c r="H4" s="621"/>
      <c r="I4" s="621"/>
      <c r="J4" s="621"/>
      <c r="K4" s="621"/>
      <c r="L4" s="621"/>
      <c r="M4" s="621"/>
      <c r="N4" s="602">
        <v>41365</v>
      </c>
    </row>
    <row r="5" spans="1:14" ht="33.75" customHeight="1" x14ac:dyDescent="0.25">
      <c r="A5" s="576" t="s">
        <v>76</v>
      </c>
      <c r="B5" s="574"/>
      <c r="C5" s="574"/>
      <c r="D5" s="574"/>
      <c r="E5" s="574"/>
      <c r="F5" s="574"/>
      <c r="G5" s="574"/>
      <c r="H5" s="574"/>
      <c r="I5" s="574"/>
      <c r="J5" s="574"/>
      <c r="K5" s="574"/>
      <c r="L5" s="574"/>
      <c r="M5" s="574"/>
      <c r="N5" s="575">
        <v>40940</v>
      </c>
    </row>
    <row r="6" spans="1:14" ht="15.75" x14ac:dyDescent="0.25">
      <c r="A6" s="625" t="s">
        <v>32</v>
      </c>
      <c r="B6" s="622" t="s">
        <v>33</v>
      </c>
      <c r="C6" s="623"/>
      <c r="D6" s="623"/>
      <c r="E6" s="623"/>
      <c r="F6" s="623"/>
      <c r="G6" s="623"/>
      <c r="H6" s="623"/>
      <c r="I6" s="623"/>
      <c r="J6" s="623"/>
      <c r="K6" s="623"/>
      <c r="L6" s="623"/>
      <c r="M6" s="624"/>
      <c r="N6" s="626">
        <v>40624</v>
      </c>
    </row>
    <row r="7" spans="1:14" ht="15.75" x14ac:dyDescent="0.25">
      <c r="A7" s="625"/>
      <c r="B7" s="654" t="s">
        <v>34</v>
      </c>
      <c r="C7" s="655"/>
      <c r="D7" s="655"/>
      <c r="E7" s="655"/>
      <c r="F7" s="655"/>
      <c r="G7" s="655"/>
      <c r="H7" s="655"/>
      <c r="I7" s="655"/>
      <c r="J7" s="655"/>
      <c r="K7" s="655"/>
      <c r="L7" s="655"/>
      <c r="M7" s="656"/>
      <c r="N7" s="626"/>
    </row>
    <row r="8" spans="1:14" ht="15.75" customHeight="1" x14ac:dyDescent="0.25">
      <c r="A8" s="627" t="s">
        <v>35</v>
      </c>
      <c r="B8" s="622" t="s">
        <v>36</v>
      </c>
      <c r="C8" s="623"/>
      <c r="D8" s="623"/>
      <c r="E8" s="623"/>
      <c r="F8" s="623"/>
      <c r="G8" s="623"/>
      <c r="H8" s="623"/>
      <c r="I8" s="623"/>
      <c r="J8" s="623"/>
      <c r="K8" s="623"/>
      <c r="L8" s="623"/>
      <c r="M8" s="624"/>
      <c r="N8" s="628">
        <v>40624</v>
      </c>
    </row>
    <row r="9" spans="1:14" ht="15.75" customHeight="1" x14ac:dyDescent="0.25">
      <c r="A9" s="627"/>
      <c r="B9" s="654" t="s">
        <v>37</v>
      </c>
      <c r="C9" s="655"/>
      <c r="D9" s="655"/>
      <c r="E9" s="655"/>
      <c r="F9" s="655"/>
      <c r="G9" s="655"/>
      <c r="H9" s="655"/>
      <c r="I9" s="655"/>
      <c r="J9" s="655"/>
      <c r="K9" s="655"/>
      <c r="L9" s="655"/>
      <c r="M9" s="656"/>
      <c r="N9" s="628"/>
    </row>
    <row r="12" spans="1:14" ht="23.25" x14ac:dyDescent="0.35">
      <c r="A12" s="569" t="s">
        <v>40</v>
      </c>
    </row>
    <row r="13" spans="1:14" ht="15.75" x14ac:dyDescent="0.25">
      <c r="A13" s="566"/>
    </row>
    <row r="14" spans="1:14" ht="16.5" thickBot="1" x14ac:dyDescent="0.3">
      <c r="A14" s="567" t="s">
        <v>44</v>
      </c>
    </row>
    <row r="15" spans="1:14" s="233" customFormat="1" ht="16.5" thickBot="1" x14ac:dyDescent="0.3">
      <c r="A15" s="572" t="s">
        <v>5</v>
      </c>
      <c r="B15" s="573" t="s">
        <v>6</v>
      </c>
      <c r="C15" s="657" t="s">
        <v>7</v>
      </c>
      <c r="D15" s="658"/>
      <c r="E15" s="658"/>
      <c r="F15" s="658"/>
      <c r="G15" s="658"/>
      <c r="H15" s="658"/>
      <c r="I15" s="658"/>
      <c r="J15" s="658"/>
      <c r="K15" s="658"/>
      <c r="L15" s="658"/>
      <c r="M15" s="658"/>
      <c r="N15" s="659"/>
    </row>
    <row r="16" spans="1:14" ht="15" customHeight="1" x14ac:dyDescent="0.25">
      <c r="A16" s="638">
        <v>41365</v>
      </c>
      <c r="B16" s="642" t="s">
        <v>24</v>
      </c>
      <c r="C16" s="629" t="s">
        <v>45</v>
      </c>
      <c r="D16" s="629"/>
      <c r="E16" s="629"/>
      <c r="F16" s="629"/>
      <c r="G16" s="629"/>
      <c r="H16" s="629"/>
      <c r="I16" s="629"/>
      <c r="J16" s="629"/>
      <c r="K16" s="629"/>
      <c r="L16" s="629"/>
      <c r="M16" s="629"/>
      <c r="N16" s="630"/>
    </row>
    <row r="17" spans="1:14" ht="15" customHeight="1" x14ac:dyDescent="0.25">
      <c r="A17" s="639"/>
      <c r="B17" s="606"/>
      <c r="C17" s="633" t="s">
        <v>79</v>
      </c>
      <c r="D17" s="634"/>
      <c r="E17" s="634"/>
      <c r="F17" s="634"/>
      <c r="G17" s="634"/>
      <c r="H17" s="634"/>
      <c r="I17" s="634"/>
      <c r="J17" s="634"/>
      <c r="K17" s="634"/>
      <c r="L17" s="634"/>
      <c r="M17" s="634"/>
      <c r="N17" s="635"/>
    </row>
    <row r="18" spans="1:14" s="233" customFormat="1" ht="15.75" x14ac:dyDescent="0.25">
      <c r="A18" s="639"/>
      <c r="B18" s="606"/>
      <c r="C18" s="633" t="s">
        <v>78</v>
      </c>
      <c r="D18" s="634"/>
      <c r="E18" s="634"/>
      <c r="F18" s="634"/>
      <c r="G18" s="634"/>
      <c r="H18" s="634"/>
      <c r="I18" s="634"/>
      <c r="J18" s="634"/>
      <c r="K18" s="634"/>
      <c r="L18" s="634"/>
      <c r="M18" s="634"/>
      <c r="N18" s="635"/>
    </row>
    <row r="19" spans="1:14" ht="15" customHeight="1" x14ac:dyDescent="0.25">
      <c r="A19" s="639"/>
      <c r="B19" s="606"/>
      <c r="C19" s="633" t="s">
        <v>26</v>
      </c>
      <c r="D19" s="634"/>
      <c r="E19" s="634"/>
      <c r="F19" s="634"/>
      <c r="G19" s="634"/>
      <c r="H19" s="634"/>
      <c r="I19" s="634"/>
      <c r="J19" s="634"/>
      <c r="K19" s="634"/>
      <c r="L19" s="634"/>
      <c r="M19" s="634"/>
      <c r="N19" s="635"/>
    </row>
    <row r="20" spans="1:14" ht="15" customHeight="1" x14ac:dyDescent="0.25">
      <c r="A20" s="639"/>
      <c r="B20" s="607"/>
      <c r="C20" s="553" t="s">
        <v>77</v>
      </c>
      <c r="D20" s="553"/>
      <c r="E20" s="553"/>
      <c r="F20" s="553"/>
      <c r="G20" s="553"/>
      <c r="H20" s="553"/>
      <c r="I20" s="553"/>
      <c r="J20" s="553"/>
      <c r="K20" s="553"/>
      <c r="L20" s="553"/>
      <c r="M20" s="553"/>
      <c r="N20" s="554"/>
    </row>
    <row r="21" spans="1:14" ht="15" customHeight="1" x14ac:dyDescent="0.25">
      <c r="A21" s="640"/>
      <c r="B21" s="607"/>
      <c r="C21" s="636" t="s">
        <v>25</v>
      </c>
      <c r="D21" s="637"/>
      <c r="E21" s="637"/>
      <c r="F21" s="555" t="s">
        <v>2</v>
      </c>
      <c r="G21" s="555" t="s">
        <v>3</v>
      </c>
      <c r="H21" s="556"/>
      <c r="I21" s="557"/>
      <c r="J21" s="557"/>
      <c r="K21" s="557"/>
      <c r="L21" s="557"/>
      <c r="M21" s="557"/>
      <c r="N21" s="558"/>
    </row>
    <row r="22" spans="1:14" s="233" customFormat="1" ht="15" customHeight="1" x14ac:dyDescent="0.25">
      <c r="A22" s="640"/>
      <c r="B22" s="607"/>
      <c r="C22" s="631" t="s">
        <v>719</v>
      </c>
      <c r="D22" s="632"/>
      <c r="E22" s="559" t="s">
        <v>720</v>
      </c>
      <c r="F22" s="560" t="s">
        <v>331</v>
      </c>
      <c r="G22" s="560" t="s">
        <v>336</v>
      </c>
      <c r="H22" s="556"/>
      <c r="I22" s="557"/>
      <c r="J22" s="557"/>
      <c r="K22" s="557"/>
      <c r="L22" s="557"/>
      <c r="M22" s="557"/>
      <c r="N22" s="558"/>
    </row>
    <row r="23" spans="1:14" s="233" customFormat="1" ht="15" customHeight="1" x14ac:dyDescent="0.25">
      <c r="A23" s="640"/>
      <c r="B23" s="607"/>
      <c r="C23" s="631" t="s">
        <v>721</v>
      </c>
      <c r="D23" s="632"/>
      <c r="E23" s="559" t="s">
        <v>722</v>
      </c>
      <c r="F23" s="560" t="s">
        <v>185</v>
      </c>
      <c r="G23" s="560" t="s">
        <v>331</v>
      </c>
      <c r="H23" s="556"/>
      <c r="I23" s="557"/>
      <c r="J23" s="557"/>
      <c r="K23" s="557"/>
      <c r="L23" s="557"/>
      <c r="M23" s="557"/>
      <c r="N23" s="558"/>
    </row>
    <row r="24" spans="1:14" s="233" customFormat="1" ht="15" customHeight="1" x14ac:dyDescent="0.25">
      <c r="A24" s="640"/>
      <c r="B24" s="607"/>
      <c r="C24" s="631" t="s">
        <v>723</v>
      </c>
      <c r="D24" s="632"/>
      <c r="E24" s="559" t="s">
        <v>724</v>
      </c>
      <c r="F24" s="560" t="s">
        <v>233</v>
      </c>
      <c r="G24" s="560" t="s">
        <v>185</v>
      </c>
      <c r="H24" s="556"/>
      <c r="I24" s="557"/>
      <c r="J24" s="557"/>
      <c r="K24" s="557"/>
      <c r="L24" s="557"/>
      <c r="M24" s="557"/>
      <c r="N24" s="558"/>
    </row>
    <row r="25" spans="1:14" s="233" customFormat="1" ht="15" customHeight="1" x14ac:dyDescent="0.25">
      <c r="A25" s="640"/>
      <c r="B25" s="607"/>
      <c r="C25" s="631" t="s">
        <v>725</v>
      </c>
      <c r="D25" s="632"/>
      <c r="E25" s="559" t="s">
        <v>726</v>
      </c>
      <c r="F25" s="560" t="s">
        <v>331</v>
      </c>
      <c r="G25" s="560" t="s">
        <v>233</v>
      </c>
      <c r="H25" s="556"/>
      <c r="I25" s="557"/>
      <c r="J25" s="557"/>
      <c r="K25" s="557"/>
      <c r="L25" s="557"/>
      <c r="M25" s="557"/>
      <c r="N25" s="558"/>
    </row>
    <row r="26" spans="1:14" s="233" customFormat="1" ht="15" customHeight="1" x14ac:dyDescent="0.25">
      <c r="A26" s="640"/>
      <c r="B26" s="607"/>
      <c r="C26" s="631" t="s">
        <v>729</v>
      </c>
      <c r="D26" s="632"/>
      <c r="E26" s="559" t="s">
        <v>730</v>
      </c>
      <c r="F26" s="560" t="s">
        <v>677</v>
      </c>
      <c r="G26" s="560" t="s">
        <v>331</v>
      </c>
      <c r="H26" s="556"/>
      <c r="I26" s="557"/>
      <c r="J26" s="557"/>
      <c r="K26" s="557"/>
      <c r="L26" s="557"/>
      <c r="M26" s="557"/>
      <c r="N26" s="558"/>
    </row>
    <row r="27" spans="1:14" s="233" customFormat="1" ht="15" customHeight="1" x14ac:dyDescent="0.25">
      <c r="A27" s="640"/>
      <c r="B27" s="607"/>
      <c r="C27" s="631" t="s">
        <v>732</v>
      </c>
      <c r="D27" s="632"/>
      <c r="E27" s="559" t="s">
        <v>733</v>
      </c>
      <c r="F27" s="560" t="s">
        <v>331</v>
      </c>
      <c r="G27" s="560" t="s">
        <v>677</v>
      </c>
      <c r="H27" s="556"/>
      <c r="I27" s="557"/>
      <c r="J27" s="557"/>
      <c r="K27" s="557"/>
      <c r="L27" s="557"/>
      <c r="M27" s="557"/>
      <c r="N27" s="558"/>
    </row>
    <row r="28" spans="1:14" s="233" customFormat="1" ht="16.5" thickBot="1" x14ac:dyDescent="0.3">
      <c r="A28" s="641"/>
      <c r="B28" s="643"/>
      <c r="C28" s="661" t="s">
        <v>738</v>
      </c>
      <c r="D28" s="662"/>
      <c r="E28" s="561" t="s">
        <v>739</v>
      </c>
      <c r="F28" s="562" t="s">
        <v>336</v>
      </c>
      <c r="G28" s="562" t="s">
        <v>233</v>
      </c>
      <c r="H28" s="563"/>
      <c r="I28" s="564"/>
      <c r="J28" s="564"/>
      <c r="K28" s="564"/>
      <c r="L28" s="564"/>
      <c r="M28" s="564"/>
      <c r="N28" s="565"/>
    </row>
    <row r="29" spans="1:14" s="233" customFormat="1" ht="15.75" x14ac:dyDescent="0.25">
      <c r="A29" s="603">
        <v>40715</v>
      </c>
      <c r="B29" s="606" t="s">
        <v>8</v>
      </c>
      <c r="C29" s="615" t="s">
        <v>9</v>
      </c>
      <c r="D29" s="615"/>
      <c r="E29" s="615"/>
      <c r="F29" s="615"/>
      <c r="G29" s="615"/>
      <c r="H29" s="615"/>
      <c r="I29" s="615"/>
      <c r="J29" s="615"/>
      <c r="K29" s="615"/>
      <c r="L29" s="615"/>
      <c r="M29" s="615"/>
      <c r="N29" s="616"/>
    </row>
    <row r="30" spans="1:14" s="233" customFormat="1" ht="15.75" x14ac:dyDescent="0.25">
      <c r="A30" s="604"/>
      <c r="B30" s="607"/>
      <c r="C30" s="617" t="s">
        <v>10</v>
      </c>
      <c r="D30" s="617"/>
      <c r="E30" s="617"/>
      <c r="F30" s="617"/>
      <c r="G30" s="617"/>
      <c r="H30" s="617"/>
      <c r="I30" s="617"/>
      <c r="J30" s="617"/>
      <c r="K30" s="617"/>
      <c r="L30" s="617"/>
      <c r="M30" s="617"/>
      <c r="N30" s="618"/>
    </row>
    <row r="31" spans="1:14" s="233" customFormat="1" ht="15.75" x14ac:dyDescent="0.25">
      <c r="A31" s="604"/>
      <c r="B31" s="607"/>
      <c r="C31" s="617" t="s">
        <v>11</v>
      </c>
      <c r="D31" s="617"/>
      <c r="E31" s="617"/>
      <c r="F31" s="617"/>
      <c r="G31" s="617"/>
      <c r="H31" s="617"/>
      <c r="I31" s="617"/>
      <c r="J31" s="617"/>
      <c r="K31" s="617"/>
      <c r="L31" s="617"/>
      <c r="M31" s="617"/>
      <c r="N31" s="618"/>
    </row>
    <row r="32" spans="1:14" s="233" customFormat="1" ht="15.75" x14ac:dyDescent="0.25">
      <c r="A32" s="604"/>
      <c r="B32" s="607"/>
      <c r="C32" s="617" t="s">
        <v>12</v>
      </c>
      <c r="D32" s="617"/>
      <c r="E32" s="617"/>
      <c r="F32" s="617"/>
      <c r="G32" s="617"/>
      <c r="H32" s="617"/>
      <c r="I32" s="617"/>
      <c r="J32" s="617"/>
      <c r="K32" s="617"/>
      <c r="L32" s="617"/>
      <c r="M32" s="617"/>
      <c r="N32" s="618"/>
    </row>
    <row r="33" spans="1:14" s="233" customFormat="1" ht="15.75" x14ac:dyDescent="0.25">
      <c r="A33" s="604"/>
      <c r="B33" s="607"/>
      <c r="C33" s="609" t="s">
        <v>13</v>
      </c>
      <c r="D33" s="609"/>
      <c r="E33" s="609"/>
      <c r="F33" s="609"/>
      <c r="G33" s="609"/>
      <c r="H33" s="609"/>
      <c r="I33" s="609"/>
      <c r="J33" s="609"/>
      <c r="K33" s="609"/>
      <c r="L33" s="609"/>
      <c r="M33" s="609"/>
      <c r="N33" s="610"/>
    </row>
    <row r="34" spans="1:14" s="233" customFormat="1" ht="16.5" thickBot="1" x14ac:dyDescent="0.3">
      <c r="A34" s="605"/>
      <c r="B34" s="608"/>
      <c r="C34" s="611" t="s">
        <v>14</v>
      </c>
      <c r="D34" s="611"/>
      <c r="E34" s="611"/>
      <c r="F34" s="611"/>
      <c r="G34" s="611"/>
      <c r="H34" s="611"/>
      <c r="I34" s="611"/>
      <c r="J34" s="611"/>
      <c r="K34" s="611"/>
      <c r="L34" s="611"/>
      <c r="M34" s="611"/>
      <c r="N34" s="612"/>
    </row>
    <row r="35" spans="1:14" s="233" customFormat="1" ht="16.5" thickBot="1" x14ac:dyDescent="0.3">
      <c r="A35" s="551">
        <v>40666</v>
      </c>
      <c r="B35" s="552" t="s">
        <v>15</v>
      </c>
      <c r="C35" s="613" t="s">
        <v>16</v>
      </c>
      <c r="D35" s="613"/>
      <c r="E35" s="613"/>
      <c r="F35" s="613"/>
      <c r="G35" s="613"/>
      <c r="H35" s="613"/>
      <c r="I35" s="613"/>
      <c r="J35" s="613"/>
      <c r="K35" s="613"/>
      <c r="L35" s="613"/>
      <c r="M35" s="613"/>
      <c r="N35" s="614"/>
    </row>
    <row r="36" spans="1:14" s="233" customFormat="1" ht="15.75" x14ac:dyDescent="0.25">
      <c r="A36" s="603">
        <v>40661</v>
      </c>
      <c r="B36" s="606" t="s">
        <v>17</v>
      </c>
      <c r="C36" s="615" t="s">
        <v>18</v>
      </c>
      <c r="D36" s="615"/>
      <c r="E36" s="615"/>
      <c r="F36" s="615"/>
      <c r="G36" s="615"/>
      <c r="H36" s="615"/>
      <c r="I36" s="615"/>
      <c r="J36" s="615"/>
      <c r="K36" s="615"/>
      <c r="L36" s="615"/>
      <c r="M36" s="615"/>
      <c r="N36" s="616"/>
    </row>
    <row r="37" spans="1:14" s="233" customFormat="1" ht="15.75" x14ac:dyDescent="0.25">
      <c r="A37" s="604"/>
      <c r="B37" s="607"/>
      <c r="C37" s="617" t="s">
        <v>19</v>
      </c>
      <c r="D37" s="617"/>
      <c r="E37" s="617"/>
      <c r="F37" s="617"/>
      <c r="G37" s="617"/>
      <c r="H37" s="617"/>
      <c r="I37" s="617"/>
      <c r="J37" s="617"/>
      <c r="K37" s="617"/>
      <c r="L37" s="617"/>
      <c r="M37" s="617"/>
      <c r="N37" s="618"/>
    </row>
    <row r="38" spans="1:14" s="233" customFormat="1" ht="15.75" x14ac:dyDescent="0.25">
      <c r="A38" s="604"/>
      <c r="B38" s="607"/>
      <c r="C38" s="617" t="s">
        <v>20</v>
      </c>
      <c r="D38" s="617"/>
      <c r="E38" s="617"/>
      <c r="F38" s="617"/>
      <c r="G38" s="617"/>
      <c r="H38" s="617"/>
      <c r="I38" s="617"/>
      <c r="J38" s="617"/>
      <c r="K38" s="617"/>
      <c r="L38" s="617"/>
      <c r="M38" s="617"/>
      <c r="N38" s="618"/>
    </row>
    <row r="39" spans="1:14" s="233" customFormat="1" ht="16.5" thickBot="1" x14ac:dyDescent="0.3">
      <c r="A39" s="605"/>
      <c r="B39" s="608"/>
      <c r="C39" s="663" t="s">
        <v>21</v>
      </c>
      <c r="D39" s="663"/>
      <c r="E39" s="663"/>
      <c r="F39" s="663"/>
      <c r="G39" s="663"/>
      <c r="H39" s="663"/>
      <c r="I39" s="663"/>
      <c r="J39" s="663"/>
      <c r="K39" s="663"/>
      <c r="L39" s="663"/>
      <c r="M39" s="663"/>
      <c r="N39" s="664"/>
    </row>
    <row r="40" spans="1:14" s="233" customFormat="1" ht="16.5" thickBot="1" x14ac:dyDescent="0.3">
      <c r="A40" s="551">
        <v>40641</v>
      </c>
      <c r="B40" s="552" t="s">
        <v>22</v>
      </c>
      <c r="C40" s="665" t="s">
        <v>23</v>
      </c>
      <c r="D40" s="665"/>
      <c r="E40" s="665"/>
      <c r="F40" s="665"/>
      <c r="G40" s="665"/>
      <c r="H40" s="665"/>
      <c r="I40" s="665"/>
      <c r="J40" s="665"/>
      <c r="K40" s="665"/>
      <c r="L40" s="665"/>
      <c r="M40" s="665"/>
      <c r="N40" s="666"/>
    </row>
    <row r="43" spans="1:14" ht="15.75" x14ac:dyDescent="0.25">
      <c r="A43" s="567" t="s">
        <v>41</v>
      </c>
    </row>
    <row r="44" spans="1:14" ht="15.75" x14ac:dyDescent="0.25">
      <c r="A44" s="571" t="s">
        <v>5</v>
      </c>
      <c r="B44" s="571" t="s">
        <v>6</v>
      </c>
      <c r="C44" s="645" t="s">
        <v>7</v>
      </c>
      <c r="D44" s="646"/>
      <c r="E44" s="646"/>
      <c r="F44" s="646"/>
      <c r="G44" s="646"/>
      <c r="H44" s="646"/>
      <c r="I44" s="646"/>
      <c r="J44" s="646"/>
      <c r="K44" s="646"/>
      <c r="L44" s="646"/>
      <c r="M44" s="646"/>
      <c r="N44" s="647"/>
    </row>
    <row r="45" spans="1:14" ht="15.75" x14ac:dyDescent="0.25">
      <c r="A45" s="628">
        <v>40641</v>
      </c>
      <c r="B45" s="644" t="s">
        <v>17</v>
      </c>
      <c r="C45" s="648" t="s">
        <v>42</v>
      </c>
      <c r="D45" s="649"/>
      <c r="E45" s="649"/>
      <c r="F45" s="649"/>
      <c r="G45" s="649"/>
      <c r="H45" s="649"/>
      <c r="I45" s="649"/>
      <c r="J45" s="649"/>
      <c r="K45" s="649"/>
      <c r="L45" s="649"/>
      <c r="M45" s="649"/>
      <c r="N45" s="650"/>
    </row>
    <row r="46" spans="1:14" ht="15.75" x14ac:dyDescent="0.25">
      <c r="A46" s="628"/>
      <c r="B46" s="644"/>
      <c r="C46" s="651" t="s">
        <v>43</v>
      </c>
      <c r="D46" s="652"/>
      <c r="E46" s="652"/>
      <c r="F46" s="652"/>
      <c r="G46" s="652"/>
      <c r="H46" s="652"/>
      <c r="I46" s="652"/>
      <c r="J46" s="652"/>
      <c r="K46" s="652"/>
      <c r="L46" s="652"/>
      <c r="M46" s="652"/>
      <c r="N46" s="653"/>
    </row>
    <row r="47" spans="1:14" ht="15.75" x14ac:dyDescent="0.25">
      <c r="A47" s="549">
        <v>40624</v>
      </c>
      <c r="B47" s="550" t="s">
        <v>22</v>
      </c>
      <c r="C47" s="660" t="s">
        <v>23</v>
      </c>
      <c r="D47" s="660"/>
      <c r="E47" s="660"/>
      <c r="F47" s="660"/>
      <c r="G47" s="660"/>
      <c r="H47" s="660"/>
      <c r="I47" s="660"/>
      <c r="J47" s="660"/>
      <c r="K47" s="660"/>
      <c r="L47" s="660"/>
      <c r="M47" s="660"/>
      <c r="N47" s="660"/>
    </row>
  </sheetData>
  <sheetProtection sheet="1"/>
  <mergeCells count="48">
    <mergeCell ref="C47:N47"/>
    <mergeCell ref="C19:N19"/>
    <mergeCell ref="C26:D26"/>
    <mergeCell ref="C27:D27"/>
    <mergeCell ref="C25:D25"/>
    <mergeCell ref="C28:D28"/>
    <mergeCell ref="C38:N38"/>
    <mergeCell ref="C39:N39"/>
    <mergeCell ref="C40:N40"/>
    <mergeCell ref="C32:N32"/>
    <mergeCell ref="A45:A46"/>
    <mergeCell ref="B45:B46"/>
    <mergeCell ref="C44:N44"/>
    <mergeCell ref="C45:N45"/>
    <mergeCell ref="C46:N46"/>
    <mergeCell ref="B7:M7"/>
    <mergeCell ref="B8:M8"/>
    <mergeCell ref="B9:M9"/>
    <mergeCell ref="C15:N15"/>
    <mergeCell ref="C17:N17"/>
    <mergeCell ref="A6:A7"/>
    <mergeCell ref="N6:N7"/>
    <mergeCell ref="A8:A9"/>
    <mergeCell ref="N8:N9"/>
    <mergeCell ref="C16:N16"/>
    <mergeCell ref="C22:D22"/>
    <mergeCell ref="C18:N18"/>
    <mergeCell ref="C21:E21"/>
    <mergeCell ref="A16:A28"/>
    <mergeCell ref="B16:B28"/>
    <mergeCell ref="C30:N30"/>
    <mergeCell ref="C31:N31"/>
    <mergeCell ref="B2:M2"/>
    <mergeCell ref="B3:M3"/>
    <mergeCell ref="B4:M4"/>
    <mergeCell ref="B6:M6"/>
    <mergeCell ref="C23:D23"/>
    <mergeCell ref="C24:D24"/>
    <mergeCell ref="A29:A34"/>
    <mergeCell ref="B29:B34"/>
    <mergeCell ref="A36:A39"/>
    <mergeCell ref="B36:B39"/>
    <mergeCell ref="C33:N33"/>
    <mergeCell ref="C34:N34"/>
    <mergeCell ref="C35:N35"/>
    <mergeCell ref="C36:N36"/>
    <mergeCell ref="C37:N37"/>
    <mergeCell ref="C29:N29"/>
  </mergeCells>
  <phoneticPr fontId="15"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indexed="53"/>
  </sheetPr>
  <dimension ref="A1:AK52"/>
  <sheetViews>
    <sheetView topLeftCell="A3" workbookViewId="0">
      <selection activeCell="A5" sqref="A5"/>
    </sheetView>
  </sheetViews>
  <sheetFormatPr baseColWidth="10" defaultRowHeight="15" x14ac:dyDescent="0.25"/>
  <sheetData>
    <row r="1" spans="1:37" ht="17.25" customHeight="1" x14ac:dyDescent="0.25">
      <c r="A1" s="940" t="s">
        <v>396</v>
      </c>
      <c r="B1" s="941"/>
      <c r="C1" s="941"/>
      <c r="D1" s="941"/>
      <c r="E1" s="941"/>
      <c r="F1" s="941"/>
      <c r="G1" s="941"/>
      <c r="H1" s="941"/>
      <c r="I1" s="941"/>
      <c r="J1" s="941"/>
      <c r="K1" s="942"/>
    </row>
    <row r="3" spans="1:37" x14ac:dyDescent="0.25">
      <c r="A3" s="543" t="s">
        <v>199</v>
      </c>
      <c r="B3" s="544" t="s">
        <v>940</v>
      </c>
      <c r="C3" s="544" t="s">
        <v>255</v>
      </c>
      <c r="D3" s="544" t="s">
        <v>260</v>
      </c>
      <c r="E3" s="544" t="s">
        <v>224</v>
      </c>
      <c r="F3" s="544" t="s">
        <v>266</v>
      </c>
      <c r="G3" s="544" t="s">
        <v>246</v>
      </c>
      <c r="H3" s="544" t="s">
        <v>252</v>
      </c>
      <c r="I3" s="544" t="s">
        <v>262</v>
      </c>
      <c r="J3" s="544" t="s">
        <v>268</v>
      </c>
      <c r="K3" s="544" t="s">
        <v>271</v>
      </c>
      <c r="L3" s="544" t="s">
        <v>249</v>
      </c>
      <c r="M3" s="544" t="s">
        <v>263</v>
      </c>
      <c r="N3" s="544" t="s">
        <v>251</v>
      </c>
      <c r="O3" s="544" t="s">
        <v>259</v>
      </c>
      <c r="P3" s="544" t="s">
        <v>250</v>
      </c>
      <c r="Q3" s="544" t="s">
        <v>240</v>
      </c>
      <c r="R3" s="544" t="s">
        <v>244</v>
      </c>
      <c r="S3" s="544" t="s">
        <v>239</v>
      </c>
      <c r="T3" s="544" t="s">
        <v>261</v>
      </c>
      <c r="U3" s="544" t="s">
        <v>269</v>
      </c>
      <c r="V3" s="544" t="s">
        <v>237</v>
      </c>
      <c r="W3" s="544" t="s">
        <v>265</v>
      </c>
      <c r="X3" s="544" t="s">
        <v>245</v>
      </c>
      <c r="Y3" s="544" t="s">
        <v>264</v>
      </c>
      <c r="Z3" s="544" t="s">
        <v>257</v>
      </c>
      <c r="AA3" s="544" t="s">
        <v>258</v>
      </c>
      <c r="AB3" s="544" t="s">
        <v>238</v>
      </c>
      <c r="AC3" s="544" t="s">
        <v>241</v>
      </c>
      <c r="AD3" s="544" t="s">
        <v>236</v>
      </c>
      <c r="AE3" s="544" t="s">
        <v>248</v>
      </c>
      <c r="AF3" s="544" t="s">
        <v>243</v>
      </c>
      <c r="AG3" s="544" t="s">
        <v>247</v>
      </c>
      <c r="AH3" s="544" t="s">
        <v>267</v>
      </c>
      <c r="AI3" s="544" t="s">
        <v>242</v>
      </c>
      <c r="AJ3" s="544" t="s">
        <v>256</v>
      </c>
      <c r="AK3" s="544" t="s">
        <v>270</v>
      </c>
    </row>
    <row r="4" spans="1:37" x14ac:dyDescent="0.25">
      <c r="A4" s="544">
        <v>595500</v>
      </c>
      <c r="C4">
        <v>6215500</v>
      </c>
    </row>
    <row r="5" spans="1:37" x14ac:dyDescent="0.25">
      <c r="A5" s="544">
        <v>658200</v>
      </c>
      <c r="D5">
        <v>6398000</v>
      </c>
    </row>
    <row r="6" spans="1:37" x14ac:dyDescent="0.25">
      <c r="A6" s="544">
        <v>431500</v>
      </c>
      <c r="E6">
        <v>6637500</v>
      </c>
    </row>
    <row r="7" spans="1:37" x14ac:dyDescent="0.25">
      <c r="A7" s="544">
        <v>511500</v>
      </c>
      <c r="F7">
        <v>6247500</v>
      </c>
    </row>
    <row r="8" spans="1:37" x14ac:dyDescent="0.25">
      <c r="A8" s="544">
        <v>387500</v>
      </c>
      <c r="G8">
        <v>6648500</v>
      </c>
    </row>
    <row r="9" spans="1:37" x14ac:dyDescent="0.25">
      <c r="A9" s="544">
        <v>513500</v>
      </c>
      <c r="H9">
        <v>6227400</v>
      </c>
    </row>
    <row r="10" spans="1:37" x14ac:dyDescent="0.25">
      <c r="A10" s="544">
        <v>562300</v>
      </c>
      <c r="I10">
        <v>6337200</v>
      </c>
    </row>
    <row r="11" spans="1:37" x14ac:dyDescent="0.25">
      <c r="A11" s="544">
        <v>294100</v>
      </c>
      <c r="J11">
        <v>6218100</v>
      </c>
    </row>
    <row r="12" spans="1:37" x14ac:dyDescent="0.25">
      <c r="A12" s="544">
        <v>400400</v>
      </c>
      <c r="K12">
        <v>6399700</v>
      </c>
    </row>
    <row r="13" spans="1:37" x14ac:dyDescent="0.25">
      <c r="A13" s="544">
        <v>571900</v>
      </c>
      <c r="L13">
        <v>6378800</v>
      </c>
    </row>
    <row r="14" spans="1:37" x14ac:dyDescent="0.25">
      <c r="A14" s="544">
        <v>330200</v>
      </c>
      <c r="M14">
        <v>6281400</v>
      </c>
    </row>
    <row r="15" spans="1:37" x14ac:dyDescent="0.25">
      <c r="A15" s="544">
        <v>717900</v>
      </c>
      <c r="N15">
        <v>6269400</v>
      </c>
    </row>
    <row r="16" spans="1:37" x14ac:dyDescent="0.25">
      <c r="A16" s="544">
        <v>620000</v>
      </c>
      <c r="O16">
        <v>6403000</v>
      </c>
    </row>
    <row r="17" spans="1:31" x14ac:dyDescent="0.25">
      <c r="A17" s="544">
        <v>618000</v>
      </c>
      <c r="P17">
        <v>6298000</v>
      </c>
    </row>
    <row r="18" spans="1:31" x14ac:dyDescent="0.25">
      <c r="A18" s="544">
        <v>311500</v>
      </c>
      <c r="Q18">
        <v>6184300</v>
      </c>
    </row>
    <row r="19" spans="1:31" x14ac:dyDescent="0.25">
      <c r="A19" s="544">
        <v>651000</v>
      </c>
      <c r="R19">
        <v>6418600</v>
      </c>
    </row>
    <row r="20" spans="1:31" x14ac:dyDescent="0.25">
      <c r="A20" s="544">
        <v>292000</v>
      </c>
      <c r="S20">
        <v>6319000</v>
      </c>
    </row>
    <row r="21" spans="1:31" x14ac:dyDescent="0.25">
      <c r="A21" s="544">
        <v>436200</v>
      </c>
      <c r="T21">
        <v>6343000</v>
      </c>
    </row>
    <row r="22" spans="1:31" x14ac:dyDescent="0.25">
      <c r="A22" s="544">
        <v>577200</v>
      </c>
      <c r="U22">
        <v>6504700</v>
      </c>
    </row>
    <row r="23" spans="1:31" x14ac:dyDescent="0.25">
      <c r="A23" s="544">
        <v>290500</v>
      </c>
      <c r="V23">
        <v>6416000</v>
      </c>
    </row>
    <row r="24" spans="1:31" x14ac:dyDescent="0.25">
      <c r="A24" s="544">
        <v>404000</v>
      </c>
      <c r="W24">
        <v>6251000</v>
      </c>
    </row>
    <row r="25" spans="1:31" x14ac:dyDescent="0.25">
      <c r="A25" s="544">
        <v>463100</v>
      </c>
      <c r="X25">
        <v>6143100</v>
      </c>
    </row>
    <row r="26" spans="1:31" x14ac:dyDescent="0.25">
      <c r="A26" s="544">
        <v>447700</v>
      </c>
      <c r="Y26">
        <v>6280400</v>
      </c>
    </row>
    <row r="27" spans="1:31" x14ac:dyDescent="0.25">
      <c r="A27" s="544">
        <v>302330.8</v>
      </c>
      <c r="Z27">
        <v>6466268.4000000004</v>
      </c>
    </row>
    <row r="28" spans="1:31" x14ac:dyDescent="0.25">
      <c r="A28" s="544">
        <v>400000</v>
      </c>
      <c r="AA28">
        <v>6450000</v>
      </c>
    </row>
    <row r="29" spans="1:31" x14ac:dyDescent="0.25">
      <c r="A29" s="544">
        <v>525300</v>
      </c>
      <c r="AB29">
        <v>6582000</v>
      </c>
    </row>
    <row r="30" spans="1:31" x14ac:dyDescent="0.25">
      <c r="A30" s="544">
        <v>636800</v>
      </c>
      <c r="AC30">
        <v>6182900</v>
      </c>
    </row>
    <row r="31" spans="1:31" x14ac:dyDescent="0.25">
      <c r="A31" s="544">
        <v>292700</v>
      </c>
      <c r="AD31">
        <v>6520800</v>
      </c>
    </row>
    <row r="32" spans="1:31" x14ac:dyDescent="0.25">
      <c r="A32" s="544">
        <v>397100</v>
      </c>
      <c r="AE32">
        <v>6570600</v>
      </c>
    </row>
    <row r="33" spans="1:37" x14ac:dyDescent="0.25">
      <c r="A33" s="544">
        <v>483300</v>
      </c>
      <c r="AF33">
        <v>6493000</v>
      </c>
    </row>
    <row r="34" spans="1:37" x14ac:dyDescent="0.25">
      <c r="A34" s="544">
        <v>343000</v>
      </c>
      <c r="AG34">
        <v>6633000</v>
      </c>
    </row>
    <row r="35" spans="1:37" x14ac:dyDescent="0.25">
      <c r="A35" s="544">
        <v>502900</v>
      </c>
      <c r="AH35">
        <v>6550000</v>
      </c>
    </row>
    <row r="36" spans="1:37" x14ac:dyDescent="0.25">
      <c r="A36" s="544">
        <v>632000</v>
      </c>
      <c r="AI36">
        <v>6323000</v>
      </c>
    </row>
    <row r="37" spans="1:37" x14ac:dyDescent="0.25">
      <c r="A37" s="544">
        <v>366400</v>
      </c>
      <c r="AJ37">
        <v>6539600</v>
      </c>
    </row>
    <row r="38" spans="1:37" x14ac:dyDescent="0.25">
      <c r="A38" s="544">
        <v>605000</v>
      </c>
      <c r="AK38">
        <v>6484500</v>
      </c>
    </row>
    <row r="39" spans="1:37" x14ac:dyDescent="0.25">
      <c r="A39" s="545">
        <v>431803</v>
      </c>
      <c r="B39" s="509">
        <v>6637780</v>
      </c>
    </row>
    <row r="40" spans="1:37" x14ac:dyDescent="0.25">
      <c r="A40" s="545">
        <v>323000</v>
      </c>
      <c r="B40" s="509">
        <v>6650000</v>
      </c>
    </row>
    <row r="41" spans="1:37" x14ac:dyDescent="0.25">
      <c r="A41" s="545">
        <v>420000</v>
      </c>
      <c r="B41" s="509">
        <v>6172000</v>
      </c>
    </row>
    <row r="42" spans="1:37" x14ac:dyDescent="0.25">
      <c r="A42" s="545">
        <v>288625</v>
      </c>
      <c r="B42" s="509">
        <v>6319482</v>
      </c>
    </row>
    <row r="43" spans="1:37" x14ac:dyDescent="0.25">
      <c r="A43" s="545">
        <v>651186</v>
      </c>
      <c r="B43" s="509">
        <v>6418512</v>
      </c>
    </row>
    <row r="44" spans="1:37" x14ac:dyDescent="0.25">
      <c r="A44" s="545">
        <v>289464</v>
      </c>
      <c r="B44" s="509">
        <v>6419583</v>
      </c>
    </row>
    <row r="45" spans="1:37" x14ac:dyDescent="0.25">
      <c r="A45" s="545">
        <v>431000</v>
      </c>
      <c r="B45" s="509">
        <v>6372000</v>
      </c>
    </row>
    <row r="46" spans="1:37" x14ac:dyDescent="0.25">
      <c r="A46" s="545">
        <v>462795</v>
      </c>
      <c r="B46" s="509">
        <v>6142916</v>
      </c>
    </row>
    <row r="47" spans="1:37" x14ac:dyDescent="0.25">
      <c r="A47" s="545">
        <v>636721</v>
      </c>
      <c r="B47" s="509">
        <v>6182868</v>
      </c>
    </row>
    <row r="48" spans="1:37" x14ac:dyDescent="0.25">
      <c r="A48" s="545">
        <v>292429</v>
      </c>
      <c r="B48" s="509">
        <v>6521206</v>
      </c>
    </row>
    <row r="49" spans="1:2" x14ac:dyDescent="0.25">
      <c r="A49" s="545">
        <v>481844</v>
      </c>
      <c r="B49" s="509">
        <v>6492334</v>
      </c>
    </row>
    <row r="50" spans="1:2" x14ac:dyDescent="0.25">
      <c r="A50" s="545">
        <v>631612</v>
      </c>
      <c r="B50" s="509">
        <v>6324060</v>
      </c>
    </row>
    <row r="51" spans="1:2" x14ac:dyDescent="0.25">
      <c r="A51" s="545">
        <v>396314</v>
      </c>
      <c r="B51" s="509">
        <v>6289427</v>
      </c>
    </row>
    <row r="52" spans="1:2" x14ac:dyDescent="0.25">
      <c r="A52" s="545">
        <v>321856</v>
      </c>
      <c r="B52" s="509">
        <v>6381178</v>
      </c>
    </row>
  </sheetData>
  <mergeCells count="1">
    <mergeCell ref="A1:K1"/>
  </mergeCells>
  <phoneticPr fontId="15" type="noConversion"/>
  <pageMargins left="0.75" right="0.75" top="1" bottom="1" header="0" footer="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indexed="53"/>
  </sheetPr>
  <dimension ref="A1:AL433"/>
  <sheetViews>
    <sheetView zoomScale="66" zoomScaleNormal="66" workbookViewId="0">
      <pane xSplit="3" ySplit="10" topLeftCell="D372" activePane="bottomRight" state="frozen"/>
      <selection activeCell="C32" sqref="C32"/>
      <selection pane="topRight" activeCell="C32" sqref="C32"/>
      <selection pane="bottomLeft" activeCell="C32" sqref="C32"/>
      <selection pane="bottomRight"/>
    </sheetView>
  </sheetViews>
  <sheetFormatPr baseColWidth="10" defaultRowHeight="12.75" x14ac:dyDescent="0.2"/>
  <cols>
    <col min="1" max="1" width="9.85546875" style="5" customWidth="1"/>
    <col min="2" max="2" width="17.140625" style="5" customWidth="1"/>
    <col min="3" max="3" width="10.42578125" style="5" customWidth="1"/>
    <col min="4" max="22" width="15" style="6" customWidth="1"/>
    <col min="23" max="23" width="15.85546875" style="6" customWidth="1"/>
    <col min="24" max="38" width="15" style="6" customWidth="1"/>
    <col min="39" max="16384" width="11.42578125" style="5"/>
  </cols>
  <sheetData>
    <row r="1" spans="1:38" s="61" customFormat="1" ht="21" x14ac:dyDescent="0.35">
      <c r="A1" s="59" t="s">
        <v>433</v>
      </c>
      <c r="B1" s="59"/>
      <c r="C1" s="59"/>
      <c r="E1" s="943" t="s">
        <v>606</v>
      </c>
      <c r="F1" s="943"/>
      <c r="G1" s="943"/>
      <c r="H1" s="943"/>
      <c r="I1" s="943"/>
      <c r="J1" s="943"/>
      <c r="K1" s="943"/>
      <c r="L1" s="943"/>
    </row>
    <row r="2" spans="1:38" s="186" customFormat="1" ht="12.75" customHeight="1" x14ac:dyDescent="0.2">
      <c r="A2" s="947" t="s">
        <v>234</v>
      </c>
      <c r="B2" s="947"/>
      <c r="C2" s="947"/>
      <c r="D2" s="185"/>
      <c r="E2" s="943"/>
      <c r="F2" s="943"/>
      <c r="G2" s="943"/>
      <c r="H2" s="943"/>
      <c r="I2" s="943"/>
      <c r="J2" s="943"/>
      <c r="K2" s="943"/>
      <c r="L2" s="943"/>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row>
    <row r="3" spans="1:38" s="186" customFormat="1" ht="15" customHeight="1" x14ac:dyDescent="0.2">
      <c r="A3" s="947"/>
      <c r="B3" s="947"/>
      <c r="C3" s="947"/>
      <c r="E3" s="944"/>
      <c r="F3" s="944"/>
      <c r="G3" s="944"/>
      <c r="H3" s="944"/>
      <c r="I3" s="944"/>
      <c r="J3" s="944"/>
      <c r="K3" s="944"/>
      <c r="L3" s="944"/>
    </row>
    <row r="4" spans="1:38" s="186" customFormat="1" ht="15" customHeight="1" x14ac:dyDescent="0.2">
      <c r="A4" s="185"/>
      <c r="B4" s="185"/>
      <c r="C4" s="187" t="s">
        <v>595</v>
      </c>
      <c r="D4" s="188">
        <f>+SQRT((D7-'Ingreso Datos'!$J$5)^2+(D8-'Ingreso Datos'!$J$6)^2)/1000</f>
        <v>402.71568444747714</v>
      </c>
      <c r="E4" s="188">
        <f>+SQRT((E7-'Ingreso Datos'!$J$5)^2+(E8-'Ingreso Datos'!$J$6)^2)/1000</f>
        <v>282.26585429343027</v>
      </c>
      <c r="F4" s="188">
        <f>+SQRT((F7-'Ingreso Datos'!$J$5)^2+(F8-'Ingreso Datos'!$J$6)^2)/1000</f>
        <v>50.224720009174767</v>
      </c>
      <c r="G4" s="188">
        <f>+SQRT((G7-'Ingreso Datos'!$J$5)^2+(G8-'Ingreso Datos'!$J$6)^2)/1000</f>
        <v>349.69346934136473</v>
      </c>
      <c r="H4" s="188">
        <f>+SQRT((H7-'Ingreso Datos'!$J$5)^2+(H8-'Ingreso Datos'!$J$6)^2)/1000</f>
        <v>86.653462135104562</v>
      </c>
      <c r="I4" s="188">
        <f>+SQRT((I7-'Ingreso Datos'!$J$5)^2+(I8-'Ingreso Datos'!$J$6)^2)/1000</f>
        <v>369.84929701163418</v>
      </c>
      <c r="J4" s="188">
        <f>+SQRT((J7-'Ingreso Datos'!$J$5)^2+(J8-'Ingreso Datos'!$J$6)^2)/1000</f>
        <v>277.37873476530245</v>
      </c>
      <c r="K4" s="188">
        <f>+SQRT((K7-'Ingreso Datos'!$J$5)^2+(K8-'Ingreso Datos'!$J$6)^2)/1000</f>
        <v>406.78178732583393</v>
      </c>
      <c r="L4" s="188">
        <f>+SQRT((L7-'Ingreso Datos'!$J$5)^2+(L8-'Ingreso Datos'!$J$6)^2)/1000</f>
        <v>199.83401237026695</v>
      </c>
      <c r="M4" s="188">
        <f>+SQRT((M7-'Ingreso Datos'!$J$5)^2+(M8-'Ingreso Datos'!$J$6)^2)/1000</f>
        <v>244.17649866438825</v>
      </c>
      <c r="N4" s="188">
        <f>+SQRT((N7-'Ingreso Datos'!$J$5)^2+(N8-'Ingreso Datos'!$J$6)^2)/1000</f>
        <v>334.50380042684117</v>
      </c>
      <c r="O4" s="188">
        <f>+SQRT((O7-'Ingreso Datos'!$J$5)^2+(O8-'Ingreso Datos'!$J$6)^2)/1000</f>
        <v>417.37760181878474</v>
      </c>
      <c r="P4" s="188">
        <f>+SQRT((P7-'Ingreso Datos'!$J$5)^2+(P8-'Ingreso Datos'!$J$6)^2)/1000</f>
        <v>252.14216723903996</v>
      </c>
      <c r="Q4" s="188">
        <f>+SQRT((Q7-'Ingreso Datos'!$J$5)^2+(Q8-'Ingreso Datos'!$J$6)^2)/1000</f>
        <v>337.1975274227259</v>
      </c>
      <c r="R4" s="188">
        <f>+SQRT((R7-'Ingreso Datos'!$J$5)^2+(R8-'Ingreso Datos'!$J$6)^2)/1000</f>
        <v>432.05185163357419</v>
      </c>
      <c r="S4" s="188">
        <f>+SQRT((S7-'Ingreso Datos'!$J$5)^2+(S8-'Ingreso Datos'!$J$6)^2)/1000</f>
        <v>263.05001900779251</v>
      </c>
      <c r="T4" s="188">
        <f>+SQRT((T7-'Ingreso Datos'!$J$5)^2+(T8-'Ingreso Datos'!$J$6)^2)/1000</f>
        <v>317.49405112537147</v>
      </c>
      <c r="U4" s="188">
        <f>+SQRT((U7-'Ingreso Datos'!$J$5)^2+(U8-'Ingreso Datos'!$J$6)^2)/1000</f>
        <v>249.94941988330359</v>
      </c>
      <c r="V4" s="188">
        <f>+SQRT((V7-'Ingreso Datos'!$J$5)^2+(V8-'Ingreso Datos'!$J$6)^2)/1000</f>
        <v>151.60545009992219</v>
      </c>
      <c r="W4" s="188">
        <f>+SQRT((W7-'Ingreso Datos'!$J$5)^2+(W8-'Ingreso Datos'!$J$6)^2)/1000</f>
        <v>240.14229635780532</v>
      </c>
      <c r="X4" s="188">
        <f>+SQRT((X7-'Ingreso Datos'!$J$5)^2+(X8-'Ingreso Datos'!$J$6)^2)/1000</f>
        <v>344.92038574140554</v>
      </c>
      <c r="Y4" s="188">
        <f>+SQRT((Y7-'Ingreso Datos'!$J$5)^2+(Y8-'Ingreso Datos'!$J$6)^2)/1000</f>
        <v>449.35255924496528</v>
      </c>
      <c r="Z4" s="188">
        <f>+SQRT((Z7-'Ingreso Datos'!$J$5)^2+(Z8-'Ingreso Datos'!$J$6)^2)/1000</f>
        <v>312.00391423826721</v>
      </c>
      <c r="AA4" s="188">
        <f>+SQRT((AA7-'Ingreso Datos'!$J$5)^2+(AA8-'Ingreso Datos'!$J$6)^2)/1000</f>
        <v>196.84688691264566</v>
      </c>
      <c r="AB4" s="188">
        <f>+SQRT((AB7-'Ingreso Datos'!$J$5)^2+(AB8-'Ingreso Datos'!$J$6)^2)/1000</f>
        <v>152.07160320059756</v>
      </c>
      <c r="AC4" s="188">
        <f>+SQRT((AC7-'Ingreso Datos'!$J$5)^2+(AC8-'Ingreso Datos'!$J$6)^2)/1000</f>
        <v>72.542142923958352</v>
      </c>
      <c r="AD4" s="188">
        <f>+SQRT((AD7-'Ingreso Datos'!$J$5)^2+(AD8-'Ingreso Datos'!$J$6)^2)/1000</f>
        <v>448.60694655789712</v>
      </c>
      <c r="AE4" s="188">
        <f>+SQRT((AE7-'Ingreso Datos'!$J$5)^2+(AE8-'Ingreso Datos'!$J$6)^2)/1000</f>
        <v>176.00012073859494</v>
      </c>
      <c r="AF4" s="188">
        <f>+SQRT((AF7-'Ingreso Datos'!$J$5)^2+(AF8-'Ingreso Datos'!$J$6)^2)/1000</f>
        <v>60.448511147918275</v>
      </c>
      <c r="AG4" s="188">
        <f>+SQRT((AG7-'Ingreso Datos'!$J$5)^2+(AG8-'Ingreso Datos'!$J$6)^2)/1000</f>
        <v>103.72300853716112</v>
      </c>
      <c r="AH4" s="188">
        <f>+SQRT((AH7-'Ingreso Datos'!$J$5)^2+(AH8-'Ingreso Datos'!$J$6)^2)/1000</f>
        <v>117.73985094266087</v>
      </c>
      <c r="AI4" s="188">
        <f>+SQRT((AI7-'Ingreso Datos'!$J$5)^2+(AI8-'Ingreso Datos'!$J$6)^2)/1000</f>
        <v>65.068291048712808</v>
      </c>
      <c r="AJ4" s="188">
        <f>+SQRT((AJ7-'Ingreso Datos'!$J$5)^2+(AJ8-'Ingreso Datos'!$J$6)^2)/1000</f>
        <v>323.12795066351038</v>
      </c>
      <c r="AK4" s="188">
        <f>+SQRT((AK7-'Ingreso Datos'!$J$5)^2+(AK8-'Ingreso Datos'!$J$6)^2)/1000</f>
        <v>101.82815180489136</v>
      </c>
      <c r="AL4" s="188">
        <f>+SQRT((AL7-'Ingreso Datos'!$J$5)^2+(AL8-'Ingreso Datos'!$J$6)^2)/1000</f>
        <v>185.96739633602445</v>
      </c>
    </row>
    <row r="5" spans="1:38" s="186" customFormat="1" ht="38.25" customHeight="1" x14ac:dyDescent="0.2">
      <c r="A5" s="191"/>
      <c r="B5" s="951" t="s">
        <v>485</v>
      </c>
      <c r="C5" s="952" t="s">
        <v>235</v>
      </c>
      <c r="D5" s="192" t="s">
        <v>255</v>
      </c>
      <c r="E5" s="192" t="s">
        <v>260</v>
      </c>
      <c r="F5" s="192" t="s">
        <v>224</v>
      </c>
      <c r="G5" s="192" t="s">
        <v>266</v>
      </c>
      <c r="H5" s="192" t="s">
        <v>246</v>
      </c>
      <c r="I5" s="192" t="s">
        <v>252</v>
      </c>
      <c r="J5" s="192" t="s">
        <v>262</v>
      </c>
      <c r="K5" s="192" t="s">
        <v>268</v>
      </c>
      <c r="L5" s="192" t="s">
        <v>271</v>
      </c>
      <c r="M5" s="192" t="s">
        <v>249</v>
      </c>
      <c r="N5" s="192" t="s">
        <v>263</v>
      </c>
      <c r="O5" s="192" t="s">
        <v>251</v>
      </c>
      <c r="P5" s="192" t="s">
        <v>259</v>
      </c>
      <c r="Q5" s="192" t="s">
        <v>250</v>
      </c>
      <c r="R5" s="192" t="s">
        <v>240</v>
      </c>
      <c r="S5" s="192" t="s">
        <v>244</v>
      </c>
      <c r="T5" s="192" t="s">
        <v>239</v>
      </c>
      <c r="U5" s="192" t="s">
        <v>261</v>
      </c>
      <c r="V5" s="192" t="s">
        <v>269</v>
      </c>
      <c r="W5" s="192" t="s">
        <v>237</v>
      </c>
      <c r="X5" s="192" t="s">
        <v>265</v>
      </c>
      <c r="Y5" s="192" t="s">
        <v>245</v>
      </c>
      <c r="Z5" s="192" t="s">
        <v>264</v>
      </c>
      <c r="AA5" s="192" t="s">
        <v>257</v>
      </c>
      <c r="AB5" s="192" t="s">
        <v>258</v>
      </c>
      <c r="AC5" s="192" t="s">
        <v>238</v>
      </c>
      <c r="AD5" s="192" t="s">
        <v>241</v>
      </c>
      <c r="AE5" s="192" t="s">
        <v>236</v>
      </c>
      <c r="AF5" s="192" t="s">
        <v>248</v>
      </c>
      <c r="AG5" s="192" t="s">
        <v>243</v>
      </c>
      <c r="AH5" s="192" t="s">
        <v>247</v>
      </c>
      <c r="AI5" s="192" t="s">
        <v>267</v>
      </c>
      <c r="AJ5" s="192" t="s">
        <v>242</v>
      </c>
      <c r="AK5" s="192" t="s">
        <v>256</v>
      </c>
      <c r="AL5" s="193" t="s">
        <v>270</v>
      </c>
    </row>
    <row r="6" spans="1:38" s="191" customFormat="1" x14ac:dyDescent="0.2">
      <c r="B6" s="949" t="s">
        <v>486</v>
      </c>
      <c r="C6" s="950"/>
      <c r="D6" s="194" t="s">
        <v>488</v>
      </c>
      <c r="E6" s="194" t="s">
        <v>488</v>
      </c>
      <c r="F6" s="194" t="s">
        <v>487</v>
      </c>
      <c r="G6" s="194" t="s">
        <v>488</v>
      </c>
      <c r="H6" s="194" t="s">
        <v>488</v>
      </c>
      <c r="I6" s="194" t="s">
        <v>488</v>
      </c>
      <c r="J6" s="194" t="s">
        <v>488</v>
      </c>
      <c r="K6" s="194" t="s">
        <v>488</v>
      </c>
      <c r="L6" s="194" t="s">
        <v>488</v>
      </c>
      <c r="M6" s="194" t="s">
        <v>488</v>
      </c>
      <c r="N6" s="194" t="s">
        <v>488</v>
      </c>
      <c r="O6" s="194" t="s">
        <v>488</v>
      </c>
      <c r="P6" s="194" t="s">
        <v>488</v>
      </c>
      <c r="Q6" s="194" t="s">
        <v>488</v>
      </c>
      <c r="R6" s="194" t="s">
        <v>487</v>
      </c>
      <c r="S6" s="194" t="s">
        <v>487</v>
      </c>
      <c r="T6" s="194" t="s">
        <v>487</v>
      </c>
      <c r="U6" s="194" t="s">
        <v>488</v>
      </c>
      <c r="V6" s="194" t="s">
        <v>488</v>
      </c>
      <c r="W6" s="194" t="s">
        <v>487</v>
      </c>
      <c r="X6" s="194" t="s">
        <v>488</v>
      </c>
      <c r="Y6" s="194" t="s">
        <v>487</v>
      </c>
      <c r="Z6" s="194" t="s">
        <v>488</v>
      </c>
      <c r="AA6" s="194" t="s">
        <v>488</v>
      </c>
      <c r="AB6" s="194" t="s">
        <v>488</v>
      </c>
      <c r="AC6" s="194" t="s">
        <v>487</v>
      </c>
      <c r="AD6" s="194" t="s">
        <v>487</v>
      </c>
      <c r="AE6" s="194" t="s">
        <v>487</v>
      </c>
      <c r="AF6" s="194" t="s">
        <v>488</v>
      </c>
      <c r="AG6" s="194" t="s">
        <v>487</v>
      </c>
      <c r="AH6" s="194" t="s">
        <v>488</v>
      </c>
      <c r="AI6" s="194" t="s">
        <v>488</v>
      </c>
      <c r="AJ6" s="194" t="s">
        <v>487</v>
      </c>
      <c r="AK6" s="194" t="s">
        <v>488</v>
      </c>
      <c r="AL6" s="195" t="s">
        <v>488</v>
      </c>
    </row>
    <row r="7" spans="1:38" s="186" customFormat="1" x14ac:dyDescent="0.2">
      <c r="A7" s="191"/>
      <c r="B7" s="948" t="s">
        <v>489</v>
      </c>
      <c r="C7" s="196" t="s">
        <v>199</v>
      </c>
      <c r="D7" s="196">
        <v>595500</v>
      </c>
      <c r="E7" s="196">
        <v>658200</v>
      </c>
      <c r="F7" s="196">
        <v>431500</v>
      </c>
      <c r="G7" s="196">
        <v>511500</v>
      </c>
      <c r="H7" s="196">
        <v>387500</v>
      </c>
      <c r="I7" s="196">
        <v>513500</v>
      </c>
      <c r="J7" s="196">
        <v>562300</v>
      </c>
      <c r="K7" s="196">
        <v>294100</v>
      </c>
      <c r="L7" s="196">
        <v>400400</v>
      </c>
      <c r="M7" s="196">
        <v>571900</v>
      </c>
      <c r="N7" s="196">
        <v>330200</v>
      </c>
      <c r="O7" s="196">
        <v>717900</v>
      </c>
      <c r="P7" s="196">
        <v>620000</v>
      </c>
      <c r="Q7" s="196">
        <v>618000</v>
      </c>
      <c r="R7" s="196">
        <v>311500</v>
      </c>
      <c r="S7" s="196">
        <v>651000</v>
      </c>
      <c r="T7" s="196">
        <v>292000</v>
      </c>
      <c r="U7" s="196">
        <v>436200</v>
      </c>
      <c r="V7" s="196">
        <v>577200</v>
      </c>
      <c r="W7" s="196">
        <v>290500</v>
      </c>
      <c r="X7" s="196">
        <v>404000</v>
      </c>
      <c r="Y7" s="196">
        <v>463100</v>
      </c>
      <c r="Z7" s="196">
        <v>447700</v>
      </c>
      <c r="AA7" s="197">
        <v>302330.8</v>
      </c>
      <c r="AB7" s="196">
        <v>400000</v>
      </c>
      <c r="AC7" s="196">
        <v>525300</v>
      </c>
      <c r="AD7" s="196">
        <v>636800</v>
      </c>
      <c r="AE7" s="196">
        <v>292700</v>
      </c>
      <c r="AF7" s="196">
        <v>397100</v>
      </c>
      <c r="AG7" s="196">
        <v>483300</v>
      </c>
      <c r="AH7" s="196">
        <v>343000</v>
      </c>
      <c r="AI7" s="196">
        <v>502900</v>
      </c>
      <c r="AJ7" s="196">
        <v>632000</v>
      </c>
      <c r="AK7" s="196">
        <v>366400</v>
      </c>
      <c r="AL7" s="198">
        <v>605000</v>
      </c>
    </row>
    <row r="8" spans="1:38" s="186" customFormat="1" x14ac:dyDescent="0.2">
      <c r="A8" s="191"/>
      <c r="B8" s="948"/>
      <c r="C8" s="196" t="s">
        <v>308</v>
      </c>
      <c r="D8" s="196">
        <v>6215500</v>
      </c>
      <c r="E8" s="196">
        <v>6398000</v>
      </c>
      <c r="F8" s="196">
        <v>6637500</v>
      </c>
      <c r="G8" s="196">
        <v>6247500</v>
      </c>
      <c r="H8" s="196">
        <v>6648500</v>
      </c>
      <c r="I8" s="196">
        <v>6227400</v>
      </c>
      <c r="J8" s="196">
        <v>6337200</v>
      </c>
      <c r="K8" s="196">
        <v>6218100</v>
      </c>
      <c r="L8" s="196">
        <v>6399700</v>
      </c>
      <c r="M8" s="196">
        <v>6378800</v>
      </c>
      <c r="N8" s="196">
        <v>6281400</v>
      </c>
      <c r="O8" s="196">
        <v>6269400</v>
      </c>
      <c r="P8" s="196">
        <v>6403000</v>
      </c>
      <c r="Q8" s="196">
        <v>6298000</v>
      </c>
      <c r="R8" s="196">
        <v>6184300</v>
      </c>
      <c r="S8" s="196">
        <v>6418600</v>
      </c>
      <c r="T8" s="196">
        <v>6319000</v>
      </c>
      <c r="U8" s="196">
        <v>6343000</v>
      </c>
      <c r="V8" s="196">
        <v>6504700</v>
      </c>
      <c r="W8" s="196">
        <v>6416000</v>
      </c>
      <c r="X8" s="196">
        <v>6251000</v>
      </c>
      <c r="Y8" s="196">
        <v>6143100</v>
      </c>
      <c r="Z8" s="196">
        <v>6280400</v>
      </c>
      <c r="AA8" s="197">
        <v>6466268.4000000004</v>
      </c>
      <c r="AB8" s="196">
        <v>6450000</v>
      </c>
      <c r="AC8" s="196">
        <v>6582000</v>
      </c>
      <c r="AD8" s="196">
        <v>6182900</v>
      </c>
      <c r="AE8" s="196">
        <v>6520800</v>
      </c>
      <c r="AF8" s="196">
        <v>6570600</v>
      </c>
      <c r="AG8" s="196">
        <v>6493000</v>
      </c>
      <c r="AH8" s="196">
        <v>6633000</v>
      </c>
      <c r="AI8" s="196">
        <v>6550000</v>
      </c>
      <c r="AJ8" s="196">
        <v>6323000</v>
      </c>
      <c r="AK8" s="196">
        <v>6539600</v>
      </c>
      <c r="AL8" s="198">
        <v>6484500</v>
      </c>
    </row>
    <row r="9" spans="1:38" s="186" customFormat="1" x14ac:dyDescent="0.2">
      <c r="A9" s="191"/>
      <c r="B9" s="948" t="s">
        <v>272</v>
      </c>
      <c r="C9" s="950" t="s">
        <v>272</v>
      </c>
      <c r="D9" s="196">
        <v>2684</v>
      </c>
      <c r="E9" s="196">
        <v>1798</v>
      </c>
      <c r="F9" s="196">
        <v>1050</v>
      </c>
      <c r="G9" s="196">
        <v>2549</v>
      </c>
      <c r="H9" s="196">
        <v>1019</v>
      </c>
      <c r="I9" s="196">
        <v>2588</v>
      </c>
      <c r="J9" s="196" t="s">
        <v>275</v>
      </c>
      <c r="K9" s="196">
        <v>2611</v>
      </c>
      <c r="L9" s="196">
        <v>1772</v>
      </c>
      <c r="M9" s="196">
        <v>1880</v>
      </c>
      <c r="N9" s="196" t="s">
        <v>276</v>
      </c>
      <c r="O9" s="196">
        <v>2422</v>
      </c>
      <c r="P9" s="196">
        <v>1793</v>
      </c>
      <c r="Q9" s="196" t="s">
        <v>273</v>
      </c>
      <c r="R9" s="196">
        <v>2774</v>
      </c>
      <c r="S9" s="196">
        <v>1709</v>
      </c>
      <c r="T9" s="196">
        <v>2145</v>
      </c>
      <c r="U9" s="196" t="s">
        <v>274</v>
      </c>
      <c r="V9" s="196">
        <v>1379</v>
      </c>
      <c r="W9" s="196">
        <v>1672</v>
      </c>
      <c r="X9" s="196">
        <v>2486</v>
      </c>
      <c r="Y9" s="196">
        <v>2887</v>
      </c>
      <c r="Z9" s="196">
        <v>2349</v>
      </c>
      <c r="AA9" s="196">
        <v>1502</v>
      </c>
      <c r="AB9" s="196">
        <v>1553</v>
      </c>
      <c r="AC9" s="196">
        <v>1147</v>
      </c>
      <c r="AD9" s="196"/>
      <c r="AE9" s="196">
        <v>1283</v>
      </c>
      <c r="AF9" s="196">
        <v>1159</v>
      </c>
      <c r="AG9" s="196">
        <v>1405</v>
      </c>
      <c r="AH9" s="196">
        <v>1040</v>
      </c>
      <c r="AI9" s="196">
        <v>1220</v>
      </c>
      <c r="AJ9" s="196">
        <v>2179</v>
      </c>
      <c r="AK9" s="196">
        <v>1232</v>
      </c>
      <c r="AL9" s="198">
        <v>1454</v>
      </c>
    </row>
    <row r="10" spans="1:38" s="186" customFormat="1" x14ac:dyDescent="0.2">
      <c r="A10" s="191"/>
      <c r="B10" s="945" t="s">
        <v>490</v>
      </c>
      <c r="C10" s="946" t="s">
        <v>277</v>
      </c>
      <c r="D10" s="199" t="s">
        <v>284</v>
      </c>
      <c r="E10" s="199" t="s">
        <v>285</v>
      </c>
      <c r="F10" s="199" t="s">
        <v>224</v>
      </c>
      <c r="G10" s="199" t="s">
        <v>282</v>
      </c>
      <c r="H10" s="199" t="s">
        <v>224</v>
      </c>
      <c r="I10" s="199" t="s">
        <v>283</v>
      </c>
      <c r="J10" s="199" t="s">
        <v>286</v>
      </c>
      <c r="K10" s="199" t="s">
        <v>279</v>
      </c>
      <c r="L10" s="199" t="s">
        <v>288</v>
      </c>
      <c r="M10" s="199" t="s">
        <v>280</v>
      </c>
      <c r="N10" s="199" t="s">
        <v>278</v>
      </c>
      <c r="O10" s="199" t="s">
        <v>241</v>
      </c>
      <c r="P10" s="199" t="s">
        <v>280</v>
      </c>
      <c r="Q10" s="199" t="s">
        <v>282</v>
      </c>
      <c r="R10" s="199" t="s">
        <v>279</v>
      </c>
      <c r="S10" s="199" t="s">
        <v>280</v>
      </c>
      <c r="T10" s="199" t="s">
        <v>278</v>
      </c>
      <c r="U10" s="199" t="s">
        <v>286</v>
      </c>
      <c r="V10" s="199" t="s">
        <v>238</v>
      </c>
      <c r="W10" s="199" t="s">
        <v>237</v>
      </c>
      <c r="X10" s="199" t="s">
        <v>287</v>
      </c>
      <c r="Y10" s="199" t="s">
        <v>281</v>
      </c>
      <c r="Z10" s="199" t="s">
        <v>283</v>
      </c>
      <c r="AA10" s="199" t="s">
        <v>237</v>
      </c>
      <c r="AB10" s="199" t="s">
        <v>237</v>
      </c>
      <c r="AC10" s="199" t="s">
        <v>238</v>
      </c>
      <c r="AD10" s="199" t="s">
        <v>241</v>
      </c>
      <c r="AE10" s="199" t="s">
        <v>236</v>
      </c>
      <c r="AF10" s="199" t="s">
        <v>224</v>
      </c>
      <c r="AG10" s="199" t="s">
        <v>243</v>
      </c>
      <c r="AH10" s="199" t="s">
        <v>224</v>
      </c>
      <c r="AI10" s="199" t="s">
        <v>238</v>
      </c>
      <c r="AJ10" s="199" t="s">
        <v>242</v>
      </c>
      <c r="AK10" s="199" t="s">
        <v>236</v>
      </c>
      <c r="AL10" s="200" t="s">
        <v>238</v>
      </c>
    </row>
    <row r="11" spans="1:38" s="186" customFormat="1" hidden="1" x14ac:dyDescent="0.2">
      <c r="C11" s="189" t="s">
        <v>605</v>
      </c>
      <c r="D11" s="185">
        <v>53</v>
      </c>
      <c r="E11" s="185">
        <v>7</v>
      </c>
      <c r="F11" s="185">
        <v>0</v>
      </c>
      <c r="G11" s="185">
        <v>0</v>
      </c>
      <c r="H11" s="185">
        <v>0</v>
      </c>
      <c r="I11" s="185">
        <v>0</v>
      </c>
      <c r="J11" s="185">
        <v>0</v>
      </c>
      <c r="K11" s="185">
        <v>0</v>
      </c>
      <c r="L11" s="185">
        <v>2</v>
      </c>
      <c r="M11" s="185">
        <v>4</v>
      </c>
      <c r="N11" s="185">
        <v>1</v>
      </c>
      <c r="O11" s="185">
        <v>7</v>
      </c>
      <c r="P11" s="185">
        <v>2</v>
      </c>
      <c r="Q11" s="185">
        <v>0</v>
      </c>
      <c r="R11" s="185">
        <v>3</v>
      </c>
      <c r="S11" s="185">
        <v>0</v>
      </c>
      <c r="T11" s="185">
        <v>0</v>
      </c>
      <c r="U11" s="185">
        <v>0</v>
      </c>
      <c r="V11" s="185">
        <v>1</v>
      </c>
      <c r="W11" s="185">
        <v>0</v>
      </c>
      <c r="X11" s="185">
        <v>2</v>
      </c>
      <c r="Y11" s="185">
        <v>0</v>
      </c>
      <c r="Z11" s="185">
        <v>1</v>
      </c>
      <c r="AA11" s="185">
        <v>3</v>
      </c>
      <c r="AB11" s="185">
        <v>27</v>
      </c>
      <c r="AC11" s="185">
        <v>0</v>
      </c>
      <c r="AD11" s="185">
        <v>0</v>
      </c>
      <c r="AE11" s="185">
        <v>0</v>
      </c>
      <c r="AF11" s="185">
        <v>1</v>
      </c>
      <c r="AG11" s="185">
        <v>0</v>
      </c>
      <c r="AH11" s="185">
        <v>0</v>
      </c>
      <c r="AI11" s="185">
        <v>0</v>
      </c>
      <c r="AJ11" s="185">
        <v>0</v>
      </c>
      <c r="AK11" s="185">
        <v>2</v>
      </c>
      <c r="AL11" s="185">
        <v>1</v>
      </c>
    </row>
    <row r="12" spans="1:38" s="186" customFormat="1" ht="15" hidden="1" customHeight="1" x14ac:dyDescent="0.2">
      <c r="A12" s="185"/>
      <c r="B12" s="185"/>
      <c r="C12" s="189" t="s">
        <v>604</v>
      </c>
      <c r="D12" s="190">
        <f>COUNTIF(D14:D433,"s/dato")</f>
        <v>53</v>
      </c>
      <c r="E12" s="190">
        <f t="shared" ref="E12:AL12" si="0">COUNTIF(E14:E433,"s/dato")</f>
        <v>7</v>
      </c>
      <c r="F12" s="190">
        <f t="shared" si="0"/>
        <v>0</v>
      </c>
      <c r="G12" s="190">
        <f t="shared" si="0"/>
        <v>0</v>
      </c>
      <c r="H12" s="190">
        <f t="shared" si="0"/>
        <v>0</v>
      </c>
      <c r="I12" s="190">
        <f t="shared" si="0"/>
        <v>0</v>
      </c>
      <c r="J12" s="190">
        <f t="shared" si="0"/>
        <v>0</v>
      </c>
      <c r="K12" s="190">
        <f t="shared" si="0"/>
        <v>0</v>
      </c>
      <c r="L12" s="190">
        <f t="shared" si="0"/>
        <v>2</v>
      </c>
      <c r="M12" s="190">
        <f t="shared" si="0"/>
        <v>4</v>
      </c>
      <c r="N12" s="190">
        <f t="shared" si="0"/>
        <v>1</v>
      </c>
      <c r="O12" s="190">
        <f t="shared" si="0"/>
        <v>7</v>
      </c>
      <c r="P12" s="190">
        <f t="shared" si="0"/>
        <v>2</v>
      </c>
      <c r="Q12" s="190">
        <f t="shared" si="0"/>
        <v>0</v>
      </c>
      <c r="R12" s="190">
        <f t="shared" si="0"/>
        <v>3</v>
      </c>
      <c r="S12" s="190">
        <f t="shared" si="0"/>
        <v>0</v>
      </c>
      <c r="T12" s="190">
        <f t="shared" si="0"/>
        <v>0</v>
      </c>
      <c r="U12" s="190">
        <f t="shared" si="0"/>
        <v>0</v>
      </c>
      <c r="V12" s="190">
        <f t="shared" si="0"/>
        <v>1</v>
      </c>
      <c r="W12" s="190">
        <f t="shared" si="0"/>
        <v>0</v>
      </c>
      <c r="X12" s="190">
        <f t="shared" si="0"/>
        <v>2</v>
      </c>
      <c r="Y12" s="190">
        <f t="shared" si="0"/>
        <v>0</v>
      </c>
      <c r="Z12" s="190">
        <f t="shared" si="0"/>
        <v>1</v>
      </c>
      <c r="AA12" s="190">
        <f t="shared" si="0"/>
        <v>3</v>
      </c>
      <c r="AB12" s="190">
        <f t="shared" si="0"/>
        <v>27</v>
      </c>
      <c r="AC12" s="190">
        <f t="shared" si="0"/>
        <v>0</v>
      </c>
      <c r="AD12" s="190">
        <f t="shared" si="0"/>
        <v>0</v>
      </c>
      <c r="AE12" s="190">
        <f t="shared" si="0"/>
        <v>0</v>
      </c>
      <c r="AF12" s="190">
        <f t="shared" si="0"/>
        <v>1</v>
      </c>
      <c r="AG12" s="190">
        <f t="shared" si="0"/>
        <v>0</v>
      </c>
      <c r="AH12" s="190">
        <f t="shared" si="0"/>
        <v>0</v>
      </c>
      <c r="AI12" s="190">
        <f t="shared" si="0"/>
        <v>0</v>
      </c>
      <c r="AJ12" s="190">
        <f t="shared" si="0"/>
        <v>0</v>
      </c>
      <c r="AK12" s="190">
        <f t="shared" si="0"/>
        <v>2</v>
      </c>
      <c r="AL12" s="190">
        <f t="shared" si="0"/>
        <v>1</v>
      </c>
    </row>
    <row r="13" spans="1:38" s="182" customFormat="1" x14ac:dyDescent="0.2">
      <c r="B13" s="184" t="s">
        <v>217</v>
      </c>
      <c r="C13" s="184" t="s">
        <v>491</v>
      </c>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row>
    <row r="14" spans="1:38" s="9" customFormat="1" x14ac:dyDescent="0.2">
      <c r="B14" s="55">
        <v>1981</v>
      </c>
      <c r="C14" s="115" t="s">
        <v>289</v>
      </c>
      <c r="D14" s="6">
        <v>156</v>
      </c>
      <c r="E14" s="7">
        <v>64</v>
      </c>
      <c r="F14" s="6">
        <v>137.4</v>
      </c>
      <c r="G14" s="7">
        <v>179.5</v>
      </c>
      <c r="H14" s="6">
        <v>186</v>
      </c>
      <c r="I14" s="6">
        <v>141</v>
      </c>
      <c r="J14" s="7">
        <v>106</v>
      </c>
      <c r="K14" s="7">
        <v>185</v>
      </c>
      <c r="L14" s="6">
        <v>244</v>
      </c>
      <c r="M14" s="6">
        <v>108</v>
      </c>
      <c r="N14" s="7">
        <v>266</v>
      </c>
      <c r="O14" s="6">
        <v>88</v>
      </c>
      <c r="P14" s="7">
        <v>203</v>
      </c>
      <c r="Q14" s="6">
        <v>154</v>
      </c>
      <c r="R14" s="6">
        <v>93.4</v>
      </c>
      <c r="S14" s="6">
        <v>59.8</v>
      </c>
      <c r="T14" s="6">
        <v>274.7</v>
      </c>
      <c r="U14" s="7">
        <v>205</v>
      </c>
      <c r="V14" s="7">
        <v>110.2</v>
      </c>
      <c r="W14" s="6">
        <v>219.6</v>
      </c>
      <c r="X14" s="6">
        <v>152</v>
      </c>
      <c r="Y14" s="6">
        <v>130</v>
      </c>
      <c r="Z14" s="7">
        <v>254</v>
      </c>
      <c r="AA14" s="55">
        <v>231</v>
      </c>
      <c r="AB14" s="7">
        <v>143</v>
      </c>
      <c r="AC14" s="6">
        <v>264.2</v>
      </c>
      <c r="AD14" s="6">
        <v>139.30000000000001</v>
      </c>
      <c r="AE14" s="6">
        <v>197.7</v>
      </c>
      <c r="AF14" s="6">
        <v>238</v>
      </c>
      <c r="AG14" s="6">
        <v>127</v>
      </c>
      <c r="AH14" s="6">
        <v>163</v>
      </c>
      <c r="AI14" s="7">
        <v>73</v>
      </c>
      <c r="AJ14" s="6">
        <v>70.5</v>
      </c>
      <c r="AK14" s="7">
        <v>161.5</v>
      </c>
      <c r="AL14" s="7">
        <v>154</v>
      </c>
    </row>
    <row r="15" spans="1:38" s="9" customFormat="1" x14ac:dyDescent="0.2">
      <c r="B15" s="55">
        <v>1981</v>
      </c>
      <c r="C15" s="115" t="s">
        <v>290</v>
      </c>
      <c r="D15" s="6">
        <v>146</v>
      </c>
      <c r="E15" s="7">
        <v>97</v>
      </c>
      <c r="F15" s="6">
        <v>186.1</v>
      </c>
      <c r="G15" s="7">
        <v>176.5</v>
      </c>
      <c r="H15" s="6">
        <v>213</v>
      </c>
      <c r="I15" s="6">
        <v>94</v>
      </c>
      <c r="J15" s="7">
        <v>129</v>
      </c>
      <c r="K15" s="7">
        <v>79</v>
      </c>
      <c r="L15" s="6">
        <v>209</v>
      </c>
      <c r="M15" s="6">
        <v>344</v>
      </c>
      <c r="N15" s="7">
        <v>126</v>
      </c>
      <c r="O15" s="6">
        <v>128</v>
      </c>
      <c r="P15" s="7">
        <v>302</v>
      </c>
      <c r="Q15" s="6">
        <v>142</v>
      </c>
      <c r="R15" s="6">
        <v>119.6</v>
      </c>
      <c r="S15" s="6">
        <v>158.4</v>
      </c>
      <c r="T15" s="6">
        <v>58.8</v>
      </c>
      <c r="U15" s="7">
        <v>184</v>
      </c>
      <c r="V15" s="7">
        <v>162.4</v>
      </c>
      <c r="W15" s="6">
        <v>109.6</v>
      </c>
      <c r="X15" s="6">
        <v>75</v>
      </c>
      <c r="Y15" s="6">
        <v>112.9</v>
      </c>
      <c r="Z15" s="7">
        <v>122</v>
      </c>
      <c r="AA15" s="55">
        <v>151</v>
      </c>
      <c r="AB15" s="7">
        <v>120.5</v>
      </c>
      <c r="AC15" s="6">
        <v>267.2</v>
      </c>
      <c r="AD15" s="6">
        <v>144.9</v>
      </c>
      <c r="AE15" s="6">
        <v>188.2</v>
      </c>
      <c r="AF15" s="6">
        <v>336</v>
      </c>
      <c r="AG15" s="6">
        <v>161</v>
      </c>
      <c r="AH15" s="6">
        <v>245</v>
      </c>
      <c r="AI15" s="7">
        <v>203</v>
      </c>
      <c r="AJ15" s="6">
        <v>114.1</v>
      </c>
      <c r="AK15" s="7">
        <v>132.69999999999999</v>
      </c>
      <c r="AL15" s="7">
        <v>161.1</v>
      </c>
    </row>
    <row r="16" spans="1:38" s="9" customFormat="1" x14ac:dyDescent="0.2">
      <c r="B16" s="55">
        <v>1981</v>
      </c>
      <c r="C16" s="115" t="s">
        <v>291</v>
      </c>
      <c r="D16" s="6">
        <v>118</v>
      </c>
      <c r="E16" s="7">
        <v>42</v>
      </c>
      <c r="F16" s="6">
        <v>66</v>
      </c>
      <c r="G16" s="7">
        <v>56</v>
      </c>
      <c r="H16" s="6">
        <v>85</v>
      </c>
      <c r="I16" s="6">
        <v>93</v>
      </c>
      <c r="J16" s="7">
        <v>49</v>
      </c>
      <c r="K16" s="7">
        <v>42.2</v>
      </c>
      <c r="L16" s="6">
        <v>27.1</v>
      </c>
      <c r="M16" s="6">
        <v>75</v>
      </c>
      <c r="N16" s="7">
        <v>27</v>
      </c>
      <c r="O16" s="6">
        <v>22</v>
      </c>
      <c r="P16" s="7">
        <v>12</v>
      </c>
      <c r="Q16" s="6">
        <v>80</v>
      </c>
      <c r="R16" s="6">
        <v>44.7</v>
      </c>
      <c r="S16" s="6">
        <v>24.5</v>
      </c>
      <c r="T16" s="6">
        <v>37.9</v>
      </c>
      <c r="U16" s="7">
        <v>49</v>
      </c>
      <c r="V16" s="7">
        <v>33.5</v>
      </c>
      <c r="W16" s="6">
        <v>25</v>
      </c>
      <c r="X16" s="6">
        <v>45</v>
      </c>
      <c r="Y16" s="6">
        <v>72.900000000000006</v>
      </c>
      <c r="Z16" s="7">
        <v>100</v>
      </c>
      <c r="AA16" s="55">
        <v>55</v>
      </c>
      <c r="AB16" s="7">
        <v>17.5</v>
      </c>
      <c r="AC16" s="6">
        <v>43</v>
      </c>
      <c r="AD16" s="6">
        <v>91</v>
      </c>
      <c r="AE16" s="6">
        <v>62.5</v>
      </c>
      <c r="AF16" s="6">
        <v>94</v>
      </c>
      <c r="AG16" s="6">
        <v>72</v>
      </c>
      <c r="AH16" s="6">
        <v>74</v>
      </c>
      <c r="AI16" s="7">
        <v>99</v>
      </c>
      <c r="AJ16" s="6">
        <v>36.200000000000003</v>
      </c>
      <c r="AK16" s="7">
        <v>51.5</v>
      </c>
      <c r="AL16" s="7">
        <v>34.200000000000003</v>
      </c>
    </row>
    <row r="17" spans="2:38" s="9" customFormat="1" x14ac:dyDescent="0.2">
      <c r="B17" s="55">
        <v>1981</v>
      </c>
      <c r="C17" s="115" t="s">
        <v>292</v>
      </c>
      <c r="D17" s="6">
        <v>58</v>
      </c>
      <c r="E17" s="7">
        <v>80</v>
      </c>
      <c r="F17" s="6">
        <v>48</v>
      </c>
      <c r="G17" s="7">
        <v>25</v>
      </c>
      <c r="H17" s="6">
        <v>90</v>
      </c>
      <c r="I17" s="6">
        <v>61</v>
      </c>
      <c r="J17" s="7">
        <v>71.5</v>
      </c>
      <c r="K17" s="7">
        <v>53</v>
      </c>
      <c r="L17" s="6">
        <v>68</v>
      </c>
      <c r="M17" s="6">
        <v>103</v>
      </c>
      <c r="N17" s="7">
        <v>100</v>
      </c>
      <c r="O17" s="6">
        <v>103</v>
      </c>
      <c r="P17" s="7">
        <v>61</v>
      </c>
      <c r="Q17" s="6">
        <v>117</v>
      </c>
      <c r="R17" s="6">
        <v>42</v>
      </c>
      <c r="S17" s="6">
        <v>73.900000000000006</v>
      </c>
      <c r="T17" s="6">
        <v>87.7</v>
      </c>
      <c r="U17" s="7">
        <v>98</v>
      </c>
      <c r="V17" s="7">
        <v>61.5</v>
      </c>
      <c r="W17" s="6">
        <v>47.5</v>
      </c>
      <c r="X17" s="6">
        <v>84</v>
      </c>
      <c r="Y17" s="6">
        <v>92.2</v>
      </c>
      <c r="Z17" s="7">
        <v>92</v>
      </c>
      <c r="AA17" s="55">
        <v>106</v>
      </c>
      <c r="AB17" s="7">
        <v>89.5</v>
      </c>
      <c r="AC17" s="6">
        <v>133.6</v>
      </c>
      <c r="AD17" s="6">
        <v>70.400000000000006</v>
      </c>
      <c r="AE17" s="6">
        <v>128</v>
      </c>
      <c r="AF17" s="6">
        <v>164</v>
      </c>
      <c r="AG17" s="6">
        <v>87</v>
      </c>
      <c r="AH17" s="6">
        <v>156</v>
      </c>
      <c r="AI17" s="7">
        <v>64</v>
      </c>
      <c r="AJ17" s="6">
        <v>81.5</v>
      </c>
      <c r="AK17" s="7">
        <v>130</v>
      </c>
      <c r="AL17" s="7">
        <v>99</v>
      </c>
    </row>
    <row r="18" spans="2:38" s="9" customFormat="1" x14ac:dyDescent="0.2">
      <c r="B18" s="55">
        <v>1981</v>
      </c>
      <c r="C18" s="115" t="s">
        <v>293</v>
      </c>
      <c r="D18" s="6">
        <v>296</v>
      </c>
      <c r="E18" s="7">
        <v>166</v>
      </c>
      <c r="F18" s="6">
        <v>256.39999999999998</v>
      </c>
      <c r="G18" s="7">
        <v>205</v>
      </c>
      <c r="H18" s="6">
        <v>124</v>
      </c>
      <c r="I18" s="6">
        <v>343</v>
      </c>
      <c r="J18" s="7">
        <v>170.5</v>
      </c>
      <c r="K18" s="7">
        <v>72</v>
      </c>
      <c r="L18" s="6">
        <v>242.8</v>
      </c>
      <c r="M18" s="6">
        <v>205</v>
      </c>
      <c r="N18" s="7">
        <v>383</v>
      </c>
      <c r="O18" s="6">
        <v>240</v>
      </c>
      <c r="P18" s="7">
        <v>201</v>
      </c>
      <c r="Q18" s="6">
        <v>163</v>
      </c>
      <c r="R18" s="6">
        <v>342.5</v>
      </c>
      <c r="S18" s="6">
        <v>228.6</v>
      </c>
      <c r="T18" s="6">
        <v>281.89999999999998</v>
      </c>
      <c r="U18" s="7">
        <v>231</v>
      </c>
      <c r="V18" s="7">
        <v>153.30000000000001</v>
      </c>
      <c r="W18" s="6">
        <v>212.4</v>
      </c>
      <c r="X18" s="6">
        <v>342</v>
      </c>
      <c r="Y18" s="6">
        <v>287.5</v>
      </c>
      <c r="Z18" s="7">
        <v>376</v>
      </c>
      <c r="AA18" s="55">
        <v>278</v>
      </c>
      <c r="AB18" s="7">
        <v>184.5</v>
      </c>
      <c r="AC18" s="6">
        <v>150.4</v>
      </c>
      <c r="AD18" s="6">
        <v>282.3</v>
      </c>
      <c r="AE18" s="6">
        <v>178.8</v>
      </c>
      <c r="AF18" s="6">
        <v>309</v>
      </c>
      <c r="AG18" s="6">
        <v>170</v>
      </c>
      <c r="AH18" s="6">
        <v>179</v>
      </c>
      <c r="AI18" s="7">
        <v>229</v>
      </c>
      <c r="AJ18" s="6">
        <v>152.1</v>
      </c>
      <c r="AK18" s="7">
        <v>257</v>
      </c>
      <c r="AL18" s="7">
        <v>190.8</v>
      </c>
    </row>
    <row r="19" spans="2:38" s="9" customFormat="1" x14ac:dyDescent="0.2">
      <c r="B19" s="55">
        <v>1981</v>
      </c>
      <c r="C19" s="115" t="s">
        <v>294</v>
      </c>
      <c r="D19" s="6">
        <v>28</v>
      </c>
      <c r="E19" s="7">
        <v>198</v>
      </c>
      <c r="F19" s="6">
        <v>96.8</v>
      </c>
      <c r="G19" s="7">
        <v>0</v>
      </c>
      <c r="H19" s="6">
        <v>66</v>
      </c>
      <c r="I19" s="6">
        <v>25</v>
      </c>
      <c r="J19" s="7">
        <v>51.5</v>
      </c>
      <c r="K19" s="7">
        <v>21</v>
      </c>
      <c r="L19" s="6">
        <v>29.3</v>
      </c>
      <c r="M19" s="6">
        <v>109</v>
      </c>
      <c r="N19" s="7">
        <v>26</v>
      </c>
      <c r="O19" s="6">
        <v>39</v>
      </c>
      <c r="P19" s="7">
        <v>169</v>
      </c>
      <c r="Q19" s="6">
        <v>37</v>
      </c>
      <c r="R19" s="6">
        <v>18</v>
      </c>
      <c r="S19" s="6">
        <v>150.1</v>
      </c>
      <c r="T19" s="6">
        <v>12.6</v>
      </c>
      <c r="U19" s="7">
        <v>18</v>
      </c>
      <c r="V19" s="7">
        <v>130.69999999999999</v>
      </c>
      <c r="W19" s="6">
        <v>21.2</v>
      </c>
      <c r="X19" s="6">
        <v>40</v>
      </c>
      <c r="Y19" s="6">
        <v>45.5</v>
      </c>
      <c r="Z19" s="7">
        <v>27</v>
      </c>
      <c r="AA19" s="55">
        <v>44</v>
      </c>
      <c r="AB19" s="7">
        <v>40.9</v>
      </c>
      <c r="AC19" s="6">
        <v>98.5</v>
      </c>
      <c r="AD19" s="6">
        <v>33.4</v>
      </c>
      <c r="AE19" s="6">
        <v>44.1</v>
      </c>
      <c r="AF19" s="6">
        <v>100</v>
      </c>
      <c r="AG19" s="6">
        <v>152</v>
      </c>
      <c r="AH19" s="6">
        <v>111</v>
      </c>
      <c r="AI19" s="7">
        <v>119</v>
      </c>
      <c r="AJ19" s="6">
        <v>60.6</v>
      </c>
      <c r="AK19" s="7">
        <v>120</v>
      </c>
      <c r="AL19" s="7">
        <v>160.5</v>
      </c>
    </row>
    <row r="20" spans="2:38" s="9" customFormat="1" x14ac:dyDescent="0.2">
      <c r="B20" s="55">
        <v>1981</v>
      </c>
      <c r="C20" s="115" t="s">
        <v>295</v>
      </c>
      <c r="D20" s="6">
        <v>117</v>
      </c>
      <c r="E20" s="7">
        <v>129</v>
      </c>
      <c r="F20" s="6">
        <v>66.099999999999994</v>
      </c>
      <c r="G20" s="7">
        <v>60</v>
      </c>
      <c r="H20" s="6">
        <v>48</v>
      </c>
      <c r="I20" s="6">
        <v>118</v>
      </c>
      <c r="J20" s="7">
        <v>135.5</v>
      </c>
      <c r="K20" s="7">
        <v>62</v>
      </c>
      <c r="L20" s="6">
        <v>96.7</v>
      </c>
      <c r="M20" s="6">
        <v>322</v>
      </c>
      <c r="N20" s="7">
        <v>93</v>
      </c>
      <c r="O20" s="6">
        <v>142</v>
      </c>
      <c r="P20" s="7">
        <v>239</v>
      </c>
      <c r="Q20" s="6">
        <v>148</v>
      </c>
      <c r="R20" s="6">
        <v>56.4</v>
      </c>
      <c r="S20" s="6">
        <v>80.599999999999994</v>
      </c>
      <c r="T20" s="6">
        <v>56.7</v>
      </c>
      <c r="U20" s="7">
        <v>111</v>
      </c>
      <c r="V20" s="7">
        <v>77.400000000000006</v>
      </c>
      <c r="W20" s="6">
        <v>55</v>
      </c>
      <c r="X20" s="6">
        <v>111</v>
      </c>
      <c r="Y20" s="6">
        <v>85.5</v>
      </c>
      <c r="Z20" s="7">
        <v>72</v>
      </c>
      <c r="AA20" s="55">
        <v>101</v>
      </c>
      <c r="AB20" s="7">
        <v>82.5</v>
      </c>
      <c r="AC20" s="6">
        <v>92.2</v>
      </c>
      <c r="AD20" s="6">
        <v>113.3</v>
      </c>
      <c r="AE20" s="6">
        <v>49.6</v>
      </c>
      <c r="AF20" s="6">
        <v>70</v>
      </c>
      <c r="AG20" s="6">
        <v>92</v>
      </c>
      <c r="AH20" s="6">
        <v>37</v>
      </c>
      <c r="AI20" s="7">
        <v>75</v>
      </c>
      <c r="AJ20" s="6">
        <v>187.1</v>
      </c>
      <c r="AK20" s="7">
        <v>64.5</v>
      </c>
      <c r="AL20" s="7">
        <v>76.5</v>
      </c>
    </row>
    <row r="21" spans="2:38" s="9" customFormat="1" x14ac:dyDescent="0.2">
      <c r="B21" s="55">
        <v>1981</v>
      </c>
      <c r="C21" s="115" t="s">
        <v>296</v>
      </c>
      <c r="D21" s="6">
        <v>97</v>
      </c>
      <c r="E21" s="7">
        <v>51</v>
      </c>
      <c r="F21" s="6">
        <v>48.3</v>
      </c>
      <c r="G21" s="7">
        <v>64</v>
      </c>
      <c r="H21" s="6">
        <v>89</v>
      </c>
      <c r="I21" s="6">
        <v>78</v>
      </c>
      <c r="J21" s="7">
        <v>94.5</v>
      </c>
      <c r="K21" s="7">
        <v>65</v>
      </c>
      <c r="L21" s="6">
        <v>113</v>
      </c>
      <c r="M21" s="6">
        <v>134</v>
      </c>
      <c r="N21" s="7">
        <v>56</v>
      </c>
      <c r="O21" s="6">
        <v>77</v>
      </c>
      <c r="P21" s="7">
        <v>15</v>
      </c>
      <c r="Q21" s="6">
        <v>68</v>
      </c>
      <c r="R21" s="6">
        <v>60.9</v>
      </c>
      <c r="S21" s="6">
        <v>63.3</v>
      </c>
      <c r="T21" s="6">
        <v>50.8</v>
      </c>
      <c r="U21" s="7">
        <v>88</v>
      </c>
      <c r="V21" s="7">
        <v>43</v>
      </c>
      <c r="W21" s="6">
        <v>72.3</v>
      </c>
      <c r="X21" s="6">
        <v>70</v>
      </c>
      <c r="Y21" s="6">
        <v>69.400000000000006</v>
      </c>
      <c r="Z21" s="7">
        <v>81</v>
      </c>
      <c r="AA21" s="55">
        <v>96</v>
      </c>
      <c r="AB21" s="7">
        <v>3</v>
      </c>
      <c r="AC21" s="6">
        <v>31.1</v>
      </c>
      <c r="AD21" s="6">
        <v>113.9</v>
      </c>
      <c r="AE21" s="6">
        <v>82</v>
      </c>
      <c r="AF21" s="6">
        <v>85</v>
      </c>
      <c r="AG21" s="6">
        <v>85</v>
      </c>
      <c r="AH21" s="6">
        <v>87</v>
      </c>
      <c r="AI21" s="7">
        <v>54</v>
      </c>
      <c r="AJ21" s="6">
        <v>83.5</v>
      </c>
      <c r="AK21" s="7">
        <v>113</v>
      </c>
      <c r="AL21" s="7">
        <v>69</v>
      </c>
    </row>
    <row r="22" spans="2:38" s="9" customFormat="1" x14ac:dyDescent="0.2">
      <c r="B22" s="55">
        <v>1981</v>
      </c>
      <c r="C22" s="115" t="s">
        <v>297</v>
      </c>
      <c r="D22" s="6">
        <v>77</v>
      </c>
      <c r="E22" s="7">
        <v>276</v>
      </c>
      <c r="F22" s="6">
        <v>95.2</v>
      </c>
      <c r="G22" s="7">
        <v>43.5</v>
      </c>
      <c r="H22" s="6">
        <v>58</v>
      </c>
      <c r="I22" s="6">
        <v>134</v>
      </c>
      <c r="J22" s="7">
        <v>155.5</v>
      </c>
      <c r="K22" s="7">
        <v>68</v>
      </c>
      <c r="L22" s="6">
        <v>139</v>
      </c>
      <c r="M22" s="6">
        <v>330</v>
      </c>
      <c r="N22" s="7">
        <v>75</v>
      </c>
      <c r="O22" s="6">
        <v>283</v>
      </c>
      <c r="P22" s="7">
        <v>107</v>
      </c>
      <c r="Q22" s="6">
        <v>226</v>
      </c>
      <c r="R22" s="6">
        <v>86.2</v>
      </c>
      <c r="S22" s="6">
        <v>175.8</v>
      </c>
      <c r="T22" s="6">
        <v>44.9</v>
      </c>
      <c r="U22" s="7">
        <v>126</v>
      </c>
      <c r="V22" s="7">
        <v>169.5</v>
      </c>
      <c r="W22" s="6">
        <v>61</v>
      </c>
      <c r="X22" s="6">
        <v>87</v>
      </c>
      <c r="Y22" s="6">
        <v>134.5</v>
      </c>
      <c r="Z22" s="7">
        <v>100</v>
      </c>
      <c r="AA22" s="55">
        <v>93</v>
      </c>
      <c r="AB22" s="7">
        <v>96</v>
      </c>
      <c r="AC22" s="6">
        <v>163.5</v>
      </c>
      <c r="AD22" s="6">
        <v>125.9</v>
      </c>
      <c r="AE22" s="6">
        <v>78.599999999999994</v>
      </c>
      <c r="AF22" s="6">
        <v>87</v>
      </c>
      <c r="AG22" s="6">
        <v>151</v>
      </c>
      <c r="AH22" s="6">
        <v>71</v>
      </c>
      <c r="AI22" s="7">
        <v>140</v>
      </c>
      <c r="AJ22" s="6">
        <v>209.1</v>
      </c>
      <c r="AK22" s="7">
        <v>82.5</v>
      </c>
      <c r="AL22" s="7">
        <v>201</v>
      </c>
    </row>
    <row r="23" spans="2:38" s="9" customFormat="1" x14ac:dyDescent="0.2">
      <c r="B23" s="55">
        <v>1981</v>
      </c>
      <c r="C23" s="115" t="s">
        <v>298</v>
      </c>
      <c r="D23" s="6">
        <v>20</v>
      </c>
      <c r="E23" s="7">
        <v>19</v>
      </c>
      <c r="F23" s="6">
        <v>55.5</v>
      </c>
      <c r="G23" s="7">
        <v>7.5</v>
      </c>
      <c r="H23" s="6">
        <v>50</v>
      </c>
      <c r="I23" s="6">
        <v>37</v>
      </c>
      <c r="J23" s="7">
        <v>60</v>
      </c>
      <c r="K23" s="7">
        <v>33</v>
      </c>
      <c r="L23" s="6">
        <v>25</v>
      </c>
      <c r="M23" s="6">
        <v>54</v>
      </c>
      <c r="N23" s="7">
        <v>26</v>
      </c>
      <c r="O23" s="6">
        <v>44</v>
      </c>
      <c r="P23" s="7">
        <v>99</v>
      </c>
      <c r="Q23" s="6">
        <v>38</v>
      </c>
      <c r="R23" s="6">
        <v>45.8</v>
      </c>
      <c r="S23" s="6">
        <v>24</v>
      </c>
      <c r="T23" s="6">
        <v>16.3</v>
      </c>
      <c r="U23" s="7">
        <v>38</v>
      </c>
      <c r="V23" s="7">
        <v>62</v>
      </c>
      <c r="W23" s="6">
        <v>19.2</v>
      </c>
      <c r="X23" s="6">
        <v>22</v>
      </c>
      <c r="Y23" s="6">
        <v>89</v>
      </c>
      <c r="Z23" s="7">
        <v>39</v>
      </c>
      <c r="AA23" s="55">
        <v>20</v>
      </c>
      <c r="AB23" s="7">
        <v>12</v>
      </c>
      <c r="AC23" s="6">
        <v>49.3</v>
      </c>
      <c r="AD23" s="6">
        <v>30.5</v>
      </c>
      <c r="AE23" s="6">
        <v>40.6</v>
      </c>
      <c r="AF23" s="6">
        <v>16</v>
      </c>
      <c r="AG23" s="6">
        <v>34</v>
      </c>
      <c r="AH23" s="6">
        <v>47</v>
      </c>
      <c r="AI23" s="7">
        <v>29</v>
      </c>
      <c r="AJ23" s="6">
        <v>46.5</v>
      </c>
      <c r="AK23" s="7">
        <v>19</v>
      </c>
      <c r="AL23" s="7">
        <v>47.5</v>
      </c>
    </row>
    <row r="24" spans="2:38" s="9" customFormat="1" x14ac:dyDescent="0.2">
      <c r="B24" s="55">
        <v>1981</v>
      </c>
      <c r="C24" s="115" t="s">
        <v>299</v>
      </c>
      <c r="D24" s="6">
        <v>135</v>
      </c>
      <c r="E24" s="7">
        <v>137</v>
      </c>
      <c r="F24" s="6">
        <v>121.3</v>
      </c>
      <c r="G24" s="7">
        <v>37</v>
      </c>
      <c r="H24" s="6">
        <v>54</v>
      </c>
      <c r="I24" s="6">
        <v>49</v>
      </c>
      <c r="J24" s="7">
        <v>37</v>
      </c>
      <c r="K24" s="7">
        <v>98</v>
      </c>
      <c r="L24" s="6">
        <v>59</v>
      </c>
      <c r="M24" s="6">
        <v>161</v>
      </c>
      <c r="N24" s="7">
        <v>72</v>
      </c>
      <c r="O24" s="6">
        <v>140</v>
      </c>
      <c r="P24" s="7">
        <v>59</v>
      </c>
      <c r="Q24" s="6">
        <v>142</v>
      </c>
      <c r="R24" s="6">
        <v>157.19999999999999</v>
      </c>
      <c r="S24" s="6">
        <v>97.7</v>
      </c>
      <c r="T24" s="6">
        <v>38.5</v>
      </c>
      <c r="U24" s="7">
        <v>35</v>
      </c>
      <c r="V24" s="7">
        <v>31.5</v>
      </c>
      <c r="W24" s="6">
        <v>62.2</v>
      </c>
      <c r="X24" s="6">
        <v>69</v>
      </c>
      <c r="Y24" s="6">
        <v>64</v>
      </c>
      <c r="Z24" s="7">
        <v>38</v>
      </c>
      <c r="AA24" s="55">
        <v>124</v>
      </c>
      <c r="AB24" s="7">
        <v>111.5</v>
      </c>
      <c r="AC24" s="6">
        <v>52</v>
      </c>
      <c r="AD24" s="6">
        <v>110.7</v>
      </c>
      <c r="AE24" s="6">
        <v>104.2</v>
      </c>
      <c r="AF24" s="6">
        <v>46</v>
      </c>
      <c r="AG24" s="6">
        <v>115</v>
      </c>
      <c r="AH24" s="6">
        <v>64</v>
      </c>
      <c r="AI24" s="7">
        <v>88</v>
      </c>
      <c r="AJ24" s="6">
        <v>90.1</v>
      </c>
      <c r="AK24" s="7">
        <v>75.5</v>
      </c>
      <c r="AL24" s="7">
        <v>99</v>
      </c>
    </row>
    <row r="25" spans="2:38" s="9" customFormat="1" x14ac:dyDescent="0.2">
      <c r="B25" s="55">
        <v>1981</v>
      </c>
      <c r="C25" s="115" t="s">
        <v>301</v>
      </c>
      <c r="D25" s="6">
        <v>138</v>
      </c>
      <c r="E25" s="7">
        <v>37</v>
      </c>
      <c r="F25" s="6">
        <v>135.4</v>
      </c>
      <c r="G25" s="7">
        <v>94.5</v>
      </c>
      <c r="H25" s="6">
        <v>104</v>
      </c>
      <c r="I25" s="6">
        <v>115</v>
      </c>
      <c r="J25" s="7">
        <v>51.5</v>
      </c>
      <c r="K25" s="7">
        <v>100</v>
      </c>
      <c r="L25" s="6">
        <v>87</v>
      </c>
      <c r="M25" s="6">
        <v>55</v>
      </c>
      <c r="N25" s="7">
        <v>140</v>
      </c>
      <c r="O25" s="6">
        <v>73</v>
      </c>
      <c r="P25" s="7">
        <v>25</v>
      </c>
      <c r="Q25" s="6">
        <v>91</v>
      </c>
      <c r="R25" s="6">
        <v>117.6</v>
      </c>
      <c r="S25" s="6">
        <v>39.9</v>
      </c>
      <c r="T25" s="6">
        <v>131.69999999999999</v>
      </c>
      <c r="U25" s="7">
        <v>100</v>
      </c>
      <c r="V25" s="7">
        <v>112</v>
      </c>
      <c r="W25" s="6">
        <v>98.4</v>
      </c>
      <c r="X25" s="6">
        <v>150</v>
      </c>
      <c r="Y25" s="6">
        <v>102.9</v>
      </c>
      <c r="Z25" s="7">
        <v>106</v>
      </c>
      <c r="AA25" s="55">
        <v>128</v>
      </c>
      <c r="AB25" s="7">
        <v>61.5</v>
      </c>
      <c r="AC25" s="6">
        <v>140.69999999999999</v>
      </c>
      <c r="AD25" s="6">
        <v>90.6</v>
      </c>
      <c r="AE25" s="6">
        <v>130.4</v>
      </c>
      <c r="AF25" s="6">
        <v>150</v>
      </c>
      <c r="AG25" s="6">
        <v>157</v>
      </c>
      <c r="AH25" s="6">
        <v>132</v>
      </c>
      <c r="AI25" s="7">
        <v>143</v>
      </c>
      <c r="AJ25" s="6">
        <v>37.700000000000003</v>
      </c>
      <c r="AK25" s="7">
        <v>80.5</v>
      </c>
      <c r="AL25" s="7">
        <v>88.5</v>
      </c>
    </row>
    <row r="26" spans="2:38" s="9" customFormat="1" x14ac:dyDescent="0.2">
      <c r="B26" s="55">
        <v>1982</v>
      </c>
      <c r="C26" s="115" t="s">
        <v>289</v>
      </c>
      <c r="D26" s="6">
        <v>58</v>
      </c>
      <c r="E26" s="7">
        <v>63</v>
      </c>
      <c r="F26" s="6">
        <v>70.400000000000006</v>
      </c>
      <c r="G26" s="7">
        <v>12</v>
      </c>
      <c r="H26" s="6">
        <v>42</v>
      </c>
      <c r="I26" s="6">
        <v>27</v>
      </c>
      <c r="J26" s="7">
        <v>80</v>
      </c>
      <c r="K26" s="7">
        <v>39</v>
      </c>
      <c r="L26" s="6">
        <v>61.9</v>
      </c>
      <c r="M26" s="6">
        <v>24</v>
      </c>
      <c r="N26" s="7">
        <v>29</v>
      </c>
      <c r="O26" s="6">
        <v>42</v>
      </c>
      <c r="P26" s="7">
        <v>104</v>
      </c>
      <c r="Q26" s="6">
        <v>10</v>
      </c>
      <c r="R26" s="6">
        <v>101</v>
      </c>
      <c r="S26" s="6">
        <v>89.5</v>
      </c>
      <c r="T26" s="6">
        <v>44.9</v>
      </c>
      <c r="U26" s="7">
        <v>72</v>
      </c>
      <c r="V26" s="7">
        <v>108</v>
      </c>
      <c r="W26" s="6">
        <v>14.3</v>
      </c>
      <c r="X26" s="6">
        <v>26</v>
      </c>
      <c r="Y26" s="6">
        <v>33.700000000000003</v>
      </c>
      <c r="Z26" s="7">
        <v>70</v>
      </c>
      <c r="AA26" s="55">
        <v>14</v>
      </c>
      <c r="AB26" s="7">
        <v>29</v>
      </c>
      <c r="AC26" s="6">
        <v>80</v>
      </c>
      <c r="AD26" s="6">
        <v>80.5</v>
      </c>
      <c r="AE26" s="6">
        <v>55.4</v>
      </c>
      <c r="AF26" s="6">
        <v>40</v>
      </c>
      <c r="AG26" s="6">
        <v>68</v>
      </c>
      <c r="AH26" s="6">
        <v>64</v>
      </c>
      <c r="AI26" s="7">
        <v>67</v>
      </c>
      <c r="AJ26" s="6">
        <v>33.700000000000003</v>
      </c>
      <c r="AK26" s="7">
        <v>49</v>
      </c>
      <c r="AL26" s="7">
        <v>115.5</v>
      </c>
    </row>
    <row r="27" spans="2:38" s="9" customFormat="1" x14ac:dyDescent="0.2">
      <c r="B27" s="55">
        <v>1982</v>
      </c>
      <c r="C27" s="115" t="s">
        <v>290</v>
      </c>
      <c r="D27" s="6">
        <v>47</v>
      </c>
      <c r="E27" s="7">
        <v>254</v>
      </c>
      <c r="F27" s="6">
        <v>360.8</v>
      </c>
      <c r="G27" s="7">
        <v>56</v>
      </c>
      <c r="H27" s="6">
        <v>213</v>
      </c>
      <c r="I27" s="6">
        <v>70</v>
      </c>
      <c r="J27" s="7">
        <v>116.5</v>
      </c>
      <c r="K27" s="7">
        <v>123</v>
      </c>
      <c r="L27" s="6">
        <v>198.7</v>
      </c>
      <c r="M27" s="6">
        <v>247</v>
      </c>
      <c r="N27" s="7">
        <v>134</v>
      </c>
      <c r="O27" s="6">
        <v>220</v>
      </c>
      <c r="P27" s="7">
        <v>3</v>
      </c>
      <c r="Q27" s="6">
        <v>184</v>
      </c>
      <c r="R27" s="6">
        <v>104.3</v>
      </c>
      <c r="S27" s="6">
        <v>226.2</v>
      </c>
      <c r="T27" s="6">
        <v>201.3</v>
      </c>
      <c r="U27" s="7">
        <v>122</v>
      </c>
      <c r="V27" s="7">
        <v>211</v>
      </c>
      <c r="W27" s="6">
        <v>165.2</v>
      </c>
      <c r="X27" s="6">
        <v>100</v>
      </c>
      <c r="Y27" s="6">
        <v>102.4</v>
      </c>
      <c r="Z27" s="7">
        <v>105</v>
      </c>
      <c r="AA27" s="55">
        <v>292</v>
      </c>
      <c r="AB27" s="7">
        <v>214</v>
      </c>
      <c r="AC27" s="6">
        <v>206.6</v>
      </c>
      <c r="AD27" s="6">
        <v>99.5</v>
      </c>
      <c r="AE27" s="6">
        <v>137.69999999999999</v>
      </c>
      <c r="AF27" s="6">
        <v>282</v>
      </c>
      <c r="AG27" s="6">
        <v>239</v>
      </c>
      <c r="AH27" s="6">
        <v>202</v>
      </c>
      <c r="AI27" s="7">
        <v>230.5</v>
      </c>
      <c r="AJ27" s="6">
        <v>195.8</v>
      </c>
      <c r="AK27" s="7">
        <v>228</v>
      </c>
      <c r="AL27" s="7">
        <v>173.5</v>
      </c>
    </row>
    <row r="28" spans="2:38" s="9" customFormat="1" x14ac:dyDescent="0.2">
      <c r="B28" s="55">
        <v>1982</v>
      </c>
      <c r="C28" s="115" t="s">
        <v>291</v>
      </c>
      <c r="D28" s="6">
        <v>49</v>
      </c>
      <c r="E28" s="7">
        <v>57</v>
      </c>
      <c r="F28" s="6">
        <v>29.1</v>
      </c>
      <c r="G28" s="7">
        <v>34</v>
      </c>
      <c r="H28" s="6">
        <v>45</v>
      </c>
      <c r="I28" s="6">
        <v>125</v>
      </c>
      <c r="J28" s="7">
        <v>4</v>
      </c>
      <c r="K28" s="7">
        <v>88</v>
      </c>
      <c r="L28" s="6">
        <v>55.5</v>
      </c>
      <c r="M28" s="6">
        <v>39</v>
      </c>
      <c r="N28" s="7">
        <v>65</v>
      </c>
      <c r="O28" s="6">
        <v>17</v>
      </c>
      <c r="P28" s="7">
        <v>178</v>
      </c>
      <c r="Q28" s="6">
        <v>29</v>
      </c>
      <c r="R28" s="6">
        <v>93.8</v>
      </c>
      <c r="S28" s="6">
        <v>27.5</v>
      </c>
      <c r="T28" s="6">
        <v>84.5</v>
      </c>
      <c r="U28" s="7">
        <v>46</v>
      </c>
      <c r="V28" s="7">
        <v>37</v>
      </c>
      <c r="W28" s="6">
        <v>115.6</v>
      </c>
      <c r="X28" s="6">
        <v>44</v>
      </c>
      <c r="Y28" s="6">
        <v>72.400000000000006</v>
      </c>
      <c r="Z28" s="7">
        <v>151</v>
      </c>
      <c r="AA28" s="55">
        <v>94</v>
      </c>
      <c r="AB28" s="7">
        <v>60</v>
      </c>
      <c r="AC28" s="6">
        <v>70.599999999999994</v>
      </c>
      <c r="AD28" s="6">
        <v>116.8</v>
      </c>
      <c r="AE28" s="6">
        <v>23.5</v>
      </c>
      <c r="AF28" s="6">
        <v>49</v>
      </c>
      <c r="AG28" s="6">
        <v>32</v>
      </c>
      <c r="AH28" s="6">
        <v>42</v>
      </c>
      <c r="AI28" s="7">
        <v>25</v>
      </c>
      <c r="AJ28" s="6">
        <v>22.5</v>
      </c>
      <c r="AK28" s="7">
        <v>54</v>
      </c>
      <c r="AL28" s="7">
        <v>24</v>
      </c>
    </row>
    <row r="29" spans="2:38" s="9" customFormat="1" x14ac:dyDescent="0.2">
      <c r="B29" s="55">
        <v>1982</v>
      </c>
      <c r="C29" s="115" t="s">
        <v>292</v>
      </c>
      <c r="D29" s="6">
        <v>42</v>
      </c>
      <c r="E29" s="7">
        <v>10</v>
      </c>
      <c r="F29" s="6">
        <v>21.4</v>
      </c>
      <c r="G29" s="7">
        <v>64</v>
      </c>
      <c r="H29" s="6">
        <v>31</v>
      </c>
      <c r="I29" s="6">
        <v>49</v>
      </c>
      <c r="J29" s="7">
        <v>23</v>
      </c>
      <c r="K29" s="7">
        <v>45</v>
      </c>
      <c r="L29" s="6">
        <v>0</v>
      </c>
      <c r="M29" s="6">
        <v>22</v>
      </c>
      <c r="N29" s="7">
        <v>44</v>
      </c>
      <c r="O29" s="6">
        <v>51</v>
      </c>
      <c r="P29" s="7">
        <v>90</v>
      </c>
      <c r="Q29" s="6">
        <v>37</v>
      </c>
      <c r="R29" s="6">
        <v>28.7</v>
      </c>
      <c r="S29" s="6">
        <v>19.7</v>
      </c>
      <c r="T29" s="6">
        <v>90</v>
      </c>
      <c r="U29" s="7">
        <v>19</v>
      </c>
      <c r="V29" s="7">
        <v>35.5</v>
      </c>
      <c r="W29" s="6">
        <v>115.8</v>
      </c>
      <c r="X29" s="6">
        <v>25</v>
      </c>
      <c r="Y29" s="6">
        <v>33.6</v>
      </c>
      <c r="Z29" s="7">
        <v>21</v>
      </c>
      <c r="AA29" s="55">
        <v>95</v>
      </c>
      <c r="AB29" s="7">
        <v>48</v>
      </c>
      <c r="AC29" s="6">
        <v>56.3</v>
      </c>
      <c r="AD29" s="6">
        <v>87.4</v>
      </c>
      <c r="AE29" s="6">
        <v>82.1</v>
      </c>
      <c r="AF29" s="6">
        <v>38</v>
      </c>
      <c r="AG29" s="6">
        <v>28</v>
      </c>
      <c r="AH29" s="6">
        <v>37</v>
      </c>
      <c r="AI29" s="7">
        <v>71</v>
      </c>
      <c r="AJ29" s="6">
        <v>21</v>
      </c>
      <c r="AK29" s="7">
        <v>63</v>
      </c>
      <c r="AL29" s="7">
        <v>26</v>
      </c>
    </row>
    <row r="30" spans="2:38" s="9" customFormat="1" x14ac:dyDescent="0.2">
      <c r="B30" s="55">
        <v>1982</v>
      </c>
      <c r="C30" s="115" t="s">
        <v>293</v>
      </c>
      <c r="D30" s="6">
        <v>204</v>
      </c>
      <c r="E30" s="7">
        <v>146</v>
      </c>
      <c r="F30" s="6">
        <v>178.5</v>
      </c>
      <c r="G30" s="7">
        <v>164</v>
      </c>
      <c r="H30" s="6">
        <v>122</v>
      </c>
      <c r="I30" s="6">
        <v>184</v>
      </c>
      <c r="J30" s="7">
        <v>119.6</v>
      </c>
      <c r="K30" s="7">
        <v>118</v>
      </c>
      <c r="L30" s="6">
        <v>145.5</v>
      </c>
      <c r="M30" s="6">
        <v>155</v>
      </c>
      <c r="N30" s="7">
        <v>290</v>
      </c>
      <c r="O30" s="6">
        <v>112</v>
      </c>
      <c r="P30" s="7">
        <v>85</v>
      </c>
      <c r="Q30" s="6">
        <v>148</v>
      </c>
      <c r="R30" s="6">
        <v>92.8</v>
      </c>
      <c r="S30" s="6">
        <v>127.1</v>
      </c>
      <c r="T30" s="6">
        <v>231.5</v>
      </c>
      <c r="U30" s="7">
        <v>274</v>
      </c>
      <c r="V30" s="7">
        <v>119.5</v>
      </c>
      <c r="W30" s="6">
        <v>137.19999999999999</v>
      </c>
      <c r="X30" s="6">
        <v>216</v>
      </c>
      <c r="Y30" s="6">
        <v>124.8</v>
      </c>
      <c r="Z30" s="7">
        <v>331</v>
      </c>
      <c r="AA30" s="55">
        <v>138</v>
      </c>
      <c r="AB30" s="7">
        <v>111.5</v>
      </c>
      <c r="AC30" s="6">
        <v>228.9</v>
      </c>
      <c r="AD30" s="6">
        <v>160.5</v>
      </c>
      <c r="AE30" s="6">
        <v>56.5</v>
      </c>
      <c r="AF30" s="6">
        <v>122</v>
      </c>
      <c r="AG30" s="6">
        <v>158</v>
      </c>
      <c r="AH30" s="6">
        <v>123</v>
      </c>
      <c r="AI30" s="7">
        <v>177</v>
      </c>
      <c r="AJ30" s="6">
        <v>121.5</v>
      </c>
      <c r="AK30" s="7">
        <v>133.5</v>
      </c>
      <c r="AL30" s="7">
        <v>140</v>
      </c>
    </row>
    <row r="31" spans="2:38" s="9" customFormat="1" x14ac:dyDescent="0.2">
      <c r="B31" s="55">
        <v>1982</v>
      </c>
      <c r="C31" s="115" t="s">
        <v>294</v>
      </c>
      <c r="D31" s="6">
        <v>186</v>
      </c>
      <c r="E31" s="7">
        <v>104</v>
      </c>
      <c r="F31" s="6">
        <v>127.1</v>
      </c>
      <c r="G31" s="7">
        <v>178</v>
      </c>
      <c r="H31" s="6">
        <v>117</v>
      </c>
      <c r="I31" s="6">
        <v>215</v>
      </c>
      <c r="J31" s="7">
        <v>240</v>
      </c>
      <c r="K31" s="7">
        <v>110</v>
      </c>
      <c r="L31" s="6">
        <v>206.5</v>
      </c>
      <c r="M31" s="6">
        <v>277</v>
      </c>
      <c r="N31" s="7">
        <v>134</v>
      </c>
      <c r="O31" s="6">
        <v>214</v>
      </c>
      <c r="P31" s="7">
        <v>129</v>
      </c>
      <c r="Q31" s="6">
        <v>223</v>
      </c>
      <c r="R31" s="6">
        <v>111.4</v>
      </c>
      <c r="S31" s="6">
        <v>150.5</v>
      </c>
      <c r="T31" s="6">
        <v>115.7</v>
      </c>
      <c r="U31" s="7">
        <v>97</v>
      </c>
      <c r="V31" s="7">
        <v>154</v>
      </c>
      <c r="W31" s="6">
        <v>170.1</v>
      </c>
      <c r="X31" s="6">
        <v>147</v>
      </c>
      <c r="Y31" s="6">
        <v>219.6</v>
      </c>
      <c r="Z31" s="7">
        <v>153</v>
      </c>
      <c r="AA31" s="55">
        <v>192</v>
      </c>
      <c r="AB31" s="7">
        <v>175.7</v>
      </c>
      <c r="AC31" s="6">
        <v>97.5</v>
      </c>
      <c r="AD31" s="6">
        <v>225.7</v>
      </c>
      <c r="AE31" s="6">
        <v>187.6</v>
      </c>
      <c r="AF31" s="6">
        <v>175</v>
      </c>
      <c r="AG31" s="6">
        <v>157</v>
      </c>
      <c r="AH31" s="6">
        <v>152</v>
      </c>
      <c r="AI31" s="7">
        <v>105</v>
      </c>
      <c r="AJ31" s="6">
        <v>238.1</v>
      </c>
      <c r="AK31" s="7">
        <v>194</v>
      </c>
      <c r="AL31" s="7">
        <v>110.5</v>
      </c>
    </row>
    <row r="32" spans="2:38" s="9" customFormat="1" x14ac:dyDescent="0.2">
      <c r="B32" s="55">
        <v>1982</v>
      </c>
      <c r="C32" s="115" t="s">
        <v>295</v>
      </c>
      <c r="D32" s="6">
        <v>122</v>
      </c>
      <c r="E32" s="7">
        <v>178</v>
      </c>
      <c r="F32" s="6">
        <v>71.3</v>
      </c>
      <c r="G32" s="7">
        <v>155.5</v>
      </c>
      <c r="H32" s="6">
        <v>56</v>
      </c>
      <c r="I32" s="6">
        <v>97</v>
      </c>
      <c r="J32" s="7">
        <v>214.5</v>
      </c>
      <c r="K32" s="7">
        <v>101.5</v>
      </c>
      <c r="L32" s="6">
        <v>172</v>
      </c>
      <c r="M32" s="6">
        <v>281</v>
      </c>
      <c r="N32" s="7">
        <v>124</v>
      </c>
      <c r="O32" s="6">
        <v>245</v>
      </c>
      <c r="P32" s="7">
        <v>144</v>
      </c>
      <c r="Q32" s="6">
        <v>191</v>
      </c>
      <c r="R32" s="6">
        <v>85.6</v>
      </c>
      <c r="S32" s="6">
        <v>180.8</v>
      </c>
      <c r="T32" s="6">
        <v>47.8</v>
      </c>
      <c r="U32" s="7">
        <v>177</v>
      </c>
      <c r="V32" s="7">
        <v>117.5</v>
      </c>
      <c r="W32" s="6">
        <v>126.7</v>
      </c>
      <c r="X32" s="6">
        <v>110</v>
      </c>
      <c r="Y32" s="6">
        <v>112.8</v>
      </c>
      <c r="Z32" s="7">
        <v>137</v>
      </c>
      <c r="AA32" s="55">
        <v>79</v>
      </c>
      <c r="AB32" s="7">
        <v>105.5</v>
      </c>
      <c r="AC32" s="6">
        <v>140.80000000000001</v>
      </c>
      <c r="AD32" s="6">
        <v>164.3</v>
      </c>
      <c r="AE32" s="6">
        <v>49.9</v>
      </c>
      <c r="AF32" s="6">
        <v>44</v>
      </c>
      <c r="AG32" s="6">
        <v>84</v>
      </c>
      <c r="AH32" s="6">
        <v>15</v>
      </c>
      <c r="AI32" s="7">
        <v>97</v>
      </c>
      <c r="AJ32" s="6">
        <v>227.6</v>
      </c>
      <c r="AK32" s="7">
        <v>59.5</v>
      </c>
      <c r="AL32" s="7">
        <v>138.30000000000001</v>
      </c>
    </row>
    <row r="33" spans="2:38" s="9" customFormat="1" x14ac:dyDescent="0.2">
      <c r="B33" s="55">
        <v>1982</v>
      </c>
      <c r="C33" s="115" t="s">
        <v>296</v>
      </c>
      <c r="D33" s="6">
        <v>94</v>
      </c>
      <c r="E33" s="7">
        <v>128</v>
      </c>
      <c r="F33" s="6">
        <v>167</v>
      </c>
      <c r="G33" s="7">
        <v>144</v>
      </c>
      <c r="H33" s="6">
        <v>129</v>
      </c>
      <c r="I33" s="6">
        <v>116</v>
      </c>
      <c r="J33" s="7">
        <v>99</v>
      </c>
      <c r="K33" s="7">
        <v>30</v>
      </c>
      <c r="L33" s="6">
        <v>27</v>
      </c>
      <c r="M33" s="6">
        <v>101</v>
      </c>
      <c r="N33" s="7">
        <v>94</v>
      </c>
      <c r="O33" s="6">
        <v>190</v>
      </c>
      <c r="P33" s="7">
        <v>156</v>
      </c>
      <c r="Q33" s="6">
        <v>143</v>
      </c>
      <c r="R33" s="6">
        <v>64.2</v>
      </c>
      <c r="S33" s="6">
        <v>128.9</v>
      </c>
      <c r="T33" s="6">
        <v>47.9</v>
      </c>
      <c r="U33" s="7">
        <v>46</v>
      </c>
      <c r="V33" s="7">
        <v>173</v>
      </c>
      <c r="W33" s="6">
        <v>36</v>
      </c>
      <c r="X33" s="6">
        <v>129</v>
      </c>
      <c r="Y33" s="6">
        <v>71</v>
      </c>
      <c r="Z33" s="7">
        <v>84</v>
      </c>
      <c r="AA33" s="55">
        <v>25</v>
      </c>
      <c r="AB33" s="7">
        <v>48.5</v>
      </c>
      <c r="AC33" s="6">
        <v>177.7</v>
      </c>
      <c r="AD33" s="6">
        <v>140.6</v>
      </c>
      <c r="AE33" s="6">
        <v>43.6</v>
      </c>
      <c r="AF33" s="6">
        <v>144</v>
      </c>
      <c r="AG33" s="6">
        <v>88</v>
      </c>
      <c r="AH33" s="6">
        <v>87</v>
      </c>
      <c r="AI33" s="7">
        <v>175</v>
      </c>
      <c r="AJ33" s="6">
        <v>122.5</v>
      </c>
      <c r="AK33" s="7">
        <v>55.9</v>
      </c>
      <c r="AL33" s="7">
        <v>172</v>
      </c>
    </row>
    <row r="34" spans="2:38" s="9" customFormat="1" x14ac:dyDescent="0.2">
      <c r="B34" s="55">
        <v>1982</v>
      </c>
      <c r="C34" s="115" t="s">
        <v>297</v>
      </c>
      <c r="D34" s="6">
        <v>70</v>
      </c>
      <c r="E34" s="7">
        <v>153</v>
      </c>
      <c r="F34" s="6">
        <v>219.2</v>
      </c>
      <c r="G34" s="7">
        <v>84.5</v>
      </c>
      <c r="H34" s="6">
        <v>169</v>
      </c>
      <c r="I34" s="6">
        <v>75.5</v>
      </c>
      <c r="J34" s="7">
        <v>132</v>
      </c>
      <c r="K34" s="7">
        <v>97</v>
      </c>
      <c r="L34" s="6">
        <v>104.5</v>
      </c>
      <c r="M34" s="6">
        <v>118</v>
      </c>
      <c r="N34" s="7">
        <v>89</v>
      </c>
      <c r="O34" s="6">
        <v>55</v>
      </c>
      <c r="P34" s="7">
        <v>204</v>
      </c>
      <c r="Q34" s="6">
        <v>93</v>
      </c>
      <c r="R34" s="6">
        <v>166.1</v>
      </c>
      <c r="S34" s="6">
        <v>171</v>
      </c>
      <c r="T34" s="6">
        <v>99.8</v>
      </c>
      <c r="U34" s="7">
        <v>124</v>
      </c>
      <c r="V34" s="7">
        <v>204</v>
      </c>
      <c r="W34" s="6">
        <v>110.4</v>
      </c>
      <c r="X34" s="6">
        <v>80</v>
      </c>
      <c r="Y34" s="6">
        <v>152.30000000000001</v>
      </c>
      <c r="Z34" s="7">
        <v>89</v>
      </c>
      <c r="AA34" s="55">
        <v>111</v>
      </c>
      <c r="AB34" s="7">
        <v>129.5</v>
      </c>
      <c r="AC34" s="6">
        <v>245.6</v>
      </c>
      <c r="AD34" s="6">
        <v>68.2</v>
      </c>
      <c r="AE34" s="6">
        <v>132.6</v>
      </c>
      <c r="AF34" s="6">
        <v>228</v>
      </c>
      <c r="AG34" s="6">
        <v>184</v>
      </c>
      <c r="AH34" s="6">
        <v>218</v>
      </c>
      <c r="AI34" s="7">
        <v>174</v>
      </c>
      <c r="AJ34" s="6">
        <v>116.9</v>
      </c>
      <c r="AK34" s="7">
        <v>131</v>
      </c>
      <c r="AL34" s="7">
        <v>224</v>
      </c>
    </row>
    <row r="35" spans="2:38" s="9" customFormat="1" x14ac:dyDescent="0.2">
      <c r="B35" s="55">
        <v>1982</v>
      </c>
      <c r="C35" s="115" t="s">
        <v>298</v>
      </c>
      <c r="D35" s="6">
        <v>65</v>
      </c>
      <c r="E35" s="7">
        <v>137</v>
      </c>
      <c r="F35" s="6">
        <v>117.3</v>
      </c>
      <c r="G35" s="7">
        <v>75</v>
      </c>
      <c r="H35" s="6">
        <v>74</v>
      </c>
      <c r="I35" s="6">
        <v>60</v>
      </c>
      <c r="J35" s="7">
        <v>131.5</v>
      </c>
      <c r="K35" s="7">
        <v>87</v>
      </c>
      <c r="L35" s="6">
        <v>136.5</v>
      </c>
      <c r="M35" s="6">
        <v>145</v>
      </c>
      <c r="N35" s="7">
        <v>95</v>
      </c>
      <c r="O35" s="6">
        <v>89</v>
      </c>
      <c r="P35" s="7">
        <v>114</v>
      </c>
      <c r="Q35" s="6">
        <v>89</v>
      </c>
      <c r="R35" s="6">
        <v>92</v>
      </c>
      <c r="S35" s="6">
        <v>179.7</v>
      </c>
      <c r="T35" s="6">
        <v>82.4</v>
      </c>
      <c r="U35" s="7">
        <v>110</v>
      </c>
      <c r="V35" s="7">
        <v>126</v>
      </c>
      <c r="W35" s="6">
        <v>70.3</v>
      </c>
      <c r="X35" s="6">
        <v>70</v>
      </c>
      <c r="Y35" s="6">
        <v>64.400000000000006</v>
      </c>
      <c r="Z35" s="7">
        <v>61</v>
      </c>
      <c r="AA35" s="260" t="s">
        <v>300</v>
      </c>
      <c r="AB35" s="7">
        <v>135</v>
      </c>
      <c r="AC35" s="6">
        <v>181.1</v>
      </c>
      <c r="AD35" s="6">
        <v>64.8</v>
      </c>
      <c r="AE35" s="6">
        <v>117</v>
      </c>
      <c r="AF35" s="6">
        <v>116</v>
      </c>
      <c r="AG35" s="6">
        <v>143</v>
      </c>
      <c r="AH35" s="6">
        <v>53</v>
      </c>
      <c r="AI35" s="7">
        <v>89</v>
      </c>
      <c r="AJ35" s="6">
        <v>108.6</v>
      </c>
      <c r="AK35" s="7">
        <v>69.5</v>
      </c>
      <c r="AL35" s="7">
        <v>103.3</v>
      </c>
    </row>
    <row r="36" spans="2:38" s="9" customFormat="1" x14ac:dyDescent="0.2">
      <c r="B36" s="55">
        <v>1982</v>
      </c>
      <c r="C36" s="115" t="s">
        <v>299</v>
      </c>
      <c r="D36" s="6">
        <v>46</v>
      </c>
      <c r="E36" s="7">
        <v>94</v>
      </c>
      <c r="F36" s="6">
        <v>315.2</v>
      </c>
      <c r="G36" s="7">
        <v>72</v>
      </c>
      <c r="H36" s="6">
        <v>254</v>
      </c>
      <c r="I36" s="6">
        <v>47</v>
      </c>
      <c r="J36" s="7">
        <v>93</v>
      </c>
      <c r="K36" s="7">
        <v>27</v>
      </c>
      <c r="L36" s="6">
        <v>62.5</v>
      </c>
      <c r="M36" s="6">
        <v>155</v>
      </c>
      <c r="N36" s="7">
        <v>57</v>
      </c>
      <c r="O36" s="6">
        <v>68</v>
      </c>
      <c r="P36" s="7">
        <v>67</v>
      </c>
      <c r="Q36" s="6">
        <v>119</v>
      </c>
      <c r="R36" s="6">
        <v>40.4</v>
      </c>
      <c r="S36" s="6">
        <v>77.599999999999994</v>
      </c>
      <c r="T36" s="6">
        <v>55.2</v>
      </c>
      <c r="U36" s="7">
        <v>122</v>
      </c>
      <c r="V36" s="7">
        <v>155</v>
      </c>
      <c r="W36" s="6">
        <v>143</v>
      </c>
      <c r="X36" s="6">
        <v>27</v>
      </c>
      <c r="Y36" s="6">
        <v>38.799999999999997</v>
      </c>
      <c r="Z36" s="7">
        <v>74</v>
      </c>
      <c r="AA36" s="55">
        <v>91</v>
      </c>
      <c r="AB36" s="7">
        <v>107</v>
      </c>
      <c r="AC36" s="6">
        <v>213.9</v>
      </c>
      <c r="AD36" s="6">
        <v>34.299999999999997</v>
      </c>
      <c r="AE36" s="6">
        <v>169.9</v>
      </c>
      <c r="AF36" s="6">
        <v>180</v>
      </c>
      <c r="AG36" s="6">
        <v>180</v>
      </c>
      <c r="AH36" s="6">
        <v>190</v>
      </c>
      <c r="AI36" s="7">
        <v>142</v>
      </c>
      <c r="AJ36" s="6">
        <v>71.900000000000006</v>
      </c>
      <c r="AK36" s="7">
        <v>133.5</v>
      </c>
      <c r="AL36" s="7">
        <v>132.80000000000001</v>
      </c>
    </row>
    <row r="37" spans="2:38" s="9" customFormat="1" x14ac:dyDescent="0.2">
      <c r="B37" s="55">
        <v>1982</v>
      </c>
      <c r="C37" s="115" t="s">
        <v>301</v>
      </c>
      <c r="D37" s="6">
        <v>71</v>
      </c>
      <c r="E37" s="7">
        <v>44</v>
      </c>
      <c r="F37" s="6">
        <v>34.700000000000003</v>
      </c>
      <c r="G37" s="7">
        <v>47</v>
      </c>
      <c r="H37" s="6">
        <v>77</v>
      </c>
      <c r="I37" s="6">
        <v>103</v>
      </c>
      <c r="J37" s="7">
        <v>30.5</v>
      </c>
      <c r="K37" s="7">
        <v>17</v>
      </c>
      <c r="L37" s="6">
        <v>43</v>
      </c>
      <c r="M37" s="6">
        <v>73</v>
      </c>
      <c r="N37" s="7">
        <v>30</v>
      </c>
      <c r="O37" s="6">
        <v>21</v>
      </c>
      <c r="P37" s="7">
        <v>28</v>
      </c>
      <c r="Q37" s="6">
        <v>13</v>
      </c>
      <c r="R37" s="6">
        <v>90.3</v>
      </c>
      <c r="S37" s="6">
        <v>61.5</v>
      </c>
      <c r="T37" s="6">
        <v>16.3</v>
      </c>
      <c r="U37" s="7">
        <v>83</v>
      </c>
      <c r="V37" s="7">
        <v>58</v>
      </c>
      <c r="W37" s="6">
        <v>37.799999999999997</v>
      </c>
      <c r="X37" s="6">
        <v>25</v>
      </c>
      <c r="Y37" s="6">
        <v>57.6</v>
      </c>
      <c r="Z37" s="7">
        <v>75</v>
      </c>
      <c r="AA37" s="55">
        <v>36</v>
      </c>
      <c r="AB37" s="7">
        <v>63.6</v>
      </c>
      <c r="AC37" s="6">
        <v>94.6</v>
      </c>
      <c r="AD37" s="6">
        <v>58.3</v>
      </c>
      <c r="AE37" s="6">
        <v>94.5</v>
      </c>
      <c r="AF37" s="6">
        <v>99</v>
      </c>
      <c r="AG37" s="6">
        <v>54</v>
      </c>
      <c r="AH37" s="6">
        <v>80</v>
      </c>
      <c r="AI37" s="7">
        <v>108</v>
      </c>
      <c r="AJ37" s="6">
        <v>52.3</v>
      </c>
      <c r="AK37" s="7">
        <v>64</v>
      </c>
      <c r="AL37" s="7">
        <v>28</v>
      </c>
    </row>
    <row r="38" spans="2:38" s="9" customFormat="1" x14ac:dyDescent="0.2">
      <c r="B38" s="55">
        <v>1983</v>
      </c>
      <c r="C38" s="115" t="s">
        <v>289</v>
      </c>
      <c r="D38" s="6">
        <v>116</v>
      </c>
      <c r="E38" s="7">
        <v>62</v>
      </c>
      <c r="F38" s="6">
        <v>162.1</v>
      </c>
      <c r="G38" s="7">
        <v>172</v>
      </c>
      <c r="H38" s="6">
        <v>48</v>
      </c>
      <c r="I38" s="6">
        <v>95</v>
      </c>
      <c r="J38" s="7">
        <v>85.5</v>
      </c>
      <c r="K38" s="7">
        <v>48</v>
      </c>
      <c r="L38" s="6">
        <v>88.5</v>
      </c>
      <c r="M38" s="6">
        <v>94</v>
      </c>
      <c r="N38" s="7">
        <v>85</v>
      </c>
      <c r="O38" s="6">
        <v>150</v>
      </c>
      <c r="P38" s="7">
        <v>76</v>
      </c>
      <c r="Q38" s="6">
        <v>155</v>
      </c>
      <c r="R38" s="6">
        <v>29.9</v>
      </c>
      <c r="S38" s="6">
        <v>68.8</v>
      </c>
      <c r="T38" s="6">
        <v>79.900000000000006</v>
      </c>
      <c r="U38" s="7">
        <v>33</v>
      </c>
      <c r="V38" s="7">
        <v>106</v>
      </c>
      <c r="W38" s="6">
        <v>76</v>
      </c>
      <c r="X38" s="6">
        <v>36</v>
      </c>
      <c r="Y38" s="6">
        <v>91.2</v>
      </c>
      <c r="Z38" s="7">
        <v>52</v>
      </c>
      <c r="AA38" s="55">
        <v>59</v>
      </c>
      <c r="AB38" s="7">
        <v>93</v>
      </c>
      <c r="AC38" s="6">
        <v>104.1</v>
      </c>
      <c r="AD38" s="6">
        <v>91.5</v>
      </c>
      <c r="AE38" s="6">
        <v>185.9</v>
      </c>
      <c r="AF38" s="6">
        <v>188</v>
      </c>
      <c r="AG38" s="6">
        <v>125</v>
      </c>
      <c r="AH38" s="6">
        <v>80</v>
      </c>
      <c r="AI38" s="7">
        <v>118</v>
      </c>
      <c r="AJ38" s="6">
        <v>174.3</v>
      </c>
      <c r="AK38" s="7">
        <v>186</v>
      </c>
      <c r="AL38" s="7">
        <v>81.3</v>
      </c>
    </row>
    <row r="39" spans="2:38" s="9" customFormat="1" x14ac:dyDescent="0.2">
      <c r="B39" s="55">
        <v>1983</v>
      </c>
      <c r="C39" s="115" t="s">
        <v>290</v>
      </c>
      <c r="D39" s="6">
        <v>60</v>
      </c>
      <c r="E39" s="7">
        <v>276</v>
      </c>
      <c r="F39" s="6">
        <v>427.6</v>
      </c>
      <c r="G39" s="7">
        <v>107</v>
      </c>
      <c r="H39" s="6">
        <v>433</v>
      </c>
      <c r="I39" s="6">
        <v>91</v>
      </c>
      <c r="J39" s="7">
        <v>99.5</v>
      </c>
      <c r="K39" s="7">
        <v>81</v>
      </c>
      <c r="L39" s="6">
        <v>138</v>
      </c>
      <c r="M39" s="6">
        <v>132</v>
      </c>
      <c r="N39" s="7">
        <v>187</v>
      </c>
      <c r="O39" s="6">
        <v>54</v>
      </c>
      <c r="P39" s="7">
        <v>77</v>
      </c>
      <c r="Q39" s="6">
        <v>146</v>
      </c>
      <c r="R39" s="6">
        <v>94.5</v>
      </c>
      <c r="S39" s="6">
        <v>171</v>
      </c>
      <c r="T39" s="6">
        <v>143</v>
      </c>
      <c r="U39" s="7">
        <v>137</v>
      </c>
      <c r="V39" s="7">
        <v>199.5</v>
      </c>
      <c r="W39" s="6">
        <v>164.4</v>
      </c>
      <c r="X39" s="6">
        <v>96</v>
      </c>
      <c r="Y39" s="6">
        <v>112.5</v>
      </c>
      <c r="Z39" s="7">
        <v>171</v>
      </c>
      <c r="AA39" s="55">
        <v>211</v>
      </c>
      <c r="AB39" s="7">
        <v>176.6</v>
      </c>
      <c r="AC39" s="6">
        <v>435.4</v>
      </c>
      <c r="AD39" s="6">
        <v>92.3</v>
      </c>
      <c r="AE39" s="6">
        <v>278.89999999999998</v>
      </c>
      <c r="AF39" s="6">
        <v>279</v>
      </c>
      <c r="AG39" s="6">
        <v>319</v>
      </c>
      <c r="AH39" s="6">
        <v>261</v>
      </c>
      <c r="AI39" s="7">
        <v>419.5</v>
      </c>
      <c r="AJ39" s="6">
        <v>84.2</v>
      </c>
      <c r="AK39" s="7">
        <v>298</v>
      </c>
      <c r="AL39" s="7">
        <v>124</v>
      </c>
    </row>
    <row r="40" spans="2:38" s="9" customFormat="1" x14ac:dyDescent="0.2">
      <c r="B40" s="55">
        <v>1983</v>
      </c>
      <c r="C40" s="115" t="s">
        <v>291</v>
      </c>
      <c r="D40" s="6">
        <v>17</v>
      </c>
      <c r="E40" s="7">
        <v>40</v>
      </c>
      <c r="F40" s="6">
        <v>91.9</v>
      </c>
      <c r="G40" s="7">
        <v>40</v>
      </c>
      <c r="H40" s="6">
        <v>101</v>
      </c>
      <c r="I40" s="6">
        <v>41</v>
      </c>
      <c r="J40" s="7">
        <v>51</v>
      </c>
      <c r="K40" s="7">
        <v>45</v>
      </c>
      <c r="L40" s="6">
        <v>75</v>
      </c>
      <c r="M40" s="6">
        <v>64</v>
      </c>
      <c r="N40" s="7">
        <v>65</v>
      </c>
      <c r="O40" s="6">
        <v>22</v>
      </c>
      <c r="P40" s="7">
        <v>138</v>
      </c>
      <c r="Q40" s="6">
        <v>29</v>
      </c>
      <c r="R40" s="6">
        <v>41.5</v>
      </c>
      <c r="S40" s="6">
        <v>42.2</v>
      </c>
      <c r="T40" s="6">
        <v>42.3</v>
      </c>
      <c r="U40" s="7">
        <v>57</v>
      </c>
      <c r="V40" s="7">
        <v>66</v>
      </c>
      <c r="W40" s="6">
        <v>135.5</v>
      </c>
      <c r="X40" s="6">
        <v>48</v>
      </c>
      <c r="Y40" s="6">
        <v>36.200000000000003</v>
      </c>
      <c r="Z40" s="7">
        <v>82</v>
      </c>
      <c r="AA40" s="55">
        <v>123</v>
      </c>
      <c r="AB40" s="7">
        <v>107</v>
      </c>
      <c r="AC40" s="6">
        <v>90.2</v>
      </c>
      <c r="AD40" s="6">
        <v>13.6</v>
      </c>
      <c r="AE40" s="6">
        <v>69.3</v>
      </c>
      <c r="AF40" s="6">
        <v>65</v>
      </c>
      <c r="AG40" s="6">
        <v>68</v>
      </c>
      <c r="AH40" s="6">
        <v>85</v>
      </c>
      <c r="AI40" s="7">
        <v>124.5</v>
      </c>
      <c r="AJ40" s="6">
        <v>27.2</v>
      </c>
      <c r="AK40" s="7">
        <v>43.5</v>
      </c>
      <c r="AL40" s="7">
        <v>50.6</v>
      </c>
    </row>
    <row r="41" spans="2:38" s="9" customFormat="1" x14ac:dyDescent="0.2">
      <c r="B41" s="55">
        <v>1983</v>
      </c>
      <c r="C41" s="115" t="s">
        <v>292</v>
      </c>
      <c r="D41" s="6">
        <v>143</v>
      </c>
      <c r="E41" s="7">
        <v>64</v>
      </c>
      <c r="F41" s="6">
        <v>80.099999999999994</v>
      </c>
      <c r="G41" s="7">
        <v>63.5</v>
      </c>
      <c r="H41" s="6">
        <v>116</v>
      </c>
      <c r="I41" s="6">
        <v>114</v>
      </c>
      <c r="J41" s="7">
        <v>120</v>
      </c>
      <c r="K41" s="7">
        <v>54</v>
      </c>
      <c r="L41" s="6">
        <v>75.599999999999994</v>
      </c>
      <c r="M41" s="6">
        <v>84</v>
      </c>
      <c r="N41" s="7">
        <v>164</v>
      </c>
      <c r="O41" s="6">
        <v>70</v>
      </c>
      <c r="P41" s="7">
        <v>153</v>
      </c>
      <c r="Q41" s="6">
        <v>85</v>
      </c>
      <c r="R41" s="6">
        <v>70.3</v>
      </c>
      <c r="S41" s="6">
        <v>60.6</v>
      </c>
      <c r="T41" s="6">
        <v>85</v>
      </c>
      <c r="U41" s="7">
        <v>119</v>
      </c>
      <c r="V41" s="7">
        <v>110</v>
      </c>
      <c r="W41" s="6">
        <v>156.80000000000001</v>
      </c>
      <c r="X41" s="6">
        <v>60</v>
      </c>
      <c r="Y41" s="6">
        <v>73.099999999999994</v>
      </c>
      <c r="Z41" s="7">
        <v>170</v>
      </c>
      <c r="AA41" s="55">
        <v>107</v>
      </c>
      <c r="AB41" s="7">
        <v>44</v>
      </c>
      <c r="AC41" s="6">
        <v>84.4</v>
      </c>
      <c r="AD41" s="6">
        <v>102.8</v>
      </c>
      <c r="AE41" s="6">
        <v>58</v>
      </c>
      <c r="AF41" s="6">
        <v>211</v>
      </c>
      <c r="AG41" s="6">
        <v>87</v>
      </c>
      <c r="AH41" s="6">
        <v>132</v>
      </c>
      <c r="AI41" s="7">
        <v>86</v>
      </c>
      <c r="AJ41" s="6">
        <v>91.9</v>
      </c>
      <c r="AK41" s="7">
        <v>194</v>
      </c>
      <c r="AL41" s="7">
        <v>91</v>
      </c>
    </row>
    <row r="42" spans="2:38" s="9" customFormat="1" x14ac:dyDescent="0.2">
      <c r="B42" s="55">
        <v>1983</v>
      </c>
      <c r="C42" s="115" t="s">
        <v>293</v>
      </c>
      <c r="D42" s="6">
        <v>76</v>
      </c>
      <c r="E42" s="7">
        <v>74</v>
      </c>
      <c r="F42" s="6">
        <v>299.2</v>
      </c>
      <c r="G42" s="7">
        <v>51</v>
      </c>
      <c r="H42" s="6">
        <v>311</v>
      </c>
      <c r="I42" s="6">
        <v>47</v>
      </c>
      <c r="J42" s="7">
        <v>108.5</v>
      </c>
      <c r="K42" s="7">
        <v>32</v>
      </c>
      <c r="L42" s="6">
        <v>153.5</v>
      </c>
      <c r="M42" s="6">
        <v>95</v>
      </c>
      <c r="N42" s="7">
        <v>52</v>
      </c>
      <c r="O42" s="6">
        <v>47</v>
      </c>
      <c r="P42" s="7">
        <v>191</v>
      </c>
      <c r="Q42" s="6">
        <v>67</v>
      </c>
      <c r="R42" s="6">
        <v>38.799999999999997</v>
      </c>
      <c r="S42" s="6">
        <v>78.8</v>
      </c>
      <c r="T42" s="6">
        <v>60.1</v>
      </c>
      <c r="U42" s="7">
        <v>96</v>
      </c>
      <c r="V42" s="7">
        <v>137</v>
      </c>
      <c r="W42" s="6">
        <v>90.2</v>
      </c>
      <c r="X42" s="6">
        <v>71</v>
      </c>
      <c r="Y42" s="6">
        <v>42.9</v>
      </c>
      <c r="Z42" s="7">
        <v>50</v>
      </c>
      <c r="AA42" s="55">
        <v>127</v>
      </c>
      <c r="AB42" s="7">
        <v>135</v>
      </c>
      <c r="AC42" s="6">
        <v>209.6</v>
      </c>
      <c r="AD42" s="6">
        <v>57.5</v>
      </c>
      <c r="AE42" s="6">
        <v>175.7</v>
      </c>
      <c r="AF42" s="6">
        <v>172</v>
      </c>
      <c r="AG42" s="6">
        <v>152</v>
      </c>
      <c r="AH42" s="6">
        <v>347</v>
      </c>
      <c r="AI42" s="7">
        <v>190</v>
      </c>
      <c r="AJ42" s="6">
        <v>62.6</v>
      </c>
      <c r="AK42" s="7">
        <v>180</v>
      </c>
      <c r="AL42" s="7">
        <v>153</v>
      </c>
    </row>
    <row r="43" spans="2:38" s="9" customFormat="1" x14ac:dyDescent="0.2">
      <c r="B43" s="55">
        <v>1983</v>
      </c>
      <c r="C43" s="115" t="s">
        <v>294</v>
      </c>
      <c r="D43" s="6">
        <v>124</v>
      </c>
      <c r="E43" s="7">
        <v>58</v>
      </c>
      <c r="F43" s="6">
        <v>80.2</v>
      </c>
      <c r="G43" s="7">
        <v>70</v>
      </c>
      <c r="H43" s="6">
        <v>82</v>
      </c>
      <c r="I43" s="6">
        <v>118</v>
      </c>
      <c r="J43" s="7">
        <v>64.5</v>
      </c>
      <c r="K43" s="7">
        <v>31</v>
      </c>
      <c r="L43" s="6">
        <v>45.5</v>
      </c>
      <c r="M43" s="6">
        <v>78</v>
      </c>
      <c r="N43" s="7">
        <v>43</v>
      </c>
      <c r="O43" s="6">
        <v>66</v>
      </c>
      <c r="P43" s="7">
        <v>91</v>
      </c>
      <c r="Q43" s="6">
        <v>146</v>
      </c>
      <c r="R43" s="6">
        <v>29.3</v>
      </c>
      <c r="S43" s="6">
        <v>58.4</v>
      </c>
      <c r="T43" s="6">
        <v>37.4</v>
      </c>
      <c r="U43" s="7">
        <v>66</v>
      </c>
      <c r="V43" s="7">
        <v>53.5</v>
      </c>
      <c r="W43" s="6">
        <v>43.5</v>
      </c>
      <c r="X43" s="6">
        <v>101</v>
      </c>
      <c r="Y43" s="6">
        <v>103.5</v>
      </c>
      <c r="Z43" s="7">
        <v>46</v>
      </c>
      <c r="AA43" s="55">
        <v>29</v>
      </c>
      <c r="AB43" s="7">
        <v>26</v>
      </c>
      <c r="AC43" s="6">
        <v>107.3</v>
      </c>
      <c r="AD43" s="6">
        <v>132.30000000000001</v>
      </c>
      <c r="AE43" s="6">
        <v>18.600000000000001</v>
      </c>
      <c r="AF43" s="6">
        <v>21</v>
      </c>
      <c r="AG43" s="6">
        <v>33</v>
      </c>
      <c r="AH43" s="6">
        <v>42</v>
      </c>
      <c r="AI43" s="7">
        <v>44.5</v>
      </c>
      <c r="AJ43" s="6">
        <v>80.8</v>
      </c>
      <c r="AK43" s="7">
        <v>20</v>
      </c>
      <c r="AL43" s="7">
        <v>77.2</v>
      </c>
    </row>
    <row r="44" spans="2:38" s="9" customFormat="1" x14ac:dyDescent="0.2">
      <c r="B44" s="55">
        <v>1983</v>
      </c>
      <c r="C44" s="115" t="s">
        <v>295</v>
      </c>
      <c r="D44" s="6">
        <v>58</v>
      </c>
      <c r="E44" s="7">
        <v>121</v>
      </c>
      <c r="F44" s="6">
        <v>121.5</v>
      </c>
      <c r="G44" s="7">
        <v>7</v>
      </c>
      <c r="H44" s="6">
        <v>102</v>
      </c>
      <c r="I44" s="6">
        <v>39</v>
      </c>
      <c r="J44" s="7">
        <v>108</v>
      </c>
      <c r="K44" s="7">
        <v>4</v>
      </c>
      <c r="L44" s="6">
        <v>74</v>
      </c>
      <c r="M44" s="6">
        <v>120</v>
      </c>
      <c r="N44" s="7">
        <v>25</v>
      </c>
      <c r="O44" s="6">
        <v>98</v>
      </c>
      <c r="P44" s="7">
        <v>34</v>
      </c>
      <c r="Q44" s="6">
        <v>127</v>
      </c>
      <c r="R44" s="6">
        <v>13.4</v>
      </c>
      <c r="S44" s="6">
        <v>207</v>
      </c>
      <c r="T44" s="6">
        <v>24.2</v>
      </c>
      <c r="U44" s="7">
        <v>67</v>
      </c>
      <c r="V44" s="7">
        <v>230.5</v>
      </c>
      <c r="W44" s="6">
        <v>63.1</v>
      </c>
      <c r="X44" s="6">
        <v>33</v>
      </c>
      <c r="Y44" s="6">
        <v>23.4</v>
      </c>
      <c r="Z44" s="7">
        <v>44</v>
      </c>
      <c r="AA44" s="55">
        <v>64</v>
      </c>
      <c r="AB44" s="7">
        <v>82</v>
      </c>
      <c r="AC44" s="6">
        <v>162.6</v>
      </c>
      <c r="AD44" s="6">
        <v>45.6</v>
      </c>
      <c r="AE44" s="6">
        <v>118.2</v>
      </c>
      <c r="AF44" s="6">
        <v>113</v>
      </c>
      <c r="AG44" s="6">
        <v>128</v>
      </c>
      <c r="AH44" s="6">
        <v>116</v>
      </c>
      <c r="AI44" s="7">
        <v>166.5</v>
      </c>
      <c r="AJ44" s="6">
        <v>101.8</v>
      </c>
      <c r="AK44" s="7">
        <v>141</v>
      </c>
      <c r="AL44" s="7">
        <v>262</v>
      </c>
    </row>
    <row r="45" spans="2:38" s="9" customFormat="1" x14ac:dyDescent="0.2">
      <c r="B45" s="55">
        <v>1983</v>
      </c>
      <c r="C45" s="115" t="s">
        <v>296</v>
      </c>
      <c r="D45" s="6">
        <v>216</v>
      </c>
      <c r="E45" s="7">
        <v>168</v>
      </c>
      <c r="F45" s="6">
        <v>47.8</v>
      </c>
      <c r="G45" s="7">
        <v>108</v>
      </c>
      <c r="H45" s="6">
        <v>37</v>
      </c>
      <c r="I45" s="6">
        <v>221</v>
      </c>
      <c r="J45" s="7">
        <v>218.5</v>
      </c>
      <c r="K45" s="7">
        <v>107</v>
      </c>
      <c r="L45" s="6">
        <v>144.5</v>
      </c>
      <c r="M45" s="6">
        <v>223</v>
      </c>
      <c r="N45" s="7">
        <v>179</v>
      </c>
      <c r="O45" s="6">
        <v>206</v>
      </c>
      <c r="P45" s="7">
        <v>74</v>
      </c>
      <c r="Q45" s="6">
        <v>0</v>
      </c>
      <c r="R45" s="6">
        <v>174.6</v>
      </c>
      <c r="S45" s="6">
        <v>174.3</v>
      </c>
      <c r="T45" s="6">
        <v>119.7</v>
      </c>
      <c r="U45" s="7">
        <v>153</v>
      </c>
      <c r="V45" s="7">
        <v>58</v>
      </c>
      <c r="W45" s="6">
        <v>109.7</v>
      </c>
      <c r="X45" s="6">
        <v>163</v>
      </c>
      <c r="Y45" s="6">
        <v>198</v>
      </c>
      <c r="Z45" s="7">
        <v>179</v>
      </c>
      <c r="AA45" s="55">
        <v>133</v>
      </c>
      <c r="AB45" s="7">
        <v>92.8</v>
      </c>
      <c r="AC45" s="6">
        <v>55.9</v>
      </c>
      <c r="AD45" s="6">
        <v>204.9</v>
      </c>
      <c r="AE45" s="6">
        <v>70.400000000000006</v>
      </c>
      <c r="AF45" s="6">
        <v>48</v>
      </c>
      <c r="AG45" s="6">
        <v>105</v>
      </c>
      <c r="AH45" s="6">
        <v>30</v>
      </c>
      <c r="AI45" s="7">
        <v>51</v>
      </c>
      <c r="AJ45" s="6">
        <v>168.9</v>
      </c>
      <c r="AK45" s="7">
        <v>71.5</v>
      </c>
      <c r="AL45" s="7">
        <v>44</v>
      </c>
    </row>
    <row r="46" spans="2:38" s="9" customFormat="1" x14ac:dyDescent="0.2">
      <c r="B46" s="55">
        <v>1983</v>
      </c>
      <c r="C46" s="115" t="s">
        <v>297</v>
      </c>
      <c r="D46" s="6">
        <v>260</v>
      </c>
      <c r="E46" s="7">
        <v>119</v>
      </c>
      <c r="F46" s="6">
        <v>47.7</v>
      </c>
      <c r="G46" s="7">
        <v>119</v>
      </c>
      <c r="H46" s="6">
        <v>50</v>
      </c>
      <c r="I46" s="6">
        <v>259</v>
      </c>
      <c r="J46" s="7">
        <v>197</v>
      </c>
      <c r="K46" s="7">
        <v>117</v>
      </c>
      <c r="L46" s="6">
        <v>150.5</v>
      </c>
      <c r="M46" s="6">
        <v>161</v>
      </c>
      <c r="N46" s="7">
        <v>152</v>
      </c>
      <c r="O46" s="6">
        <v>136</v>
      </c>
      <c r="P46" s="7">
        <v>82</v>
      </c>
      <c r="Q46" s="6">
        <v>173</v>
      </c>
      <c r="R46" s="6">
        <v>106.7</v>
      </c>
      <c r="S46" s="6">
        <v>127.3</v>
      </c>
      <c r="T46" s="6">
        <v>163.1</v>
      </c>
      <c r="U46" s="7">
        <v>186</v>
      </c>
      <c r="V46" s="7">
        <v>127</v>
      </c>
      <c r="W46" s="6">
        <v>127.2</v>
      </c>
      <c r="X46" s="6">
        <v>143</v>
      </c>
      <c r="Y46" s="6">
        <v>105.3</v>
      </c>
      <c r="Z46" s="7">
        <v>253</v>
      </c>
      <c r="AA46" s="55">
        <v>119</v>
      </c>
      <c r="AB46" s="7">
        <v>103</v>
      </c>
      <c r="AC46" s="6">
        <v>90.3</v>
      </c>
      <c r="AD46" s="6">
        <v>201.9</v>
      </c>
      <c r="AE46" s="6">
        <v>138.5</v>
      </c>
      <c r="AF46" s="6">
        <v>113</v>
      </c>
      <c r="AG46" s="6">
        <v>152</v>
      </c>
      <c r="AH46" s="6">
        <v>90</v>
      </c>
      <c r="AI46" s="7">
        <v>109</v>
      </c>
      <c r="AJ46" s="6">
        <v>146.4</v>
      </c>
      <c r="AK46" s="7">
        <v>107</v>
      </c>
      <c r="AL46" s="7">
        <v>129</v>
      </c>
    </row>
    <row r="47" spans="2:38" s="9" customFormat="1" x14ac:dyDescent="0.2">
      <c r="B47" s="55">
        <v>1983</v>
      </c>
      <c r="C47" s="115" t="s">
        <v>298</v>
      </c>
      <c r="D47" s="6">
        <v>172</v>
      </c>
      <c r="E47" s="7">
        <v>97</v>
      </c>
      <c r="F47" s="6">
        <v>87</v>
      </c>
      <c r="G47" s="7">
        <v>95</v>
      </c>
      <c r="H47" s="6">
        <v>112</v>
      </c>
      <c r="I47" s="6">
        <v>208</v>
      </c>
      <c r="J47" s="7">
        <v>70.5</v>
      </c>
      <c r="K47" s="7">
        <v>104</v>
      </c>
      <c r="L47" s="6">
        <v>42.5</v>
      </c>
      <c r="M47" s="6">
        <v>165</v>
      </c>
      <c r="N47" s="7">
        <v>128</v>
      </c>
      <c r="O47" s="6">
        <v>98</v>
      </c>
      <c r="P47" s="7">
        <v>203</v>
      </c>
      <c r="Q47" s="6">
        <v>163</v>
      </c>
      <c r="R47" s="6">
        <v>144.6</v>
      </c>
      <c r="S47" s="6">
        <v>143.69999999999999</v>
      </c>
      <c r="T47" s="6">
        <v>90</v>
      </c>
      <c r="U47" s="7">
        <v>50</v>
      </c>
      <c r="V47" s="7">
        <v>70.5</v>
      </c>
      <c r="W47" s="6">
        <v>86.1</v>
      </c>
      <c r="X47" s="6">
        <v>102</v>
      </c>
      <c r="Y47" s="6">
        <v>265.10000000000002</v>
      </c>
      <c r="Z47" s="7">
        <v>77</v>
      </c>
      <c r="AA47" s="55">
        <v>86</v>
      </c>
      <c r="AB47" s="7">
        <v>94</v>
      </c>
      <c r="AC47" s="6">
        <v>119.3</v>
      </c>
      <c r="AD47" s="6">
        <v>262.5</v>
      </c>
      <c r="AE47" s="6">
        <v>78.099999999999994</v>
      </c>
      <c r="AF47" s="6">
        <v>131</v>
      </c>
      <c r="AG47" s="6">
        <v>76</v>
      </c>
      <c r="AH47" s="6">
        <v>114</v>
      </c>
      <c r="AI47" s="7">
        <v>78</v>
      </c>
      <c r="AJ47" s="6">
        <v>238.9</v>
      </c>
      <c r="AK47" s="7">
        <v>117</v>
      </c>
      <c r="AL47" s="7">
        <v>103.9</v>
      </c>
    </row>
    <row r="48" spans="2:38" s="9" customFormat="1" x14ac:dyDescent="0.2">
      <c r="B48" s="55">
        <v>1983</v>
      </c>
      <c r="C48" s="115" t="s">
        <v>299</v>
      </c>
      <c r="D48" s="6">
        <v>154</v>
      </c>
      <c r="E48" s="7">
        <v>350</v>
      </c>
      <c r="F48" s="6">
        <v>150.5</v>
      </c>
      <c r="G48" s="7">
        <v>179.5</v>
      </c>
      <c r="H48" s="6">
        <v>138</v>
      </c>
      <c r="I48" s="6">
        <v>118</v>
      </c>
      <c r="J48" s="7">
        <v>187</v>
      </c>
      <c r="K48" s="7">
        <v>110</v>
      </c>
      <c r="L48" s="6">
        <v>167.9</v>
      </c>
      <c r="M48" s="6">
        <v>155</v>
      </c>
      <c r="N48" s="7">
        <v>67</v>
      </c>
      <c r="O48" s="6">
        <v>204</v>
      </c>
      <c r="P48" s="7">
        <v>342.5</v>
      </c>
      <c r="Q48" s="6">
        <v>0</v>
      </c>
      <c r="R48" s="6">
        <v>117.1</v>
      </c>
      <c r="S48" s="6">
        <v>146.9</v>
      </c>
      <c r="T48" s="6">
        <v>47.1</v>
      </c>
      <c r="U48" s="7">
        <v>152</v>
      </c>
      <c r="V48" s="7">
        <v>111</v>
      </c>
      <c r="W48" s="6">
        <v>133.6</v>
      </c>
      <c r="X48" s="6">
        <v>121</v>
      </c>
      <c r="Y48" s="6">
        <v>128.1</v>
      </c>
      <c r="Z48" s="7">
        <v>54</v>
      </c>
      <c r="AA48" s="55">
        <v>200</v>
      </c>
      <c r="AB48" s="7">
        <v>192</v>
      </c>
      <c r="AC48" s="6">
        <v>159.30000000000001</v>
      </c>
      <c r="AD48" s="6">
        <v>175.6</v>
      </c>
      <c r="AE48" s="6">
        <v>108.7</v>
      </c>
      <c r="AF48" s="6">
        <v>123</v>
      </c>
      <c r="AG48" s="6">
        <v>145</v>
      </c>
      <c r="AH48" s="6">
        <v>198</v>
      </c>
      <c r="AI48" s="7">
        <v>154</v>
      </c>
      <c r="AJ48" s="6">
        <v>300.5</v>
      </c>
      <c r="AK48" s="7">
        <v>115</v>
      </c>
      <c r="AL48" s="7">
        <v>146.80000000000001</v>
      </c>
    </row>
    <row r="49" spans="2:38" s="9" customFormat="1" x14ac:dyDescent="0.2">
      <c r="B49" s="55">
        <v>1983</v>
      </c>
      <c r="C49" s="115" t="s">
        <v>301</v>
      </c>
      <c r="D49" s="6">
        <v>154</v>
      </c>
      <c r="E49" s="7">
        <v>79</v>
      </c>
      <c r="F49" s="6">
        <v>19.3</v>
      </c>
      <c r="G49" s="7">
        <v>98</v>
      </c>
      <c r="H49" s="6">
        <v>19</v>
      </c>
      <c r="I49" s="6">
        <v>133</v>
      </c>
      <c r="J49" s="7">
        <v>85</v>
      </c>
      <c r="K49" s="7">
        <v>70.5</v>
      </c>
      <c r="L49" s="6">
        <v>23</v>
      </c>
      <c r="M49" s="6">
        <v>100</v>
      </c>
      <c r="N49" s="7">
        <v>147</v>
      </c>
      <c r="O49" s="6">
        <v>50</v>
      </c>
      <c r="P49" s="7">
        <v>22.5</v>
      </c>
      <c r="Q49" s="6">
        <v>0</v>
      </c>
      <c r="R49" s="6">
        <v>56.8</v>
      </c>
      <c r="S49" s="6">
        <v>83.6</v>
      </c>
      <c r="T49" s="6">
        <v>67.3</v>
      </c>
      <c r="U49" s="7">
        <v>33</v>
      </c>
      <c r="V49" s="7">
        <v>54</v>
      </c>
      <c r="W49" s="6">
        <v>65.599999999999994</v>
      </c>
      <c r="X49" s="6">
        <v>99</v>
      </c>
      <c r="Y49" s="6">
        <v>54</v>
      </c>
      <c r="Z49" s="7">
        <v>69</v>
      </c>
      <c r="AA49" s="55">
        <v>80</v>
      </c>
      <c r="AB49" s="7">
        <v>115</v>
      </c>
      <c r="AC49" s="6">
        <v>20.8</v>
      </c>
      <c r="AD49" s="6">
        <v>40</v>
      </c>
      <c r="AE49" s="6">
        <v>28.5</v>
      </c>
      <c r="AF49" s="6">
        <v>96</v>
      </c>
      <c r="AG49" s="6">
        <v>44</v>
      </c>
      <c r="AH49" s="6">
        <v>20</v>
      </c>
      <c r="AI49" s="7">
        <v>20</v>
      </c>
      <c r="AJ49" s="6">
        <v>111.9</v>
      </c>
      <c r="AK49" s="7">
        <v>8</v>
      </c>
      <c r="AL49" s="7">
        <v>13</v>
      </c>
    </row>
    <row r="50" spans="2:38" s="9" customFormat="1" x14ac:dyDescent="0.2">
      <c r="B50" s="55">
        <v>1984</v>
      </c>
      <c r="C50" s="115" t="s">
        <v>289</v>
      </c>
      <c r="D50" s="6">
        <v>228</v>
      </c>
      <c r="E50" s="7">
        <v>152</v>
      </c>
      <c r="F50" s="6">
        <v>343.1</v>
      </c>
      <c r="G50" s="7">
        <v>187</v>
      </c>
      <c r="H50" s="6">
        <v>230</v>
      </c>
      <c r="I50" s="6">
        <v>109</v>
      </c>
      <c r="J50" s="7">
        <v>201</v>
      </c>
      <c r="K50" s="7">
        <v>171</v>
      </c>
      <c r="L50" s="6">
        <v>266.5</v>
      </c>
      <c r="M50" s="6">
        <v>287</v>
      </c>
      <c r="N50" s="7">
        <v>179</v>
      </c>
      <c r="O50" s="6">
        <v>235</v>
      </c>
      <c r="P50" s="7">
        <v>86</v>
      </c>
      <c r="Q50" s="6">
        <v>248</v>
      </c>
      <c r="R50" s="6">
        <v>127.8</v>
      </c>
      <c r="S50" s="6">
        <v>185.7</v>
      </c>
      <c r="T50" s="6">
        <v>124.9</v>
      </c>
      <c r="U50" s="7">
        <v>107</v>
      </c>
      <c r="V50" s="7">
        <v>163.5</v>
      </c>
      <c r="W50" s="6">
        <v>124.6</v>
      </c>
      <c r="X50" s="6">
        <v>286</v>
      </c>
      <c r="Y50" s="6">
        <v>156.69999999999999</v>
      </c>
      <c r="Z50" s="7">
        <v>115</v>
      </c>
      <c r="AA50" s="55">
        <v>223</v>
      </c>
      <c r="AB50" s="7">
        <v>94</v>
      </c>
      <c r="AC50" s="6">
        <v>253.1</v>
      </c>
      <c r="AD50" s="6">
        <v>110.6</v>
      </c>
      <c r="AE50" s="6">
        <v>125.6</v>
      </c>
      <c r="AF50" s="6">
        <v>223</v>
      </c>
      <c r="AG50" s="6">
        <v>146</v>
      </c>
      <c r="AH50" s="6">
        <v>150</v>
      </c>
      <c r="AI50" s="7">
        <v>221.5</v>
      </c>
      <c r="AJ50" s="6">
        <v>333.7</v>
      </c>
      <c r="AK50" s="7">
        <v>203</v>
      </c>
      <c r="AL50" s="7">
        <v>152</v>
      </c>
    </row>
    <row r="51" spans="2:38" s="9" customFormat="1" x14ac:dyDescent="0.2">
      <c r="B51" s="55">
        <v>1984</v>
      </c>
      <c r="C51" s="115" t="s">
        <v>290</v>
      </c>
      <c r="D51" s="6">
        <v>350</v>
      </c>
      <c r="E51" s="7">
        <v>369</v>
      </c>
      <c r="F51" s="6">
        <v>332.6</v>
      </c>
      <c r="G51" s="7">
        <v>310</v>
      </c>
      <c r="H51" s="6">
        <v>332</v>
      </c>
      <c r="I51" s="6">
        <v>397</v>
      </c>
      <c r="J51" s="7">
        <v>377.5</v>
      </c>
      <c r="K51" s="7">
        <v>302</v>
      </c>
      <c r="L51" s="6">
        <v>552</v>
      </c>
      <c r="M51" s="6">
        <v>366</v>
      </c>
      <c r="N51" s="7">
        <v>579</v>
      </c>
      <c r="O51" s="6">
        <v>309</v>
      </c>
      <c r="P51" s="7">
        <v>127</v>
      </c>
      <c r="Q51" s="6">
        <v>541</v>
      </c>
      <c r="R51" s="6">
        <v>341.9</v>
      </c>
      <c r="S51" s="6">
        <v>297.5</v>
      </c>
      <c r="T51" s="6">
        <v>757.5</v>
      </c>
      <c r="U51" s="7">
        <v>493</v>
      </c>
      <c r="V51" s="7">
        <v>253</v>
      </c>
      <c r="W51" s="6">
        <v>505.6</v>
      </c>
      <c r="X51" s="6">
        <v>480</v>
      </c>
      <c r="Y51" s="6">
        <v>121.4</v>
      </c>
      <c r="Z51" s="7">
        <v>461</v>
      </c>
      <c r="AA51" s="55">
        <v>598</v>
      </c>
      <c r="AB51" s="7">
        <v>405.5</v>
      </c>
      <c r="AC51" s="6">
        <v>184.2</v>
      </c>
      <c r="AD51" s="6">
        <v>173.2</v>
      </c>
      <c r="AE51" s="6">
        <v>448.9</v>
      </c>
      <c r="AF51" s="6">
        <v>343</v>
      </c>
      <c r="AG51" s="6">
        <v>346</v>
      </c>
      <c r="AH51" s="6">
        <v>292</v>
      </c>
      <c r="AI51" s="7">
        <v>279.5</v>
      </c>
      <c r="AJ51" s="6">
        <v>343.1</v>
      </c>
      <c r="AK51" s="7">
        <v>348</v>
      </c>
      <c r="AL51" s="7">
        <v>274.5</v>
      </c>
    </row>
    <row r="52" spans="2:38" s="9" customFormat="1" x14ac:dyDescent="0.2">
      <c r="B52" s="55">
        <v>1984</v>
      </c>
      <c r="C52" s="115" t="s">
        <v>291</v>
      </c>
      <c r="D52" s="6">
        <v>7</v>
      </c>
      <c r="E52" s="7">
        <v>50</v>
      </c>
      <c r="F52" s="6">
        <v>197.5</v>
      </c>
      <c r="G52" s="7">
        <v>12</v>
      </c>
      <c r="H52" s="6">
        <v>141</v>
      </c>
      <c r="I52" s="6">
        <v>22</v>
      </c>
      <c r="J52" s="7">
        <v>15</v>
      </c>
      <c r="K52" s="7">
        <v>135</v>
      </c>
      <c r="L52" s="6">
        <v>121.5</v>
      </c>
      <c r="M52" s="6">
        <v>18</v>
      </c>
      <c r="N52" s="7">
        <v>50.5</v>
      </c>
      <c r="O52" s="6">
        <v>22</v>
      </c>
      <c r="P52" s="7">
        <v>122</v>
      </c>
      <c r="Q52" s="6">
        <v>0</v>
      </c>
      <c r="R52" s="6">
        <v>87</v>
      </c>
      <c r="S52" s="6">
        <v>57.9</v>
      </c>
      <c r="T52" s="6">
        <v>98.2</v>
      </c>
      <c r="U52" s="7">
        <v>47</v>
      </c>
      <c r="V52" s="7">
        <v>38.5</v>
      </c>
      <c r="W52" s="6">
        <v>111.1</v>
      </c>
      <c r="X52" s="6">
        <v>43</v>
      </c>
      <c r="Y52" s="6">
        <v>65.7</v>
      </c>
      <c r="Z52" s="7">
        <v>29</v>
      </c>
      <c r="AA52" s="55">
        <v>174</v>
      </c>
      <c r="AB52" s="7">
        <v>95.5</v>
      </c>
      <c r="AC52" s="6">
        <v>81.099999999999994</v>
      </c>
      <c r="AD52" s="6">
        <v>31.7</v>
      </c>
      <c r="AE52" s="6">
        <v>151.5</v>
      </c>
      <c r="AF52" s="6">
        <v>104</v>
      </c>
      <c r="AG52" s="6">
        <v>61</v>
      </c>
      <c r="AH52" s="6">
        <v>132</v>
      </c>
      <c r="AI52" s="7">
        <v>83</v>
      </c>
      <c r="AJ52" s="6">
        <v>4.3</v>
      </c>
      <c r="AK52" s="7">
        <v>112</v>
      </c>
      <c r="AL52" s="7">
        <v>18</v>
      </c>
    </row>
    <row r="53" spans="2:38" s="9" customFormat="1" x14ac:dyDescent="0.2">
      <c r="B53" s="55">
        <v>1984</v>
      </c>
      <c r="C53" s="115" t="s">
        <v>292</v>
      </c>
      <c r="D53" s="6">
        <v>77</v>
      </c>
      <c r="E53" s="7">
        <v>85</v>
      </c>
      <c r="F53" s="6">
        <v>125.1</v>
      </c>
      <c r="G53" s="7">
        <v>42</v>
      </c>
      <c r="H53" s="6">
        <v>85</v>
      </c>
      <c r="I53" s="6">
        <v>83</v>
      </c>
      <c r="J53" s="7">
        <v>119</v>
      </c>
      <c r="K53" s="7">
        <v>67</v>
      </c>
      <c r="L53" s="6">
        <v>114</v>
      </c>
      <c r="M53" s="6">
        <v>143</v>
      </c>
      <c r="N53" s="7">
        <v>77</v>
      </c>
      <c r="O53" s="6">
        <v>136</v>
      </c>
      <c r="P53" s="7">
        <v>119</v>
      </c>
      <c r="Q53" s="6">
        <v>153</v>
      </c>
      <c r="R53" s="6">
        <v>87.6</v>
      </c>
      <c r="S53" s="6">
        <v>126.7</v>
      </c>
      <c r="T53" s="6">
        <v>63.4</v>
      </c>
      <c r="U53" s="7">
        <v>97</v>
      </c>
      <c r="V53" s="7">
        <v>167</v>
      </c>
      <c r="W53" s="6">
        <v>135.69999999999999</v>
      </c>
      <c r="X53" s="6">
        <v>56</v>
      </c>
      <c r="Y53" s="6">
        <v>134.5</v>
      </c>
      <c r="Z53" s="7">
        <v>55</v>
      </c>
      <c r="AA53" s="55">
        <v>178</v>
      </c>
      <c r="AB53" s="7">
        <v>53.5</v>
      </c>
      <c r="AC53" s="6">
        <v>148.6</v>
      </c>
      <c r="AD53" s="6">
        <v>96.2</v>
      </c>
      <c r="AE53" s="6">
        <v>84.9</v>
      </c>
      <c r="AF53" s="6">
        <v>58</v>
      </c>
      <c r="AG53" s="6">
        <v>86</v>
      </c>
      <c r="AH53" s="6">
        <v>63</v>
      </c>
      <c r="AI53" s="7">
        <v>141.5</v>
      </c>
      <c r="AJ53" s="6">
        <v>150.1</v>
      </c>
      <c r="AK53" s="7">
        <v>100</v>
      </c>
      <c r="AL53" s="7">
        <v>190.5</v>
      </c>
    </row>
    <row r="54" spans="2:38" s="9" customFormat="1" x14ac:dyDescent="0.2">
      <c r="B54" s="55">
        <v>1984</v>
      </c>
      <c r="C54" s="115" t="s">
        <v>293</v>
      </c>
      <c r="D54" s="6">
        <v>102</v>
      </c>
      <c r="E54" s="7">
        <v>178</v>
      </c>
      <c r="F54" s="6">
        <v>177.1</v>
      </c>
      <c r="G54" s="7">
        <v>78</v>
      </c>
      <c r="H54" s="6">
        <v>90</v>
      </c>
      <c r="I54" s="6">
        <v>115</v>
      </c>
      <c r="J54" s="7">
        <v>161.5</v>
      </c>
      <c r="K54" s="7">
        <v>109</v>
      </c>
      <c r="L54" s="6">
        <v>133</v>
      </c>
      <c r="M54" s="6">
        <v>235</v>
      </c>
      <c r="N54" s="7">
        <v>136</v>
      </c>
      <c r="O54" s="6">
        <v>178</v>
      </c>
      <c r="P54" s="7">
        <v>70</v>
      </c>
      <c r="Q54" s="6">
        <v>155</v>
      </c>
      <c r="R54" s="6">
        <v>102.7</v>
      </c>
      <c r="S54" s="6">
        <v>240.3</v>
      </c>
      <c r="T54" s="6">
        <v>91.3</v>
      </c>
      <c r="U54" s="7">
        <v>106</v>
      </c>
      <c r="V54" s="7">
        <v>208</v>
      </c>
      <c r="W54" s="6">
        <v>88.9</v>
      </c>
      <c r="X54" s="6">
        <v>83</v>
      </c>
      <c r="Y54" s="6">
        <v>159.9</v>
      </c>
      <c r="Z54" s="7">
        <v>137</v>
      </c>
      <c r="AA54" s="55">
        <v>169</v>
      </c>
      <c r="AB54" s="7">
        <v>192.5</v>
      </c>
      <c r="AC54" s="6">
        <v>290.89999999999998</v>
      </c>
      <c r="AD54" s="6">
        <v>125.3</v>
      </c>
      <c r="AE54" s="6">
        <v>161.69999999999999</v>
      </c>
      <c r="AF54" s="6">
        <v>89</v>
      </c>
      <c r="AG54" s="6">
        <v>274</v>
      </c>
      <c r="AH54" s="6">
        <v>105</v>
      </c>
      <c r="AI54" s="7">
        <v>202.5</v>
      </c>
      <c r="AJ54" s="6">
        <v>176.6</v>
      </c>
      <c r="AK54" s="7">
        <v>126</v>
      </c>
      <c r="AL54" s="7">
        <v>278.8</v>
      </c>
    </row>
    <row r="55" spans="2:38" s="9" customFormat="1" x14ac:dyDescent="0.2">
      <c r="B55" s="55">
        <v>1984</v>
      </c>
      <c r="C55" s="115" t="s">
        <v>294</v>
      </c>
      <c r="D55" s="6">
        <v>143</v>
      </c>
      <c r="E55" s="7">
        <v>181</v>
      </c>
      <c r="F55" s="6">
        <v>131.6</v>
      </c>
      <c r="G55" s="7">
        <v>140.5</v>
      </c>
      <c r="H55" s="6">
        <v>105</v>
      </c>
      <c r="I55" s="6">
        <v>161</v>
      </c>
      <c r="J55" s="7">
        <v>228</v>
      </c>
      <c r="K55" s="7">
        <v>35</v>
      </c>
      <c r="L55" s="6">
        <v>130</v>
      </c>
      <c r="M55" s="6">
        <v>215</v>
      </c>
      <c r="N55" s="7">
        <v>104</v>
      </c>
      <c r="O55" s="6">
        <v>219</v>
      </c>
      <c r="P55" s="7">
        <v>31</v>
      </c>
      <c r="Q55" s="6">
        <v>254</v>
      </c>
      <c r="R55" s="6">
        <v>72.3</v>
      </c>
      <c r="S55" s="6">
        <v>198.5</v>
      </c>
      <c r="T55" s="6">
        <v>69.3</v>
      </c>
      <c r="U55" s="7">
        <v>105</v>
      </c>
      <c r="V55" s="7">
        <v>128.5</v>
      </c>
      <c r="W55" s="6">
        <v>78.099999999999994</v>
      </c>
      <c r="X55" s="6">
        <v>124</v>
      </c>
      <c r="Y55" s="6">
        <v>86.6</v>
      </c>
      <c r="Z55" s="7">
        <v>108.5</v>
      </c>
      <c r="AA55" s="55">
        <v>96</v>
      </c>
      <c r="AB55" s="7">
        <v>119</v>
      </c>
      <c r="AC55" s="6">
        <v>185.7</v>
      </c>
      <c r="AD55" s="6">
        <v>152.1</v>
      </c>
      <c r="AE55" s="6">
        <v>97.8</v>
      </c>
      <c r="AF55" s="6">
        <v>171</v>
      </c>
      <c r="AG55" s="6">
        <v>191</v>
      </c>
      <c r="AH55" s="6">
        <v>84</v>
      </c>
      <c r="AI55" s="7">
        <v>164.5</v>
      </c>
      <c r="AJ55" s="6">
        <v>237.8</v>
      </c>
      <c r="AK55" s="7">
        <v>85</v>
      </c>
      <c r="AL55" s="7">
        <v>194.5</v>
      </c>
    </row>
    <row r="56" spans="2:38" s="9" customFormat="1" x14ac:dyDescent="0.2">
      <c r="B56" s="55">
        <v>1984</v>
      </c>
      <c r="C56" s="115" t="s">
        <v>295</v>
      </c>
      <c r="D56" s="6">
        <v>212</v>
      </c>
      <c r="E56" s="7">
        <v>323</v>
      </c>
      <c r="F56" s="6">
        <v>101.2</v>
      </c>
      <c r="G56" s="7">
        <v>201</v>
      </c>
      <c r="H56" s="6">
        <v>120</v>
      </c>
      <c r="I56" s="6">
        <v>231</v>
      </c>
      <c r="J56" s="7">
        <v>215</v>
      </c>
      <c r="K56" s="7">
        <v>56</v>
      </c>
      <c r="L56" s="6">
        <v>180.5</v>
      </c>
      <c r="M56" s="6">
        <v>385</v>
      </c>
      <c r="N56" s="7">
        <v>154</v>
      </c>
      <c r="O56" s="6">
        <v>236</v>
      </c>
      <c r="P56" s="7">
        <v>111</v>
      </c>
      <c r="Q56" s="6">
        <v>350</v>
      </c>
      <c r="R56" s="6">
        <v>94.4</v>
      </c>
      <c r="S56" s="6">
        <v>263.2</v>
      </c>
      <c r="T56" s="6">
        <v>86.2</v>
      </c>
      <c r="U56" s="7">
        <v>197</v>
      </c>
      <c r="V56" s="7">
        <v>143.5</v>
      </c>
      <c r="W56" s="6">
        <v>47.7</v>
      </c>
      <c r="X56" s="6">
        <v>120</v>
      </c>
      <c r="Y56" s="6">
        <v>120.5</v>
      </c>
      <c r="Z56" s="7">
        <v>171</v>
      </c>
      <c r="AA56" s="55">
        <v>158</v>
      </c>
      <c r="AB56" s="7">
        <v>161</v>
      </c>
      <c r="AC56" s="6">
        <v>103</v>
      </c>
      <c r="AD56" s="6">
        <v>171.7</v>
      </c>
      <c r="AE56" s="6">
        <v>37.1</v>
      </c>
      <c r="AF56" s="6">
        <v>130</v>
      </c>
      <c r="AG56" s="6">
        <v>174</v>
      </c>
      <c r="AH56" s="6">
        <v>113</v>
      </c>
      <c r="AI56" s="7">
        <v>128</v>
      </c>
      <c r="AJ56" s="6">
        <v>315.3</v>
      </c>
      <c r="AK56" s="7">
        <v>71</v>
      </c>
      <c r="AL56" s="7">
        <v>156</v>
      </c>
    </row>
    <row r="57" spans="2:38" s="9" customFormat="1" x14ac:dyDescent="0.2">
      <c r="B57" s="55">
        <v>1984</v>
      </c>
      <c r="C57" s="115" t="s">
        <v>296</v>
      </c>
      <c r="D57" s="6">
        <v>40</v>
      </c>
      <c r="E57" s="7">
        <v>19</v>
      </c>
      <c r="F57" s="6">
        <v>25.3</v>
      </c>
      <c r="G57" s="7">
        <v>19</v>
      </c>
      <c r="H57" s="6">
        <v>18</v>
      </c>
      <c r="I57" s="6">
        <v>22</v>
      </c>
      <c r="J57" s="7">
        <v>34</v>
      </c>
      <c r="K57" s="7">
        <v>3</v>
      </c>
      <c r="L57" s="6">
        <v>23.5</v>
      </c>
      <c r="M57" s="6">
        <v>16</v>
      </c>
      <c r="N57" s="7">
        <v>16</v>
      </c>
      <c r="O57" s="6">
        <v>39</v>
      </c>
      <c r="P57" s="7">
        <v>172</v>
      </c>
      <c r="Q57" s="6">
        <v>62</v>
      </c>
      <c r="R57" s="6">
        <v>7.6</v>
      </c>
      <c r="S57" s="6">
        <v>18.2</v>
      </c>
      <c r="T57" s="6">
        <v>11.1</v>
      </c>
      <c r="U57" s="7">
        <v>19</v>
      </c>
      <c r="V57" s="7">
        <v>39</v>
      </c>
      <c r="W57" s="6">
        <v>10.6</v>
      </c>
      <c r="X57" s="6">
        <v>9</v>
      </c>
      <c r="Y57" s="6">
        <v>35.5</v>
      </c>
      <c r="Z57" s="7">
        <v>16</v>
      </c>
      <c r="AA57" s="260" t="s">
        <v>300</v>
      </c>
      <c r="AB57" s="7">
        <v>20</v>
      </c>
      <c r="AC57" s="6">
        <v>42.3</v>
      </c>
      <c r="AD57" s="6">
        <v>54.5</v>
      </c>
      <c r="AE57" s="6">
        <v>10.5</v>
      </c>
      <c r="AF57" s="6">
        <v>18</v>
      </c>
      <c r="AG57" s="6">
        <v>18</v>
      </c>
      <c r="AH57" s="6">
        <v>17</v>
      </c>
      <c r="AI57" s="7">
        <v>33</v>
      </c>
      <c r="AJ57" s="6">
        <v>42</v>
      </c>
      <c r="AK57" s="7">
        <v>13</v>
      </c>
      <c r="AL57" s="7">
        <v>25</v>
      </c>
    </row>
    <row r="58" spans="2:38" s="9" customFormat="1" x14ac:dyDescent="0.2">
      <c r="B58" s="55">
        <v>1984</v>
      </c>
      <c r="C58" s="115" t="s">
        <v>297</v>
      </c>
      <c r="D58" s="6">
        <v>64</v>
      </c>
      <c r="E58" s="7">
        <v>60</v>
      </c>
      <c r="F58" s="6">
        <v>207.1</v>
      </c>
      <c r="G58" s="7">
        <v>56</v>
      </c>
      <c r="H58" s="6">
        <v>184</v>
      </c>
      <c r="I58" s="6">
        <v>79</v>
      </c>
      <c r="J58" s="7">
        <v>136.5</v>
      </c>
      <c r="K58" s="7">
        <v>60</v>
      </c>
      <c r="L58" s="6">
        <v>164.5</v>
      </c>
      <c r="M58" s="6">
        <v>105</v>
      </c>
      <c r="N58" s="7">
        <v>113</v>
      </c>
      <c r="O58" s="6">
        <v>118</v>
      </c>
      <c r="P58" s="7">
        <v>103</v>
      </c>
      <c r="Q58" s="6">
        <v>162</v>
      </c>
      <c r="R58" s="6">
        <v>61.6</v>
      </c>
      <c r="S58" s="6">
        <v>107.8</v>
      </c>
      <c r="T58" s="6">
        <v>91.5</v>
      </c>
      <c r="U58" s="7">
        <v>144</v>
      </c>
      <c r="V58" s="7">
        <v>113</v>
      </c>
      <c r="W58" s="6">
        <v>124.6</v>
      </c>
      <c r="X58" s="6">
        <v>45</v>
      </c>
      <c r="Y58" s="6">
        <v>65.2</v>
      </c>
      <c r="Z58" s="7">
        <v>91</v>
      </c>
      <c r="AA58" s="55">
        <v>134</v>
      </c>
      <c r="AB58" s="7">
        <v>139</v>
      </c>
      <c r="AC58" s="6">
        <v>156.19999999999999</v>
      </c>
      <c r="AD58" s="6">
        <v>95.5</v>
      </c>
      <c r="AE58" s="6">
        <v>136.9</v>
      </c>
      <c r="AF58" s="6">
        <v>156</v>
      </c>
      <c r="AG58" s="6">
        <v>164</v>
      </c>
      <c r="AH58" s="6">
        <v>124</v>
      </c>
      <c r="AI58" s="7">
        <v>145</v>
      </c>
      <c r="AJ58" s="6">
        <v>115</v>
      </c>
      <c r="AK58" s="7">
        <v>145</v>
      </c>
      <c r="AL58" s="7">
        <v>108.7</v>
      </c>
    </row>
    <row r="59" spans="2:38" s="9" customFormat="1" x14ac:dyDescent="0.2">
      <c r="B59" s="55">
        <v>1984</v>
      </c>
      <c r="C59" s="115" t="s">
        <v>298</v>
      </c>
      <c r="D59" s="6">
        <v>152</v>
      </c>
      <c r="E59" s="7">
        <v>133</v>
      </c>
      <c r="F59" s="6">
        <v>125.3</v>
      </c>
      <c r="G59" s="7">
        <v>120</v>
      </c>
      <c r="H59" s="6">
        <v>104</v>
      </c>
      <c r="I59" s="6">
        <v>135</v>
      </c>
      <c r="J59" s="7">
        <v>104</v>
      </c>
      <c r="K59" s="7">
        <v>189</v>
      </c>
      <c r="L59" s="6">
        <v>170</v>
      </c>
      <c r="M59" s="6">
        <v>113</v>
      </c>
      <c r="N59" s="7">
        <v>352</v>
      </c>
      <c r="O59" s="6">
        <v>111</v>
      </c>
      <c r="P59" s="7">
        <v>66</v>
      </c>
      <c r="Q59" s="6">
        <v>109</v>
      </c>
      <c r="R59" s="6">
        <v>181.8</v>
      </c>
      <c r="S59" s="6">
        <v>126.4</v>
      </c>
      <c r="T59" s="6">
        <v>264</v>
      </c>
      <c r="U59" s="7">
        <v>157</v>
      </c>
      <c r="V59" s="7">
        <v>129.5</v>
      </c>
      <c r="W59" s="6">
        <v>149.6</v>
      </c>
      <c r="X59" s="6">
        <v>149</v>
      </c>
      <c r="Y59" s="6">
        <v>220.2</v>
      </c>
      <c r="Z59" s="7">
        <v>138</v>
      </c>
      <c r="AA59" s="55">
        <v>239</v>
      </c>
      <c r="AB59" s="7">
        <v>111</v>
      </c>
      <c r="AC59" s="6">
        <v>73.7</v>
      </c>
      <c r="AD59" s="6">
        <v>154.9</v>
      </c>
      <c r="AE59" s="6">
        <v>158.1</v>
      </c>
      <c r="AF59" s="6">
        <v>92</v>
      </c>
      <c r="AG59" s="6">
        <v>224</v>
      </c>
      <c r="AH59" s="6">
        <v>96</v>
      </c>
      <c r="AI59" s="7">
        <v>94</v>
      </c>
      <c r="AJ59" s="6">
        <v>105.2</v>
      </c>
      <c r="AK59" s="7">
        <v>153</v>
      </c>
      <c r="AL59" s="7">
        <v>154.5</v>
      </c>
    </row>
    <row r="60" spans="2:38" s="9" customFormat="1" x14ac:dyDescent="0.2">
      <c r="B60" s="55">
        <v>1984</v>
      </c>
      <c r="C60" s="115" t="s">
        <v>299</v>
      </c>
      <c r="D60" s="6">
        <v>61</v>
      </c>
      <c r="E60" s="7">
        <v>56</v>
      </c>
      <c r="F60" s="6">
        <v>143.9</v>
      </c>
      <c r="G60" s="7">
        <v>117</v>
      </c>
      <c r="H60" s="6">
        <v>95</v>
      </c>
      <c r="I60" s="6">
        <v>57</v>
      </c>
      <c r="J60" s="7">
        <v>31.5</v>
      </c>
      <c r="K60" s="7">
        <v>88</v>
      </c>
      <c r="L60" s="6">
        <v>106.5</v>
      </c>
      <c r="M60" s="6">
        <v>72</v>
      </c>
      <c r="N60" s="7">
        <v>158</v>
      </c>
      <c r="O60" s="6">
        <v>44</v>
      </c>
      <c r="P60" s="7">
        <v>92</v>
      </c>
      <c r="Q60" s="6">
        <v>42</v>
      </c>
      <c r="R60" s="6">
        <v>87.3</v>
      </c>
      <c r="S60" s="6">
        <v>72.599999999999994</v>
      </c>
      <c r="T60" s="6">
        <v>102.5</v>
      </c>
      <c r="U60" s="7">
        <v>56</v>
      </c>
      <c r="V60" s="7">
        <v>89</v>
      </c>
      <c r="W60" s="6">
        <v>84.4</v>
      </c>
      <c r="X60" s="6">
        <v>104</v>
      </c>
      <c r="Y60" s="6">
        <v>68.2</v>
      </c>
      <c r="Z60" s="7">
        <v>93</v>
      </c>
      <c r="AA60" s="55">
        <v>91</v>
      </c>
      <c r="AB60" s="7">
        <v>127</v>
      </c>
      <c r="AC60" s="6">
        <v>174.2</v>
      </c>
      <c r="AD60" s="6">
        <v>50.8</v>
      </c>
      <c r="AE60" s="6">
        <v>86.3</v>
      </c>
      <c r="AF60" s="6">
        <v>74</v>
      </c>
      <c r="AG60" s="6">
        <v>90</v>
      </c>
      <c r="AH60" s="6">
        <v>106</v>
      </c>
      <c r="AI60" s="7">
        <v>116</v>
      </c>
      <c r="AJ60" s="6">
        <v>37.299999999999997</v>
      </c>
      <c r="AK60" s="7">
        <v>115</v>
      </c>
      <c r="AL60" s="7">
        <v>117.2</v>
      </c>
    </row>
    <row r="61" spans="2:38" s="9" customFormat="1" x14ac:dyDescent="0.2">
      <c r="B61" s="55">
        <v>1984</v>
      </c>
      <c r="C61" s="115" t="s">
        <v>301</v>
      </c>
      <c r="D61" s="6">
        <v>6</v>
      </c>
      <c r="E61" s="7">
        <v>35</v>
      </c>
      <c r="F61" s="6">
        <v>28.2</v>
      </c>
      <c r="G61" s="7">
        <v>10</v>
      </c>
      <c r="H61" s="6">
        <v>46</v>
      </c>
      <c r="I61" s="6">
        <v>21</v>
      </c>
      <c r="J61" s="7">
        <v>20.5</v>
      </c>
      <c r="K61" s="7">
        <v>27</v>
      </c>
      <c r="L61" s="6">
        <v>28</v>
      </c>
      <c r="M61" s="6">
        <v>8</v>
      </c>
      <c r="N61" s="7">
        <v>32</v>
      </c>
      <c r="O61" s="6">
        <v>21</v>
      </c>
      <c r="P61" s="7">
        <v>218</v>
      </c>
      <c r="Q61" s="6">
        <v>59</v>
      </c>
      <c r="R61" s="6">
        <v>29.5</v>
      </c>
      <c r="S61" s="6">
        <v>26.9</v>
      </c>
      <c r="T61" s="6">
        <v>39.700000000000003</v>
      </c>
      <c r="U61" s="7">
        <v>13.5</v>
      </c>
      <c r="V61" s="7">
        <v>37</v>
      </c>
      <c r="W61" s="6">
        <v>27.8</v>
      </c>
      <c r="X61" s="6">
        <v>21</v>
      </c>
      <c r="Y61" s="6">
        <v>30.5</v>
      </c>
      <c r="Z61" s="7">
        <v>19</v>
      </c>
      <c r="AA61" s="55">
        <v>10</v>
      </c>
      <c r="AB61" s="7">
        <v>9</v>
      </c>
      <c r="AC61" s="6">
        <v>50.9</v>
      </c>
      <c r="AD61" s="6">
        <v>24.1</v>
      </c>
      <c r="AE61" s="6">
        <v>39.1</v>
      </c>
      <c r="AF61" s="6">
        <v>59</v>
      </c>
      <c r="AG61" s="6">
        <v>36</v>
      </c>
      <c r="AH61" s="6">
        <v>27</v>
      </c>
      <c r="AI61" s="7">
        <v>33</v>
      </c>
      <c r="AJ61" s="6">
        <v>16</v>
      </c>
      <c r="AK61" s="7">
        <v>43</v>
      </c>
      <c r="AL61" s="7">
        <v>47</v>
      </c>
    </row>
    <row r="62" spans="2:38" s="9" customFormat="1" x14ac:dyDescent="0.2">
      <c r="B62" s="55">
        <v>1985</v>
      </c>
      <c r="C62" s="115" t="s">
        <v>289</v>
      </c>
      <c r="D62" s="6">
        <v>92</v>
      </c>
      <c r="E62" s="7">
        <v>110</v>
      </c>
      <c r="F62" s="6">
        <v>66.400000000000006</v>
      </c>
      <c r="G62" s="7">
        <v>97.5</v>
      </c>
      <c r="H62" s="6">
        <v>36</v>
      </c>
      <c r="I62" s="6">
        <v>86</v>
      </c>
      <c r="J62" s="7">
        <v>44.5</v>
      </c>
      <c r="K62" s="7">
        <v>26</v>
      </c>
      <c r="L62" s="6">
        <v>27.5</v>
      </c>
      <c r="M62" s="6">
        <v>85</v>
      </c>
      <c r="N62" s="7">
        <v>92</v>
      </c>
      <c r="O62" s="6">
        <v>70</v>
      </c>
      <c r="P62" s="7">
        <v>290</v>
      </c>
      <c r="Q62" s="6">
        <v>55</v>
      </c>
      <c r="R62" s="6">
        <v>45.1</v>
      </c>
      <c r="S62" s="6">
        <v>108.6</v>
      </c>
      <c r="T62" s="6">
        <v>53.7</v>
      </c>
      <c r="U62" s="7">
        <v>61</v>
      </c>
      <c r="V62" s="7">
        <v>14</v>
      </c>
      <c r="W62" s="6">
        <v>51.4</v>
      </c>
      <c r="X62" s="6">
        <v>36</v>
      </c>
      <c r="Y62" s="6">
        <v>49.7</v>
      </c>
      <c r="Z62" s="7">
        <v>26</v>
      </c>
      <c r="AA62" s="55">
        <v>62</v>
      </c>
      <c r="AB62" s="7">
        <v>68</v>
      </c>
      <c r="AC62" s="6">
        <v>85.7</v>
      </c>
      <c r="AD62" s="6">
        <v>57.7</v>
      </c>
      <c r="AE62" s="6">
        <v>35.5</v>
      </c>
      <c r="AF62" s="6">
        <v>82</v>
      </c>
      <c r="AG62" s="6">
        <v>96</v>
      </c>
      <c r="AH62" s="6">
        <v>59</v>
      </c>
      <c r="AI62" s="7">
        <v>54</v>
      </c>
      <c r="AJ62" s="6">
        <v>35.200000000000003</v>
      </c>
      <c r="AK62" s="7">
        <v>39</v>
      </c>
      <c r="AL62" s="7">
        <v>78</v>
      </c>
    </row>
    <row r="63" spans="2:38" s="9" customFormat="1" x14ac:dyDescent="0.2">
      <c r="B63" s="55">
        <v>1985</v>
      </c>
      <c r="C63" s="115" t="s">
        <v>290</v>
      </c>
      <c r="D63" s="6">
        <v>20</v>
      </c>
      <c r="E63" s="7">
        <v>51</v>
      </c>
      <c r="F63" s="6">
        <v>102.9</v>
      </c>
      <c r="G63" s="7">
        <v>10</v>
      </c>
      <c r="H63" s="6">
        <v>115</v>
      </c>
      <c r="I63" s="6">
        <v>8</v>
      </c>
      <c r="J63" s="7">
        <v>14</v>
      </c>
      <c r="K63" s="7">
        <v>60</v>
      </c>
      <c r="L63" s="6">
        <v>31.5</v>
      </c>
      <c r="M63" s="6">
        <v>23</v>
      </c>
      <c r="N63" s="7">
        <v>74</v>
      </c>
      <c r="O63" s="6">
        <v>52</v>
      </c>
      <c r="P63" s="7">
        <v>31</v>
      </c>
      <c r="Q63" s="6">
        <v>20</v>
      </c>
      <c r="R63" s="6">
        <v>38.700000000000003</v>
      </c>
      <c r="S63" s="6">
        <v>26.8</v>
      </c>
      <c r="T63" s="6">
        <v>74.3</v>
      </c>
      <c r="U63" s="7">
        <v>29</v>
      </c>
      <c r="V63" s="7">
        <v>60</v>
      </c>
      <c r="W63" s="6">
        <v>57.6</v>
      </c>
      <c r="X63" s="6">
        <v>33</v>
      </c>
      <c r="Y63" s="6">
        <v>30.5</v>
      </c>
      <c r="Z63" s="7">
        <v>38</v>
      </c>
      <c r="AA63" s="55">
        <v>78</v>
      </c>
      <c r="AB63" s="7">
        <v>32</v>
      </c>
      <c r="AC63" s="6">
        <v>171.7</v>
      </c>
      <c r="AD63" s="6">
        <v>94.1</v>
      </c>
      <c r="AE63" s="6">
        <v>73.2</v>
      </c>
      <c r="AF63" s="6">
        <v>147</v>
      </c>
      <c r="AG63" s="6">
        <v>60</v>
      </c>
      <c r="AH63" s="6">
        <v>232</v>
      </c>
      <c r="AI63" s="7">
        <v>80</v>
      </c>
      <c r="AJ63" s="6">
        <v>17.2</v>
      </c>
      <c r="AK63" s="7">
        <v>166</v>
      </c>
      <c r="AL63" s="7">
        <v>85</v>
      </c>
    </row>
    <row r="64" spans="2:38" s="9" customFormat="1" x14ac:dyDescent="0.2">
      <c r="B64" s="55">
        <v>1985</v>
      </c>
      <c r="C64" s="115" t="s">
        <v>291</v>
      </c>
      <c r="D64" s="6">
        <v>194</v>
      </c>
      <c r="E64" s="7">
        <v>152</v>
      </c>
      <c r="F64" s="6">
        <v>261.7</v>
      </c>
      <c r="G64" s="7">
        <v>163</v>
      </c>
      <c r="H64" s="6">
        <v>227</v>
      </c>
      <c r="I64" s="6">
        <v>192</v>
      </c>
      <c r="J64" s="7">
        <v>158.80000000000001</v>
      </c>
      <c r="K64" s="7">
        <v>31</v>
      </c>
      <c r="L64" s="6">
        <v>220</v>
      </c>
      <c r="M64" s="6">
        <v>232</v>
      </c>
      <c r="N64" s="7">
        <v>219</v>
      </c>
      <c r="O64" s="6">
        <v>78</v>
      </c>
      <c r="P64" s="7">
        <v>52</v>
      </c>
      <c r="Q64" s="6">
        <v>132</v>
      </c>
      <c r="R64" s="6">
        <v>73</v>
      </c>
      <c r="S64" s="6">
        <v>159.5</v>
      </c>
      <c r="T64" s="6">
        <v>120</v>
      </c>
      <c r="U64" s="7">
        <v>180</v>
      </c>
      <c r="V64" s="7">
        <v>274.5</v>
      </c>
      <c r="W64" s="6">
        <v>195</v>
      </c>
      <c r="X64" s="6">
        <v>205</v>
      </c>
      <c r="Y64" s="6">
        <v>230</v>
      </c>
      <c r="Z64" s="7">
        <v>169</v>
      </c>
      <c r="AA64" s="55">
        <v>129</v>
      </c>
      <c r="AB64" s="7">
        <v>148</v>
      </c>
      <c r="AC64" s="6">
        <v>259.8</v>
      </c>
      <c r="AD64" s="6">
        <v>126.8</v>
      </c>
      <c r="AE64" s="6">
        <v>288.10000000000002</v>
      </c>
      <c r="AF64" s="6">
        <v>181</v>
      </c>
      <c r="AG64" s="6">
        <v>240</v>
      </c>
      <c r="AH64" s="6">
        <v>157</v>
      </c>
      <c r="AI64" s="7">
        <v>238</v>
      </c>
      <c r="AJ64" s="6">
        <v>150.4</v>
      </c>
      <c r="AK64" s="7">
        <v>319</v>
      </c>
      <c r="AL64" s="7">
        <v>182</v>
      </c>
    </row>
    <row r="65" spans="2:38" s="9" customFormat="1" x14ac:dyDescent="0.2">
      <c r="B65" s="55">
        <v>1985</v>
      </c>
      <c r="C65" s="115" t="s">
        <v>292</v>
      </c>
      <c r="D65" s="6">
        <v>92</v>
      </c>
      <c r="E65" s="7">
        <v>74</v>
      </c>
      <c r="F65" s="6">
        <v>115.7</v>
      </c>
      <c r="G65" s="7">
        <v>72.5</v>
      </c>
      <c r="H65" s="6">
        <v>108</v>
      </c>
      <c r="I65" s="6">
        <v>101</v>
      </c>
      <c r="J65" s="7">
        <v>91</v>
      </c>
      <c r="K65" s="7">
        <v>229</v>
      </c>
      <c r="L65" s="6">
        <v>155.5</v>
      </c>
      <c r="M65" s="6">
        <v>137</v>
      </c>
      <c r="N65" s="7">
        <v>134</v>
      </c>
      <c r="O65" s="6">
        <v>44</v>
      </c>
      <c r="P65" s="7">
        <v>76</v>
      </c>
      <c r="Q65" s="6">
        <v>103</v>
      </c>
      <c r="R65" s="6">
        <v>185.7</v>
      </c>
      <c r="S65" s="6">
        <v>70.2</v>
      </c>
      <c r="T65" s="6">
        <v>91.9</v>
      </c>
      <c r="U65" s="7">
        <v>110</v>
      </c>
      <c r="V65" s="7">
        <v>111.5</v>
      </c>
      <c r="W65" s="6">
        <v>109.5</v>
      </c>
      <c r="X65" s="6">
        <v>108</v>
      </c>
      <c r="Y65" s="6">
        <v>129.9</v>
      </c>
      <c r="Z65" s="7">
        <v>75</v>
      </c>
      <c r="AA65" s="55">
        <v>203</v>
      </c>
      <c r="AB65" s="7">
        <v>146</v>
      </c>
      <c r="AC65" s="6">
        <v>136.80000000000001</v>
      </c>
      <c r="AD65" s="6">
        <v>83.7</v>
      </c>
      <c r="AE65" s="6">
        <v>202.3</v>
      </c>
      <c r="AF65" s="6">
        <v>156</v>
      </c>
      <c r="AG65" s="6">
        <v>98</v>
      </c>
      <c r="AH65" s="6">
        <v>160</v>
      </c>
      <c r="AI65" s="7">
        <v>142.5</v>
      </c>
      <c r="AJ65" s="6">
        <v>101</v>
      </c>
      <c r="AK65" s="7">
        <v>207</v>
      </c>
      <c r="AL65" s="7">
        <v>107.4</v>
      </c>
    </row>
    <row r="66" spans="2:38" s="9" customFormat="1" x14ac:dyDescent="0.2">
      <c r="B66" s="55">
        <v>1985</v>
      </c>
      <c r="C66" s="115" t="s">
        <v>293</v>
      </c>
      <c r="D66" s="6">
        <v>65</v>
      </c>
      <c r="E66" s="7">
        <v>111</v>
      </c>
      <c r="F66" s="6">
        <v>150.69999999999999</v>
      </c>
      <c r="G66" s="7">
        <v>110</v>
      </c>
      <c r="H66" s="6">
        <v>188</v>
      </c>
      <c r="I66" s="6">
        <v>118</v>
      </c>
      <c r="J66" s="7">
        <v>83.5</v>
      </c>
      <c r="K66" s="7">
        <v>149</v>
      </c>
      <c r="L66" s="6">
        <v>130</v>
      </c>
      <c r="M66" s="6">
        <v>84</v>
      </c>
      <c r="N66" s="7">
        <v>201</v>
      </c>
      <c r="O66" s="6">
        <v>45</v>
      </c>
      <c r="P66" s="7">
        <v>10</v>
      </c>
      <c r="Q66" s="6">
        <v>71</v>
      </c>
      <c r="R66" s="6">
        <v>276.39999999999998</v>
      </c>
      <c r="S66" s="6">
        <v>109.9</v>
      </c>
      <c r="T66" s="6">
        <v>33.9</v>
      </c>
      <c r="U66" s="7">
        <v>83</v>
      </c>
      <c r="V66" s="7">
        <v>192.5</v>
      </c>
      <c r="W66" s="6">
        <v>58.8</v>
      </c>
      <c r="X66" s="6">
        <v>171</v>
      </c>
      <c r="Y66" s="6">
        <v>223.4</v>
      </c>
      <c r="Z66" s="7">
        <v>121</v>
      </c>
      <c r="AA66" s="55">
        <v>111</v>
      </c>
      <c r="AB66" s="7">
        <v>139.4</v>
      </c>
      <c r="AC66" s="6">
        <v>233.9</v>
      </c>
      <c r="AD66" s="6">
        <v>92.7</v>
      </c>
      <c r="AE66" s="6">
        <v>165.1</v>
      </c>
      <c r="AF66" s="6">
        <v>184</v>
      </c>
      <c r="AG66" s="6">
        <v>169</v>
      </c>
      <c r="AH66" s="6">
        <v>95</v>
      </c>
      <c r="AI66" s="7">
        <v>192</v>
      </c>
      <c r="AJ66" s="6">
        <v>45.6</v>
      </c>
      <c r="AK66" s="7">
        <v>228</v>
      </c>
      <c r="AL66" s="7">
        <v>74</v>
      </c>
    </row>
    <row r="67" spans="2:38" s="9" customFormat="1" x14ac:dyDescent="0.2">
      <c r="B67" s="55">
        <v>1985</v>
      </c>
      <c r="C67" s="115" t="s">
        <v>294</v>
      </c>
      <c r="D67" s="6">
        <v>80</v>
      </c>
      <c r="E67" s="7">
        <v>116</v>
      </c>
      <c r="F67" s="6">
        <v>75.3</v>
      </c>
      <c r="G67" s="7">
        <v>152.5</v>
      </c>
      <c r="H67" s="6">
        <v>102</v>
      </c>
      <c r="I67" s="6">
        <v>150</v>
      </c>
      <c r="J67" s="7">
        <v>129</v>
      </c>
      <c r="K67" s="7">
        <v>92</v>
      </c>
      <c r="L67" s="6">
        <v>107.5</v>
      </c>
      <c r="M67" s="6">
        <v>113</v>
      </c>
      <c r="N67" s="7">
        <v>203</v>
      </c>
      <c r="O67" s="6">
        <v>88</v>
      </c>
      <c r="P67" s="7">
        <v>41</v>
      </c>
      <c r="Q67" s="6">
        <v>161</v>
      </c>
      <c r="R67" s="6">
        <v>81.400000000000006</v>
      </c>
      <c r="S67" s="6">
        <v>107.1</v>
      </c>
      <c r="T67" s="6">
        <v>144.4</v>
      </c>
      <c r="U67" s="7">
        <v>190</v>
      </c>
      <c r="V67" s="7">
        <v>92</v>
      </c>
      <c r="W67" s="6">
        <v>121.3</v>
      </c>
      <c r="X67" s="6">
        <v>137</v>
      </c>
      <c r="Y67" s="6">
        <v>162</v>
      </c>
      <c r="Z67" s="7">
        <v>226</v>
      </c>
      <c r="AA67" s="55">
        <v>98</v>
      </c>
      <c r="AB67" s="7">
        <v>128</v>
      </c>
      <c r="AC67" s="6">
        <v>117.4</v>
      </c>
      <c r="AD67" s="6">
        <v>156.69999999999999</v>
      </c>
      <c r="AE67" s="6">
        <v>60.5</v>
      </c>
      <c r="AF67" s="6">
        <v>94</v>
      </c>
      <c r="AG67" s="6">
        <v>106</v>
      </c>
      <c r="AH67" s="6">
        <v>90</v>
      </c>
      <c r="AI67" s="7">
        <v>106.5</v>
      </c>
      <c r="AJ67" s="6">
        <v>114.3</v>
      </c>
      <c r="AK67" s="7">
        <v>167</v>
      </c>
      <c r="AL67" s="7">
        <v>161</v>
      </c>
    </row>
    <row r="68" spans="2:38" s="9" customFormat="1" x14ac:dyDescent="0.2">
      <c r="B68" s="55">
        <v>1985</v>
      </c>
      <c r="C68" s="115" t="s">
        <v>295</v>
      </c>
      <c r="D68" s="6">
        <v>68</v>
      </c>
      <c r="E68" s="7">
        <v>161</v>
      </c>
      <c r="F68" s="6">
        <v>136.80000000000001</v>
      </c>
      <c r="G68" s="7">
        <v>61</v>
      </c>
      <c r="H68" s="6">
        <v>150</v>
      </c>
      <c r="I68" s="6">
        <v>52</v>
      </c>
      <c r="J68" s="7">
        <v>102.5</v>
      </c>
      <c r="K68" s="7">
        <v>59</v>
      </c>
      <c r="L68" s="6">
        <v>48.5</v>
      </c>
      <c r="M68" s="6">
        <v>94</v>
      </c>
      <c r="N68" s="7">
        <v>84</v>
      </c>
      <c r="O68" s="6">
        <v>88</v>
      </c>
      <c r="P68" s="7">
        <v>172</v>
      </c>
      <c r="Q68" s="6">
        <v>108</v>
      </c>
      <c r="R68" s="6">
        <v>55.8</v>
      </c>
      <c r="S68" s="6">
        <v>142</v>
      </c>
      <c r="T68" s="6">
        <v>60.1</v>
      </c>
      <c r="U68" s="7">
        <v>52</v>
      </c>
      <c r="V68" s="7">
        <v>145.5</v>
      </c>
      <c r="W68" s="6">
        <v>56.7</v>
      </c>
      <c r="X68" s="6">
        <v>28</v>
      </c>
      <c r="Y68" s="6">
        <v>30.1</v>
      </c>
      <c r="Z68" s="7">
        <v>34</v>
      </c>
      <c r="AA68" s="55">
        <v>73</v>
      </c>
      <c r="AB68" s="7">
        <v>78</v>
      </c>
      <c r="AC68" s="6">
        <v>127</v>
      </c>
      <c r="AD68" s="6">
        <v>37.4</v>
      </c>
      <c r="AE68" s="6">
        <v>63.4</v>
      </c>
      <c r="AF68" s="6">
        <v>171</v>
      </c>
      <c r="AG68" s="6">
        <v>178</v>
      </c>
      <c r="AH68" s="6">
        <v>134</v>
      </c>
      <c r="AI68" s="7">
        <v>119</v>
      </c>
      <c r="AJ68" s="6">
        <v>94.9</v>
      </c>
      <c r="AK68" s="7">
        <v>100</v>
      </c>
      <c r="AL68" s="7">
        <v>168.2</v>
      </c>
    </row>
    <row r="69" spans="2:38" s="9" customFormat="1" x14ac:dyDescent="0.2">
      <c r="B69" s="55">
        <v>1985</v>
      </c>
      <c r="C69" s="115" t="s">
        <v>296</v>
      </c>
      <c r="D69" s="6">
        <v>108</v>
      </c>
      <c r="E69" s="7">
        <v>249</v>
      </c>
      <c r="F69" s="6">
        <v>80</v>
      </c>
      <c r="G69" s="7">
        <v>70</v>
      </c>
      <c r="H69" s="6">
        <v>100</v>
      </c>
      <c r="I69" s="6">
        <v>106</v>
      </c>
      <c r="J69" s="7">
        <v>110</v>
      </c>
      <c r="K69" s="7">
        <v>37</v>
      </c>
      <c r="L69" s="6">
        <v>69.5</v>
      </c>
      <c r="M69" s="6">
        <v>172</v>
      </c>
      <c r="N69" s="7">
        <v>114</v>
      </c>
      <c r="O69" s="6">
        <v>145</v>
      </c>
      <c r="P69" s="7">
        <v>110</v>
      </c>
      <c r="Q69" s="6">
        <v>132</v>
      </c>
      <c r="R69" s="6">
        <v>51.3</v>
      </c>
      <c r="S69" s="6">
        <v>186.1</v>
      </c>
      <c r="T69" s="6">
        <v>84.2</v>
      </c>
      <c r="U69" s="7">
        <v>74</v>
      </c>
      <c r="V69" s="7">
        <v>118.5</v>
      </c>
      <c r="W69" s="6">
        <v>50.1</v>
      </c>
      <c r="X69" s="6">
        <v>86</v>
      </c>
      <c r="Y69" s="6">
        <v>54</v>
      </c>
      <c r="Z69" s="7">
        <v>110</v>
      </c>
      <c r="AA69" s="55">
        <v>65</v>
      </c>
      <c r="AB69" s="7">
        <v>93</v>
      </c>
      <c r="AC69" s="6">
        <v>131.19999999999999</v>
      </c>
      <c r="AD69" s="6">
        <v>93.9</v>
      </c>
      <c r="AE69" s="6">
        <v>82.7</v>
      </c>
      <c r="AF69" s="6">
        <v>97</v>
      </c>
      <c r="AG69" s="6">
        <v>193</v>
      </c>
      <c r="AH69" s="6">
        <v>95</v>
      </c>
      <c r="AI69" s="7">
        <v>137</v>
      </c>
      <c r="AJ69" s="6">
        <v>154.19999999999999</v>
      </c>
      <c r="AK69" s="7">
        <v>85</v>
      </c>
      <c r="AL69" s="7">
        <v>155</v>
      </c>
    </row>
    <row r="70" spans="2:38" s="9" customFormat="1" x14ac:dyDescent="0.2">
      <c r="B70" s="55">
        <v>1985</v>
      </c>
      <c r="C70" s="115" t="s">
        <v>297</v>
      </c>
      <c r="D70" s="6">
        <v>108</v>
      </c>
      <c r="E70" s="7">
        <v>256</v>
      </c>
      <c r="F70" s="6">
        <v>106.8</v>
      </c>
      <c r="G70" s="7">
        <v>37.700000000000003</v>
      </c>
      <c r="H70" s="6">
        <v>120</v>
      </c>
      <c r="I70" s="6">
        <v>86</v>
      </c>
      <c r="J70" s="7">
        <v>86</v>
      </c>
      <c r="K70" s="7">
        <v>82</v>
      </c>
      <c r="L70" s="6">
        <v>54</v>
      </c>
      <c r="M70" s="6">
        <v>170</v>
      </c>
      <c r="N70" s="7">
        <v>90</v>
      </c>
      <c r="O70" s="6">
        <v>84</v>
      </c>
      <c r="P70" s="7">
        <v>140</v>
      </c>
      <c r="Q70" s="6">
        <v>122</v>
      </c>
      <c r="R70" s="6">
        <v>69.5</v>
      </c>
      <c r="S70" s="6">
        <v>218.5</v>
      </c>
      <c r="T70" s="6">
        <v>70.900000000000006</v>
      </c>
      <c r="U70" s="7">
        <v>38</v>
      </c>
      <c r="V70" s="7">
        <v>145.5</v>
      </c>
      <c r="W70" s="6">
        <v>26.1</v>
      </c>
      <c r="X70" s="6">
        <v>93</v>
      </c>
      <c r="Y70" s="6">
        <v>114.7</v>
      </c>
      <c r="Z70" s="7">
        <v>75</v>
      </c>
      <c r="AA70" s="55">
        <v>32</v>
      </c>
      <c r="AB70" s="7">
        <v>131.4</v>
      </c>
      <c r="AC70" s="6">
        <v>159.1</v>
      </c>
      <c r="AD70" s="6">
        <v>139.6</v>
      </c>
      <c r="AE70" s="6">
        <v>50.2</v>
      </c>
      <c r="AF70" s="6">
        <v>85</v>
      </c>
      <c r="AG70" s="6">
        <v>135</v>
      </c>
      <c r="AH70" s="6">
        <v>98</v>
      </c>
      <c r="AI70" s="7">
        <v>152</v>
      </c>
      <c r="AJ70" s="6">
        <v>145.6</v>
      </c>
      <c r="AK70" s="7">
        <v>150</v>
      </c>
      <c r="AL70" s="7">
        <v>192.6</v>
      </c>
    </row>
    <row r="71" spans="2:38" s="9" customFormat="1" x14ac:dyDescent="0.2">
      <c r="B71" s="55">
        <v>1985</v>
      </c>
      <c r="C71" s="115" t="s">
        <v>298</v>
      </c>
      <c r="D71" s="6">
        <v>156</v>
      </c>
      <c r="E71" s="7">
        <v>117</v>
      </c>
      <c r="F71" s="6">
        <v>110.6</v>
      </c>
      <c r="G71" s="7">
        <v>114</v>
      </c>
      <c r="H71" s="6">
        <v>165</v>
      </c>
      <c r="I71" s="6">
        <v>173</v>
      </c>
      <c r="J71" s="7">
        <v>146.5</v>
      </c>
      <c r="K71" s="7">
        <v>173</v>
      </c>
      <c r="L71" s="6">
        <v>155.5</v>
      </c>
      <c r="M71" s="6">
        <v>139</v>
      </c>
      <c r="N71" s="7">
        <v>271</v>
      </c>
      <c r="O71" s="6">
        <v>123</v>
      </c>
      <c r="P71" s="7">
        <v>38</v>
      </c>
      <c r="Q71" s="6">
        <v>133</v>
      </c>
      <c r="R71" s="6">
        <v>155.30000000000001</v>
      </c>
      <c r="S71" s="6">
        <v>133.1</v>
      </c>
      <c r="T71" s="6">
        <v>130</v>
      </c>
      <c r="U71" s="7">
        <v>211</v>
      </c>
      <c r="V71" s="7">
        <v>130</v>
      </c>
      <c r="W71" s="6">
        <v>120.2</v>
      </c>
      <c r="X71" s="6">
        <v>144</v>
      </c>
      <c r="Y71" s="6">
        <v>183.3</v>
      </c>
      <c r="Z71" s="7">
        <v>194</v>
      </c>
      <c r="AA71" s="55">
        <v>158</v>
      </c>
      <c r="AB71" s="7">
        <v>174.9</v>
      </c>
      <c r="AC71" s="6">
        <v>94.7</v>
      </c>
      <c r="AD71" s="6">
        <v>157.30000000000001</v>
      </c>
      <c r="AE71" s="6">
        <v>183.9</v>
      </c>
      <c r="AF71" s="6">
        <v>210</v>
      </c>
      <c r="AG71" s="6">
        <v>129</v>
      </c>
      <c r="AH71" s="6">
        <v>158</v>
      </c>
      <c r="AI71" s="7">
        <v>123</v>
      </c>
      <c r="AJ71" s="6">
        <v>116.9</v>
      </c>
      <c r="AK71" s="7">
        <v>132</v>
      </c>
      <c r="AL71" s="7">
        <v>161</v>
      </c>
    </row>
    <row r="72" spans="2:38" s="9" customFormat="1" x14ac:dyDescent="0.2">
      <c r="B72" s="55">
        <v>1985</v>
      </c>
      <c r="C72" s="115" t="s">
        <v>299</v>
      </c>
      <c r="D72" s="6">
        <v>54</v>
      </c>
      <c r="E72" s="7">
        <v>66</v>
      </c>
      <c r="F72" s="6">
        <v>3.6</v>
      </c>
      <c r="G72" s="7">
        <v>77</v>
      </c>
      <c r="H72" s="6">
        <v>4</v>
      </c>
      <c r="I72" s="6">
        <v>83</v>
      </c>
      <c r="J72" s="7">
        <v>79</v>
      </c>
      <c r="K72" s="7">
        <v>184</v>
      </c>
      <c r="L72" s="6">
        <v>42</v>
      </c>
      <c r="M72" s="6">
        <v>110</v>
      </c>
      <c r="N72" s="7">
        <v>63</v>
      </c>
      <c r="O72" s="6">
        <v>80</v>
      </c>
      <c r="P72" s="7">
        <v>52</v>
      </c>
      <c r="Q72" s="6">
        <v>93</v>
      </c>
      <c r="R72" s="6">
        <v>186.2</v>
      </c>
      <c r="S72" s="6">
        <v>65.099999999999994</v>
      </c>
      <c r="T72" s="6">
        <v>59.1</v>
      </c>
      <c r="U72" s="7">
        <v>46</v>
      </c>
      <c r="V72" s="7">
        <v>32</v>
      </c>
      <c r="W72" s="6">
        <v>62.8</v>
      </c>
      <c r="X72" s="6">
        <v>88.5</v>
      </c>
      <c r="Y72" s="6">
        <v>183.4</v>
      </c>
      <c r="Z72" s="7">
        <v>88</v>
      </c>
      <c r="AA72" s="55">
        <v>63</v>
      </c>
      <c r="AB72" s="7">
        <v>61</v>
      </c>
      <c r="AC72" s="6">
        <v>29.5</v>
      </c>
      <c r="AD72" s="6">
        <v>71.2</v>
      </c>
      <c r="AE72" s="6">
        <v>112.3</v>
      </c>
      <c r="AF72" s="6">
        <v>53</v>
      </c>
      <c r="AG72" s="6">
        <v>56</v>
      </c>
      <c r="AH72" s="6">
        <v>48</v>
      </c>
      <c r="AI72" s="7">
        <v>12</v>
      </c>
      <c r="AJ72" s="6">
        <v>93.1</v>
      </c>
      <c r="AK72" s="7">
        <v>61</v>
      </c>
      <c r="AL72" s="7">
        <v>26</v>
      </c>
    </row>
    <row r="73" spans="2:38" s="9" customFormat="1" x14ac:dyDescent="0.2">
      <c r="B73" s="55">
        <v>1985</v>
      </c>
      <c r="C73" s="115" t="s">
        <v>301</v>
      </c>
      <c r="D73" s="6">
        <v>5</v>
      </c>
      <c r="E73" s="7">
        <v>19</v>
      </c>
      <c r="F73" s="6">
        <v>28.3</v>
      </c>
      <c r="G73" s="7">
        <v>10</v>
      </c>
      <c r="H73" s="6">
        <v>31</v>
      </c>
      <c r="I73" s="6">
        <v>7</v>
      </c>
      <c r="J73" s="7">
        <v>26</v>
      </c>
      <c r="K73" s="7">
        <v>50</v>
      </c>
      <c r="L73" s="6">
        <v>111</v>
      </c>
      <c r="M73" s="6">
        <v>62</v>
      </c>
      <c r="N73" s="7">
        <v>69</v>
      </c>
      <c r="O73" s="6">
        <v>2</v>
      </c>
      <c r="P73" s="7">
        <v>85</v>
      </c>
      <c r="Q73" s="6">
        <v>27</v>
      </c>
      <c r="R73" s="6">
        <v>38.5</v>
      </c>
      <c r="S73" s="6">
        <v>22.2</v>
      </c>
      <c r="T73" s="6">
        <v>96.5</v>
      </c>
      <c r="U73" s="7">
        <v>95</v>
      </c>
      <c r="V73" s="7">
        <v>29.5</v>
      </c>
      <c r="W73" s="6">
        <v>104</v>
      </c>
      <c r="X73" s="6">
        <v>53</v>
      </c>
      <c r="Y73" s="6">
        <v>15.1</v>
      </c>
      <c r="Z73" s="7">
        <v>24</v>
      </c>
      <c r="AA73" s="55">
        <v>122</v>
      </c>
      <c r="AB73" s="7">
        <v>102</v>
      </c>
      <c r="AC73" s="6">
        <v>19.7</v>
      </c>
      <c r="AD73" s="6">
        <v>5.7</v>
      </c>
      <c r="AE73" s="6">
        <v>32.200000000000003</v>
      </c>
      <c r="AF73" s="6">
        <v>18</v>
      </c>
      <c r="AG73" s="6">
        <v>54</v>
      </c>
      <c r="AH73" s="6">
        <v>65</v>
      </c>
      <c r="AI73" s="7">
        <v>19</v>
      </c>
      <c r="AJ73" s="6">
        <v>23.7</v>
      </c>
      <c r="AK73" s="7">
        <v>33</v>
      </c>
      <c r="AL73" s="7">
        <v>20</v>
      </c>
    </row>
    <row r="74" spans="2:38" s="9" customFormat="1" x14ac:dyDescent="0.2">
      <c r="B74" s="55">
        <v>1986</v>
      </c>
      <c r="C74" s="115" t="s">
        <v>289</v>
      </c>
      <c r="D74" s="6">
        <v>125</v>
      </c>
      <c r="E74" s="7">
        <v>186</v>
      </c>
      <c r="F74" s="6">
        <v>216.8</v>
      </c>
      <c r="G74" s="7">
        <v>181</v>
      </c>
      <c r="H74" s="6">
        <v>294</v>
      </c>
      <c r="I74" s="6">
        <v>114</v>
      </c>
      <c r="J74" s="7">
        <v>148</v>
      </c>
      <c r="K74" s="7">
        <v>126</v>
      </c>
      <c r="L74" s="6">
        <v>81.5</v>
      </c>
      <c r="M74" s="6">
        <v>144</v>
      </c>
      <c r="N74" s="7">
        <v>203</v>
      </c>
      <c r="O74" s="6">
        <v>100</v>
      </c>
      <c r="P74" s="7">
        <v>50.5</v>
      </c>
      <c r="Q74" s="6">
        <v>188</v>
      </c>
      <c r="R74" s="6">
        <v>85.7</v>
      </c>
      <c r="S74" s="6">
        <v>137.5</v>
      </c>
      <c r="T74" s="6">
        <v>138.9</v>
      </c>
      <c r="U74" s="7">
        <v>83</v>
      </c>
      <c r="V74" s="7">
        <v>116</v>
      </c>
      <c r="W74" s="6">
        <v>129.30000000000001</v>
      </c>
      <c r="X74" s="6">
        <v>122</v>
      </c>
      <c r="Y74" s="6">
        <v>124.6</v>
      </c>
      <c r="Z74" s="7">
        <v>100</v>
      </c>
      <c r="AA74" s="55">
        <v>150</v>
      </c>
      <c r="AB74" s="7">
        <v>111</v>
      </c>
      <c r="AC74" s="6">
        <v>147.6</v>
      </c>
      <c r="AD74" s="6">
        <v>171.9</v>
      </c>
      <c r="AE74" s="6">
        <v>122.4</v>
      </c>
      <c r="AF74" s="6">
        <v>169</v>
      </c>
      <c r="AG74" s="6">
        <v>194</v>
      </c>
      <c r="AH74" s="6">
        <v>148</v>
      </c>
      <c r="AI74" s="7">
        <v>166.5</v>
      </c>
      <c r="AJ74" s="6">
        <v>119.4</v>
      </c>
      <c r="AK74" s="7">
        <v>145</v>
      </c>
      <c r="AL74" s="7">
        <v>114</v>
      </c>
    </row>
    <row r="75" spans="2:38" s="9" customFormat="1" x14ac:dyDescent="0.2">
      <c r="B75" s="55">
        <v>1986</v>
      </c>
      <c r="C75" s="115" t="s">
        <v>290</v>
      </c>
      <c r="D75" s="6">
        <v>62</v>
      </c>
      <c r="E75" s="7">
        <v>127</v>
      </c>
      <c r="F75" s="6">
        <v>76.2</v>
      </c>
      <c r="G75" s="7">
        <v>69</v>
      </c>
      <c r="H75" s="6">
        <v>142</v>
      </c>
      <c r="I75" s="6">
        <v>58</v>
      </c>
      <c r="J75" s="7">
        <v>42</v>
      </c>
      <c r="K75" s="7">
        <v>25</v>
      </c>
      <c r="L75" s="6">
        <v>8</v>
      </c>
      <c r="M75" s="6">
        <v>77</v>
      </c>
      <c r="N75" s="7">
        <v>120</v>
      </c>
      <c r="O75" s="6">
        <v>56</v>
      </c>
      <c r="P75" s="7">
        <v>10</v>
      </c>
      <c r="Q75" s="6">
        <v>57</v>
      </c>
      <c r="R75" s="6">
        <v>29.5</v>
      </c>
      <c r="S75" s="6">
        <v>74.5</v>
      </c>
      <c r="T75" s="6">
        <v>45.8</v>
      </c>
      <c r="U75" s="7">
        <v>28</v>
      </c>
      <c r="V75" s="7">
        <v>60</v>
      </c>
      <c r="W75" s="6">
        <v>16.899999999999999</v>
      </c>
      <c r="X75" s="6">
        <v>43</v>
      </c>
      <c r="Y75" s="6">
        <v>23.6</v>
      </c>
      <c r="Z75" s="7">
        <v>69</v>
      </c>
      <c r="AA75" s="55">
        <v>20.5</v>
      </c>
      <c r="AB75" s="7">
        <v>196.5</v>
      </c>
      <c r="AC75" s="6">
        <v>50.9</v>
      </c>
      <c r="AD75" s="6">
        <v>65.099999999999994</v>
      </c>
      <c r="AE75" s="6">
        <v>106.3</v>
      </c>
      <c r="AF75" s="6">
        <v>69</v>
      </c>
      <c r="AG75" s="6">
        <v>129</v>
      </c>
      <c r="AH75" s="6">
        <v>138</v>
      </c>
      <c r="AI75" s="7">
        <v>76.5</v>
      </c>
      <c r="AJ75" s="6">
        <v>53.1</v>
      </c>
      <c r="AK75" s="7">
        <v>94.5</v>
      </c>
      <c r="AL75" s="7">
        <v>97</v>
      </c>
    </row>
    <row r="76" spans="2:38" s="9" customFormat="1" x14ac:dyDescent="0.2">
      <c r="B76" s="55">
        <v>1986</v>
      </c>
      <c r="C76" s="115" t="s">
        <v>291</v>
      </c>
      <c r="D76" s="6">
        <v>97</v>
      </c>
      <c r="E76" s="7">
        <v>82</v>
      </c>
      <c r="F76" s="6">
        <v>319.2</v>
      </c>
      <c r="G76" s="7">
        <v>97</v>
      </c>
      <c r="H76" s="6">
        <v>415</v>
      </c>
      <c r="I76" s="6">
        <v>85</v>
      </c>
      <c r="J76" s="7">
        <v>69</v>
      </c>
      <c r="K76" s="7">
        <v>93</v>
      </c>
      <c r="L76" s="6">
        <v>105</v>
      </c>
      <c r="M76" s="6">
        <v>133</v>
      </c>
      <c r="N76" s="7">
        <v>141</v>
      </c>
      <c r="O76" s="6">
        <v>82</v>
      </c>
      <c r="P76" s="7">
        <v>66</v>
      </c>
      <c r="Q76" s="6">
        <v>70</v>
      </c>
      <c r="R76" s="6">
        <v>46.7</v>
      </c>
      <c r="S76" s="6">
        <v>154.69999999999999</v>
      </c>
      <c r="T76" s="6">
        <v>108.9</v>
      </c>
      <c r="U76" s="7">
        <v>111</v>
      </c>
      <c r="V76" s="7">
        <v>102.5</v>
      </c>
      <c r="W76" s="6">
        <v>172</v>
      </c>
      <c r="X76" s="6">
        <v>92</v>
      </c>
      <c r="Y76" s="6">
        <v>34.1</v>
      </c>
      <c r="Z76" s="7">
        <v>114</v>
      </c>
      <c r="AA76" s="55">
        <v>129</v>
      </c>
      <c r="AB76" s="7">
        <v>123.5</v>
      </c>
      <c r="AC76" s="6">
        <v>193.7</v>
      </c>
      <c r="AD76" s="6">
        <v>146.1</v>
      </c>
      <c r="AE76" s="6">
        <v>152.4</v>
      </c>
      <c r="AF76" s="6">
        <v>303</v>
      </c>
      <c r="AG76" s="6">
        <v>166</v>
      </c>
      <c r="AH76" s="6">
        <v>168</v>
      </c>
      <c r="AI76" s="7">
        <v>171.5</v>
      </c>
      <c r="AJ76" s="6">
        <v>80.599999999999994</v>
      </c>
      <c r="AK76" s="7">
        <v>179</v>
      </c>
      <c r="AL76" s="7">
        <v>181</v>
      </c>
    </row>
    <row r="77" spans="2:38" s="9" customFormat="1" x14ac:dyDescent="0.2">
      <c r="B77" s="55">
        <v>1986</v>
      </c>
      <c r="C77" s="115" t="s">
        <v>292</v>
      </c>
      <c r="D77" s="6">
        <v>46</v>
      </c>
      <c r="E77" s="7">
        <v>120</v>
      </c>
      <c r="F77" s="6">
        <v>310.89999999999998</v>
      </c>
      <c r="G77" s="7">
        <v>40.5</v>
      </c>
      <c r="H77" s="6">
        <v>416</v>
      </c>
      <c r="I77" s="6">
        <v>51</v>
      </c>
      <c r="J77" s="7">
        <v>143</v>
      </c>
      <c r="K77" s="7">
        <v>158</v>
      </c>
      <c r="L77" s="6">
        <v>241</v>
      </c>
      <c r="M77" s="6">
        <v>148</v>
      </c>
      <c r="N77" s="7">
        <v>124</v>
      </c>
      <c r="O77" s="6">
        <v>58</v>
      </c>
      <c r="P77" s="7">
        <v>79</v>
      </c>
      <c r="Q77" s="6">
        <v>51</v>
      </c>
      <c r="R77" s="6">
        <v>274.7</v>
      </c>
      <c r="S77" s="6">
        <v>136.4</v>
      </c>
      <c r="T77" s="6">
        <v>163.69999999999999</v>
      </c>
      <c r="U77" s="7">
        <v>153</v>
      </c>
      <c r="V77" s="7">
        <v>149.1</v>
      </c>
      <c r="W77" s="6">
        <v>226.1</v>
      </c>
      <c r="X77" s="6">
        <v>106</v>
      </c>
      <c r="Y77" s="6">
        <v>131.6</v>
      </c>
      <c r="Z77" s="7">
        <v>69</v>
      </c>
      <c r="AA77" s="55">
        <v>432</v>
      </c>
      <c r="AB77" s="7">
        <v>232</v>
      </c>
      <c r="AC77" s="6">
        <v>263</v>
      </c>
      <c r="AD77" s="6">
        <v>39.1</v>
      </c>
      <c r="AE77" s="6">
        <v>323.5</v>
      </c>
      <c r="AF77" s="6">
        <v>232</v>
      </c>
      <c r="AG77" s="6">
        <v>262</v>
      </c>
      <c r="AH77" s="6">
        <v>337</v>
      </c>
      <c r="AI77" s="7">
        <v>209.5</v>
      </c>
      <c r="AJ77" s="6">
        <v>86.7</v>
      </c>
      <c r="AK77" s="7">
        <v>351</v>
      </c>
      <c r="AL77" s="7">
        <v>192</v>
      </c>
    </row>
    <row r="78" spans="2:38" s="9" customFormat="1" x14ac:dyDescent="0.2">
      <c r="B78" s="55">
        <v>1986</v>
      </c>
      <c r="C78" s="115" t="s">
        <v>293</v>
      </c>
      <c r="D78" s="6">
        <v>203</v>
      </c>
      <c r="E78" s="7">
        <v>166</v>
      </c>
      <c r="F78" s="6">
        <v>243.1</v>
      </c>
      <c r="G78" s="7">
        <v>157</v>
      </c>
      <c r="H78" s="6">
        <v>320</v>
      </c>
      <c r="I78" s="6">
        <v>137</v>
      </c>
      <c r="J78" s="7">
        <v>232</v>
      </c>
      <c r="K78" s="7">
        <v>61</v>
      </c>
      <c r="L78" s="6">
        <v>252.5</v>
      </c>
      <c r="M78" s="6">
        <v>322</v>
      </c>
      <c r="N78" s="7">
        <v>59</v>
      </c>
      <c r="O78" s="6">
        <v>124</v>
      </c>
      <c r="P78" s="7">
        <v>27</v>
      </c>
      <c r="Q78" s="6">
        <v>217</v>
      </c>
      <c r="R78" s="6">
        <v>113.8</v>
      </c>
      <c r="S78" s="6">
        <v>242.5</v>
      </c>
      <c r="T78" s="6">
        <v>99.3</v>
      </c>
      <c r="U78" s="7">
        <v>177.5</v>
      </c>
      <c r="V78" s="7">
        <v>154</v>
      </c>
      <c r="W78" s="6">
        <v>190.2</v>
      </c>
      <c r="X78" s="6">
        <v>165</v>
      </c>
      <c r="Y78" s="6">
        <v>89.4</v>
      </c>
      <c r="Z78" s="7">
        <v>122</v>
      </c>
      <c r="AA78" s="55">
        <v>317.5</v>
      </c>
      <c r="AB78" s="7">
        <v>226</v>
      </c>
      <c r="AC78" s="6">
        <v>207.8</v>
      </c>
      <c r="AD78" s="6">
        <v>171.1</v>
      </c>
      <c r="AE78" s="6">
        <v>152.19999999999999</v>
      </c>
      <c r="AF78" s="6">
        <v>185</v>
      </c>
      <c r="AG78" s="6">
        <v>181</v>
      </c>
      <c r="AH78" s="6">
        <v>246</v>
      </c>
      <c r="AI78" s="7">
        <v>134</v>
      </c>
      <c r="AJ78" s="6">
        <v>187.8</v>
      </c>
      <c r="AK78" s="7">
        <v>202</v>
      </c>
      <c r="AL78" s="7">
        <v>180</v>
      </c>
    </row>
    <row r="79" spans="2:38" s="9" customFormat="1" x14ac:dyDescent="0.2">
      <c r="B79" s="55">
        <v>1986</v>
      </c>
      <c r="C79" s="115" t="s">
        <v>294</v>
      </c>
      <c r="D79" s="6">
        <v>70</v>
      </c>
      <c r="E79" s="7">
        <v>121</v>
      </c>
      <c r="F79" s="6">
        <v>113.5</v>
      </c>
      <c r="G79" s="7">
        <v>118</v>
      </c>
      <c r="H79" s="6">
        <v>190</v>
      </c>
      <c r="I79" s="6">
        <v>99</v>
      </c>
      <c r="J79" s="7">
        <v>101</v>
      </c>
      <c r="K79" s="7">
        <v>108</v>
      </c>
      <c r="L79" s="6">
        <v>122.5</v>
      </c>
      <c r="M79" s="6">
        <v>181</v>
      </c>
      <c r="N79" s="7">
        <v>88</v>
      </c>
      <c r="O79" s="6">
        <v>129</v>
      </c>
      <c r="P79" s="7">
        <v>9</v>
      </c>
      <c r="Q79" s="6">
        <v>109</v>
      </c>
      <c r="R79" s="6">
        <v>97.5</v>
      </c>
      <c r="S79" s="6">
        <v>83.3</v>
      </c>
      <c r="T79" s="6">
        <v>74.5</v>
      </c>
      <c r="U79" s="7">
        <v>119</v>
      </c>
      <c r="V79" s="7">
        <v>54.5</v>
      </c>
      <c r="W79" s="6">
        <v>55.9</v>
      </c>
      <c r="X79" s="6">
        <v>84</v>
      </c>
      <c r="Y79" s="6">
        <v>151.1</v>
      </c>
      <c r="Z79" s="7">
        <v>85</v>
      </c>
      <c r="AA79" s="55">
        <v>112</v>
      </c>
      <c r="AB79" s="7">
        <v>73.5</v>
      </c>
      <c r="AC79" s="6">
        <v>50</v>
      </c>
      <c r="AD79" s="6">
        <v>93.6</v>
      </c>
      <c r="AE79" s="6">
        <v>67</v>
      </c>
      <c r="AF79" s="6">
        <v>85</v>
      </c>
      <c r="AG79" s="6">
        <v>57</v>
      </c>
      <c r="AH79" s="6">
        <v>167</v>
      </c>
      <c r="AI79" s="7">
        <v>60.5</v>
      </c>
      <c r="AJ79" s="6">
        <v>134</v>
      </c>
      <c r="AK79" s="7">
        <v>111</v>
      </c>
      <c r="AL79" s="7">
        <v>44.1</v>
      </c>
    </row>
    <row r="80" spans="2:38" s="9" customFormat="1" x14ac:dyDescent="0.2">
      <c r="B80" s="55">
        <v>1986</v>
      </c>
      <c r="C80" s="115" t="s">
        <v>295</v>
      </c>
      <c r="D80" s="6">
        <v>85</v>
      </c>
      <c r="E80" s="7">
        <v>32</v>
      </c>
      <c r="F80" s="6">
        <v>30.6</v>
      </c>
      <c r="G80" s="7">
        <v>78</v>
      </c>
      <c r="H80" s="6">
        <v>30</v>
      </c>
      <c r="I80" s="6">
        <v>100</v>
      </c>
      <c r="J80" s="7">
        <v>62</v>
      </c>
      <c r="K80" s="7">
        <v>36</v>
      </c>
      <c r="L80" s="6">
        <v>94.5</v>
      </c>
      <c r="M80" s="6">
        <v>134</v>
      </c>
      <c r="N80" s="7">
        <v>68.5</v>
      </c>
      <c r="O80" s="6">
        <v>78</v>
      </c>
      <c r="P80" s="7">
        <v>50</v>
      </c>
      <c r="Q80" s="6">
        <v>68</v>
      </c>
      <c r="R80" s="6">
        <v>31.7</v>
      </c>
      <c r="S80" s="6">
        <v>33.299999999999997</v>
      </c>
      <c r="T80" s="6">
        <v>51.8</v>
      </c>
      <c r="U80" s="7">
        <v>36</v>
      </c>
      <c r="V80" s="7">
        <v>30.5</v>
      </c>
      <c r="W80" s="6">
        <v>24.1</v>
      </c>
      <c r="X80" s="6">
        <v>90.5</v>
      </c>
      <c r="Y80" s="6">
        <v>52.1</v>
      </c>
      <c r="Z80" s="7">
        <v>52</v>
      </c>
      <c r="AA80" s="55">
        <v>66</v>
      </c>
      <c r="AB80" s="7">
        <v>68</v>
      </c>
      <c r="AC80" s="6">
        <v>28.4</v>
      </c>
      <c r="AD80" s="6">
        <v>104.2</v>
      </c>
      <c r="AE80" s="6">
        <v>31.2</v>
      </c>
      <c r="AF80" s="6">
        <v>32</v>
      </c>
      <c r="AG80" s="6">
        <v>38</v>
      </c>
      <c r="AH80" s="6">
        <v>35</v>
      </c>
      <c r="AI80" s="7">
        <v>26</v>
      </c>
      <c r="AJ80" s="6">
        <v>70.3</v>
      </c>
      <c r="AK80" s="7">
        <v>30</v>
      </c>
      <c r="AL80" s="7">
        <v>28.5</v>
      </c>
    </row>
    <row r="81" spans="2:38" s="9" customFormat="1" x14ac:dyDescent="0.2">
      <c r="B81" s="55">
        <v>1986</v>
      </c>
      <c r="C81" s="115" t="s">
        <v>296</v>
      </c>
      <c r="D81" s="6">
        <v>402</v>
      </c>
      <c r="E81" s="7">
        <v>139</v>
      </c>
      <c r="F81" s="6">
        <v>68.5</v>
      </c>
      <c r="G81" s="7">
        <v>453</v>
      </c>
      <c r="H81" s="6">
        <v>71</v>
      </c>
      <c r="I81" s="6">
        <v>343</v>
      </c>
      <c r="J81" s="7">
        <v>200</v>
      </c>
      <c r="K81" s="7">
        <v>140</v>
      </c>
      <c r="L81" s="6">
        <v>116.5</v>
      </c>
      <c r="M81" s="6">
        <v>197</v>
      </c>
      <c r="N81" s="7">
        <v>246</v>
      </c>
      <c r="O81" s="6">
        <v>402</v>
      </c>
      <c r="P81" s="7">
        <v>118</v>
      </c>
      <c r="Q81" s="6">
        <v>265</v>
      </c>
      <c r="R81" s="6">
        <v>235.2</v>
      </c>
      <c r="S81" s="6">
        <v>71</v>
      </c>
      <c r="T81" s="6">
        <v>152.6</v>
      </c>
      <c r="U81" s="7">
        <v>135</v>
      </c>
      <c r="V81" s="7">
        <v>49</v>
      </c>
      <c r="W81" s="6">
        <v>84.5</v>
      </c>
      <c r="X81" s="6">
        <v>227.5</v>
      </c>
      <c r="Y81" s="6">
        <v>318.89999999999998</v>
      </c>
      <c r="Z81" s="7">
        <v>230</v>
      </c>
      <c r="AA81" s="55">
        <v>250</v>
      </c>
      <c r="AB81" s="7">
        <v>76.5</v>
      </c>
      <c r="AC81" s="6">
        <v>67.2</v>
      </c>
      <c r="AD81" s="6">
        <v>414.1</v>
      </c>
      <c r="AE81" s="6">
        <v>80.400000000000006</v>
      </c>
      <c r="AF81" s="6">
        <v>121</v>
      </c>
      <c r="AG81" s="6">
        <v>48</v>
      </c>
      <c r="AH81" s="6">
        <v>80</v>
      </c>
      <c r="AI81" s="7">
        <v>76</v>
      </c>
      <c r="AJ81" s="6">
        <v>217.7</v>
      </c>
      <c r="AK81" s="7">
        <v>93</v>
      </c>
      <c r="AL81" s="7">
        <v>66</v>
      </c>
    </row>
    <row r="82" spans="2:38" s="9" customFormat="1" x14ac:dyDescent="0.2">
      <c r="B82" s="55">
        <v>1986</v>
      </c>
      <c r="C82" s="115" t="s">
        <v>297</v>
      </c>
      <c r="D82" s="6">
        <v>111</v>
      </c>
      <c r="E82" s="7">
        <v>77</v>
      </c>
      <c r="F82" s="6">
        <v>113.4</v>
      </c>
      <c r="G82" s="7">
        <v>107</v>
      </c>
      <c r="H82" s="6">
        <v>135</v>
      </c>
      <c r="I82" s="6">
        <v>127</v>
      </c>
      <c r="J82" s="7">
        <v>78.5</v>
      </c>
      <c r="K82" s="7">
        <v>101</v>
      </c>
      <c r="L82" s="6">
        <v>90.5</v>
      </c>
      <c r="M82" s="6">
        <v>83</v>
      </c>
      <c r="N82" s="7">
        <v>119.5</v>
      </c>
      <c r="O82" s="6">
        <v>112</v>
      </c>
      <c r="P82" s="7">
        <v>68</v>
      </c>
      <c r="Q82" s="6">
        <v>127</v>
      </c>
      <c r="R82" s="6">
        <v>91.6</v>
      </c>
      <c r="S82" s="6">
        <v>91</v>
      </c>
      <c r="T82" s="6">
        <v>83.3</v>
      </c>
      <c r="U82" s="7">
        <v>80</v>
      </c>
      <c r="V82" s="7">
        <v>104.9</v>
      </c>
      <c r="W82" s="6">
        <v>83.9</v>
      </c>
      <c r="X82" s="6">
        <v>109</v>
      </c>
      <c r="Y82" s="6">
        <v>147.80000000000001</v>
      </c>
      <c r="Z82" s="7">
        <v>113</v>
      </c>
      <c r="AA82" s="55">
        <v>84</v>
      </c>
      <c r="AB82" s="7">
        <v>98.5</v>
      </c>
      <c r="AC82" s="6">
        <v>128.1</v>
      </c>
      <c r="AD82" s="6">
        <v>111.8</v>
      </c>
      <c r="AE82" s="6">
        <v>121.3</v>
      </c>
      <c r="AF82" s="6">
        <v>96</v>
      </c>
      <c r="AG82" s="6">
        <v>115</v>
      </c>
      <c r="AH82" s="6">
        <v>118</v>
      </c>
      <c r="AI82" s="7">
        <v>146</v>
      </c>
      <c r="AJ82" s="6">
        <v>76.3</v>
      </c>
      <c r="AK82" s="7">
        <v>137</v>
      </c>
      <c r="AL82" s="7">
        <v>84</v>
      </c>
    </row>
    <row r="83" spans="2:38" s="9" customFormat="1" x14ac:dyDescent="0.2">
      <c r="B83" s="55">
        <v>1986</v>
      </c>
      <c r="C83" s="115" t="s">
        <v>298</v>
      </c>
      <c r="D83" s="6">
        <v>148</v>
      </c>
      <c r="E83" s="7">
        <v>178</v>
      </c>
      <c r="F83" s="6">
        <v>147.9</v>
      </c>
      <c r="G83" s="7">
        <v>98</v>
      </c>
      <c r="H83" s="6">
        <v>120</v>
      </c>
      <c r="I83" s="6">
        <v>153</v>
      </c>
      <c r="J83" s="7">
        <v>186</v>
      </c>
      <c r="K83" s="7">
        <v>155</v>
      </c>
      <c r="L83" s="6">
        <v>243</v>
      </c>
      <c r="M83" s="6">
        <v>198</v>
      </c>
      <c r="N83" s="7">
        <v>286.5</v>
      </c>
      <c r="O83" s="6">
        <v>91</v>
      </c>
      <c r="P83" s="7">
        <v>42</v>
      </c>
      <c r="Q83" s="6">
        <v>147</v>
      </c>
      <c r="R83" s="6">
        <v>223.5</v>
      </c>
      <c r="S83" s="6">
        <v>176.3</v>
      </c>
      <c r="T83" s="6">
        <v>221.9</v>
      </c>
      <c r="U83" s="7">
        <v>307</v>
      </c>
      <c r="V83" s="7">
        <v>120.5</v>
      </c>
      <c r="W83" s="6">
        <v>170.1</v>
      </c>
      <c r="X83" s="6">
        <v>170</v>
      </c>
      <c r="Y83" s="6">
        <v>133.5</v>
      </c>
      <c r="Z83" s="7">
        <v>177</v>
      </c>
      <c r="AA83" s="55">
        <v>120.5</v>
      </c>
      <c r="AB83" s="7">
        <v>113.3</v>
      </c>
      <c r="AC83" s="6">
        <v>187.8</v>
      </c>
      <c r="AD83" s="6">
        <v>147.19999999999999</v>
      </c>
      <c r="AE83" s="6">
        <v>92.1</v>
      </c>
      <c r="AF83" s="6">
        <v>108</v>
      </c>
      <c r="AG83" s="6">
        <v>98</v>
      </c>
      <c r="AH83" s="6">
        <v>102</v>
      </c>
      <c r="AI83" s="7">
        <v>158.5</v>
      </c>
      <c r="AJ83" s="6">
        <v>144.1</v>
      </c>
      <c r="AK83" s="7">
        <v>71</v>
      </c>
      <c r="AL83" s="7">
        <v>143</v>
      </c>
    </row>
    <row r="84" spans="2:38" s="9" customFormat="1" x14ac:dyDescent="0.2">
      <c r="B84" s="55">
        <v>1986</v>
      </c>
      <c r="C84" s="115" t="s">
        <v>299</v>
      </c>
      <c r="D84" s="6">
        <v>240</v>
      </c>
      <c r="E84" s="7">
        <v>371</v>
      </c>
      <c r="F84" s="6">
        <v>312.39999999999998</v>
      </c>
      <c r="G84" s="7">
        <v>241</v>
      </c>
      <c r="H84" s="6">
        <v>314</v>
      </c>
      <c r="I84" s="6">
        <v>223</v>
      </c>
      <c r="J84" s="7">
        <v>332.5</v>
      </c>
      <c r="K84" s="7">
        <v>182</v>
      </c>
      <c r="L84" s="6">
        <v>294.5</v>
      </c>
      <c r="M84" s="6">
        <v>345</v>
      </c>
      <c r="N84" s="7">
        <v>274.5</v>
      </c>
      <c r="O84" s="6">
        <v>188</v>
      </c>
      <c r="P84" s="7">
        <v>225</v>
      </c>
      <c r="Q84" s="6">
        <v>274</v>
      </c>
      <c r="R84" s="6">
        <v>235.2</v>
      </c>
      <c r="S84" s="6">
        <v>329.2</v>
      </c>
      <c r="T84" s="6">
        <v>267.3</v>
      </c>
      <c r="U84" s="7">
        <v>275</v>
      </c>
      <c r="V84" s="7">
        <v>313.5</v>
      </c>
      <c r="W84" s="6">
        <v>340.6</v>
      </c>
      <c r="X84" s="6">
        <v>274</v>
      </c>
      <c r="Y84" s="6">
        <v>190.3</v>
      </c>
      <c r="Z84" s="7">
        <v>321</v>
      </c>
      <c r="AA84" s="55">
        <v>419.5</v>
      </c>
      <c r="AB84" s="7">
        <v>319.3</v>
      </c>
      <c r="AC84" s="6">
        <v>312.10000000000002</v>
      </c>
      <c r="AD84" s="6">
        <v>209.1</v>
      </c>
      <c r="AE84" s="6">
        <v>380.9</v>
      </c>
      <c r="AF84" s="6">
        <v>354</v>
      </c>
      <c r="AG84" s="6">
        <v>393</v>
      </c>
      <c r="AH84" s="6">
        <v>449</v>
      </c>
      <c r="AI84" s="7">
        <v>338.5</v>
      </c>
      <c r="AJ84" s="6">
        <v>350.7</v>
      </c>
      <c r="AK84" s="7">
        <v>341.5</v>
      </c>
      <c r="AL84" s="7">
        <v>300.5</v>
      </c>
    </row>
    <row r="85" spans="2:38" s="9" customFormat="1" x14ac:dyDescent="0.2">
      <c r="B85" s="55">
        <v>1986</v>
      </c>
      <c r="C85" s="115" t="s">
        <v>301</v>
      </c>
      <c r="D85" s="6">
        <v>55</v>
      </c>
      <c r="E85" s="7">
        <v>89</v>
      </c>
      <c r="F85" s="6">
        <v>34.799999999999997</v>
      </c>
      <c r="G85" s="7">
        <v>0</v>
      </c>
      <c r="H85" s="6">
        <v>40</v>
      </c>
      <c r="I85" s="6">
        <v>22</v>
      </c>
      <c r="J85" s="7">
        <v>28</v>
      </c>
      <c r="K85" s="7">
        <v>30</v>
      </c>
      <c r="L85" s="6">
        <v>11.5</v>
      </c>
      <c r="M85" s="6">
        <v>21</v>
      </c>
      <c r="N85" s="7">
        <v>7</v>
      </c>
      <c r="O85" s="6">
        <v>42</v>
      </c>
      <c r="P85" s="7">
        <v>80</v>
      </c>
      <c r="Q85" s="6">
        <v>38</v>
      </c>
      <c r="R85" s="6">
        <v>40.299999999999997</v>
      </c>
      <c r="S85" s="6">
        <v>16.100000000000001</v>
      </c>
      <c r="T85" s="6">
        <v>41.1</v>
      </c>
      <c r="U85" s="7">
        <v>65</v>
      </c>
      <c r="V85" s="7">
        <v>32</v>
      </c>
      <c r="W85" s="6">
        <v>23.2</v>
      </c>
      <c r="X85" s="6">
        <v>10</v>
      </c>
      <c r="Y85" s="6">
        <v>40.200000000000003</v>
      </c>
      <c r="Z85" s="7">
        <v>18</v>
      </c>
      <c r="AA85" s="55">
        <v>9</v>
      </c>
      <c r="AB85" s="7">
        <v>10</v>
      </c>
      <c r="AC85" s="6">
        <v>20.2</v>
      </c>
      <c r="AD85" s="6">
        <v>80.5</v>
      </c>
      <c r="AE85" s="6">
        <v>25.4</v>
      </c>
      <c r="AF85" s="6">
        <v>25</v>
      </c>
      <c r="AG85" s="6">
        <v>41</v>
      </c>
      <c r="AH85" s="6">
        <v>34</v>
      </c>
      <c r="AI85" s="7">
        <v>29</v>
      </c>
      <c r="AJ85" s="6">
        <v>38.799999999999997</v>
      </c>
      <c r="AK85" s="7">
        <v>20</v>
      </c>
      <c r="AL85" s="7">
        <v>20</v>
      </c>
    </row>
    <row r="86" spans="2:38" s="9" customFormat="1" x14ac:dyDescent="0.2">
      <c r="B86" s="55">
        <v>1987</v>
      </c>
      <c r="C86" s="115" t="s">
        <v>289</v>
      </c>
      <c r="D86" s="6">
        <v>34</v>
      </c>
      <c r="E86" s="7">
        <v>65</v>
      </c>
      <c r="F86" s="6">
        <v>149.19999999999999</v>
      </c>
      <c r="G86" s="7">
        <v>82</v>
      </c>
      <c r="H86" s="6">
        <v>92</v>
      </c>
      <c r="I86" s="6">
        <v>82</v>
      </c>
      <c r="J86" s="7">
        <v>68</v>
      </c>
      <c r="K86" s="7">
        <v>41</v>
      </c>
      <c r="L86" s="6">
        <v>59.5</v>
      </c>
      <c r="M86" s="6">
        <v>70</v>
      </c>
      <c r="N86" s="7">
        <v>113.25</v>
      </c>
      <c r="O86" s="6">
        <v>56</v>
      </c>
      <c r="P86" s="7">
        <v>41</v>
      </c>
      <c r="Q86" s="6">
        <v>24</v>
      </c>
      <c r="R86" s="6">
        <v>36.1</v>
      </c>
      <c r="S86" s="6">
        <v>76.5</v>
      </c>
      <c r="T86" s="6">
        <v>88.9</v>
      </c>
      <c r="U86" s="7">
        <v>36.299999999999997</v>
      </c>
      <c r="V86" s="7">
        <v>127.5</v>
      </c>
      <c r="W86" s="6">
        <v>72.900000000000006</v>
      </c>
      <c r="X86" s="6">
        <v>11</v>
      </c>
      <c r="Y86" s="6">
        <v>39.200000000000003</v>
      </c>
      <c r="Z86" s="7">
        <v>9</v>
      </c>
      <c r="AA86" s="55">
        <v>158.5</v>
      </c>
      <c r="AB86" s="7">
        <v>180.9</v>
      </c>
      <c r="AC86" s="6">
        <v>125</v>
      </c>
      <c r="AD86" s="6">
        <v>69.2</v>
      </c>
      <c r="AE86" s="6">
        <v>104.1</v>
      </c>
      <c r="AF86" s="6">
        <v>87</v>
      </c>
      <c r="AG86" s="6">
        <v>197</v>
      </c>
      <c r="AH86" s="6">
        <v>89</v>
      </c>
      <c r="AI86" s="7">
        <v>222.5</v>
      </c>
      <c r="AJ86" s="6">
        <v>57.6</v>
      </c>
      <c r="AK86" s="7">
        <v>146</v>
      </c>
      <c r="AL86" s="7">
        <v>116.5</v>
      </c>
    </row>
    <row r="87" spans="2:38" s="9" customFormat="1" x14ac:dyDescent="0.2">
      <c r="B87" s="55">
        <v>1987</v>
      </c>
      <c r="C87" s="115" t="s">
        <v>290</v>
      </c>
      <c r="D87" s="6">
        <v>128</v>
      </c>
      <c r="E87" s="7">
        <v>160</v>
      </c>
      <c r="F87" s="6">
        <v>68.8</v>
      </c>
      <c r="G87" s="7">
        <v>96</v>
      </c>
      <c r="H87" s="6">
        <v>54</v>
      </c>
      <c r="I87" s="6">
        <v>123</v>
      </c>
      <c r="J87" s="7">
        <v>102</v>
      </c>
      <c r="K87" s="7">
        <v>211</v>
      </c>
      <c r="L87" s="6">
        <v>94</v>
      </c>
      <c r="M87" s="6">
        <v>98</v>
      </c>
      <c r="N87" s="7">
        <v>120.5</v>
      </c>
      <c r="O87" s="6">
        <v>66</v>
      </c>
      <c r="P87" s="7">
        <v>316</v>
      </c>
      <c r="Q87" s="6">
        <v>132</v>
      </c>
      <c r="R87" s="6">
        <v>213.3</v>
      </c>
      <c r="S87" s="6">
        <v>68.5</v>
      </c>
      <c r="T87" s="6">
        <v>138.1</v>
      </c>
      <c r="U87" s="7">
        <v>130</v>
      </c>
      <c r="V87" s="7">
        <v>54</v>
      </c>
      <c r="W87" s="6">
        <v>109.6</v>
      </c>
      <c r="X87" s="6">
        <v>91</v>
      </c>
      <c r="Y87" s="6">
        <v>131.69999999999999</v>
      </c>
      <c r="Z87" s="7">
        <v>133</v>
      </c>
      <c r="AA87" s="55">
        <v>85</v>
      </c>
      <c r="AB87" s="7">
        <v>30</v>
      </c>
      <c r="AC87" s="6">
        <v>95.3</v>
      </c>
      <c r="AD87" s="6">
        <v>105.4</v>
      </c>
      <c r="AE87" s="6">
        <v>45</v>
      </c>
      <c r="AF87" s="6">
        <v>46</v>
      </c>
      <c r="AG87" s="6">
        <v>49</v>
      </c>
      <c r="AH87" s="6">
        <v>48</v>
      </c>
      <c r="AI87" s="7">
        <v>68</v>
      </c>
      <c r="AJ87" s="6">
        <v>152.80000000000001</v>
      </c>
      <c r="AK87" s="7">
        <v>22</v>
      </c>
      <c r="AL87" s="7">
        <v>36</v>
      </c>
    </row>
    <row r="88" spans="2:38" s="9" customFormat="1" x14ac:dyDescent="0.2">
      <c r="B88" s="55">
        <v>1987</v>
      </c>
      <c r="C88" s="115" t="s">
        <v>291</v>
      </c>
      <c r="D88" s="6">
        <v>165</v>
      </c>
      <c r="E88" s="7">
        <v>117</v>
      </c>
      <c r="F88" s="6">
        <v>358.6</v>
      </c>
      <c r="G88" s="7">
        <v>148</v>
      </c>
      <c r="H88" s="6">
        <v>403</v>
      </c>
      <c r="I88" s="6">
        <v>118.5</v>
      </c>
      <c r="J88" s="7">
        <v>91</v>
      </c>
      <c r="K88" s="7">
        <v>173</v>
      </c>
      <c r="L88" s="6">
        <v>67.5</v>
      </c>
      <c r="M88" s="6">
        <v>119</v>
      </c>
      <c r="N88" s="7">
        <v>142.25</v>
      </c>
      <c r="O88" s="6">
        <v>78</v>
      </c>
      <c r="P88" s="7">
        <v>269</v>
      </c>
      <c r="Q88" s="6">
        <v>69</v>
      </c>
      <c r="R88" s="6">
        <v>135.80000000000001</v>
      </c>
      <c r="S88" s="6">
        <v>121.6</v>
      </c>
      <c r="T88" s="6">
        <v>174.6</v>
      </c>
      <c r="U88" s="7">
        <v>63.4</v>
      </c>
      <c r="V88" s="7">
        <v>171</v>
      </c>
      <c r="W88" s="6">
        <v>118.7</v>
      </c>
      <c r="X88" s="6">
        <v>54</v>
      </c>
      <c r="Y88" s="6">
        <v>159.19999999999999</v>
      </c>
      <c r="Z88" s="7">
        <v>79</v>
      </c>
      <c r="AA88" s="55">
        <v>234</v>
      </c>
      <c r="AB88" s="7">
        <v>40.5</v>
      </c>
      <c r="AC88" s="6">
        <v>262.5</v>
      </c>
      <c r="AD88" s="6">
        <v>113.2</v>
      </c>
      <c r="AE88" s="6">
        <v>171</v>
      </c>
      <c r="AF88" s="6">
        <v>262</v>
      </c>
      <c r="AG88" s="6">
        <v>203</v>
      </c>
      <c r="AH88" s="6">
        <v>224</v>
      </c>
      <c r="AI88" s="7">
        <v>236.5</v>
      </c>
      <c r="AJ88" s="6">
        <v>70.7</v>
      </c>
      <c r="AK88" s="7">
        <v>281</v>
      </c>
      <c r="AL88" s="7">
        <v>153</v>
      </c>
    </row>
    <row r="89" spans="2:38" s="9" customFormat="1" x14ac:dyDescent="0.2">
      <c r="B89" s="55">
        <v>1987</v>
      </c>
      <c r="C89" s="115" t="s">
        <v>292</v>
      </c>
      <c r="D89" s="6">
        <v>60</v>
      </c>
      <c r="E89" s="7">
        <v>194</v>
      </c>
      <c r="F89" s="6">
        <v>193.2</v>
      </c>
      <c r="G89" s="7">
        <v>57</v>
      </c>
      <c r="H89" s="6">
        <v>190</v>
      </c>
      <c r="I89" s="6">
        <v>33</v>
      </c>
      <c r="J89" s="7">
        <v>91</v>
      </c>
      <c r="K89" s="7">
        <v>94</v>
      </c>
      <c r="L89" s="6">
        <v>50</v>
      </c>
      <c r="M89" s="6">
        <v>104</v>
      </c>
      <c r="N89" s="7">
        <v>83.5</v>
      </c>
      <c r="O89" s="6">
        <v>77</v>
      </c>
      <c r="P89" s="7">
        <v>252</v>
      </c>
      <c r="Q89" s="6">
        <v>83</v>
      </c>
      <c r="R89" s="6">
        <v>99.8</v>
      </c>
      <c r="S89" s="6">
        <v>132.80000000000001</v>
      </c>
      <c r="T89" s="6">
        <v>80.5</v>
      </c>
      <c r="U89" s="7">
        <v>42</v>
      </c>
      <c r="V89" s="7">
        <v>160</v>
      </c>
      <c r="W89" s="6">
        <v>65.8</v>
      </c>
      <c r="X89" s="6">
        <v>62</v>
      </c>
      <c r="Y89" s="6">
        <v>44.6</v>
      </c>
      <c r="Z89" s="7">
        <v>80</v>
      </c>
      <c r="AA89" s="55">
        <v>93.5</v>
      </c>
      <c r="AB89" s="7">
        <v>84</v>
      </c>
      <c r="AC89" s="6">
        <v>264.10000000000002</v>
      </c>
      <c r="AD89" s="6">
        <v>51.6</v>
      </c>
      <c r="AE89" s="6">
        <v>202.3</v>
      </c>
      <c r="AF89" s="6">
        <v>166</v>
      </c>
      <c r="AG89" s="6">
        <v>225</v>
      </c>
      <c r="AH89" s="6">
        <v>160</v>
      </c>
      <c r="AI89" s="7">
        <v>173</v>
      </c>
      <c r="AJ89" s="6">
        <v>88.1</v>
      </c>
      <c r="AK89" s="7">
        <v>163</v>
      </c>
      <c r="AL89" s="7">
        <v>224</v>
      </c>
    </row>
    <row r="90" spans="2:38" s="9" customFormat="1" x14ac:dyDescent="0.2">
      <c r="B90" s="55">
        <v>1987</v>
      </c>
      <c r="C90" s="115" t="s">
        <v>293</v>
      </c>
      <c r="D90" s="6">
        <v>44</v>
      </c>
      <c r="E90" s="7">
        <v>109</v>
      </c>
      <c r="F90" s="6">
        <v>69.8</v>
      </c>
      <c r="G90" s="7">
        <v>34</v>
      </c>
      <c r="H90" s="6">
        <v>110</v>
      </c>
      <c r="I90" s="6">
        <v>24</v>
      </c>
      <c r="J90" s="7">
        <v>47</v>
      </c>
      <c r="K90" s="7">
        <v>33</v>
      </c>
      <c r="L90" s="6">
        <v>42</v>
      </c>
      <c r="M90" s="6">
        <v>100</v>
      </c>
      <c r="N90" s="7">
        <v>8.75</v>
      </c>
      <c r="O90" s="6">
        <v>37</v>
      </c>
      <c r="P90" s="7">
        <v>67</v>
      </c>
      <c r="Q90" s="6">
        <v>39</v>
      </c>
      <c r="R90" s="6">
        <v>24.6</v>
      </c>
      <c r="S90" s="6">
        <v>91.6</v>
      </c>
      <c r="T90" s="6">
        <v>14.9</v>
      </c>
      <c r="U90" s="7">
        <v>29</v>
      </c>
      <c r="V90" s="7">
        <v>128</v>
      </c>
      <c r="W90" s="6">
        <v>28.6</v>
      </c>
      <c r="X90" s="6">
        <v>41</v>
      </c>
      <c r="Y90" s="6">
        <v>27.3</v>
      </c>
      <c r="Z90" s="7">
        <v>80</v>
      </c>
      <c r="AA90" s="55">
        <v>19</v>
      </c>
      <c r="AB90" s="7">
        <v>39.5</v>
      </c>
      <c r="AC90" s="6">
        <v>149.19999999999999</v>
      </c>
      <c r="AD90" s="6">
        <v>120.5</v>
      </c>
      <c r="AE90" s="6">
        <v>111.8</v>
      </c>
      <c r="AF90" s="6">
        <v>95</v>
      </c>
      <c r="AG90" s="6">
        <v>110</v>
      </c>
      <c r="AH90" s="6">
        <v>84</v>
      </c>
      <c r="AI90" s="7">
        <v>136.5</v>
      </c>
      <c r="AJ90" s="6">
        <v>57.3</v>
      </c>
      <c r="AK90" s="7">
        <v>86</v>
      </c>
      <c r="AL90" s="7">
        <v>156.5</v>
      </c>
    </row>
    <row r="91" spans="2:38" s="9" customFormat="1" x14ac:dyDescent="0.2">
      <c r="B91" s="55">
        <v>1987</v>
      </c>
      <c r="C91" s="115" t="s">
        <v>294</v>
      </c>
      <c r="D91" s="6">
        <v>0</v>
      </c>
      <c r="E91" s="7">
        <v>31</v>
      </c>
      <c r="F91" s="6">
        <v>54.3</v>
      </c>
      <c r="G91" s="7">
        <v>15</v>
      </c>
      <c r="H91" s="6">
        <v>43</v>
      </c>
      <c r="I91" s="6">
        <v>20</v>
      </c>
      <c r="J91" s="7">
        <v>24</v>
      </c>
      <c r="K91" s="7">
        <v>10</v>
      </c>
      <c r="L91" s="6">
        <v>1</v>
      </c>
      <c r="M91" s="6">
        <v>23</v>
      </c>
      <c r="N91" s="7">
        <v>0</v>
      </c>
      <c r="O91" s="6">
        <v>12</v>
      </c>
      <c r="P91" s="7">
        <v>3</v>
      </c>
      <c r="Q91" s="6">
        <v>31</v>
      </c>
      <c r="R91" s="6">
        <v>0.3</v>
      </c>
      <c r="S91" s="6">
        <v>41.4</v>
      </c>
      <c r="T91" s="6">
        <v>3.6</v>
      </c>
      <c r="U91" s="7">
        <v>1</v>
      </c>
      <c r="V91" s="7">
        <v>52.5</v>
      </c>
      <c r="W91" s="6">
        <v>0.3</v>
      </c>
      <c r="X91" s="6">
        <v>22</v>
      </c>
      <c r="Y91" s="6">
        <v>1.3</v>
      </c>
      <c r="Z91" s="7">
        <v>15</v>
      </c>
      <c r="AA91" s="55">
        <v>0</v>
      </c>
      <c r="AB91" s="7">
        <v>8.5</v>
      </c>
      <c r="AC91" s="6">
        <v>63.8</v>
      </c>
      <c r="AD91" s="6">
        <v>4.3</v>
      </c>
      <c r="AE91" s="6">
        <v>6.1</v>
      </c>
      <c r="AF91" s="6">
        <v>38</v>
      </c>
      <c r="AG91" s="6">
        <v>25</v>
      </c>
      <c r="AH91" s="6">
        <v>28</v>
      </c>
      <c r="AI91" s="7">
        <v>38</v>
      </c>
      <c r="AJ91" s="6">
        <v>35.9</v>
      </c>
      <c r="AK91" s="7">
        <v>32</v>
      </c>
      <c r="AL91" s="7">
        <v>39.5</v>
      </c>
    </row>
    <row r="92" spans="2:38" s="9" customFormat="1" x14ac:dyDescent="0.2">
      <c r="B92" s="55">
        <v>1987</v>
      </c>
      <c r="C92" s="115" t="s">
        <v>295</v>
      </c>
      <c r="D92" s="6">
        <v>169</v>
      </c>
      <c r="E92" s="7">
        <v>159</v>
      </c>
      <c r="F92" s="6">
        <v>155.30000000000001</v>
      </c>
      <c r="G92" s="7">
        <v>117</v>
      </c>
      <c r="H92" s="6">
        <v>180</v>
      </c>
      <c r="I92" s="6">
        <v>137.5</v>
      </c>
      <c r="J92" s="7">
        <v>216</v>
      </c>
      <c r="K92" s="7">
        <v>107</v>
      </c>
      <c r="L92" s="6">
        <v>180.5</v>
      </c>
      <c r="M92" s="6">
        <v>125</v>
      </c>
      <c r="N92" s="7">
        <v>212</v>
      </c>
      <c r="O92" s="6">
        <v>146</v>
      </c>
      <c r="P92" s="7">
        <v>21.5</v>
      </c>
      <c r="Q92" s="6">
        <v>187</v>
      </c>
      <c r="R92" s="6">
        <v>131.9</v>
      </c>
      <c r="S92" s="6">
        <v>149.9</v>
      </c>
      <c r="T92" s="6">
        <v>160</v>
      </c>
      <c r="U92" s="7">
        <v>118.7</v>
      </c>
      <c r="V92" s="7">
        <v>161</v>
      </c>
      <c r="W92" s="6">
        <v>100.5</v>
      </c>
      <c r="X92" s="6">
        <v>126.5</v>
      </c>
      <c r="Y92" s="6">
        <v>122.7</v>
      </c>
      <c r="Z92" s="7">
        <v>165</v>
      </c>
      <c r="AA92" s="55">
        <v>207.5</v>
      </c>
      <c r="AB92" s="7">
        <v>92.5</v>
      </c>
      <c r="AC92" s="6">
        <v>196.5</v>
      </c>
      <c r="AD92" s="6">
        <v>125.2</v>
      </c>
      <c r="AE92" s="6">
        <v>80.2</v>
      </c>
      <c r="AF92" s="6">
        <v>86</v>
      </c>
      <c r="AG92" s="6">
        <v>95</v>
      </c>
      <c r="AH92" s="6">
        <v>148</v>
      </c>
      <c r="AI92" s="7">
        <v>181</v>
      </c>
      <c r="AJ92" s="6">
        <v>124.8</v>
      </c>
      <c r="AK92" s="7">
        <v>105</v>
      </c>
      <c r="AL92" s="7">
        <v>162</v>
      </c>
    </row>
    <row r="93" spans="2:38" s="9" customFormat="1" x14ac:dyDescent="0.2">
      <c r="B93" s="55">
        <v>1987</v>
      </c>
      <c r="C93" s="115" t="s">
        <v>296</v>
      </c>
      <c r="D93" s="6">
        <v>74</v>
      </c>
      <c r="E93" s="7">
        <v>250</v>
      </c>
      <c r="F93" s="6">
        <v>91.4</v>
      </c>
      <c r="G93" s="7">
        <v>147</v>
      </c>
      <c r="H93" s="6">
        <v>86</v>
      </c>
      <c r="I93" s="6">
        <v>85</v>
      </c>
      <c r="J93" s="7">
        <v>158</v>
      </c>
      <c r="K93" s="7">
        <v>97</v>
      </c>
      <c r="L93" s="6">
        <v>162.5</v>
      </c>
      <c r="M93" s="6">
        <v>134</v>
      </c>
      <c r="N93" s="7">
        <v>95.3</v>
      </c>
      <c r="O93" s="6">
        <v>109</v>
      </c>
      <c r="P93" s="7">
        <v>46</v>
      </c>
      <c r="Q93" s="6">
        <v>189</v>
      </c>
      <c r="R93" s="6">
        <v>37.700000000000003</v>
      </c>
      <c r="S93" s="6">
        <v>228.7</v>
      </c>
      <c r="T93" s="6">
        <v>89.7</v>
      </c>
      <c r="U93" s="7">
        <v>125</v>
      </c>
      <c r="V93" s="7">
        <v>179</v>
      </c>
      <c r="W93" s="6">
        <v>40</v>
      </c>
      <c r="X93" s="6">
        <v>36</v>
      </c>
      <c r="Y93" s="6">
        <v>39</v>
      </c>
      <c r="Z93" s="7">
        <v>101</v>
      </c>
      <c r="AA93" s="55">
        <v>104</v>
      </c>
      <c r="AB93" s="7">
        <v>125.5</v>
      </c>
      <c r="AC93" s="6">
        <v>191.6</v>
      </c>
      <c r="AD93" s="6">
        <v>82</v>
      </c>
      <c r="AE93" s="6">
        <v>113.3</v>
      </c>
      <c r="AF93" s="6">
        <v>91</v>
      </c>
      <c r="AG93" s="6">
        <v>146</v>
      </c>
      <c r="AH93" s="6">
        <v>68</v>
      </c>
      <c r="AI93" s="7">
        <v>151.5</v>
      </c>
      <c r="AJ93" s="6">
        <v>186.5</v>
      </c>
      <c r="AK93" s="7">
        <v>66</v>
      </c>
      <c r="AL93" s="7">
        <v>205</v>
      </c>
    </row>
    <row r="94" spans="2:38" s="9" customFormat="1" x14ac:dyDescent="0.2">
      <c r="B94" s="55">
        <v>1987</v>
      </c>
      <c r="C94" s="115" t="s">
        <v>297</v>
      </c>
      <c r="D94" s="6">
        <v>79</v>
      </c>
      <c r="E94" s="7">
        <v>107</v>
      </c>
      <c r="F94" s="6">
        <v>196.4</v>
      </c>
      <c r="G94" s="7">
        <v>75</v>
      </c>
      <c r="H94" s="6">
        <v>161</v>
      </c>
      <c r="I94" s="6">
        <v>59</v>
      </c>
      <c r="J94" s="7">
        <v>96</v>
      </c>
      <c r="K94" s="7">
        <v>74</v>
      </c>
      <c r="L94" s="6">
        <v>60.5</v>
      </c>
      <c r="M94" s="6">
        <v>74</v>
      </c>
      <c r="N94" s="7">
        <v>90</v>
      </c>
      <c r="O94" s="6">
        <v>53</v>
      </c>
      <c r="P94" s="7">
        <v>116</v>
      </c>
      <c r="Q94" s="6">
        <v>90</v>
      </c>
      <c r="R94" s="6">
        <v>75.3</v>
      </c>
      <c r="S94" s="6">
        <v>113</v>
      </c>
      <c r="T94" s="6">
        <v>66.7</v>
      </c>
      <c r="U94" s="7">
        <v>43.5</v>
      </c>
      <c r="V94" s="7">
        <v>96.5</v>
      </c>
      <c r="W94" s="6">
        <v>70.099999999999994</v>
      </c>
      <c r="X94" s="6">
        <v>45</v>
      </c>
      <c r="Y94" s="6">
        <v>48.1</v>
      </c>
      <c r="Z94" s="7">
        <v>62</v>
      </c>
      <c r="AA94" s="55">
        <v>50</v>
      </c>
      <c r="AB94" s="7">
        <v>89</v>
      </c>
      <c r="AC94" s="6">
        <v>197.7</v>
      </c>
      <c r="AD94" s="6">
        <v>58</v>
      </c>
      <c r="AE94" s="6">
        <v>79.3</v>
      </c>
      <c r="AF94" s="6">
        <v>83</v>
      </c>
      <c r="AG94" s="6">
        <v>51</v>
      </c>
      <c r="AH94" s="6">
        <v>96</v>
      </c>
      <c r="AI94" s="7">
        <v>104</v>
      </c>
      <c r="AJ94" s="6">
        <v>76</v>
      </c>
      <c r="AK94" s="7">
        <v>75</v>
      </c>
      <c r="AL94" s="7">
        <v>91</v>
      </c>
    </row>
    <row r="95" spans="2:38" s="9" customFormat="1" x14ac:dyDescent="0.2">
      <c r="B95" s="55">
        <v>1987</v>
      </c>
      <c r="C95" s="115" t="s">
        <v>298</v>
      </c>
      <c r="D95" s="6">
        <v>115</v>
      </c>
      <c r="E95" s="7">
        <v>78</v>
      </c>
      <c r="F95" s="6">
        <v>50.9</v>
      </c>
      <c r="G95" s="7">
        <v>135</v>
      </c>
      <c r="H95" s="6">
        <v>20</v>
      </c>
      <c r="I95" s="6">
        <v>137</v>
      </c>
      <c r="J95" s="7">
        <v>115</v>
      </c>
      <c r="K95" s="7">
        <v>113</v>
      </c>
      <c r="L95" s="6">
        <v>59</v>
      </c>
      <c r="M95" s="6">
        <v>81</v>
      </c>
      <c r="N95" s="7">
        <v>101.5</v>
      </c>
      <c r="O95" s="6">
        <v>122</v>
      </c>
      <c r="P95" s="7">
        <v>104</v>
      </c>
      <c r="Q95" s="6">
        <v>157</v>
      </c>
      <c r="R95" s="6">
        <v>111.7</v>
      </c>
      <c r="S95" s="6">
        <v>71</v>
      </c>
      <c r="T95" s="6">
        <v>77.099999999999994</v>
      </c>
      <c r="U95" s="7">
        <v>73</v>
      </c>
      <c r="V95" s="7">
        <v>80</v>
      </c>
      <c r="W95" s="6">
        <v>118.1</v>
      </c>
      <c r="X95" s="6">
        <v>112</v>
      </c>
      <c r="Y95" s="6">
        <v>72.7</v>
      </c>
      <c r="Z95" s="7">
        <v>160</v>
      </c>
      <c r="AA95" s="55">
        <v>79</v>
      </c>
      <c r="AB95" s="7">
        <v>62</v>
      </c>
      <c r="AC95" s="6">
        <v>53.1</v>
      </c>
      <c r="AD95" s="6">
        <v>102.5</v>
      </c>
      <c r="AE95" s="6">
        <v>39.4</v>
      </c>
      <c r="AF95" s="6">
        <v>33</v>
      </c>
      <c r="AG95" s="6">
        <v>87</v>
      </c>
      <c r="AH95" s="6">
        <v>58</v>
      </c>
      <c r="AI95" s="7">
        <v>74.5</v>
      </c>
      <c r="AJ95" s="6">
        <v>100.5</v>
      </c>
      <c r="AK95" s="7">
        <v>40</v>
      </c>
      <c r="AL95" s="7">
        <v>81.5</v>
      </c>
    </row>
    <row r="96" spans="2:38" s="9" customFormat="1" x14ac:dyDescent="0.2">
      <c r="B96" s="55">
        <v>1987</v>
      </c>
      <c r="C96" s="115" t="s">
        <v>299</v>
      </c>
      <c r="D96" s="6">
        <v>76</v>
      </c>
      <c r="E96" s="7">
        <v>113</v>
      </c>
      <c r="F96" s="6">
        <v>97.7</v>
      </c>
      <c r="G96" s="7">
        <v>50.5</v>
      </c>
      <c r="H96" s="6">
        <v>82</v>
      </c>
      <c r="I96" s="6">
        <v>71</v>
      </c>
      <c r="J96" s="7">
        <v>31</v>
      </c>
      <c r="K96" s="7">
        <v>115</v>
      </c>
      <c r="L96" s="6">
        <v>118</v>
      </c>
      <c r="M96" s="6">
        <v>66</v>
      </c>
      <c r="N96" s="7">
        <v>103</v>
      </c>
      <c r="O96" s="6">
        <v>174</v>
      </c>
      <c r="P96" s="7">
        <v>177.5</v>
      </c>
      <c r="Q96" s="6">
        <v>36</v>
      </c>
      <c r="R96" s="6">
        <v>119</v>
      </c>
      <c r="S96" s="6">
        <v>119.6</v>
      </c>
      <c r="T96" s="6">
        <v>81.2</v>
      </c>
      <c r="U96" s="7">
        <v>58.3</v>
      </c>
      <c r="V96" s="7">
        <v>98.5</v>
      </c>
      <c r="W96" s="6">
        <v>242.7</v>
      </c>
      <c r="X96" s="6">
        <v>47</v>
      </c>
      <c r="Y96" s="6">
        <v>48.4</v>
      </c>
      <c r="Z96" s="7">
        <v>58</v>
      </c>
      <c r="AA96" s="55">
        <v>281</v>
      </c>
      <c r="AB96" s="7">
        <v>160</v>
      </c>
      <c r="AC96" s="6">
        <v>102.1</v>
      </c>
      <c r="AD96" s="6">
        <v>77.2</v>
      </c>
      <c r="AE96" s="6">
        <v>96.7</v>
      </c>
      <c r="AF96" s="6">
        <v>138</v>
      </c>
      <c r="AG96" s="6">
        <v>226</v>
      </c>
      <c r="AH96" s="6">
        <v>194</v>
      </c>
      <c r="AI96" s="7">
        <v>111</v>
      </c>
      <c r="AJ96" s="6">
        <v>60.4</v>
      </c>
      <c r="AK96" s="7">
        <v>97</v>
      </c>
      <c r="AL96" s="7">
        <v>95.8</v>
      </c>
    </row>
    <row r="97" spans="2:38" s="9" customFormat="1" x14ac:dyDescent="0.2">
      <c r="B97" s="55">
        <v>1987</v>
      </c>
      <c r="C97" s="115" t="s">
        <v>301</v>
      </c>
      <c r="D97" s="6">
        <v>120</v>
      </c>
      <c r="E97" s="7">
        <v>218</v>
      </c>
      <c r="F97" s="6">
        <v>74.900000000000006</v>
      </c>
      <c r="G97" s="7">
        <v>160</v>
      </c>
      <c r="H97" s="6">
        <v>118</v>
      </c>
      <c r="I97" s="6">
        <v>101</v>
      </c>
      <c r="J97" s="7">
        <v>210</v>
      </c>
      <c r="K97" s="7">
        <v>105</v>
      </c>
      <c r="L97" s="6">
        <v>159</v>
      </c>
      <c r="M97" s="6">
        <v>240</v>
      </c>
      <c r="N97" s="7">
        <v>156.5</v>
      </c>
      <c r="O97" s="6">
        <v>147</v>
      </c>
      <c r="P97" s="7">
        <v>148</v>
      </c>
      <c r="Q97" s="6">
        <v>219</v>
      </c>
      <c r="R97" s="6">
        <v>93.5</v>
      </c>
      <c r="S97" s="6">
        <v>131.4</v>
      </c>
      <c r="T97" s="6">
        <v>198.6</v>
      </c>
      <c r="U97" s="7">
        <v>210</v>
      </c>
      <c r="V97" s="7">
        <v>134.1</v>
      </c>
      <c r="W97" s="6">
        <v>155.1</v>
      </c>
      <c r="X97" s="6">
        <v>119</v>
      </c>
      <c r="Y97" s="6">
        <v>66.599999999999994</v>
      </c>
      <c r="Z97" s="7">
        <v>94</v>
      </c>
      <c r="AA97" s="55">
        <v>301</v>
      </c>
      <c r="AB97" s="7">
        <v>156.5</v>
      </c>
      <c r="AC97" s="6">
        <v>125.9</v>
      </c>
      <c r="AD97" s="6">
        <v>118.1</v>
      </c>
      <c r="AE97" s="6">
        <v>92.2</v>
      </c>
      <c r="AF97" s="6">
        <v>97</v>
      </c>
      <c r="AG97" s="6">
        <v>199</v>
      </c>
      <c r="AH97" s="6">
        <v>120</v>
      </c>
      <c r="AI97" s="7">
        <v>125.5</v>
      </c>
      <c r="AJ97" s="6">
        <v>345.6</v>
      </c>
      <c r="AK97" s="7">
        <v>142</v>
      </c>
      <c r="AL97" s="7">
        <v>155</v>
      </c>
    </row>
    <row r="98" spans="2:38" s="9" customFormat="1" x14ac:dyDescent="0.2">
      <c r="B98" s="55">
        <v>1988</v>
      </c>
      <c r="C98" s="115" t="s">
        <v>289</v>
      </c>
      <c r="D98" s="6">
        <v>258</v>
      </c>
      <c r="E98" s="7">
        <v>396</v>
      </c>
      <c r="F98" s="6">
        <v>381.9</v>
      </c>
      <c r="G98" s="7">
        <v>102</v>
      </c>
      <c r="H98" s="6">
        <v>384</v>
      </c>
      <c r="I98" s="6">
        <v>126</v>
      </c>
      <c r="J98" s="7">
        <v>250.5</v>
      </c>
      <c r="K98" s="7">
        <v>86</v>
      </c>
      <c r="L98" s="6">
        <v>190.5</v>
      </c>
      <c r="M98" s="6">
        <v>369</v>
      </c>
      <c r="N98" s="7">
        <v>103.5</v>
      </c>
      <c r="O98" s="6">
        <v>162</v>
      </c>
      <c r="P98" s="7">
        <v>31</v>
      </c>
      <c r="Q98" s="6">
        <v>137</v>
      </c>
      <c r="R98" s="6">
        <v>110.1</v>
      </c>
      <c r="S98" s="6">
        <v>311.60000000000002</v>
      </c>
      <c r="T98" s="6">
        <v>104.6</v>
      </c>
      <c r="U98" s="7">
        <v>196</v>
      </c>
      <c r="V98" s="7">
        <v>322.5</v>
      </c>
      <c r="W98" s="6">
        <v>150.30000000000001</v>
      </c>
      <c r="X98" s="6">
        <v>111</v>
      </c>
      <c r="Y98" s="6">
        <v>119.6</v>
      </c>
      <c r="Z98" s="7">
        <v>176</v>
      </c>
      <c r="AA98" s="55">
        <v>384</v>
      </c>
      <c r="AB98" s="7">
        <v>136</v>
      </c>
      <c r="AC98" s="6">
        <v>309.10000000000002</v>
      </c>
      <c r="AD98" s="6">
        <v>207.7</v>
      </c>
      <c r="AE98" s="6">
        <v>296.39999999999998</v>
      </c>
      <c r="AF98" s="6">
        <v>192</v>
      </c>
      <c r="AG98" s="6">
        <v>332</v>
      </c>
      <c r="AH98" s="6">
        <v>443</v>
      </c>
      <c r="AI98" s="7">
        <v>343.5</v>
      </c>
      <c r="AJ98" s="6">
        <v>227.4</v>
      </c>
      <c r="AK98" s="7">
        <v>398</v>
      </c>
      <c r="AL98" s="7">
        <v>314</v>
      </c>
    </row>
    <row r="99" spans="2:38" s="9" customFormat="1" x14ac:dyDescent="0.2">
      <c r="B99" s="55">
        <v>1988</v>
      </c>
      <c r="C99" s="115" t="s">
        <v>290</v>
      </c>
      <c r="D99" s="6">
        <v>84</v>
      </c>
      <c r="E99" s="7">
        <v>118</v>
      </c>
      <c r="F99" s="6">
        <v>78.3</v>
      </c>
      <c r="G99" s="7">
        <v>64</v>
      </c>
      <c r="H99" s="6">
        <v>39</v>
      </c>
      <c r="I99" s="6">
        <v>84</v>
      </c>
      <c r="J99" s="7">
        <v>56.5</v>
      </c>
      <c r="K99" s="7">
        <v>72</v>
      </c>
      <c r="L99" s="6">
        <v>73</v>
      </c>
      <c r="M99" s="6">
        <v>37</v>
      </c>
      <c r="N99" s="7">
        <v>129.5</v>
      </c>
      <c r="O99" s="6">
        <v>165</v>
      </c>
      <c r="P99" s="7">
        <v>47</v>
      </c>
      <c r="Q99" s="6">
        <v>71</v>
      </c>
      <c r="R99" s="6">
        <v>80.7</v>
      </c>
      <c r="S99" s="6">
        <v>32.299999999999997</v>
      </c>
      <c r="T99" s="6">
        <v>115.1</v>
      </c>
      <c r="U99" s="7">
        <v>83</v>
      </c>
      <c r="V99" s="7">
        <v>36.5</v>
      </c>
      <c r="W99" s="6">
        <v>248.6</v>
      </c>
      <c r="X99" s="6">
        <v>20</v>
      </c>
      <c r="Y99" s="6">
        <v>86.3</v>
      </c>
      <c r="Z99" s="7">
        <v>44</v>
      </c>
      <c r="AA99" s="55">
        <v>64</v>
      </c>
      <c r="AB99" s="7">
        <v>15</v>
      </c>
      <c r="AC99" s="6">
        <v>88.9</v>
      </c>
      <c r="AD99" s="6">
        <v>78.5</v>
      </c>
      <c r="AE99" s="6">
        <v>47.6</v>
      </c>
      <c r="AF99" s="6">
        <v>27</v>
      </c>
      <c r="AG99" s="6">
        <v>44</v>
      </c>
      <c r="AH99" s="6">
        <v>42</v>
      </c>
      <c r="AI99" s="7">
        <v>66</v>
      </c>
      <c r="AJ99" s="6">
        <v>52</v>
      </c>
      <c r="AK99" s="7">
        <v>12.5</v>
      </c>
      <c r="AL99" s="7">
        <v>60</v>
      </c>
    </row>
    <row r="100" spans="2:38" s="9" customFormat="1" x14ac:dyDescent="0.2">
      <c r="B100" s="55">
        <v>1988</v>
      </c>
      <c r="C100" s="115" t="s">
        <v>291</v>
      </c>
      <c r="D100" s="6">
        <v>222</v>
      </c>
      <c r="E100" s="7">
        <v>11</v>
      </c>
      <c r="F100" s="6">
        <v>51.8</v>
      </c>
      <c r="G100" s="7">
        <v>150</v>
      </c>
      <c r="H100" s="6">
        <v>81</v>
      </c>
      <c r="I100" s="6">
        <v>203</v>
      </c>
      <c r="J100" s="7">
        <v>107</v>
      </c>
      <c r="K100" s="7">
        <v>490</v>
      </c>
      <c r="L100" s="6">
        <v>221</v>
      </c>
      <c r="M100" s="6">
        <v>106</v>
      </c>
      <c r="N100" s="7">
        <v>246.5</v>
      </c>
      <c r="O100" s="6">
        <v>106</v>
      </c>
      <c r="P100" s="7">
        <v>38</v>
      </c>
      <c r="Q100" s="6">
        <v>114</v>
      </c>
      <c r="R100" s="6">
        <v>425.3</v>
      </c>
      <c r="S100" s="6">
        <v>34.6</v>
      </c>
      <c r="T100" s="6">
        <v>207.6</v>
      </c>
      <c r="U100" s="7">
        <v>162</v>
      </c>
      <c r="V100" s="7">
        <v>50.5</v>
      </c>
      <c r="W100" s="6">
        <v>241.8</v>
      </c>
      <c r="X100" s="6">
        <v>243.5</v>
      </c>
      <c r="Y100" s="6">
        <v>316.60000000000002</v>
      </c>
      <c r="Z100" s="7">
        <v>217</v>
      </c>
      <c r="AA100" s="55">
        <v>338.5</v>
      </c>
      <c r="AB100" s="7">
        <v>94</v>
      </c>
      <c r="AC100" s="6">
        <v>130.9</v>
      </c>
      <c r="AD100" s="6">
        <v>191.6</v>
      </c>
      <c r="AE100" s="6">
        <v>123.2</v>
      </c>
      <c r="AF100" s="6">
        <v>0</v>
      </c>
      <c r="AG100" s="6">
        <v>142</v>
      </c>
      <c r="AH100" s="6">
        <v>118</v>
      </c>
      <c r="AI100" s="7">
        <v>154</v>
      </c>
      <c r="AJ100" s="6">
        <v>87.1</v>
      </c>
      <c r="AK100" s="7">
        <v>105</v>
      </c>
      <c r="AL100" s="7">
        <v>80</v>
      </c>
    </row>
    <row r="101" spans="2:38" s="9" customFormat="1" x14ac:dyDescent="0.2">
      <c r="B101" s="55">
        <v>1988</v>
      </c>
      <c r="C101" s="115" t="s">
        <v>292</v>
      </c>
      <c r="D101" s="6">
        <v>59</v>
      </c>
      <c r="E101" s="7">
        <v>109</v>
      </c>
      <c r="F101" s="6">
        <v>36.200000000000003</v>
      </c>
      <c r="G101" s="7">
        <v>61</v>
      </c>
      <c r="H101" s="6">
        <v>48</v>
      </c>
      <c r="I101" s="6">
        <v>67</v>
      </c>
      <c r="J101" s="7">
        <v>88</v>
      </c>
      <c r="K101" s="7">
        <v>32</v>
      </c>
      <c r="L101" s="6">
        <v>78</v>
      </c>
      <c r="M101" s="6">
        <v>116</v>
      </c>
      <c r="N101" s="7">
        <v>29.5</v>
      </c>
      <c r="O101" s="6">
        <v>26</v>
      </c>
      <c r="P101" s="7">
        <v>150</v>
      </c>
      <c r="Q101" s="6">
        <v>59</v>
      </c>
      <c r="R101" s="6">
        <v>11.5</v>
      </c>
      <c r="S101" s="6">
        <v>75.400000000000006</v>
      </c>
      <c r="T101" s="6">
        <v>28.8</v>
      </c>
      <c r="U101" s="7">
        <v>36</v>
      </c>
      <c r="V101" s="7">
        <v>110</v>
      </c>
      <c r="W101" s="6">
        <v>112.5</v>
      </c>
      <c r="X101" s="6">
        <v>24</v>
      </c>
      <c r="Y101" s="6">
        <v>27</v>
      </c>
      <c r="Z101" s="7">
        <v>64</v>
      </c>
      <c r="AA101" s="55">
        <v>85</v>
      </c>
      <c r="AB101" s="7">
        <v>183</v>
      </c>
      <c r="AC101" s="6">
        <v>44.7</v>
      </c>
      <c r="AD101" s="6">
        <v>59.8</v>
      </c>
      <c r="AE101" s="6">
        <v>53.2</v>
      </c>
      <c r="AF101" s="6">
        <v>50</v>
      </c>
      <c r="AG101" s="6">
        <v>76</v>
      </c>
      <c r="AH101" s="6">
        <v>34</v>
      </c>
      <c r="AI101" s="7">
        <v>38</v>
      </c>
      <c r="AJ101" s="6">
        <v>76.3</v>
      </c>
      <c r="AK101" s="7">
        <v>63</v>
      </c>
      <c r="AL101" s="7">
        <v>114</v>
      </c>
    </row>
    <row r="102" spans="2:38" s="9" customFormat="1" x14ac:dyDescent="0.2">
      <c r="B102" s="55">
        <v>1988</v>
      </c>
      <c r="C102" s="115" t="s">
        <v>293</v>
      </c>
      <c r="D102" s="6">
        <v>2</v>
      </c>
      <c r="E102" s="7">
        <v>17</v>
      </c>
      <c r="F102" s="6">
        <v>9.6999999999999993</v>
      </c>
      <c r="G102" s="7">
        <v>24</v>
      </c>
      <c r="H102" s="6">
        <v>13</v>
      </c>
      <c r="I102" s="6">
        <v>10</v>
      </c>
      <c r="J102" s="7">
        <v>14</v>
      </c>
      <c r="K102" s="7">
        <v>0</v>
      </c>
      <c r="L102" s="6">
        <v>0</v>
      </c>
      <c r="M102" s="6">
        <v>21</v>
      </c>
      <c r="N102" s="7">
        <v>16</v>
      </c>
      <c r="O102" s="6">
        <v>18</v>
      </c>
      <c r="P102" s="7">
        <v>88</v>
      </c>
      <c r="Q102" s="6">
        <v>6</v>
      </c>
      <c r="R102" s="6">
        <v>2.1</v>
      </c>
      <c r="S102" s="6">
        <v>2.9</v>
      </c>
      <c r="T102" s="6">
        <v>4.7</v>
      </c>
      <c r="U102" s="7">
        <v>7</v>
      </c>
      <c r="V102" s="7">
        <v>29</v>
      </c>
      <c r="W102" s="6">
        <v>0.5</v>
      </c>
      <c r="X102" s="6">
        <v>5</v>
      </c>
      <c r="Y102" s="6">
        <v>20.7</v>
      </c>
      <c r="Z102" s="7">
        <v>2</v>
      </c>
      <c r="AA102" s="55">
        <v>0</v>
      </c>
      <c r="AB102" s="7">
        <v>0</v>
      </c>
      <c r="AC102" s="6">
        <v>5.4</v>
      </c>
      <c r="AD102" s="6">
        <v>45.6</v>
      </c>
      <c r="AE102" s="6">
        <v>0.8</v>
      </c>
      <c r="AF102" s="6">
        <v>5</v>
      </c>
      <c r="AG102" s="6">
        <v>2</v>
      </c>
      <c r="AH102" s="6">
        <v>5</v>
      </c>
      <c r="AI102" s="7">
        <v>10</v>
      </c>
      <c r="AJ102" s="6">
        <v>4.5</v>
      </c>
      <c r="AK102" s="7">
        <v>3</v>
      </c>
      <c r="AL102" s="7">
        <v>3</v>
      </c>
    </row>
    <row r="103" spans="2:38" s="9" customFormat="1" x14ac:dyDescent="0.2">
      <c r="B103" s="55">
        <v>1988</v>
      </c>
      <c r="C103" s="115" t="s">
        <v>294</v>
      </c>
      <c r="D103" s="6">
        <v>32</v>
      </c>
      <c r="E103" s="7">
        <v>62</v>
      </c>
      <c r="F103" s="6">
        <v>68.2</v>
      </c>
      <c r="G103" s="7">
        <v>26</v>
      </c>
      <c r="H103" s="6">
        <v>57</v>
      </c>
      <c r="I103" s="6">
        <v>36</v>
      </c>
      <c r="J103" s="7">
        <v>29</v>
      </c>
      <c r="K103" s="7">
        <v>19</v>
      </c>
      <c r="L103" s="258" t="s">
        <v>300</v>
      </c>
      <c r="M103" s="6">
        <v>35</v>
      </c>
      <c r="N103" s="7">
        <v>28.5</v>
      </c>
      <c r="O103" s="6">
        <v>23</v>
      </c>
      <c r="P103" s="7">
        <v>137</v>
      </c>
      <c r="Q103" s="6">
        <v>56</v>
      </c>
      <c r="R103" s="6">
        <v>6.9</v>
      </c>
      <c r="S103" s="6">
        <v>49.7</v>
      </c>
      <c r="T103" s="6">
        <v>20.100000000000001</v>
      </c>
      <c r="U103" s="7">
        <v>24</v>
      </c>
      <c r="V103" s="7">
        <v>18.5</v>
      </c>
      <c r="W103" s="6">
        <v>22</v>
      </c>
      <c r="X103" s="6">
        <v>25</v>
      </c>
      <c r="Y103" s="6">
        <v>6.1</v>
      </c>
      <c r="Z103" s="7">
        <v>38</v>
      </c>
      <c r="AA103" s="55">
        <v>10</v>
      </c>
      <c r="AB103" s="7">
        <v>20.5</v>
      </c>
      <c r="AC103" s="6">
        <v>86.1</v>
      </c>
      <c r="AD103" s="6">
        <v>26.6</v>
      </c>
      <c r="AE103" s="6">
        <v>27.6</v>
      </c>
      <c r="AF103" s="6">
        <v>57</v>
      </c>
      <c r="AG103" s="6">
        <v>28</v>
      </c>
      <c r="AH103" s="6">
        <v>54</v>
      </c>
      <c r="AI103" s="7">
        <v>52</v>
      </c>
      <c r="AJ103" s="6">
        <v>67.8</v>
      </c>
      <c r="AK103" s="7">
        <v>26</v>
      </c>
      <c r="AL103" s="7">
        <v>66</v>
      </c>
    </row>
    <row r="104" spans="2:38" s="9" customFormat="1" x14ac:dyDescent="0.2">
      <c r="B104" s="55">
        <v>1988</v>
      </c>
      <c r="C104" s="115" t="s">
        <v>295</v>
      </c>
      <c r="D104" s="6">
        <v>111</v>
      </c>
      <c r="E104" s="7">
        <v>203</v>
      </c>
      <c r="F104" s="6">
        <v>33.9</v>
      </c>
      <c r="G104" s="7">
        <v>137</v>
      </c>
      <c r="H104" s="6">
        <v>39</v>
      </c>
      <c r="I104" s="6">
        <v>94</v>
      </c>
      <c r="J104" s="7">
        <v>139</v>
      </c>
      <c r="K104" s="7">
        <v>40</v>
      </c>
      <c r="L104" s="6">
        <v>151.5</v>
      </c>
      <c r="M104" s="6">
        <v>119</v>
      </c>
      <c r="N104" s="7">
        <v>74.5</v>
      </c>
      <c r="O104" s="6">
        <v>166</v>
      </c>
      <c r="P104" s="7">
        <v>256</v>
      </c>
      <c r="Q104" s="6">
        <v>132</v>
      </c>
      <c r="R104" s="6">
        <v>26.6</v>
      </c>
      <c r="S104" s="6">
        <v>136.19999999999999</v>
      </c>
      <c r="T104" s="6">
        <v>69</v>
      </c>
      <c r="U104" s="7">
        <v>81</v>
      </c>
      <c r="V104" s="7">
        <v>98</v>
      </c>
      <c r="W104" s="6">
        <v>101.7</v>
      </c>
      <c r="X104" s="6">
        <v>66</v>
      </c>
      <c r="Y104" s="6">
        <v>58</v>
      </c>
      <c r="Z104" s="7">
        <v>83</v>
      </c>
      <c r="AA104" s="55">
        <v>48</v>
      </c>
      <c r="AB104" s="7">
        <v>138.5</v>
      </c>
      <c r="AC104" s="6">
        <v>29.7</v>
      </c>
      <c r="AD104" s="6">
        <v>141.9</v>
      </c>
      <c r="AE104" s="6">
        <v>43.4</v>
      </c>
      <c r="AF104" s="6">
        <v>78</v>
      </c>
      <c r="AG104" s="6">
        <v>111</v>
      </c>
      <c r="AH104" s="6">
        <v>48</v>
      </c>
      <c r="AI104" s="7">
        <v>73</v>
      </c>
      <c r="AJ104" s="6">
        <v>176.4</v>
      </c>
      <c r="AK104" s="7">
        <v>23</v>
      </c>
      <c r="AL104" s="7">
        <v>115</v>
      </c>
    </row>
    <row r="105" spans="2:38" s="9" customFormat="1" x14ac:dyDescent="0.2">
      <c r="B105" s="55">
        <v>1988</v>
      </c>
      <c r="C105" s="115" t="s">
        <v>296</v>
      </c>
      <c r="D105" s="6">
        <v>49</v>
      </c>
      <c r="E105" s="7">
        <v>143</v>
      </c>
      <c r="F105" s="6">
        <v>65</v>
      </c>
      <c r="G105" s="7">
        <v>39</v>
      </c>
      <c r="H105" s="6">
        <v>59</v>
      </c>
      <c r="I105" s="6">
        <v>50</v>
      </c>
      <c r="J105" s="7">
        <v>72</v>
      </c>
      <c r="K105" s="7">
        <v>40</v>
      </c>
      <c r="L105" s="6">
        <v>64</v>
      </c>
      <c r="M105" s="6">
        <v>83</v>
      </c>
      <c r="N105" s="7">
        <v>27</v>
      </c>
      <c r="O105" s="6">
        <v>18</v>
      </c>
      <c r="P105" s="7">
        <v>28</v>
      </c>
      <c r="Q105" s="6">
        <v>52</v>
      </c>
      <c r="R105" s="6">
        <v>41.2</v>
      </c>
      <c r="S105" s="6">
        <v>126.1</v>
      </c>
      <c r="T105" s="6">
        <v>19.8</v>
      </c>
      <c r="U105" s="7">
        <v>67</v>
      </c>
      <c r="V105" s="7">
        <v>80</v>
      </c>
      <c r="W105" s="6">
        <v>74.900000000000006</v>
      </c>
      <c r="X105" s="6">
        <v>25</v>
      </c>
      <c r="Y105" s="6">
        <v>91.9</v>
      </c>
      <c r="Z105" s="7">
        <v>12</v>
      </c>
      <c r="AA105" s="55">
        <v>132</v>
      </c>
      <c r="AB105" s="7">
        <v>91</v>
      </c>
      <c r="AC105" s="6">
        <v>59.6</v>
      </c>
      <c r="AD105" s="6">
        <v>21</v>
      </c>
      <c r="AE105" s="6">
        <v>90.4</v>
      </c>
      <c r="AF105" s="6">
        <v>101</v>
      </c>
      <c r="AG105" s="6">
        <v>133</v>
      </c>
      <c r="AH105" s="6">
        <v>86</v>
      </c>
      <c r="AI105" s="7">
        <v>71</v>
      </c>
      <c r="AJ105" s="6">
        <v>56.8</v>
      </c>
      <c r="AK105" s="7">
        <v>131</v>
      </c>
      <c r="AL105" s="7">
        <v>104.5</v>
      </c>
    </row>
    <row r="106" spans="2:38" s="9" customFormat="1" x14ac:dyDescent="0.2">
      <c r="B106" s="55">
        <v>1988</v>
      </c>
      <c r="C106" s="115" t="s">
        <v>297</v>
      </c>
      <c r="D106" s="6">
        <v>69</v>
      </c>
      <c r="E106" s="7">
        <v>129</v>
      </c>
      <c r="F106" s="6">
        <v>162.4</v>
      </c>
      <c r="G106" s="7">
        <v>60</v>
      </c>
      <c r="H106" s="6">
        <v>252</v>
      </c>
      <c r="I106" s="6">
        <v>60</v>
      </c>
      <c r="J106" s="7">
        <v>97</v>
      </c>
      <c r="K106" s="7">
        <v>42</v>
      </c>
      <c r="L106" s="6">
        <v>100.4</v>
      </c>
      <c r="M106" s="6">
        <v>99</v>
      </c>
      <c r="N106" s="7">
        <v>51</v>
      </c>
      <c r="O106" s="6">
        <v>72</v>
      </c>
      <c r="P106" s="7">
        <v>63</v>
      </c>
      <c r="Q106" s="6">
        <v>43</v>
      </c>
      <c r="R106" s="6">
        <v>26.5</v>
      </c>
      <c r="S106" s="6">
        <v>88.4</v>
      </c>
      <c r="T106" s="6">
        <v>68.099999999999994</v>
      </c>
      <c r="U106" s="7">
        <v>76</v>
      </c>
      <c r="V106" s="7">
        <v>128</v>
      </c>
      <c r="W106" s="6">
        <v>109.2</v>
      </c>
      <c r="X106" s="6">
        <v>35</v>
      </c>
      <c r="Y106" s="6">
        <v>33.799999999999997</v>
      </c>
      <c r="Z106" s="7">
        <v>45</v>
      </c>
      <c r="AA106" s="55">
        <v>212</v>
      </c>
      <c r="AB106" s="7">
        <v>126</v>
      </c>
      <c r="AC106" s="6">
        <v>230.9</v>
      </c>
      <c r="AD106" s="6">
        <v>79</v>
      </c>
      <c r="AE106" s="6">
        <v>170.1</v>
      </c>
      <c r="AF106" s="6">
        <v>168</v>
      </c>
      <c r="AG106" s="6">
        <v>150</v>
      </c>
      <c r="AH106" s="6">
        <v>125</v>
      </c>
      <c r="AI106" s="7">
        <v>173</v>
      </c>
      <c r="AJ106" s="6">
        <v>93.9</v>
      </c>
      <c r="AK106" s="7">
        <v>213.5</v>
      </c>
      <c r="AL106" s="7">
        <v>137</v>
      </c>
    </row>
    <row r="107" spans="2:38" s="9" customFormat="1" x14ac:dyDescent="0.2">
      <c r="B107" s="55">
        <v>1988</v>
      </c>
      <c r="C107" s="115" t="s">
        <v>298</v>
      </c>
      <c r="D107" s="6">
        <v>54</v>
      </c>
      <c r="E107" s="7">
        <v>35</v>
      </c>
      <c r="F107" s="6">
        <v>60.9</v>
      </c>
      <c r="G107" s="7">
        <v>56</v>
      </c>
      <c r="H107" s="6">
        <v>79</v>
      </c>
      <c r="I107" s="6">
        <v>64</v>
      </c>
      <c r="J107" s="7">
        <v>91.5</v>
      </c>
      <c r="K107" s="7">
        <v>157</v>
      </c>
      <c r="L107" s="6">
        <v>58</v>
      </c>
      <c r="M107" s="6">
        <v>31</v>
      </c>
      <c r="N107" s="7">
        <v>110.4</v>
      </c>
      <c r="O107" s="6">
        <v>46</v>
      </c>
      <c r="P107" s="7">
        <v>186</v>
      </c>
      <c r="Q107" s="6">
        <v>50</v>
      </c>
      <c r="R107" s="6">
        <v>162.30000000000001</v>
      </c>
      <c r="S107" s="6">
        <v>45.3</v>
      </c>
      <c r="T107" s="6">
        <v>78.099999999999994</v>
      </c>
      <c r="U107" s="7">
        <v>45</v>
      </c>
      <c r="V107" s="7">
        <v>62</v>
      </c>
      <c r="W107" s="6">
        <v>52.7</v>
      </c>
      <c r="X107" s="6">
        <v>72</v>
      </c>
      <c r="Y107" s="6">
        <v>116.4</v>
      </c>
      <c r="Z107" s="7">
        <v>40</v>
      </c>
      <c r="AA107" s="55">
        <v>62</v>
      </c>
      <c r="AB107" s="7">
        <v>32</v>
      </c>
      <c r="AC107" s="6">
        <v>53</v>
      </c>
      <c r="AD107" s="6">
        <v>63.5</v>
      </c>
      <c r="AE107" s="6">
        <v>94.4</v>
      </c>
      <c r="AF107" s="6">
        <v>88</v>
      </c>
      <c r="AG107" s="6">
        <v>54</v>
      </c>
      <c r="AH107" s="6">
        <v>76</v>
      </c>
      <c r="AI107" s="7">
        <v>134</v>
      </c>
      <c r="AJ107" s="6">
        <v>24.3</v>
      </c>
      <c r="AK107" s="7">
        <v>60</v>
      </c>
      <c r="AL107" s="7">
        <v>60</v>
      </c>
    </row>
    <row r="108" spans="2:38" s="9" customFormat="1" x14ac:dyDescent="0.2">
      <c r="B108" s="55">
        <v>1988</v>
      </c>
      <c r="C108" s="115" t="s">
        <v>299</v>
      </c>
      <c r="D108" s="6">
        <v>134</v>
      </c>
      <c r="E108" s="7">
        <v>104</v>
      </c>
      <c r="F108" s="6">
        <v>100.9</v>
      </c>
      <c r="G108" s="7">
        <v>96</v>
      </c>
      <c r="H108" s="6">
        <v>141</v>
      </c>
      <c r="I108" s="6">
        <v>49</v>
      </c>
      <c r="J108" s="7">
        <v>43</v>
      </c>
      <c r="K108" s="7">
        <v>155</v>
      </c>
      <c r="L108" s="6">
        <v>68</v>
      </c>
      <c r="M108" s="6">
        <v>57</v>
      </c>
      <c r="N108" s="7">
        <v>52</v>
      </c>
      <c r="O108" s="6">
        <v>78</v>
      </c>
      <c r="P108" s="7">
        <v>179</v>
      </c>
      <c r="Q108" s="6">
        <v>94</v>
      </c>
      <c r="R108" s="6">
        <v>68</v>
      </c>
      <c r="S108" s="6">
        <v>97.9</v>
      </c>
      <c r="T108" s="6">
        <v>62.7</v>
      </c>
      <c r="U108" s="7">
        <v>61</v>
      </c>
      <c r="V108" s="7">
        <v>65</v>
      </c>
      <c r="W108" s="6">
        <v>48.4</v>
      </c>
      <c r="X108" s="6">
        <v>100</v>
      </c>
      <c r="Y108" s="6">
        <v>77.099999999999994</v>
      </c>
      <c r="Z108" s="7">
        <v>61</v>
      </c>
      <c r="AA108" s="55">
        <v>35</v>
      </c>
      <c r="AB108" s="7">
        <v>59.5</v>
      </c>
      <c r="AC108" s="6">
        <v>114</v>
      </c>
      <c r="AD108" s="6">
        <v>198</v>
      </c>
      <c r="AE108" s="6">
        <v>67.2</v>
      </c>
      <c r="AF108" s="6">
        <v>90</v>
      </c>
      <c r="AG108" s="6">
        <v>72</v>
      </c>
      <c r="AH108" s="6">
        <v>82</v>
      </c>
      <c r="AI108" s="7">
        <v>59</v>
      </c>
      <c r="AJ108" s="6">
        <v>66.099999999999994</v>
      </c>
      <c r="AK108" s="7">
        <v>81.5</v>
      </c>
      <c r="AL108" s="7">
        <v>96</v>
      </c>
    </row>
    <row r="109" spans="2:38" s="9" customFormat="1" x14ac:dyDescent="0.2">
      <c r="B109" s="55">
        <v>1988</v>
      </c>
      <c r="C109" s="115" t="s">
        <v>301</v>
      </c>
      <c r="D109" s="6">
        <v>50</v>
      </c>
      <c r="E109" s="7">
        <v>52</v>
      </c>
      <c r="F109" s="6">
        <v>79.400000000000006</v>
      </c>
      <c r="G109" s="7">
        <v>51</v>
      </c>
      <c r="H109" s="6">
        <v>38</v>
      </c>
      <c r="I109" s="6">
        <v>46</v>
      </c>
      <c r="J109" s="7">
        <v>71</v>
      </c>
      <c r="K109" s="7">
        <v>47.5</v>
      </c>
      <c r="L109" s="6">
        <v>0</v>
      </c>
      <c r="M109" s="6">
        <v>38</v>
      </c>
      <c r="N109" s="7">
        <v>61</v>
      </c>
      <c r="O109" s="6">
        <v>5</v>
      </c>
      <c r="P109" s="7">
        <v>132</v>
      </c>
      <c r="Q109" s="6">
        <v>109</v>
      </c>
      <c r="R109" s="6">
        <v>25</v>
      </c>
      <c r="S109" s="6">
        <v>42.5</v>
      </c>
      <c r="T109" s="6">
        <v>102.4</v>
      </c>
      <c r="U109" s="7">
        <v>62</v>
      </c>
      <c r="V109" s="7">
        <v>51.5</v>
      </c>
      <c r="W109" s="6">
        <v>125.6</v>
      </c>
      <c r="X109" s="6">
        <v>62</v>
      </c>
      <c r="Y109" s="6">
        <v>95.5</v>
      </c>
      <c r="Z109" s="7">
        <v>60</v>
      </c>
      <c r="AA109" s="55">
        <v>79</v>
      </c>
      <c r="AB109" s="7">
        <v>113</v>
      </c>
      <c r="AC109" s="6">
        <v>54.3</v>
      </c>
      <c r="AD109" s="6">
        <v>44.4</v>
      </c>
      <c r="AE109" s="6">
        <v>59.7</v>
      </c>
      <c r="AF109" s="6">
        <v>39</v>
      </c>
      <c r="AG109" s="6">
        <v>56</v>
      </c>
      <c r="AH109" s="6">
        <v>88</v>
      </c>
      <c r="AI109" s="7">
        <v>50</v>
      </c>
      <c r="AJ109" s="6">
        <v>33.299999999999997</v>
      </c>
      <c r="AK109" s="7">
        <v>51</v>
      </c>
      <c r="AL109" s="7">
        <v>10</v>
      </c>
    </row>
    <row r="110" spans="2:38" s="9" customFormat="1" x14ac:dyDescent="0.2">
      <c r="B110" s="55">
        <v>1989</v>
      </c>
      <c r="C110" s="115" t="s">
        <v>289</v>
      </c>
      <c r="D110" s="6">
        <v>18</v>
      </c>
      <c r="E110" s="7">
        <v>161</v>
      </c>
      <c r="F110" s="6">
        <v>53.7</v>
      </c>
      <c r="G110" s="7">
        <v>25.5</v>
      </c>
      <c r="H110" s="6">
        <v>100</v>
      </c>
      <c r="I110" s="6">
        <v>29</v>
      </c>
      <c r="J110" s="7">
        <v>19</v>
      </c>
      <c r="K110" s="7">
        <v>38</v>
      </c>
      <c r="L110" s="6">
        <v>44</v>
      </c>
      <c r="M110" s="6">
        <v>118</v>
      </c>
      <c r="N110" s="7">
        <v>66</v>
      </c>
      <c r="O110" s="6">
        <v>47</v>
      </c>
      <c r="P110" s="7">
        <v>56</v>
      </c>
      <c r="Q110" s="6">
        <v>27</v>
      </c>
      <c r="R110" s="6">
        <v>44.4</v>
      </c>
      <c r="S110" s="6">
        <v>56.4</v>
      </c>
      <c r="T110" s="6">
        <v>7.3</v>
      </c>
      <c r="U110" s="7">
        <v>23</v>
      </c>
      <c r="V110" s="7">
        <v>100.5</v>
      </c>
      <c r="W110" s="6">
        <v>15.5</v>
      </c>
      <c r="X110" s="6">
        <v>46</v>
      </c>
      <c r="Y110" s="6">
        <v>14</v>
      </c>
      <c r="Z110" s="7">
        <v>33</v>
      </c>
      <c r="AA110" s="55">
        <v>11</v>
      </c>
      <c r="AB110" s="7">
        <v>6</v>
      </c>
      <c r="AC110" s="6">
        <v>108.4</v>
      </c>
      <c r="AD110" s="6">
        <v>55.7</v>
      </c>
      <c r="AE110" s="6">
        <v>9.6</v>
      </c>
      <c r="AF110" s="6">
        <v>38</v>
      </c>
      <c r="AG110" s="6">
        <v>38</v>
      </c>
      <c r="AH110" s="6">
        <v>69</v>
      </c>
      <c r="AI110" s="7">
        <v>75</v>
      </c>
      <c r="AJ110" s="6">
        <v>63.5</v>
      </c>
      <c r="AK110" s="7">
        <v>36</v>
      </c>
      <c r="AL110" s="7">
        <v>67</v>
      </c>
    </row>
    <row r="111" spans="2:38" s="9" customFormat="1" x14ac:dyDescent="0.2">
      <c r="B111" s="55">
        <v>1989</v>
      </c>
      <c r="C111" s="115" t="s">
        <v>290</v>
      </c>
      <c r="D111" s="6">
        <v>42</v>
      </c>
      <c r="E111" s="7">
        <v>36</v>
      </c>
      <c r="F111" s="6">
        <v>11.7</v>
      </c>
      <c r="G111" s="7">
        <v>26</v>
      </c>
      <c r="H111" s="6">
        <v>33</v>
      </c>
      <c r="I111" s="6">
        <v>31</v>
      </c>
      <c r="J111" s="7">
        <v>100</v>
      </c>
      <c r="K111" s="7">
        <v>94.1</v>
      </c>
      <c r="L111" s="6">
        <v>27</v>
      </c>
      <c r="M111" s="6">
        <v>14</v>
      </c>
      <c r="N111" s="7">
        <v>95</v>
      </c>
      <c r="O111" s="6">
        <v>46</v>
      </c>
      <c r="P111" s="7">
        <v>138</v>
      </c>
      <c r="Q111" s="6">
        <v>36</v>
      </c>
      <c r="R111" s="6">
        <v>60</v>
      </c>
      <c r="S111" s="6">
        <v>51.5</v>
      </c>
      <c r="T111" s="6">
        <v>105.6</v>
      </c>
      <c r="U111" s="7">
        <v>24</v>
      </c>
      <c r="V111" s="7">
        <v>27</v>
      </c>
      <c r="W111" s="6">
        <v>16.8</v>
      </c>
      <c r="X111" s="6">
        <v>94</v>
      </c>
      <c r="Y111" s="6">
        <v>42.4</v>
      </c>
      <c r="Z111" s="7">
        <v>64</v>
      </c>
      <c r="AA111" s="55">
        <v>22</v>
      </c>
      <c r="AB111" s="7">
        <v>69</v>
      </c>
      <c r="AC111" s="6">
        <v>9.6999999999999993</v>
      </c>
      <c r="AD111" s="6">
        <v>103.6</v>
      </c>
      <c r="AE111" s="6">
        <v>13.7</v>
      </c>
      <c r="AF111" s="6">
        <v>0</v>
      </c>
      <c r="AG111" s="6">
        <v>14</v>
      </c>
      <c r="AH111" s="6">
        <v>41</v>
      </c>
      <c r="AI111" s="7">
        <v>20.5</v>
      </c>
      <c r="AJ111" s="6">
        <v>4.8</v>
      </c>
      <c r="AK111" s="7">
        <v>1</v>
      </c>
      <c r="AL111" s="7">
        <v>14</v>
      </c>
    </row>
    <row r="112" spans="2:38" s="9" customFormat="1" x14ac:dyDescent="0.2">
      <c r="B112" s="55">
        <v>1989</v>
      </c>
      <c r="C112" s="115" t="s">
        <v>291</v>
      </c>
      <c r="D112" s="6">
        <v>88</v>
      </c>
      <c r="E112" s="7">
        <v>32</v>
      </c>
      <c r="F112" s="6">
        <v>136.6</v>
      </c>
      <c r="G112" s="7">
        <v>93</v>
      </c>
      <c r="H112" s="6">
        <v>175</v>
      </c>
      <c r="I112" s="6">
        <v>74</v>
      </c>
      <c r="J112" s="7">
        <v>60.5</v>
      </c>
      <c r="K112" s="7">
        <v>148</v>
      </c>
      <c r="L112" s="6">
        <v>72</v>
      </c>
      <c r="M112" s="6">
        <v>22</v>
      </c>
      <c r="N112" s="7">
        <v>99</v>
      </c>
      <c r="O112" s="6">
        <v>72</v>
      </c>
      <c r="P112" s="7">
        <v>177</v>
      </c>
      <c r="Q112" s="6">
        <v>76</v>
      </c>
      <c r="R112" s="6">
        <v>193.1</v>
      </c>
      <c r="S112" s="6">
        <v>37.200000000000003</v>
      </c>
      <c r="T112" s="6">
        <v>97.6</v>
      </c>
      <c r="U112" s="7">
        <v>75</v>
      </c>
      <c r="V112" s="7">
        <v>61</v>
      </c>
      <c r="W112" s="6">
        <v>66.2</v>
      </c>
      <c r="X112" s="6">
        <v>95</v>
      </c>
      <c r="Y112" s="6">
        <v>104.3</v>
      </c>
      <c r="Z112" s="7">
        <v>32</v>
      </c>
      <c r="AA112" s="55">
        <v>126</v>
      </c>
      <c r="AB112" s="7">
        <v>131.5</v>
      </c>
      <c r="AC112" s="6">
        <v>76.8</v>
      </c>
      <c r="AD112" s="6">
        <v>87.3</v>
      </c>
      <c r="AE112" s="6">
        <v>78.3</v>
      </c>
      <c r="AF112" s="6">
        <v>141</v>
      </c>
      <c r="AG112" s="6">
        <v>74</v>
      </c>
      <c r="AH112" s="6">
        <v>113</v>
      </c>
      <c r="AI112" s="7">
        <v>73.5</v>
      </c>
      <c r="AJ112" s="6">
        <v>43.1</v>
      </c>
      <c r="AK112" s="7">
        <v>99</v>
      </c>
      <c r="AL112" s="7">
        <v>60</v>
      </c>
    </row>
    <row r="113" spans="2:38" s="9" customFormat="1" x14ac:dyDescent="0.2">
      <c r="B113" s="55">
        <v>1989</v>
      </c>
      <c r="C113" s="115" t="s">
        <v>292</v>
      </c>
      <c r="D113" s="6">
        <v>69</v>
      </c>
      <c r="E113" s="7">
        <v>54</v>
      </c>
      <c r="F113" s="6">
        <v>144.80000000000001</v>
      </c>
      <c r="G113" s="7">
        <v>137</v>
      </c>
      <c r="H113" s="6">
        <v>167</v>
      </c>
      <c r="I113" s="6">
        <v>69</v>
      </c>
      <c r="J113" s="7">
        <v>123</v>
      </c>
      <c r="K113" s="7">
        <v>75.5</v>
      </c>
      <c r="L113" s="6">
        <v>121</v>
      </c>
      <c r="M113" s="6">
        <v>90</v>
      </c>
      <c r="N113" s="7">
        <v>88</v>
      </c>
      <c r="O113" s="6">
        <v>50</v>
      </c>
      <c r="P113" s="7">
        <v>189</v>
      </c>
      <c r="Q113" s="6">
        <v>80</v>
      </c>
      <c r="R113" s="6">
        <v>108.9</v>
      </c>
      <c r="S113" s="6">
        <v>69.099999999999994</v>
      </c>
      <c r="T113" s="6">
        <v>89.7</v>
      </c>
      <c r="U113" s="7">
        <v>105</v>
      </c>
      <c r="V113" s="7">
        <v>85.5</v>
      </c>
      <c r="W113" s="6">
        <v>93.9</v>
      </c>
      <c r="X113" s="6">
        <v>80</v>
      </c>
      <c r="Y113" s="6">
        <v>153.19999999999999</v>
      </c>
      <c r="Z113" s="7">
        <v>110</v>
      </c>
      <c r="AA113" s="55">
        <v>172</v>
      </c>
      <c r="AB113" s="7">
        <v>124.5</v>
      </c>
      <c r="AC113" s="6">
        <v>112.2</v>
      </c>
      <c r="AD113" s="6">
        <v>146.19999999999999</v>
      </c>
      <c r="AE113" s="6">
        <v>184.2</v>
      </c>
      <c r="AF113" s="6">
        <v>119</v>
      </c>
      <c r="AG113" s="6">
        <v>101</v>
      </c>
      <c r="AH113" s="6">
        <v>130</v>
      </c>
      <c r="AI113" s="7">
        <v>206</v>
      </c>
      <c r="AJ113" s="6">
        <v>38.299999999999997</v>
      </c>
      <c r="AK113" s="7">
        <v>148.5</v>
      </c>
      <c r="AL113" s="7">
        <v>91.5</v>
      </c>
    </row>
    <row r="114" spans="2:38" s="9" customFormat="1" x14ac:dyDescent="0.2">
      <c r="B114" s="55">
        <v>1989</v>
      </c>
      <c r="C114" s="115" t="s">
        <v>293</v>
      </c>
      <c r="D114" s="6">
        <v>48</v>
      </c>
      <c r="E114" s="7">
        <v>22</v>
      </c>
      <c r="F114" s="6">
        <v>16.600000000000001</v>
      </c>
      <c r="G114" s="7">
        <v>42</v>
      </c>
      <c r="H114" s="6">
        <v>12</v>
      </c>
      <c r="I114" s="6">
        <v>49</v>
      </c>
      <c r="J114" s="7">
        <v>43</v>
      </c>
      <c r="K114" s="7">
        <v>12.5</v>
      </c>
      <c r="L114" s="6">
        <v>38</v>
      </c>
      <c r="M114" s="6">
        <v>37</v>
      </c>
      <c r="N114" s="7">
        <v>22</v>
      </c>
      <c r="O114" s="6">
        <v>62</v>
      </c>
      <c r="P114" s="7">
        <v>119</v>
      </c>
      <c r="Q114" s="6">
        <v>30</v>
      </c>
      <c r="R114" s="6">
        <v>8.1</v>
      </c>
      <c r="S114" s="6">
        <v>25.8</v>
      </c>
      <c r="T114" s="6">
        <v>12.5</v>
      </c>
      <c r="U114" s="7">
        <v>34</v>
      </c>
      <c r="V114" s="7">
        <v>42</v>
      </c>
      <c r="W114" s="6">
        <v>26.5</v>
      </c>
      <c r="X114" s="6">
        <v>52</v>
      </c>
      <c r="Y114" s="6">
        <v>22</v>
      </c>
      <c r="Z114" s="7">
        <v>29</v>
      </c>
      <c r="AA114" s="55">
        <v>29</v>
      </c>
      <c r="AB114" s="7">
        <v>44</v>
      </c>
      <c r="AC114" s="6">
        <v>25.2</v>
      </c>
      <c r="AD114" s="6">
        <v>42.8</v>
      </c>
      <c r="AE114" s="6">
        <v>42.7</v>
      </c>
      <c r="AF114" s="6">
        <v>34</v>
      </c>
      <c r="AG114" s="6">
        <v>34</v>
      </c>
      <c r="AH114" s="6">
        <v>0</v>
      </c>
      <c r="AI114" s="7">
        <v>28</v>
      </c>
      <c r="AJ114" s="6">
        <v>17.399999999999999</v>
      </c>
      <c r="AK114" s="7">
        <v>29.5</v>
      </c>
      <c r="AL114" s="7">
        <v>27</v>
      </c>
    </row>
    <row r="115" spans="2:38" s="9" customFormat="1" x14ac:dyDescent="0.2">
      <c r="B115" s="55">
        <v>1989</v>
      </c>
      <c r="C115" s="115" t="s">
        <v>294</v>
      </c>
      <c r="D115" s="6">
        <v>39</v>
      </c>
      <c r="E115" s="7">
        <v>4</v>
      </c>
      <c r="F115" s="6">
        <v>20.5</v>
      </c>
      <c r="G115" s="7">
        <v>26</v>
      </c>
      <c r="H115" s="6">
        <v>20</v>
      </c>
      <c r="I115" s="6">
        <v>32</v>
      </c>
      <c r="J115" s="7">
        <v>23</v>
      </c>
      <c r="K115" s="7">
        <v>26</v>
      </c>
      <c r="L115" s="6">
        <v>30</v>
      </c>
      <c r="M115" s="6">
        <v>11</v>
      </c>
      <c r="N115" s="7">
        <v>17</v>
      </c>
      <c r="O115" s="6">
        <v>10</v>
      </c>
      <c r="P115" s="7">
        <v>310</v>
      </c>
      <c r="Q115" s="6">
        <v>28</v>
      </c>
      <c r="R115" s="6">
        <v>28.2</v>
      </c>
      <c r="S115" s="6">
        <v>6.1</v>
      </c>
      <c r="T115" s="6">
        <v>24.3</v>
      </c>
      <c r="U115" s="7">
        <v>29</v>
      </c>
      <c r="V115" s="7">
        <v>18</v>
      </c>
      <c r="W115" s="6">
        <v>23.8</v>
      </c>
      <c r="X115" s="6">
        <v>7</v>
      </c>
      <c r="Y115" s="6">
        <v>24</v>
      </c>
      <c r="Z115" s="7">
        <v>14</v>
      </c>
      <c r="AA115" s="55">
        <v>0.5</v>
      </c>
      <c r="AB115" s="7">
        <v>8.5</v>
      </c>
      <c r="AC115" s="6">
        <v>31.5</v>
      </c>
      <c r="AD115" s="6">
        <v>37.6</v>
      </c>
      <c r="AE115" s="6">
        <v>12.7</v>
      </c>
      <c r="AF115" s="6">
        <v>15</v>
      </c>
      <c r="AG115" s="6">
        <v>6</v>
      </c>
      <c r="AH115" s="6">
        <v>43</v>
      </c>
      <c r="AI115" s="7">
        <v>25.5</v>
      </c>
      <c r="AJ115" s="6">
        <v>26.2</v>
      </c>
      <c r="AK115" s="7">
        <v>13</v>
      </c>
      <c r="AL115" s="7">
        <v>13</v>
      </c>
    </row>
    <row r="116" spans="2:38" s="9" customFormat="1" x14ac:dyDescent="0.2">
      <c r="B116" s="55">
        <v>1989</v>
      </c>
      <c r="C116" s="115" t="s">
        <v>295</v>
      </c>
      <c r="D116" s="6">
        <v>65</v>
      </c>
      <c r="E116" s="7">
        <v>82</v>
      </c>
      <c r="F116" s="6">
        <v>24.9</v>
      </c>
      <c r="G116" s="7">
        <v>54</v>
      </c>
      <c r="H116" s="6">
        <v>30</v>
      </c>
      <c r="I116" s="6">
        <v>58</v>
      </c>
      <c r="J116" s="7">
        <v>45.5</v>
      </c>
      <c r="K116" s="7">
        <v>90</v>
      </c>
      <c r="L116" s="6">
        <v>24</v>
      </c>
      <c r="M116" s="6">
        <v>48</v>
      </c>
      <c r="N116" s="7">
        <v>26.5</v>
      </c>
      <c r="O116" s="6">
        <v>97</v>
      </c>
      <c r="P116" s="7">
        <v>208</v>
      </c>
      <c r="Q116" s="6">
        <v>47</v>
      </c>
      <c r="R116" s="6">
        <v>88.8</v>
      </c>
      <c r="S116" s="6">
        <v>50.8</v>
      </c>
      <c r="T116" s="6">
        <v>26.8</v>
      </c>
      <c r="U116" s="7">
        <v>52</v>
      </c>
      <c r="V116" s="7">
        <v>31</v>
      </c>
      <c r="W116" s="6">
        <v>18.899999999999999</v>
      </c>
      <c r="X116" s="6">
        <v>39</v>
      </c>
      <c r="Y116" s="6">
        <v>60.5</v>
      </c>
      <c r="Z116" s="7">
        <v>21</v>
      </c>
      <c r="AA116" s="55">
        <v>28</v>
      </c>
      <c r="AB116" s="7">
        <v>41</v>
      </c>
      <c r="AC116" s="6">
        <v>24.5</v>
      </c>
      <c r="AD116" s="6">
        <v>86.7</v>
      </c>
      <c r="AE116" s="6">
        <v>50.6</v>
      </c>
      <c r="AF116" s="6">
        <v>36</v>
      </c>
      <c r="AG116" s="6">
        <v>39</v>
      </c>
      <c r="AH116" s="6">
        <v>18</v>
      </c>
      <c r="AI116" s="7">
        <v>77</v>
      </c>
      <c r="AJ116" s="6">
        <v>55.2</v>
      </c>
      <c r="AK116" s="7">
        <v>73</v>
      </c>
      <c r="AL116" s="7">
        <v>40.5</v>
      </c>
    </row>
    <row r="117" spans="2:38" s="9" customFormat="1" x14ac:dyDescent="0.2">
      <c r="B117" s="55">
        <v>1989</v>
      </c>
      <c r="C117" s="115" t="s">
        <v>296</v>
      </c>
      <c r="D117" s="6">
        <v>154</v>
      </c>
      <c r="E117" s="7">
        <v>123</v>
      </c>
      <c r="F117" s="6">
        <v>125.5</v>
      </c>
      <c r="G117" s="7">
        <v>116.5</v>
      </c>
      <c r="H117" s="6">
        <v>156</v>
      </c>
      <c r="I117" s="6">
        <v>130</v>
      </c>
      <c r="J117" s="7">
        <v>131.5</v>
      </c>
      <c r="K117" s="7">
        <v>181</v>
      </c>
      <c r="L117" s="6">
        <v>154</v>
      </c>
      <c r="M117" s="6">
        <v>110</v>
      </c>
      <c r="N117" s="7">
        <v>93</v>
      </c>
      <c r="O117" s="6">
        <v>94</v>
      </c>
      <c r="P117" s="7">
        <v>50</v>
      </c>
      <c r="Q117" s="6">
        <v>135</v>
      </c>
      <c r="R117" s="6">
        <v>222.9</v>
      </c>
      <c r="S117" s="6">
        <v>121.8</v>
      </c>
      <c r="T117" s="6">
        <v>95.6</v>
      </c>
      <c r="U117" s="7">
        <v>109</v>
      </c>
      <c r="V117" s="7">
        <v>94</v>
      </c>
      <c r="W117" s="6">
        <v>92.5</v>
      </c>
      <c r="X117" s="6">
        <v>94</v>
      </c>
      <c r="Y117" s="6">
        <v>160.30000000000001</v>
      </c>
      <c r="Z117" s="7">
        <v>82</v>
      </c>
      <c r="AA117" s="55">
        <v>103</v>
      </c>
      <c r="AB117" s="7">
        <v>163</v>
      </c>
      <c r="AC117" s="6">
        <v>126.4</v>
      </c>
      <c r="AD117" s="6">
        <v>168.8</v>
      </c>
      <c r="AE117" s="6">
        <v>80.8</v>
      </c>
      <c r="AF117" s="6">
        <v>113</v>
      </c>
      <c r="AG117" s="6">
        <v>115</v>
      </c>
      <c r="AH117" s="6">
        <v>129</v>
      </c>
      <c r="AI117" s="7">
        <v>93</v>
      </c>
      <c r="AJ117" s="6">
        <v>128.4</v>
      </c>
      <c r="AK117" s="7">
        <v>137</v>
      </c>
      <c r="AL117" s="7">
        <v>99</v>
      </c>
    </row>
    <row r="118" spans="2:38" s="9" customFormat="1" x14ac:dyDescent="0.2">
      <c r="B118" s="55">
        <v>1989</v>
      </c>
      <c r="C118" s="115" t="s">
        <v>297</v>
      </c>
      <c r="D118" s="6">
        <v>54</v>
      </c>
      <c r="E118" s="7">
        <v>58</v>
      </c>
      <c r="F118" s="6">
        <v>21.4</v>
      </c>
      <c r="G118" s="7">
        <v>55.5</v>
      </c>
      <c r="H118" s="6">
        <v>43</v>
      </c>
      <c r="I118" s="6">
        <v>49</v>
      </c>
      <c r="J118" s="7">
        <v>42.5</v>
      </c>
      <c r="K118" s="7">
        <v>43</v>
      </c>
      <c r="L118" s="6">
        <v>26</v>
      </c>
      <c r="M118" s="6">
        <v>60</v>
      </c>
      <c r="N118" s="7">
        <v>52.5</v>
      </c>
      <c r="O118" s="6">
        <v>68</v>
      </c>
      <c r="P118" s="7">
        <v>62.5</v>
      </c>
      <c r="Q118" s="6">
        <v>62</v>
      </c>
      <c r="R118" s="6">
        <v>33.200000000000003</v>
      </c>
      <c r="S118" s="6">
        <v>53.8</v>
      </c>
      <c r="T118" s="6">
        <v>99.5</v>
      </c>
      <c r="U118" s="7">
        <v>32</v>
      </c>
      <c r="V118" s="7">
        <v>89.5</v>
      </c>
      <c r="W118" s="6">
        <v>32</v>
      </c>
      <c r="X118" s="6">
        <v>64.5</v>
      </c>
      <c r="Y118" s="6">
        <v>33.5</v>
      </c>
      <c r="Z118" s="7">
        <v>49</v>
      </c>
      <c r="AA118" s="55">
        <v>25</v>
      </c>
      <c r="AB118" s="7">
        <v>38</v>
      </c>
      <c r="AC118" s="6">
        <v>52.9</v>
      </c>
      <c r="AD118" s="6">
        <v>83.4</v>
      </c>
      <c r="AE118" s="6">
        <v>15</v>
      </c>
      <c r="AF118" s="6">
        <v>19</v>
      </c>
      <c r="AG118" s="6">
        <v>83</v>
      </c>
      <c r="AH118" s="6">
        <v>35</v>
      </c>
      <c r="AI118" s="7">
        <v>65</v>
      </c>
      <c r="AJ118" s="6">
        <v>46.7</v>
      </c>
      <c r="AK118" s="7">
        <v>4.5</v>
      </c>
      <c r="AL118" s="7">
        <v>68.5</v>
      </c>
    </row>
    <row r="119" spans="2:38" s="9" customFormat="1" x14ac:dyDescent="0.2">
      <c r="B119" s="55">
        <v>1989</v>
      </c>
      <c r="C119" s="115" t="s">
        <v>298</v>
      </c>
      <c r="D119" s="6">
        <v>36</v>
      </c>
      <c r="E119" s="7">
        <v>26</v>
      </c>
      <c r="F119" s="6">
        <v>97</v>
      </c>
      <c r="G119" s="7">
        <v>17.5</v>
      </c>
      <c r="H119" s="6">
        <v>175</v>
      </c>
      <c r="I119" s="6">
        <v>18</v>
      </c>
      <c r="J119" s="7">
        <v>21</v>
      </c>
      <c r="K119" s="7">
        <v>40</v>
      </c>
      <c r="L119" s="6">
        <v>53</v>
      </c>
      <c r="M119" s="6">
        <v>26</v>
      </c>
      <c r="N119" s="7">
        <v>17.5</v>
      </c>
      <c r="O119" s="6">
        <v>32</v>
      </c>
      <c r="P119" s="7">
        <v>42</v>
      </c>
      <c r="Q119" s="6">
        <v>10</v>
      </c>
      <c r="R119" s="6">
        <v>69.099999999999994</v>
      </c>
      <c r="S119" s="6">
        <v>42</v>
      </c>
      <c r="T119" s="6">
        <v>42.7</v>
      </c>
      <c r="U119" s="7">
        <v>18</v>
      </c>
      <c r="V119" s="7">
        <v>51</v>
      </c>
      <c r="W119" s="6">
        <v>85.6</v>
      </c>
      <c r="X119" s="6">
        <v>15</v>
      </c>
      <c r="Y119" s="6">
        <v>24.6</v>
      </c>
      <c r="Z119" s="7">
        <v>9</v>
      </c>
      <c r="AA119" s="55">
        <v>143</v>
      </c>
      <c r="AB119" s="7">
        <v>82</v>
      </c>
      <c r="AC119" s="6">
        <v>108.3</v>
      </c>
      <c r="AD119" s="6">
        <v>50.2</v>
      </c>
      <c r="AE119" s="6">
        <v>143.6</v>
      </c>
      <c r="AF119" s="6">
        <v>155</v>
      </c>
      <c r="AG119" s="6">
        <v>100</v>
      </c>
      <c r="AH119" s="6">
        <v>89</v>
      </c>
      <c r="AI119" s="7">
        <v>93</v>
      </c>
      <c r="AJ119" s="6">
        <v>20.5</v>
      </c>
      <c r="AK119" s="7">
        <v>115</v>
      </c>
      <c r="AL119" s="7">
        <v>51</v>
      </c>
    </row>
    <row r="120" spans="2:38" s="9" customFormat="1" x14ac:dyDescent="0.2">
      <c r="B120" s="55">
        <v>1989</v>
      </c>
      <c r="C120" s="115" t="s">
        <v>299</v>
      </c>
      <c r="D120" s="6">
        <v>126</v>
      </c>
      <c r="E120" s="7">
        <v>174</v>
      </c>
      <c r="F120" s="6">
        <v>109.6</v>
      </c>
      <c r="G120" s="7">
        <v>0</v>
      </c>
      <c r="H120" s="6">
        <v>121</v>
      </c>
      <c r="I120" s="6">
        <v>91</v>
      </c>
      <c r="J120" s="7">
        <v>215</v>
      </c>
      <c r="K120" s="7">
        <v>104</v>
      </c>
      <c r="L120" s="6">
        <v>200.5</v>
      </c>
      <c r="M120" s="6">
        <v>202</v>
      </c>
      <c r="N120" s="7">
        <v>119.5</v>
      </c>
      <c r="O120" s="258" t="s">
        <v>300</v>
      </c>
      <c r="P120" s="7">
        <v>53</v>
      </c>
      <c r="Q120" s="6">
        <v>157</v>
      </c>
      <c r="R120" s="6">
        <v>117.4</v>
      </c>
      <c r="S120" s="6">
        <v>170</v>
      </c>
      <c r="T120" s="6">
        <v>166</v>
      </c>
      <c r="U120" s="7">
        <v>139</v>
      </c>
      <c r="V120" s="7">
        <v>110</v>
      </c>
      <c r="W120" s="6">
        <v>224.4</v>
      </c>
      <c r="X120" s="6">
        <v>61</v>
      </c>
      <c r="Y120" s="6">
        <v>69.7</v>
      </c>
      <c r="Z120" s="7">
        <v>159</v>
      </c>
      <c r="AA120" s="55">
        <v>169</v>
      </c>
      <c r="AB120" s="7">
        <v>189</v>
      </c>
      <c r="AC120" s="6">
        <v>164.3</v>
      </c>
      <c r="AD120" s="6">
        <v>118.8</v>
      </c>
      <c r="AE120" s="6">
        <v>201.5</v>
      </c>
      <c r="AF120" s="6">
        <v>159</v>
      </c>
      <c r="AG120" s="6">
        <v>157</v>
      </c>
      <c r="AH120" s="6">
        <v>140</v>
      </c>
      <c r="AI120" s="7">
        <v>125</v>
      </c>
      <c r="AJ120" s="6">
        <v>310.39999999999998</v>
      </c>
      <c r="AK120" s="7">
        <v>164</v>
      </c>
      <c r="AL120" s="7">
        <v>107</v>
      </c>
    </row>
    <row r="121" spans="2:38" s="9" customFormat="1" x14ac:dyDescent="0.2">
      <c r="B121" s="55">
        <v>1989</v>
      </c>
      <c r="C121" s="115" t="s">
        <v>301</v>
      </c>
      <c r="D121" s="6">
        <v>89</v>
      </c>
      <c r="E121" s="7">
        <v>42</v>
      </c>
      <c r="F121" s="6">
        <v>197.7</v>
      </c>
      <c r="G121" s="7">
        <v>79.5</v>
      </c>
      <c r="H121" s="6">
        <v>76</v>
      </c>
      <c r="I121" s="6">
        <v>117</v>
      </c>
      <c r="J121" s="7">
        <v>119</v>
      </c>
      <c r="K121" s="7">
        <v>165</v>
      </c>
      <c r="L121" s="6">
        <v>78</v>
      </c>
      <c r="M121" s="6">
        <v>93</v>
      </c>
      <c r="N121" s="7">
        <v>155</v>
      </c>
      <c r="O121" s="258" t="s">
        <v>300</v>
      </c>
      <c r="P121" s="7">
        <v>113</v>
      </c>
      <c r="Q121" s="6">
        <v>93</v>
      </c>
      <c r="R121" s="6">
        <v>146.30000000000001</v>
      </c>
      <c r="S121" s="6">
        <v>96.2</v>
      </c>
      <c r="T121" s="6">
        <v>120</v>
      </c>
      <c r="U121" s="7">
        <v>104</v>
      </c>
      <c r="V121" s="7">
        <v>135.5</v>
      </c>
      <c r="W121" s="6">
        <v>104.8</v>
      </c>
      <c r="X121" s="6">
        <v>70</v>
      </c>
      <c r="Y121" s="6">
        <v>115</v>
      </c>
      <c r="Z121" s="7">
        <v>94</v>
      </c>
      <c r="AA121" s="55">
        <v>113</v>
      </c>
      <c r="AB121" s="7">
        <v>93</v>
      </c>
      <c r="AC121" s="6">
        <v>88.6</v>
      </c>
      <c r="AD121" s="6">
        <v>99.4</v>
      </c>
      <c r="AE121" s="6">
        <v>186.1</v>
      </c>
      <c r="AF121" s="6">
        <v>0</v>
      </c>
      <c r="AG121" s="6">
        <v>99</v>
      </c>
      <c r="AH121" s="6">
        <v>152</v>
      </c>
      <c r="AI121" s="7">
        <v>125</v>
      </c>
      <c r="AJ121" s="6">
        <v>77.2</v>
      </c>
      <c r="AK121" s="7">
        <v>145</v>
      </c>
      <c r="AL121" s="7">
        <v>95.5</v>
      </c>
    </row>
    <row r="122" spans="2:38" s="9" customFormat="1" x14ac:dyDescent="0.2">
      <c r="B122" s="55">
        <v>1990</v>
      </c>
      <c r="C122" s="115" t="s">
        <v>289</v>
      </c>
      <c r="D122" s="6">
        <v>138</v>
      </c>
      <c r="E122" s="7">
        <v>112</v>
      </c>
      <c r="F122" s="6">
        <v>163.1</v>
      </c>
      <c r="G122" s="7">
        <v>78</v>
      </c>
      <c r="H122" s="6">
        <v>173</v>
      </c>
      <c r="I122" s="6">
        <v>78</v>
      </c>
      <c r="J122" s="7">
        <v>107.5</v>
      </c>
      <c r="K122" s="7">
        <v>142</v>
      </c>
      <c r="L122" s="6">
        <v>75</v>
      </c>
      <c r="M122" s="6">
        <v>24</v>
      </c>
      <c r="N122" s="7">
        <v>140</v>
      </c>
      <c r="O122" s="6">
        <v>49</v>
      </c>
      <c r="P122" s="7">
        <v>87</v>
      </c>
      <c r="Q122" s="6">
        <v>131</v>
      </c>
      <c r="R122" s="6">
        <v>224.5</v>
      </c>
      <c r="S122" s="6">
        <v>82.9</v>
      </c>
      <c r="T122" s="6">
        <v>57</v>
      </c>
      <c r="U122" s="7">
        <v>54</v>
      </c>
      <c r="V122" s="7">
        <v>23.5</v>
      </c>
      <c r="W122" s="6">
        <v>61.1</v>
      </c>
      <c r="X122" s="6">
        <v>61</v>
      </c>
      <c r="Y122" s="6">
        <v>127.3</v>
      </c>
      <c r="Z122" s="7">
        <v>64</v>
      </c>
      <c r="AA122" s="55">
        <v>71.5</v>
      </c>
      <c r="AB122" s="7">
        <v>68.5</v>
      </c>
      <c r="AC122" s="6">
        <v>102.8</v>
      </c>
      <c r="AD122" s="6">
        <v>62</v>
      </c>
      <c r="AE122" s="6">
        <v>98.3</v>
      </c>
      <c r="AF122" s="6">
        <v>68</v>
      </c>
      <c r="AG122" s="6">
        <v>19</v>
      </c>
      <c r="AH122" s="6">
        <v>120</v>
      </c>
      <c r="AI122" s="7">
        <v>37</v>
      </c>
      <c r="AJ122" s="6">
        <v>70.400000000000006</v>
      </c>
      <c r="AK122" s="7">
        <v>52</v>
      </c>
      <c r="AL122" s="7">
        <v>70</v>
      </c>
    </row>
    <row r="123" spans="2:38" s="9" customFormat="1" x14ac:dyDescent="0.2">
      <c r="B123" s="55">
        <v>1990</v>
      </c>
      <c r="C123" s="115" t="s">
        <v>290</v>
      </c>
      <c r="D123" s="6">
        <v>184</v>
      </c>
      <c r="E123" s="7">
        <v>411</v>
      </c>
      <c r="F123" s="6">
        <v>240.3</v>
      </c>
      <c r="G123" s="7">
        <v>170</v>
      </c>
      <c r="H123" s="6">
        <v>124</v>
      </c>
      <c r="I123" s="6">
        <v>245</v>
      </c>
      <c r="J123" s="7">
        <v>272</v>
      </c>
      <c r="K123" s="7">
        <v>160</v>
      </c>
      <c r="L123" s="6">
        <v>269</v>
      </c>
      <c r="M123" s="6">
        <v>316</v>
      </c>
      <c r="N123" s="7">
        <v>137</v>
      </c>
      <c r="O123" s="6">
        <v>278</v>
      </c>
      <c r="P123" s="7">
        <v>97</v>
      </c>
      <c r="Q123" s="6">
        <v>434</v>
      </c>
      <c r="R123" s="6">
        <v>336.7</v>
      </c>
      <c r="S123" s="6">
        <v>461.3</v>
      </c>
      <c r="T123" s="6">
        <v>251.9</v>
      </c>
      <c r="U123" s="7">
        <v>255</v>
      </c>
      <c r="V123" s="7">
        <v>253.5</v>
      </c>
      <c r="W123" s="6">
        <v>360.7</v>
      </c>
      <c r="X123" s="6">
        <v>115.5</v>
      </c>
      <c r="Y123" s="6">
        <v>142</v>
      </c>
      <c r="Z123" s="7">
        <v>264</v>
      </c>
      <c r="AA123" s="55">
        <v>282.5</v>
      </c>
      <c r="AB123" s="7">
        <v>358.5</v>
      </c>
      <c r="AC123" s="6">
        <v>336.8</v>
      </c>
      <c r="AD123" s="6">
        <v>194.2</v>
      </c>
      <c r="AE123" s="6">
        <v>301.3</v>
      </c>
      <c r="AF123" s="6">
        <v>195</v>
      </c>
      <c r="AG123" s="6">
        <v>307</v>
      </c>
      <c r="AH123" s="6">
        <v>144</v>
      </c>
      <c r="AI123" s="7">
        <v>226</v>
      </c>
      <c r="AJ123" s="6">
        <v>537.1</v>
      </c>
      <c r="AK123" s="7">
        <v>250.3</v>
      </c>
      <c r="AL123" s="7">
        <v>320.5</v>
      </c>
    </row>
    <row r="124" spans="2:38" s="9" customFormat="1" x14ac:dyDescent="0.2">
      <c r="B124" s="55">
        <v>1990</v>
      </c>
      <c r="C124" s="115" t="s">
        <v>291</v>
      </c>
      <c r="D124" s="6">
        <v>70</v>
      </c>
      <c r="E124" s="7">
        <v>387</v>
      </c>
      <c r="F124" s="6">
        <v>210.4</v>
      </c>
      <c r="G124" s="7">
        <v>133</v>
      </c>
      <c r="H124" s="6">
        <v>264</v>
      </c>
      <c r="I124" s="6">
        <v>130.6</v>
      </c>
      <c r="J124" s="7">
        <v>244.5</v>
      </c>
      <c r="K124" s="7">
        <v>121</v>
      </c>
      <c r="L124" s="6">
        <v>213.5</v>
      </c>
      <c r="M124" s="6">
        <v>312</v>
      </c>
      <c r="N124" s="7">
        <v>143</v>
      </c>
      <c r="O124" s="6">
        <v>181</v>
      </c>
      <c r="P124" s="7">
        <v>29</v>
      </c>
      <c r="Q124" s="6">
        <v>119</v>
      </c>
      <c r="R124" s="6">
        <v>128.19999999999999</v>
      </c>
      <c r="S124" s="6">
        <v>286.39999999999998</v>
      </c>
      <c r="T124" s="6">
        <v>140.6</v>
      </c>
      <c r="U124" s="7">
        <v>187</v>
      </c>
      <c r="V124" s="7">
        <v>244</v>
      </c>
      <c r="W124" s="6">
        <v>256</v>
      </c>
      <c r="X124" s="6">
        <v>117</v>
      </c>
      <c r="Y124" s="6">
        <v>62.2</v>
      </c>
      <c r="Z124" s="7">
        <v>142</v>
      </c>
      <c r="AA124" s="55">
        <v>187</v>
      </c>
      <c r="AB124" s="7">
        <v>231</v>
      </c>
      <c r="AC124" s="6">
        <v>285.7</v>
      </c>
      <c r="AD124" s="6">
        <v>74.2</v>
      </c>
      <c r="AE124" s="6">
        <v>345.3</v>
      </c>
      <c r="AF124" s="6">
        <v>344</v>
      </c>
      <c r="AG124" s="6">
        <v>295</v>
      </c>
      <c r="AH124" s="6">
        <v>292</v>
      </c>
      <c r="AI124" s="7">
        <v>306</v>
      </c>
      <c r="AJ124" s="6">
        <v>196</v>
      </c>
      <c r="AK124" s="7">
        <v>238</v>
      </c>
      <c r="AL124" s="7">
        <v>230</v>
      </c>
    </row>
    <row r="125" spans="2:38" s="9" customFormat="1" x14ac:dyDescent="0.2">
      <c r="B125" s="55">
        <v>1990</v>
      </c>
      <c r="C125" s="115" t="s">
        <v>292</v>
      </c>
      <c r="D125" s="6">
        <v>210</v>
      </c>
      <c r="E125" s="7">
        <v>279</v>
      </c>
      <c r="F125" s="6">
        <v>279.60000000000002</v>
      </c>
      <c r="G125" s="7">
        <v>216.5</v>
      </c>
      <c r="H125" s="6">
        <v>359</v>
      </c>
      <c r="I125" s="6">
        <v>186</v>
      </c>
      <c r="J125" s="7">
        <v>253</v>
      </c>
      <c r="K125" s="7">
        <v>186</v>
      </c>
      <c r="L125" s="6">
        <v>180</v>
      </c>
      <c r="M125" s="6">
        <v>202</v>
      </c>
      <c r="N125" s="7">
        <v>217.5</v>
      </c>
      <c r="O125" s="6">
        <v>86</v>
      </c>
      <c r="P125" s="7">
        <v>113</v>
      </c>
      <c r="Q125" s="6">
        <v>204</v>
      </c>
      <c r="R125" s="6">
        <v>234.8</v>
      </c>
      <c r="S125" s="6">
        <v>235.8</v>
      </c>
      <c r="T125" s="6">
        <v>172.1</v>
      </c>
      <c r="U125" s="7">
        <v>157</v>
      </c>
      <c r="V125" s="7">
        <v>172</v>
      </c>
      <c r="W125" s="6">
        <v>209.5</v>
      </c>
      <c r="X125" s="6">
        <v>187.5</v>
      </c>
      <c r="Y125" s="6">
        <v>172.2</v>
      </c>
      <c r="Z125" s="7">
        <v>179</v>
      </c>
      <c r="AA125" s="55">
        <v>184.5</v>
      </c>
      <c r="AB125" s="7">
        <v>267.5</v>
      </c>
      <c r="AC125" s="6">
        <v>217.3</v>
      </c>
      <c r="AD125" s="6">
        <v>180.9</v>
      </c>
      <c r="AE125" s="6">
        <v>244.3</v>
      </c>
      <c r="AF125" s="6">
        <v>470</v>
      </c>
      <c r="AG125" s="6">
        <v>236</v>
      </c>
      <c r="AH125" s="6">
        <v>337</v>
      </c>
      <c r="AI125" s="7">
        <v>192.5</v>
      </c>
      <c r="AJ125" s="6">
        <v>170.7</v>
      </c>
      <c r="AK125" s="7">
        <v>298</v>
      </c>
      <c r="AL125" s="7">
        <v>141</v>
      </c>
    </row>
    <row r="126" spans="2:38" s="9" customFormat="1" x14ac:dyDescent="0.2">
      <c r="B126" s="55">
        <v>1990</v>
      </c>
      <c r="C126" s="115" t="s">
        <v>293</v>
      </c>
      <c r="D126" s="6">
        <v>58</v>
      </c>
      <c r="E126" s="7">
        <v>41</v>
      </c>
      <c r="F126" s="6">
        <v>72</v>
      </c>
      <c r="G126" s="7">
        <v>50.5</v>
      </c>
      <c r="H126" s="6">
        <v>56</v>
      </c>
      <c r="I126" s="6">
        <v>37</v>
      </c>
      <c r="J126" s="7">
        <v>79</v>
      </c>
      <c r="K126" s="7">
        <v>29</v>
      </c>
      <c r="L126" s="6">
        <v>75.5</v>
      </c>
      <c r="M126" s="6">
        <v>75</v>
      </c>
      <c r="N126" s="7">
        <v>47.5</v>
      </c>
      <c r="O126" s="6">
        <v>81</v>
      </c>
      <c r="P126" s="7">
        <v>271</v>
      </c>
      <c r="Q126" s="6">
        <v>111</v>
      </c>
      <c r="R126" s="6">
        <v>24.6</v>
      </c>
      <c r="S126" s="6">
        <v>51.4</v>
      </c>
      <c r="T126" s="6">
        <v>53.8</v>
      </c>
      <c r="U126" s="7">
        <v>33.5</v>
      </c>
      <c r="V126" s="7">
        <v>85</v>
      </c>
      <c r="W126" s="6">
        <v>29.3</v>
      </c>
      <c r="X126" s="6">
        <v>48.7</v>
      </c>
      <c r="Y126" s="6">
        <v>72.099999999999994</v>
      </c>
      <c r="Z126" s="7">
        <v>23</v>
      </c>
      <c r="AA126" s="55">
        <v>34</v>
      </c>
      <c r="AB126" s="7">
        <v>60.5</v>
      </c>
      <c r="AC126" s="6">
        <v>78.099999999999994</v>
      </c>
      <c r="AD126" s="6">
        <v>62.1</v>
      </c>
      <c r="AE126" s="6">
        <v>58.3</v>
      </c>
      <c r="AF126" s="6">
        <v>50</v>
      </c>
      <c r="AG126" s="6">
        <v>100</v>
      </c>
      <c r="AH126" s="6">
        <v>58</v>
      </c>
      <c r="AI126" s="7">
        <v>107</v>
      </c>
      <c r="AJ126" s="6">
        <v>77.2</v>
      </c>
      <c r="AK126" s="7">
        <v>59</v>
      </c>
      <c r="AL126" s="7">
        <v>91</v>
      </c>
    </row>
    <row r="127" spans="2:38" s="9" customFormat="1" x14ac:dyDescent="0.2">
      <c r="B127" s="55">
        <v>1990</v>
      </c>
      <c r="C127" s="115" t="s">
        <v>294</v>
      </c>
      <c r="D127" s="6">
        <v>126</v>
      </c>
      <c r="E127" s="7">
        <v>3</v>
      </c>
      <c r="F127" s="6">
        <v>23.4</v>
      </c>
      <c r="G127" s="7">
        <v>57</v>
      </c>
      <c r="H127" s="6">
        <v>23</v>
      </c>
      <c r="I127" s="6">
        <v>49</v>
      </c>
      <c r="J127" s="7">
        <v>11</v>
      </c>
      <c r="K127" s="7">
        <v>3</v>
      </c>
      <c r="L127" s="6">
        <v>10.5</v>
      </c>
      <c r="M127" s="6">
        <v>3</v>
      </c>
      <c r="N127" s="7">
        <v>24</v>
      </c>
      <c r="O127" s="6">
        <v>16</v>
      </c>
      <c r="P127" s="7">
        <v>149</v>
      </c>
      <c r="Q127" s="6">
        <v>18</v>
      </c>
      <c r="R127" s="6">
        <v>13.5</v>
      </c>
      <c r="S127" s="6">
        <v>8.1999999999999993</v>
      </c>
      <c r="T127" s="6">
        <v>15.6</v>
      </c>
      <c r="U127" s="7">
        <v>40</v>
      </c>
      <c r="V127" s="7">
        <v>14</v>
      </c>
      <c r="W127" s="6">
        <v>80.2</v>
      </c>
      <c r="X127" s="6">
        <v>32</v>
      </c>
      <c r="Y127" s="6">
        <v>51.8</v>
      </c>
      <c r="Z127" s="7">
        <v>37</v>
      </c>
      <c r="AA127" s="55">
        <v>30</v>
      </c>
      <c r="AB127" s="7">
        <v>10</v>
      </c>
      <c r="AC127" s="6">
        <v>9.6</v>
      </c>
      <c r="AD127" s="6">
        <v>69</v>
      </c>
      <c r="AE127" s="6">
        <v>14.2</v>
      </c>
      <c r="AF127" s="6">
        <v>0</v>
      </c>
      <c r="AG127" s="6">
        <v>4</v>
      </c>
      <c r="AH127" s="6">
        <v>24</v>
      </c>
      <c r="AI127" s="7">
        <v>4</v>
      </c>
      <c r="AJ127" s="6">
        <v>3</v>
      </c>
      <c r="AK127" s="7">
        <v>18</v>
      </c>
      <c r="AL127" s="7">
        <v>3</v>
      </c>
    </row>
    <row r="128" spans="2:38" s="9" customFormat="1" x14ac:dyDescent="0.2">
      <c r="B128" s="55">
        <v>1990</v>
      </c>
      <c r="C128" s="115" t="s">
        <v>295</v>
      </c>
      <c r="D128" s="6">
        <v>21</v>
      </c>
      <c r="E128" s="7">
        <v>33</v>
      </c>
      <c r="F128" s="6">
        <v>39.5</v>
      </c>
      <c r="G128" s="7">
        <v>25</v>
      </c>
      <c r="H128" s="6">
        <v>68</v>
      </c>
      <c r="I128" s="6">
        <v>24</v>
      </c>
      <c r="J128" s="7">
        <v>34.5</v>
      </c>
      <c r="K128" s="7">
        <v>33</v>
      </c>
      <c r="L128" s="6">
        <v>11</v>
      </c>
      <c r="M128" s="6">
        <v>26</v>
      </c>
      <c r="N128" s="7">
        <v>10.5</v>
      </c>
      <c r="O128" s="6">
        <v>25</v>
      </c>
      <c r="P128" s="7">
        <v>80</v>
      </c>
      <c r="Q128" s="6">
        <v>27</v>
      </c>
      <c r="R128" s="6">
        <v>25.4</v>
      </c>
      <c r="S128" s="6">
        <v>24.4</v>
      </c>
      <c r="T128" s="6">
        <v>20.7</v>
      </c>
      <c r="U128" s="7">
        <v>18</v>
      </c>
      <c r="V128" s="7">
        <v>25</v>
      </c>
      <c r="W128" s="6">
        <v>22.9</v>
      </c>
      <c r="X128" s="6">
        <v>21.5</v>
      </c>
      <c r="Y128" s="6">
        <v>20.9</v>
      </c>
      <c r="Z128" s="7">
        <v>27</v>
      </c>
      <c r="AA128" s="55">
        <v>9</v>
      </c>
      <c r="AB128" s="7">
        <v>26.5</v>
      </c>
      <c r="AC128" s="6">
        <v>15.5</v>
      </c>
      <c r="AD128" s="6">
        <v>21.3</v>
      </c>
      <c r="AE128" s="6">
        <v>5.6</v>
      </c>
      <c r="AF128" s="6">
        <v>31</v>
      </c>
      <c r="AG128" s="6">
        <v>17</v>
      </c>
      <c r="AH128" s="6">
        <v>34</v>
      </c>
      <c r="AI128" s="7">
        <v>29.5</v>
      </c>
      <c r="AJ128" s="6">
        <v>30.2</v>
      </c>
      <c r="AK128" s="7">
        <v>24</v>
      </c>
      <c r="AL128" s="7">
        <v>24</v>
      </c>
    </row>
    <row r="129" spans="2:38" s="9" customFormat="1" x14ac:dyDescent="0.2">
      <c r="B129" s="55">
        <v>1990</v>
      </c>
      <c r="C129" s="115" t="s">
        <v>296</v>
      </c>
      <c r="D129" s="6">
        <v>21</v>
      </c>
      <c r="E129" s="7">
        <v>37</v>
      </c>
      <c r="F129" s="6">
        <v>20.9</v>
      </c>
      <c r="G129" s="7">
        <v>18</v>
      </c>
      <c r="H129" s="6">
        <v>36</v>
      </c>
      <c r="I129" s="6">
        <v>11</v>
      </c>
      <c r="J129" s="7">
        <v>36</v>
      </c>
      <c r="K129" s="7">
        <v>14</v>
      </c>
      <c r="L129" s="6">
        <v>21</v>
      </c>
      <c r="M129" s="6">
        <v>34</v>
      </c>
      <c r="N129" s="7">
        <v>9</v>
      </c>
      <c r="O129" s="6">
        <v>29</v>
      </c>
      <c r="P129" s="7">
        <v>107</v>
      </c>
      <c r="Q129" s="6">
        <v>15</v>
      </c>
      <c r="R129" s="6">
        <v>16.7</v>
      </c>
      <c r="S129" s="6">
        <v>26.4</v>
      </c>
      <c r="T129" s="6">
        <v>8.1</v>
      </c>
      <c r="U129" s="7">
        <v>4.5</v>
      </c>
      <c r="V129" s="7">
        <v>46</v>
      </c>
      <c r="W129" s="6">
        <v>19.2</v>
      </c>
      <c r="X129" s="6">
        <v>7.5</v>
      </c>
      <c r="Y129" s="6">
        <v>24</v>
      </c>
      <c r="Z129" s="7">
        <v>4</v>
      </c>
      <c r="AA129" s="55">
        <v>22</v>
      </c>
      <c r="AB129" s="7">
        <v>14</v>
      </c>
      <c r="AC129" s="6">
        <v>21.6</v>
      </c>
      <c r="AD129" s="6">
        <v>19.2</v>
      </c>
      <c r="AE129" s="6">
        <v>25.6</v>
      </c>
      <c r="AF129" s="6">
        <v>37</v>
      </c>
      <c r="AG129" s="6">
        <v>32</v>
      </c>
      <c r="AH129" s="6">
        <v>37</v>
      </c>
      <c r="AI129" s="7">
        <v>65.900000000000006</v>
      </c>
      <c r="AJ129" s="6">
        <v>28.6</v>
      </c>
      <c r="AK129" s="7">
        <v>44</v>
      </c>
      <c r="AL129" s="7">
        <v>76.5</v>
      </c>
    </row>
    <row r="130" spans="2:38" s="9" customFormat="1" x14ac:dyDescent="0.2">
      <c r="B130" s="55">
        <v>1990</v>
      </c>
      <c r="C130" s="115" t="s">
        <v>297</v>
      </c>
      <c r="D130" s="6">
        <v>99</v>
      </c>
      <c r="E130" s="7">
        <v>131</v>
      </c>
      <c r="F130" s="6">
        <v>86.4</v>
      </c>
      <c r="G130" s="7">
        <v>0</v>
      </c>
      <c r="H130" s="6">
        <v>75</v>
      </c>
      <c r="I130" s="6">
        <v>91</v>
      </c>
      <c r="J130" s="7">
        <v>103.1</v>
      </c>
      <c r="K130" s="7">
        <v>91</v>
      </c>
      <c r="L130" s="6">
        <v>48</v>
      </c>
      <c r="M130" s="6">
        <v>102</v>
      </c>
      <c r="N130" s="7">
        <v>22.5</v>
      </c>
      <c r="O130" s="6">
        <v>154</v>
      </c>
      <c r="P130" s="7">
        <v>48</v>
      </c>
      <c r="Q130" s="6">
        <v>70</v>
      </c>
      <c r="R130" s="6">
        <v>79.8</v>
      </c>
      <c r="S130" s="6">
        <v>91.8</v>
      </c>
      <c r="T130" s="6">
        <v>32.200000000000003</v>
      </c>
      <c r="U130" s="7">
        <v>47</v>
      </c>
      <c r="V130" s="7">
        <v>91</v>
      </c>
      <c r="W130" s="6">
        <v>50.7</v>
      </c>
      <c r="X130" s="6">
        <v>17.5</v>
      </c>
      <c r="Y130" s="6">
        <v>68.900000000000006</v>
      </c>
      <c r="Z130" s="7">
        <v>52</v>
      </c>
      <c r="AA130" s="55">
        <v>67</v>
      </c>
      <c r="AB130" s="7">
        <v>70</v>
      </c>
      <c r="AC130" s="6">
        <v>113.7</v>
      </c>
      <c r="AD130" s="6">
        <v>112.1</v>
      </c>
      <c r="AE130" s="6">
        <v>63.3</v>
      </c>
      <c r="AF130" s="6">
        <v>67</v>
      </c>
      <c r="AG130" s="6">
        <v>87</v>
      </c>
      <c r="AH130" s="6">
        <v>85</v>
      </c>
      <c r="AI130" s="7">
        <v>97</v>
      </c>
      <c r="AJ130" s="6">
        <v>107</v>
      </c>
      <c r="AK130" s="7">
        <v>68</v>
      </c>
      <c r="AL130" s="7">
        <v>105</v>
      </c>
    </row>
    <row r="131" spans="2:38" s="9" customFormat="1" x14ac:dyDescent="0.2">
      <c r="B131" s="55">
        <v>1990</v>
      </c>
      <c r="C131" s="115" t="s">
        <v>298</v>
      </c>
      <c r="D131" s="6">
        <v>116</v>
      </c>
      <c r="E131" s="7">
        <v>130</v>
      </c>
      <c r="F131" s="6">
        <v>135.1</v>
      </c>
      <c r="G131" s="7">
        <v>146</v>
      </c>
      <c r="H131" s="6">
        <v>106</v>
      </c>
      <c r="I131" s="6">
        <v>199</v>
      </c>
      <c r="J131" s="7">
        <v>117</v>
      </c>
      <c r="K131" s="7">
        <v>125</v>
      </c>
      <c r="L131" s="6">
        <v>235.5</v>
      </c>
      <c r="M131" s="6">
        <v>132</v>
      </c>
      <c r="N131" s="7">
        <v>229</v>
      </c>
      <c r="O131" s="6">
        <v>124</v>
      </c>
      <c r="P131" s="7">
        <v>87</v>
      </c>
      <c r="Q131" s="6">
        <v>93</v>
      </c>
      <c r="R131" s="6">
        <v>88.1</v>
      </c>
      <c r="S131" s="6">
        <v>101</v>
      </c>
      <c r="T131" s="6">
        <v>151.69999999999999</v>
      </c>
      <c r="U131" s="7">
        <v>198</v>
      </c>
      <c r="V131" s="7">
        <v>86</v>
      </c>
      <c r="W131" s="6">
        <v>304.89999999999998</v>
      </c>
      <c r="X131" s="6">
        <v>131.5</v>
      </c>
      <c r="Y131" s="6">
        <v>132.30000000000001</v>
      </c>
      <c r="Z131" s="7">
        <v>124</v>
      </c>
      <c r="AA131" s="55">
        <v>174.5</v>
      </c>
      <c r="AB131" s="7">
        <v>146</v>
      </c>
      <c r="AC131" s="6">
        <v>202.4</v>
      </c>
      <c r="AD131" s="6">
        <v>140</v>
      </c>
      <c r="AE131" s="6">
        <v>214.1</v>
      </c>
      <c r="AF131" s="6">
        <v>124</v>
      </c>
      <c r="AG131" s="6">
        <v>172</v>
      </c>
      <c r="AH131" s="6">
        <v>143</v>
      </c>
      <c r="AI131" s="7">
        <v>162.5</v>
      </c>
      <c r="AJ131" s="6">
        <v>67.7</v>
      </c>
      <c r="AK131" s="7">
        <v>191.5</v>
      </c>
      <c r="AL131" s="7">
        <v>126</v>
      </c>
    </row>
    <row r="132" spans="2:38" s="9" customFormat="1" x14ac:dyDescent="0.2">
      <c r="B132" s="55">
        <v>1990</v>
      </c>
      <c r="C132" s="115" t="s">
        <v>299</v>
      </c>
      <c r="D132" s="6">
        <v>164</v>
      </c>
      <c r="E132" s="7">
        <v>197</v>
      </c>
      <c r="F132" s="6">
        <v>174.7</v>
      </c>
      <c r="G132" s="7">
        <v>206.2</v>
      </c>
      <c r="H132" s="6">
        <v>166</v>
      </c>
      <c r="I132" s="6">
        <v>158</v>
      </c>
      <c r="J132" s="7">
        <v>197</v>
      </c>
      <c r="K132" s="7">
        <v>109</v>
      </c>
      <c r="L132" s="6">
        <v>114</v>
      </c>
      <c r="M132" s="6">
        <v>201</v>
      </c>
      <c r="N132" s="7">
        <v>143</v>
      </c>
      <c r="O132" s="6">
        <v>226</v>
      </c>
      <c r="P132" s="7">
        <v>136</v>
      </c>
      <c r="Q132" s="6">
        <v>112</v>
      </c>
      <c r="R132" s="6">
        <v>146.6</v>
      </c>
      <c r="S132" s="6">
        <v>142.69999999999999</v>
      </c>
      <c r="T132" s="6">
        <v>189.1</v>
      </c>
      <c r="U132" s="7">
        <v>165</v>
      </c>
      <c r="V132" s="7">
        <v>133</v>
      </c>
      <c r="W132" s="6">
        <v>139.69999999999999</v>
      </c>
      <c r="X132" s="6">
        <v>117.5</v>
      </c>
      <c r="Y132" s="6">
        <v>233.7</v>
      </c>
      <c r="Z132" s="7">
        <v>195</v>
      </c>
      <c r="AA132" s="55">
        <v>112.5</v>
      </c>
      <c r="AB132" s="7">
        <v>58</v>
      </c>
      <c r="AC132" s="6">
        <v>252.2</v>
      </c>
      <c r="AD132" s="6">
        <v>131</v>
      </c>
      <c r="AE132" s="6">
        <v>142.9</v>
      </c>
      <c r="AF132" s="6">
        <v>220</v>
      </c>
      <c r="AG132" s="6">
        <v>142</v>
      </c>
      <c r="AH132" s="6">
        <v>275</v>
      </c>
      <c r="AI132" s="7">
        <v>140</v>
      </c>
      <c r="AJ132" s="6">
        <v>142.69999999999999</v>
      </c>
      <c r="AK132" s="7">
        <v>199</v>
      </c>
      <c r="AL132" s="7">
        <v>133</v>
      </c>
    </row>
    <row r="133" spans="2:38" s="9" customFormat="1" x14ac:dyDescent="0.2">
      <c r="B133" s="55">
        <v>1990</v>
      </c>
      <c r="C133" s="115" t="s">
        <v>301</v>
      </c>
      <c r="D133" s="6">
        <v>66</v>
      </c>
      <c r="E133" s="7">
        <v>155</v>
      </c>
      <c r="F133" s="6">
        <v>308.39999999999998</v>
      </c>
      <c r="G133" s="7">
        <v>89</v>
      </c>
      <c r="H133" s="6">
        <v>210</v>
      </c>
      <c r="I133" s="6">
        <v>61</v>
      </c>
      <c r="J133" s="7">
        <v>173.5</v>
      </c>
      <c r="K133" s="7">
        <v>61</v>
      </c>
      <c r="L133" s="6">
        <v>227</v>
      </c>
      <c r="M133" s="6">
        <v>311</v>
      </c>
      <c r="N133" s="7">
        <v>158</v>
      </c>
      <c r="O133" s="6">
        <v>31</v>
      </c>
      <c r="P133" s="7">
        <v>142</v>
      </c>
      <c r="Q133" s="6">
        <v>137</v>
      </c>
      <c r="R133" s="6">
        <v>105.4</v>
      </c>
      <c r="S133" s="6">
        <v>100.3</v>
      </c>
      <c r="T133" s="6">
        <v>123.7</v>
      </c>
      <c r="U133" s="7">
        <v>118</v>
      </c>
      <c r="V133" s="7">
        <v>120</v>
      </c>
      <c r="W133" s="6">
        <v>227</v>
      </c>
      <c r="X133" s="6">
        <v>82.5</v>
      </c>
      <c r="Y133" s="6">
        <v>150.30000000000001</v>
      </c>
      <c r="Z133" s="7">
        <v>59</v>
      </c>
      <c r="AA133" s="55">
        <v>279</v>
      </c>
      <c r="AB133" s="7">
        <v>281</v>
      </c>
      <c r="AC133" s="6">
        <v>178.6</v>
      </c>
      <c r="AD133" s="6">
        <v>31.5</v>
      </c>
      <c r="AE133" s="6">
        <v>248.1</v>
      </c>
      <c r="AF133" s="6">
        <v>199</v>
      </c>
      <c r="AG133" s="6">
        <v>262</v>
      </c>
      <c r="AH133" s="6">
        <v>382</v>
      </c>
      <c r="AI133" s="7">
        <v>92.5</v>
      </c>
      <c r="AJ133" s="6">
        <v>115.9</v>
      </c>
      <c r="AK133" s="7">
        <v>144</v>
      </c>
      <c r="AL133" s="7">
        <v>154</v>
      </c>
    </row>
    <row r="134" spans="2:38" s="9" customFormat="1" x14ac:dyDescent="0.2">
      <c r="B134" s="55">
        <v>1991</v>
      </c>
      <c r="C134" s="115" t="s">
        <v>289</v>
      </c>
      <c r="D134" s="6">
        <v>101</v>
      </c>
      <c r="E134" s="7">
        <v>45</v>
      </c>
      <c r="F134" s="6">
        <v>39.5</v>
      </c>
      <c r="G134" s="7">
        <v>106.2</v>
      </c>
      <c r="H134" s="6">
        <v>108</v>
      </c>
      <c r="I134" s="6">
        <v>169</v>
      </c>
      <c r="J134" s="7">
        <v>68.5</v>
      </c>
      <c r="K134" s="7">
        <v>115</v>
      </c>
      <c r="L134" s="6">
        <v>152</v>
      </c>
      <c r="M134" s="6">
        <v>43</v>
      </c>
      <c r="N134" s="7">
        <v>108</v>
      </c>
      <c r="O134" s="6">
        <v>51</v>
      </c>
      <c r="P134" s="7">
        <v>31</v>
      </c>
      <c r="Q134" s="6">
        <v>44</v>
      </c>
      <c r="R134" s="6">
        <v>134.69999999999999</v>
      </c>
      <c r="S134" s="6">
        <v>10.8</v>
      </c>
      <c r="T134" s="6">
        <v>114.7</v>
      </c>
      <c r="U134" s="7">
        <v>91</v>
      </c>
      <c r="V134" s="7">
        <v>51</v>
      </c>
      <c r="W134" s="6">
        <v>140.80000000000001</v>
      </c>
      <c r="X134" s="6">
        <v>106.5</v>
      </c>
      <c r="Y134" s="6">
        <v>62.9</v>
      </c>
      <c r="Z134" s="7">
        <v>64</v>
      </c>
      <c r="AA134" s="55">
        <v>176</v>
      </c>
      <c r="AB134" s="7">
        <v>139</v>
      </c>
      <c r="AC134" s="6">
        <v>108.2</v>
      </c>
      <c r="AD134" s="6">
        <v>74.099999999999994</v>
      </c>
      <c r="AE134" s="6">
        <v>199.2</v>
      </c>
      <c r="AF134" s="6">
        <v>114</v>
      </c>
      <c r="AG134" s="6">
        <v>115</v>
      </c>
      <c r="AH134" s="6">
        <v>126</v>
      </c>
      <c r="AI134" s="7">
        <v>92</v>
      </c>
      <c r="AJ134" s="6">
        <v>62.6</v>
      </c>
      <c r="AK134" s="7">
        <v>123</v>
      </c>
      <c r="AL134" s="7">
        <v>65</v>
      </c>
    </row>
    <row r="135" spans="2:38" s="9" customFormat="1" x14ac:dyDescent="0.2">
      <c r="B135" s="55">
        <v>1991</v>
      </c>
      <c r="C135" s="115" t="s">
        <v>290</v>
      </c>
      <c r="D135" s="6">
        <v>61</v>
      </c>
      <c r="E135" s="7">
        <v>18</v>
      </c>
      <c r="F135" s="6">
        <v>57.7</v>
      </c>
      <c r="G135" s="7">
        <v>0</v>
      </c>
      <c r="H135" s="6">
        <v>86</v>
      </c>
      <c r="I135" s="6">
        <v>98</v>
      </c>
      <c r="J135" s="7">
        <v>15</v>
      </c>
      <c r="K135" s="7">
        <v>62</v>
      </c>
      <c r="L135" s="6">
        <v>58.4</v>
      </c>
      <c r="M135" s="6">
        <v>26</v>
      </c>
      <c r="N135" s="7">
        <v>36</v>
      </c>
      <c r="O135" s="6">
        <v>12</v>
      </c>
      <c r="P135" s="7">
        <v>47</v>
      </c>
      <c r="Q135" s="6">
        <v>148</v>
      </c>
      <c r="R135" s="6">
        <v>24.1</v>
      </c>
      <c r="S135" s="6">
        <v>48.8</v>
      </c>
      <c r="T135" s="6">
        <v>23.4</v>
      </c>
      <c r="U135" s="7">
        <v>114.9</v>
      </c>
      <c r="V135" s="7">
        <v>12</v>
      </c>
      <c r="W135" s="6">
        <v>14</v>
      </c>
      <c r="X135" s="6">
        <v>50.5</v>
      </c>
      <c r="Y135" s="6">
        <v>52</v>
      </c>
      <c r="Z135" s="7">
        <v>47</v>
      </c>
      <c r="AA135" s="55">
        <v>16</v>
      </c>
      <c r="AB135" s="7">
        <v>28</v>
      </c>
      <c r="AC135" s="6">
        <v>55.5</v>
      </c>
      <c r="AD135" s="6">
        <v>26.9</v>
      </c>
      <c r="AE135" s="6">
        <v>10.7</v>
      </c>
      <c r="AF135" s="6">
        <v>40</v>
      </c>
      <c r="AG135" s="6">
        <v>22</v>
      </c>
      <c r="AH135" s="6">
        <v>47</v>
      </c>
      <c r="AI135" s="7">
        <v>36</v>
      </c>
      <c r="AJ135" s="6">
        <v>23.8</v>
      </c>
      <c r="AK135" s="7">
        <v>49</v>
      </c>
      <c r="AL135" s="7">
        <v>30</v>
      </c>
    </row>
    <row r="136" spans="2:38" s="9" customFormat="1" x14ac:dyDescent="0.2">
      <c r="B136" s="55">
        <v>1991</v>
      </c>
      <c r="C136" s="115" t="s">
        <v>291</v>
      </c>
      <c r="D136" s="6">
        <v>56</v>
      </c>
      <c r="E136" s="7">
        <v>46</v>
      </c>
      <c r="F136" s="6">
        <v>80.3</v>
      </c>
      <c r="G136" s="7">
        <v>35</v>
      </c>
      <c r="H136" s="6">
        <v>105</v>
      </c>
      <c r="I136" s="6">
        <v>31</v>
      </c>
      <c r="J136" s="7">
        <v>31</v>
      </c>
      <c r="K136" s="7">
        <v>28</v>
      </c>
      <c r="L136" s="6">
        <v>52.5</v>
      </c>
      <c r="M136" s="258" t="s">
        <v>300</v>
      </c>
      <c r="N136" s="7">
        <v>39</v>
      </c>
      <c r="O136" s="6">
        <v>7</v>
      </c>
      <c r="P136" s="7">
        <v>38</v>
      </c>
      <c r="Q136" s="6">
        <v>38</v>
      </c>
      <c r="R136" s="6">
        <v>35.5</v>
      </c>
      <c r="S136" s="6">
        <v>27.4</v>
      </c>
      <c r="T136" s="6">
        <v>67.3</v>
      </c>
      <c r="U136" s="7">
        <v>35</v>
      </c>
      <c r="V136" s="7">
        <v>35</v>
      </c>
      <c r="W136" s="6">
        <v>41.6</v>
      </c>
      <c r="X136" s="6">
        <v>48.5</v>
      </c>
      <c r="Y136" s="6">
        <v>18.5</v>
      </c>
      <c r="Z136" s="7">
        <v>35</v>
      </c>
      <c r="AA136" s="55">
        <v>101</v>
      </c>
      <c r="AB136" s="7">
        <v>31</v>
      </c>
      <c r="AC136" s="6">
        <v>28.4</v>
      </c>
      <c r="AD136" s="6">
        <v>19.399999999999999</v>
      </c>
      <c r="AE136" s="6">
        <v>122.3</v>
      </c>
      <c r="AF136" s="6">
        <v>86</v>
      </c>
      <c r="AG136" s="6">
        <v>25</v>
      </c>
      <c r="AH136" s="6">
        <v>74</v>
      </c>
      <c r="AI136" s="7">
        <v>25</v>
      </c>
      <c r="AJ136" s="6">
        <v>75.2</v>
      </c>
      <c r="AK136" s="7">
        <v>66.5</v>
      </c>
      <c r="AL136" s="7">
        <v>99</v>
      </c>
    </row>
    <row r="137" spans="2:38" s="9" customFormat="1" x14ac:dyDescent="0.2">
      <c r="B137" s="55">
        <v>1991</v>
      </c>
      <c r="C137" s="115" t="s">
        <v>292</v>
      </c>
      <c r="D137" s="6">
        <v>82</v>
      </c>
      <c r="E137" s="7">
        <v>141</v>
      </c>
      <c r="F137" s="6">
        <v>520.6</v>
      </c>
      <c r="G137" s="7">
        <v>100</v>
      </c>
      <c r="H137" s="6">
        <v>606</v>
      </c>
      <c r="I137" s="6">
        <v>124</v>
      </c>
      <c r="J137" s="7">
        <v>107</v>
      </c>
      <c r="K137" s="7">
        <v>110</v>
      </c>
      <c r="L137" s="6">
        <v>61</v>
      </c>
      <c r="M137" s="6">
        <v>137</v>
      </c>
      <c r="N137" s="7">
        <v>322</v>
      </c>
      <c r="O137" s="6">
        <v>41</v>
      </c>
      <c r="P137" s="7">
        <v>150</v>
      </c>
      <c r="Q137" s="6">
        <v>77</v>
      </c>
      <c r="R137" s="6">
        <v>104.4</v>
      </c>
      <c r="S137" s="6">
        <v>225.4</v>
      </c>
      <c r="T137" s="6">
        <v>103.8</v>
      </c>
      <c r="U137" s="7">
        <v>86</v>
      </c>
      <c r="V137" s="7">
        <v>332</v>
      </c>
      <c r="W137" s="6">
        <v>170.7</v>
      </c>
      <c r="X137" s="6">
        <v>137.5</v>
      </c>
      <c r="Y137" s="6">
        <v>102.9</v>
      </c>
      <c r="Z137" s="7">
        <v>124</v>
      </c>
      <c r="AA137" s="55">
        <v>115.5</v>
      </c>
      <c r="AB137" s="7">
        <v>91</v>
      </c>
      <c r="AC137" s="6">
        <v>418.9</v>
      </c>
      <c r="AD137" s="6">
        <v>44.7</v>
      </c>
      <c r="AE137" s="6">
        <v>185</v>
      </c>
      <c r="AF137" s="6">
        <v>434</v>
      </c>
      <c r="AG137" s="6">
        <v>316</v>
      </c>
      <c r="AH137" s="6">
        <v>648</v>
      </c>
      <c r="AI137" s="7">
        <v>396.5</v>
      </c>
      <c r="AJ137" s="6">
        <v>89.8</v>
      </c>
      <c r="AK137" s="7">
        <v>294</v>
      </c>
      <c r="AL137" s="7">
        <v>368</v>
      </c>
    </row>
    <row r="138" spans="2:38" s="9" customFormat="1" x14ac:dyDescent="0.2">
      <c r="B138" s="55">
        <v>1991</v>
      </c>
      <c r="C138" s="115" t="s">
        <v>293</v>
      </c>
      <c r="D138" s="6">
        <v>96</v>
      </c>
      <c r="E138" s="7">
        <v>137</v>
      </c>
      <c r="F138" s="6">
        <v>106.5</v>
      </c>
      <c r="G138" s="7">
        <v>125</v>
      </c>
      <c r="H138" s="6">
        <v>63</v>
      </c>
      <c r="I138" s="6">
        <v>99</v>
      </c>
      <c r="J138" s="7">
        <v>325.5</v>
      </c>
      <c r="K138" s="7">
        <v>137</v>
      </c>
      <c r="L138" s="6">
        <v>191.5</v>
      </c>
      <c r="M138" s="6">
        <v>191</v>
      </c>
      <c r="N138" s="7">
        <v>107</v>
      </c>
      <c r="O138" s="6">
        <v>153</v>
      </c>
      <c r="P138" s="7">
        <v>88</v>
      </c>
      <c r="Q138" s="6">
        <v>227</v>
      </c>
      <c r="R138" s="6">
        <v>67.599999999999994</v>
      </c>
      <c r="S138" s="6">
        <v>110.1</v>
      </c>
      <c r="T138" s="6">
        <v>129.69999999999999</v>
      </c>
      <c r="U138" s="7">
        <v>242.5</v>
      </c>
      <c r="V138" s="7">
        <v>88</v>
      </c>
      <c r="W138" s="6">
        <v>180.4</v>
      </c>
      <c r="X138" s="6">
        <v>124.5</v>
      </c>
      <c r="Y138" s="6">
        <v>87.9</v>
      </c>
      <c r="Z138" s="7">
        <v>142.5</v>
      </c>
      <c r="AA138" s="55">
        <v>84</v>
      </c>
      <c r="AB138" s="7">
        <v>141</v>
      </c>
      <c r="AC138" s="6">
        <v>97.7</v>
      </c>
      <c r="AD138" s="6">
        <v>120.5</v>
      </c>
      <c r="AE138" s="6">
        <v>93</v>
      </c>
      <c r="AF138" s="6">
        <v>61</v>
      </c>
      <c r="AG138" s="6">
        <v>54</v>
      </c>
      <c r="AH138" s="6">
        <v>70</v>
      </c>
      <c r="AI138" s="7">
        <v>69.5</v>
      </c>
      <c r="AJ138" s="6">
        <v>247.4</v>
      </c>
      <c r="AK138" s="7">
        <v>59</v>
      </c>
      <c r="AL138" s="7">
        <v>88</v>
      </c>
    </row>
    <row r="139" spans="2:38" s="9" customFormat="1" x14ac:dyDescent="0.2">
      <c r="B139" s="55">
        <v>1991</v>
      </c>
      <c r="C139" s="115" t="s">
        <v>294</v>
      </c>
      <c r="D139" s="6">
        <v>86</v>
      </c>
      <c r="E139" s="7">
        <v>171</v>
      </c>
      <c r="F139" s="6">
        <v>168.1</v>
      </c>
      <c r="G139" s="7">
        <v>104</v>
      </c>
      <c r="H139" s="6">
        <v>214</v>
      </c>
      <c r="I139" s="6">
        <v>127</v>
      </c>
      <c r="J139" s="7">
        <v>149</v>
      </c>
      <c r="K139" s="7">
        <v>81</v>
      </c>
      <c r="L139" s="6">
        <v>108.5</v>
      </c>
      <c r="M139" s="6">
        <v>169</v>
      </c>
      <c r="N139" s="7">
        <v>187</v>
      </c>
      <c r="O139" s="6">
        <v>78</v>
      </c>
      <c r="P139" s="7">
        <v>137</v>
      </c>
      <c r="Q139" s="6">
        <v>120</v>
      </c>
      <c r="R139" s="6">
        <v>124.8</v>
      </c>
      <c r="S139" s="6">
        <v>199.7</v>
      </c>
      <c r="T139" s="6">
        <v>174.5</v>
      </c>
      <c r="U139" s="7">
        <v>126</v>
      </c>
      <c r="V139" s="7">
        <v>132</v>
      </c>
      <c r="W139" s="6">
        <v>213.5</v>
      </c>
      <c r="X139" s="6">
        <v>107</v>
      </c>
      <c r="Y139" s="6">
        <v>125.3</v>
      </c>
      <c r="Z139" s="7">
        <v>157</v>
      </c>
      <c r="AA139" s="55">
        <v>163</v>
      </c>
      <c r="AB139" s="7">
        <v>128</v>
      </c>
      <c r="AC139" s="6">
        <v>124</v>
      </c>
      <c r="AD139" s="6">
        <v>92.1</v>
      </c>
      <c r="AE139" s="6">
        <v>188</v>
      </c>
      <c r="AF139" s="6">
        <v>171</v>
      </c>
      <c r="AG139" s="6">
        <v>149</v>
      </c>
      <c r="AH139" s="6">
        <v>118</v>
      </c>
      <c r="AI139" s="7">
        <v>79</v>
      </c>
      <c r="AJ139" s="6">
        <v>112.7</v>
      </c>
      <c r="AK139" s="7">
        <v>138</v>
      </c>
      <c r="AL139" s="7">
        <v>158.5</v>
      </c>
    </row>
    <row r="140" spans="2:38" s="9" customFormat="1" x14ac:dyDescent="0.2">
      <c r="B140" s="55">
        <v>1991</v>
      </c>
      <c r="C140" s="115" t="s">
        <v>295</v>
      </c>
      <c r="D140" s="6">
        <v>168</v>
      </c>
      <c r="E140" s="7">
        <v>241</v>
      </c>
      <c r="F140" s="6">
        <v>130.19999999999999</v>
      </c>
      <c r="G140" s="7">
        <v>197</v>
      </c>
      <c r="H140" s="6">
        <v>234</v>
      </c>
      <c r="I140" s="6">
        <v>178</v>
      </c>
      <c r="J140" s="7">
        <v>216</v>
      </c>
      <c r="K140" s="7">
        <v>118</v>
      </c>
      <c r="L140" s="6">
        <v>176</v>
      </c>
      <c r="M140" s="6">
        <v>215</v>
      </c>
      <c r="N140" s="7">
        <v>197.5</v>
      </c>
      <c r="O140" s="6">
        <v>196</v>
      </c>
      <c r="P140" s="7">
        <v>256</v>
      </c>
      <c r="Q140" s="6">
        <v>220</v>
      </c>
      <c r="R140" s="6">
        <v>107.6</v>
      </c>
      <c r="S140" s="6">
        <v>187.3</v>
      </c>
      <c r="T140" s="6">
        <v>93.8</v>
      </c>
      <c r="U140" s="7">
        <v>143</v>
      </c>
      <c r="V140" s="7">
        <v>159.5</v>
      </c>
      <c r="W140" s="6">
        <v>48.1</v>
      </c>
      <c r="X140" s="6">
        <v>107.5</v>
      </c>
      <c r="Y140" s="6">
        <v>160.4</v>
      </c>
      <c r="Z140" s="7">
        <v>133</v>
      </c>
      <c r="AA140" s="55">
        <v>93.5</v>
      </c>
      <c r="AB140" s="7">
        <v>136</v>
      </c>
      <c r="AC140" s="6">
        <v>114.6</v>
      </c>
      <c r="AD140" s="6">
        <v>175.6</v>
      </c>
      <c r="AE140" s="6">
        <v>121.2</v>
      </c>
      <c r="AF140" s="6">
        <v>169</v>
      </c>
      <c r="AG140" s="6">
        <v>204</v>
      </c>
      <c r="AH140" s="6">
        <v>105</v>
      </c>
      <c r="AI140" s="7">
        <v>162.5</v>
      </c>
      <c r="AJ140" s="6">
        <v>241.2</v>
      </c>
      <c r="AK140" s="7">
        <v>130</v>
      </c>
      <c r="AL140" s="7">
        <v>239</v>
      </c>
    </row>
    <row r="141" spans="2:38" s="9" customFormat="1" x14ac:dyDescent="0.2">
      <c r="B141" s="55">
        <v>1991</v>
      </c>
      <c r="C141" s="115" t="s">
        <v>296</v>
      </c>
      <c r="D141" s="6">
        <v>98</v>
      </c>
      <c r="E141" s="7">
        <v>18</v>
      </c>
      <c r="F141" s="6">
        <v>35.9</v>
      </c>
      <c r="G141" s="7">
        <v>42</v>
      </c>
      <c r="H141" s="6">
        <v>30</v>
      </c>
      <c r="I141" s="6">
        <v>117</v>
      </c>
      <c r="J141" s="7">
        <v>30</v>
      </c>
      <c r="K141" s="7">
        <v>103</v>
      </c>
      <c r="L141" s="6">
        <v>32</v>
      </c>
      <c r="M141" s="6">
        <v>16</v>
      </c>
      <c r="N141" s="7">
        <v>92</v>
      </c>
      <c r="O141" s="6">
        <v>57</v>
      </c>
      <c r="P141" s="7">
        <v>28</v>
      </c>
      <c r="Q141" s="6">
        <v>56</v>
      </c>
      <c r="R141" s="6">
        <v>80.400000000000006</v>
      </c>
      <c r="S141" s="6">
        <v>22.6</v>
      </c>
      <c r="T141" s="6">
        <v>47.3</v>
      </c>
      <c r="U141" s="7">
        <v>48</v>
      </c>
      <c r="V141" s="7">
        <v>27</v>
      </c>
      <c r="W141" s="6">
        <v>42.4</v>
      </c>
      <c r="X141" s="6">
        <v>91</v>
      </c>
      <c r="Y141" s="6">
        <v>107.3</v>
      </c>
      <c r="Z141" s="7">
        <v>61</v>
      </c>
      <c r="AA141" s="55">
        <v>20</v>
      </c>
      <c r="AB141" s="7">
        <v>23</v>
      </c>
      <c r="AC141" s="6">
        <v>17.5</v>
      </c>
      <c r="AD141" s="6">
        <v>124.6</v>
      </c>
      <c r="AE141" s="6">
        <v>54.7</v>
      </c>
      <c r="AF141" s="6">
        <v>31</v>
      </c>
      <c r="AG141" s="6">
        <v>25</v>
      </c>
      <c r="AH141" s="6">
        <v>38</v>
      </c>
      <c r="AI141" s="7">
        <v>18</v>
      </c>
      <c r="AJ141" s="6">
        <v>25.2</v>
      </c>
      <c r="AK141" s="7">
        <v>35</v>
      </c>
      <c r="AL141" s="7">
        <v>42</v>
      </c>
    </row>
    <row r="142" spans="2:38" s="9" customFormat="1" x14ac:dyDescent="0.2">
      <c r="B142" s="55">
        <v>1991</v>
      </c>
      <c r="C142" s="115" t="s">
        <v>297</v>
      </c>
      <c r="D142" s="6">
        <v>124</v>
      </c>
      <c r="E142" s="7">
        <v>71</v>
      </c>
      <c r="F142" s="6">
        <v>40.700000000000003</v>
      </c>
      <c r="G142" s="7">
        <v>144</v>
      </c>
      <c r="H142" s="6">
        <v>72</v>
      </c>
      <c r="I142" s="6">
        <v>142</v>
      </c>
      <c r="J142" s="7">
        <v>104</v>
      </c>
      <c r="K142" s="7">
        <v>53</v>
      </c>
      <c r="L142" s="6">
        <v>56.5</v>
      </c>
      <c r="M142" s="6">
        <v>147</v>
      </c>
      <c r="N142" s="7">
        <v>160</v>
      </c>
      <c r="O142" s="6">
        <v>35</v>
      </c>
      <c r="P142" s="7">
        <v>63</v>
      </c>
      <c r="Q142" s="6">
        <v>153</v>
      </c>
      <c r="R142" s="6">
        <v>96.1</v>
      </c>
      <c r="S142" s="6">
        <v>52.9</v>
      </c>
      <c r="T142" s="6">
        <v>87.6</v>
      </c>
      <c r="U142" s="7">
        <v>71.5</v>
      </c>
      <c r="V142" s="7">
        <v>109.5</v>
      </c>
      <c r="W142" s="6">
        <v>60.3</v>
      </c>
      <c r="X142" s="6">
        <v>145</v>
      </c>
      <c r="Y142" s="6">
        <v>86.6</v>
      </c>
      <c r="Z142" s="7">
        <v>39</v>
      </c>
      <c r="AA142" s="55">
        <v>63</v>
      </c>
      <c r="AB142" s="7">
        <v>60</v>
      </c>
      <c r="AC142" s="6">
        <v>68.599999999999994</v>
      </c>
      <c r="AD142" s="6">
        <v>127.1</v>
      </c>
      <c r="AE142" s="6">
        <v>68.599999999999994</v>
      </c>
      <c r="AF142" s="6">
        <v>58</v>
      </c>
      <c r="AG142" s="6">
        <v>95</v>
      </c>
      <c r="AH142" s="6">
        <v>61</v>
      </c>
      <c r="AI142" s="7">
        <v>72</v>
      </c>
      <c r="AJ142" s="6">
        <v>95.1</v>
      </c>
      <c r="AK142" s="7">
        <v>68</v>
      </c>
      <c r="AL142" s="7">
        <v>124</v>
      </c>
    </row>
    <row r="143" spans="2:38" s="9" customFormat="1" x14ac:dyDescent="0.2">
      <c r="B143" s="55">
        <v>1991</v>
      </c>
      <c r="C143" s="115" t="s">
        <v>298</v>
      </c>
      <c r="D143" s="6">
        <v>222</v>
      </c>
      <c r="E143" s="7">
        <v>233</v>
      </c>
      <c r="F143" s="6">
        <v>182</v>
      </c>
      <c r="G143" s="7">
        <v>124.5</v>
      </c>
      <c r="H143" s="6">
        <v>163</v>
      </c>
      <c r="I143" s="6">
        <v>216</v>
      </c>
      <c r="J143" s="7">
        <v>189</v>
      </c>
      <c r="K143" s="7">
        <v>175</v>
      </c>
      <c r="L143" s="6">
        <v>129</v>
      </c>
      <c r="M143" s="6">
        <v>213</v>
      </c>
      <c r="N143" s="7">
        <v>219</v>
      </c>
      <c r="O143" s="6">
        <v>105</v>
      </c>
      <c r="P143" s="7">
        <v>186</v>
      </c>
      <c r="Q143" s="6">
        <v>179</v>
      </c>
      <c r="R143" s="6">
        <v>148.5</v>
      </c>
      <c r="S143" s="6">
        <v>212.9</v>
      </c>
      <c r="T143" s="6">
        <v>158.30000000000001</v>
      </c>
      <c r="U143" s="7">
        <v>135.5</v>
      </c>
      <c r="V143" s="7">
        <v>222.5</v>
      </c>
      <c r="W143" s="6">
        <v>82.1</v>
      </c>
      <c r="X143" s="6">
        <v>137</v>
      </c>
      <c r="Y143" s="6">
        <v>116.4</v>
      </c>
      <c r="Z143" s="7">
        <v>161</v>
      </c>
      <c r="AA143" s="55">
        <v>96</v>
      </c>
      <c r="AB143" s="7">
        <v>91</v>
      </c>
      <c r="AC143" s="6">
        <v>197.3</v>
      </c>
      <c r="AD143" s="6">
        <v>186.4</v>
      </c>
      <c r="AE143" s="6">
        <v>99.4</v>
      </c>
      <c r="AF143" s="6">
        <v>160</v>
      </c>
      <c r="AG143" s="6">
        <v>182</v>
      </c>
      <c r="AH143" s="6">
        <v>162</v>
      </c>
      <c r="AI143" s="7">
        <v>215.5</v>
      </c>
      <c r="AJ143" s="6">
        <v>213.3</v>
      </c>
      <c r="AK143" s="7">
        <v>120</v>
      </c>
      <c r="AL143" s="7">
        <v>230.5</v>
      </c>
    </row>
    <row r="144" spans="2:38" s="9" customFormat="1" x14ac:dyDescent="0.2">
      <c r="B144" s="55">
        <v>1991</v>
      </c>
      <c r="C144" s="115" t="s">
        <v>299</v>
      </c>
      <c r="D144" s="6">
        <v>82</v>
      </c>
      <c r="E144" s="7">
        <v>139</v>
      </c>
      <c r="F144" s="6">
        <v>59.9</v>
      </c>
      <c r="G144" s="7">
        <v>72.5</v>
      </c>
      <c r="H144" s="6">
        <v>101</v>
      </c>
      <c r="I144" s="6">
        <v>79</v>
      </c>
      <c r="J144" s="7">
        <v>131</v>
      </c>
      <c r="K144" s="7">
        <v>106</v>
      </c>
      <c r="L144" s="6">
        <v>53</v>
      </c>
      <c r="M144" s="6">
        <v>210</v>
      </c>
      <c r="N144" s="7">
        <v>83</v>
      </c>
      <c r="O144" s="6">
        <v>64</v>
      </c>
      <c r="P144" s="7">
        <v>179</v>
      </c>
      <c r="Q144" s="6">
        <v>70</v>
      </c>
      <c r="R144" s="6">
        <v>124.9</v>
      </c>
      <c r="S144" s="6">
        <v>160.80000000000001</v>
      </c>
      <c r="T144" s="6">
        <v>63.3</v>
      </c>
      <c r="U144" s="7">
        <v>63</v>
      </c>
      <c r="V144" s="7">
        <v>138.5</v>
      </c>
      <c r="W144" s="6">
        <v>67.3</v>
      </c>
      <c r="X144" s="6">
        <v>116.5</v>
      </c>
      <c r="Y144" s="6">
        <v>79.3</v>
      </c>
      <c r="Z144" s="7">
        <v>190</v>
      </c>
      <c r="AA144" s="55">
        <v>50.5</v>
      </c>
      <c r="AB144" s="7">
        <v>79</v>
      </c>
      <c r="AC144" s="6">
        <v>94.6</v>
      </c>
      <c r="AD144" s="6">
        <v>88.1</v>
      </c>
      <c r="AE144" s="6">
        <v>98.5</v>
      </c>
      <c r="AF144" s="6">
        <v>125</v>
      </c>
      <c r="AG144" s="6">
        <v>120</v>
      </c>
      <c r="AH144" s="6">
        <v>113</v>
      </c>
      <c r="AI144" s="7">
        <v>89</v>
      </c>
      <c r="AJ144" s="6">
        <v>109.2</v>
      </c>
      <c r="AK144" s="7">
        <v>100</v>
      </c>
      <c r="AL144" s="7">
        <v>181</v>
      </c>
    </row>
    <row r="145" spans="2:38" s="9" customFormat="1" x14ac:dyDescent="0.2">
      <c r="B145" s="55">
        <v>1991</v>
      </c>
      <c r="C145" s="115" t="s">
        <v>301</v>
      </c>
      <c r="D145" s="6">
        <v>64</v>
      </c>
      <c r="E145" s="7">
        <v>0</v>
      </c>
      <c r="F145" s="6">
        <v>292.39999999999998</v>
      </c>
      <c r="G145" s="7">
        <v>79.5</v>
      </c>
      <c r="H145" s="6">
        <v>164</v>
      </c>
      <c r="I145" s="6">
        <v>75</v>
      </c>
      <c r="J145" s="7">
        <v>129.5</v>
      </c>
      <c r="K145" s="7">
        <v>290</v>
      </c>
      <c r="L145" s="6">
        <v>269</v>
      </c>
      <c r="M145" s="6">
        <v>235</v>
      </c>
      <c r="N145" s="7">
        <v>226</v>
      </c>
      <c r="O145" s="6">
        <v>21</v>
      </c>
      <c r="P145" s="7">
        <v>132</v>
      </c>
      <c r="Q145" s="6">
        <v>180</v>
      </c>
      <c r="R145" s="6">
        <v>179.5</v>
      </c>
      <c r="S145" s="6">
        <v>112.4</v>
      </c>
      <c r="T145" s="6">
        <v>247.2</v>
      </c>
      <c r="U145" s="7">
        <v>138.5</v>
      </c>
      <c r="V145" s="7">
        <v>74</v>
      </c>
      <c r="W145" s="6">
        <v>179.5</v>
      </c>
      <c r="X145" s="6">
        <v>112</v>
      </c>
      <c r="Y145" s="6">
        <v>50.3</v>
      </c>
      <c r="Z145" s="7">
        <v>90</v>
      </c>
      <c r="AA145" s="55">
        <v>201</v>
      </c>
      <c r="AB145" s="7">
        <v>278</v>
      </c>
      <c r="AC145" s="6">
        <v>130.9</v>
      </c>
      <c r="AD145" s="6">
        <v>49.7</v>
      </c>
      <c r="AE145" s="6">
        <v>221.1</v>
      </c>
      <c r="AF145" s="6">
        <v>184</v>
      </c>
      <c r="AG145" s="6">
        <v>193</v>
      </c>
      <c r="AH145" s="6">
        <v>254</v>
      </c>
      <c r="AI145" s="7">
        <v>205.5</v>
      </c>
      <c r="AJ145" s="6">
        <v>220</v>
      </c>
      <c r="AK145" s="7">
        <v>195</v>
      </c>
      <c r="AL145" s="7">
        <v>129</v>
      </c>
    </row>
    <row r="146" spans="2:38" s="9" customFormat="1" x14ac:dyDescent="0.2">
      <c r="B146" s="55">
        <v>1992</v>
      </c>
      <c r="C146" s="115" t="s">
        <v>289</v>
      </c>
      <c r="D146" s="6">
        <v>89</v>
      </c>
      <c r="E146" s="7">
        <v>75</v>
      </c>
      <c r="F146" s="6">
        <v>63.6</v>
      </c>
      <c r="G146" s="7">
        <v>86</v>
      </c>
      <c r="H146" s="6">
        <v>70</v>
      </c>
      <c r="I146" s="6">
        <v>32</v>
      </c>
      <c r="J146" s="7">
        <v>79</v>
      </c>
      <c r="K146" s="7">
        <v>80</v>
      </c>
      <c r="L146" s="6">
        <v>41</v>
      </c>
      <c r="M146" s="6">
        <v>68</v>
      </c>
      <c r="N146" s="7">
        <v>102</v>
      </c>
      <c r="O146" s="6">
        <v>62</v>
      </c>
      <c r="P146" s="7">
        <v>56</v>
      </c>
      <c r="Q146" s="6">
        <v>68</v>
      </c>
      <c r="R146" s="6">
        <v>84.1</v>
      </c>
      <c r="S146" s="6">
        <v>49.2</v>
      </c>
      <c r="T146" s="6">
        <v>186</v>
      </c>
      <c r="U146" s="7">
        <v>37.5</v>
      </c>
      <c r="V146" s="7">
        <v>94</v>
      </c>
      <c r="W146" s="6">
        <v>103.9</v>
      </c>
      <c r="X146" s="6">
        <v>32</v>
      </c>
      <c r="Y146" s="6">
        <v>48.9</v>
      </c>
      <c r="Z146" s="7">
        <v>50</v>
      </c>
      <c r="AA146" s="55">
        <v>103</v>
      </c>
      <c r="AB146" s="7">
        <v>32</v>
      </c>
      <c r="AC146" s="6">
        <v>87.5</v>
      </c>
      <c r="AD146" s="6">
        <v>77.400000000000006</v>
      </c>
      <c r="AE146" s="6">
        <v>100.2</v>
      </c>
      <c r="AF146" s="6">
        <v>126</v>
      </c>
      <c r="AG146" s="6">
        <v>100</v>
      </c>
      <c r="AH146" s="6">
        <v>74</v>
      </c>
      <c r="AI146" s="7">
        <v>54.5</v>
      </c>
      <c r="AJ146" s="6">
        <v>64.900000000000006</v>
      </c>
      <c r="AK146" s="7">
        <v>94</v>
      </c>
      <c r="AL146" s="7">
        <v>127.5</v>
      </c>
    </row>
    <row r="147" spans="2:38" s="9" customFormat="1" x14ac:dyDescent="0.2">
      <c r="B147" s="55">
        <v>1992</v>
      </c>
      <c r="C147" s="115" t="s">
        <v>290</v>
      </c>
      <c r="D147" s="6">
        <v>105</v>
      </c>
      <c r="E147" s="7">
        <v>219</v>
      </c>
      <c r="F147" s="6">
        <v>238.1</v>
      </c>
      <c r="G147" s="7">
        <v>165</v>
      </c>
      <c r="H147" s="6">
        <v>217</v>
      </c>
      <c r="I147" s="6">
        <v>95</v>
      </c>
      <c r="J147" s="7">
        <v>106</v>
      </c>
      <c r="K147" s="7">
        <v>43</v>
      </c>
      <c r="L147" s="6">
        <v>85</v>
      </c>
      <c r="M147" s="6">
        <v>147</v>
      </c>
      <c r="N147" s="7">
        <v>85</v>
      </c>
      <c r="O147" s="6">
        <v>269</v>
      </c>
      <c r="P147" s="7">
        <v>138</v>
      </c>
      <c r="Q147" s="6">
        <v>139</v>
      </c>
      <c r="R147" s="6">
        <v>25.2</v>
      </c>
      <c r="S147" s="6">
        <v>117.4</v>
      </c>
      <c r="T147" s="6">
        <v>122.3</v>
      </c>
      <c r="U147" s="7">
        <v>80</v>
      </c>
      <c r="V147" s="7">
        <v>185</v>
      </c>
      <c r="W147" s="6">
        <v>81</v>
      </c>
      <c r="X147" s="6">
        <v>70</v>
      </c>
      <c r="Y147" s="6">
        <v>66.599999999999994</v>
      </c>
      <c r="Z147" s="7">
        <v>84</v>
      </c>
      <c r="AA147" s="55">
        <v>77</v>
      </c>
      <c r="AB147" s="7">
        <v>84</v>
      </c>
      <c r="AC147" s="6">
        <v>268</v>
      </c>
      <c r="AD147" s="6">
        <v>141.1</v>
      </c>
      <c r="AE147" s="6">
        <v>93.8</v>
      </c>
      <c r="AF147" s="6">
        <v>120</v>
      </c>
      <c r="AG147" s="6">
        <v>157</v>
      </c>
      <c r="AH147" s="6">
        <v>136</v>
      </c>
      <c r="AI147" s="7">
        <v>235</v>
      </c>
      <c r="AJ147" s="6">
        <v>163.19999999999999</v>
      </c>
      <c r="AK147" s="7">
        <v>119</v>
      </c>
      <c r="AL147" s="7">
        <v>167.5</v>
      </c>
    </row>
    <row r="148" spans="2:38" s="9" customFormat="1" x14ac:dyDescent="0.2">
      <c r="B148" s="55">
        <v>1992</v>
      </c>
      <c r="C148" s="115" t="s">
        <v>291</v>
      </c>
      <c r="D148" s="6">
        <v>76</v>
      </c>
      <c r="E148" s="7">
        <v>78</v>
      </c>
      <c r="F148" s="6">
        <v>165</v>
      </c>
      <c r="G148" s="7">
        <v>82</v>
      </c>
      <c r="H148" s="6">
        <v>173</v>
      </c>
      <c r="I148" s="6">
        <v>53</v>
      </c>
      <c r="J148" s="7">
        <v>72</v>
      </c>
      <c r="K148" s="7">
        <v>34</v>
      </c>
      <c r="L148" s="6">
        <v>131</v>
      </c>
      <c r="M148" s="6">
        <v>106</v>
      </c>
      <c r="N148" s="7">
        <v>33</v>
      </c>
      <c r="O148" s="6">
        <v>48</v>
      </c>
      <c r="P148" s="7">
        <v>177</v>
      </c>
      <c r="Q148" s="6">
        <v>30</v>
      </c>
      <c r="R148" s="6">
        <v>90.4</v>
      </c>
      <c r="S148" s="6">
        <v>91.9</v>
      </c>
      <c r="T148" s="6">
        <v>111.9</v>
      </c>
      <c r="U148" s="7">
        <v>52</v>
      </c>
      <c r="V148" s="7">
        <v>95</v>
      </c>
      <c r="W148" s="6">
        <v>96.7</v>
      </c>
      <c r="X148" s="6">
        <v>22</v>
      </c>
      <c r="Y148" s="6">
        <v>53.5</v>
      </c>
      <c r="Z148" s="7">
        <v>52.5</v>
      </c>
      <c r="AA148" s="55">
        <v>98.5</v>
      </c>
      <c r="AB148" s="7">
        <v>212</v>
      </c>
      <c r="AC148" s="6">
        <v>185.8</v>
      </c>
      <c r="AD148" s="6">
        <v>59</v>
      </c>
      <c r="AE148" s="6">
        <v>179.6</v>
      </c>
      <c r="AF148" s="6">
        <v>120</v>
      </c>
      <c r="AG148" s="6">
        <v>86</v>
      </c>
      <c r="AH148" s="6">
        <v>171</v>
      </c>
      <c r="AI148" s="7">
        <v>156.5</v>
      </c>
      <c r="AJ148" s="6">
        <v>100</v>
      </c>
      <c r="AK148" s="7">
        <v>124</v>
      </c>
      <c r="AL148" s="7">
        <v>104.5</v>
      </c>
    </row>
    <row r="149" spans="2:38" s="9" customFormat="1" x14ac:dyDescent="0.2">
      <c r="B149" s="55">
        <v>1992</v>
      </c>
      <c r="C149" s="115" t="s">
        <v>292</v>
      </c>
      <c r="D149" s="6">
        <v>147</v>
      </c>
      <c r="E149" s="7">
        <v>292</v>
      </c>
      <c r="F149" s="6">
        <v>394.7</v>
      </c>
      <c r="G149" s="7">
        <v>236.5</v>
      </c>
      <c r="H149" s="6">
        <v>412</v>
      </c>
      <c r="I149" s="6">
        <v>202</v>
      </c>
      <c r="J149" s="7">
        <v>202</v>
      </c>
      <c r="K149" s="7">
        <v>140</v>
      </c>
      <c r="L149" s="6">
        <v>199</v>
      </c>
      <c r="M149" s="6">
        <v>122</v>
      </c>
      <c r="N149" s="7">
        <v>184</v>
      </c>
      <c r="O149" s="6">
        <v>172</v>
      </c>
      <c r="P149" s="7">
        <v>189</v>
      </c>
      <c r="Q149" s="6">
        <v>234</v>
      </c>
      <c r="R149" s="6">
        <v>99.2</v>
      </c>
      <c r="S149" s="6">
        <v>176.5</v>
      </c>
      <c r="T149" s="6">
        <v>161.9</v>
      </c>
      <c r="U149" s="7">
        <v>149</v>
      </c>
      <c r="V149" s="7">
        <v>258</v>
      </c>
      <c r="W149" s="6">
        <v>152.30000000000001</v>
      </c>
      <c r="X149" s="6">
        <v>105</v>
      </c>
      <c r="Y149" s="6">
        <v>143</v>
      </c>
      <c r="Z149" s="7">
        <v>145</v>
      </c>
      <c r="AA149" s="55">
        <v>283</v>
      </c>
      <c r="AB149" s="7">
        <v>274</v>
      </c>
      <c r="AC149" s="6">
        <v>359.5</v>
      </c>
      <c r="AD149" s="6">
        <v>173.3</v>
      </c>
      <c r="AE149" s="6">
        <v>288.3</v>
      </c>
      <c r="AF149" s="6">
        <v>346</v>
      </c>
      <c r="AG149" s="6">
        <v>274</v>
      </c>
      <c r="AH149" s="6">
        <v>444</v>
      </c>
      <c r="AI149" s="7">
        <v>343.5</v>
      </c>
      <c r="AJ149" s="6">
        <v>214.7</v>
      </c>
      <c r="AK149" s="7">
        <v>277</v>
      </c>
      <c r="AL149" s="7">
        <v>267</v>
      </c>
    </row>
    <row r="150" spans="2:38" s="9" customFormat="1" x14ac:dyDescent="0.2">
      <c r="B150" s="55">
        <v>1992</v>
      </c>
      <c r="C150" s="115" t="s">
        <v>293</v>
      </c>
      <c r="D150" s="6">
        <v>124</v>
      </c>
      <c r="E150" s="7">
        <v>57</v>
      </c>
      <c r="F150" s="6">
        <v>287.2</v>
      </c>
      <c r="G150" s="7">
        <v>93</v>
      </c>
      <c r="H150" s="6">
        <v>155</v>
      </c>
      <c r="I150" s="6">
        <v>125</v>
      </c>
      <c r="J150" s="7">
        <v>159</v>
      </c>
      <c r="K150" s="7">
        <v>87</v>
      </c>
      <c r="L150" s="6">
        <v>81</v>
      </c>
      <c r="M150" s="6">
        <v>155</v>
      </c>
      <c r="N150" s="7">
        <v>70</v>
      </c>
      <c r="O150" s="6">
        <v>80</v>
      </c>
      <c r="P150" s="7">
        <v>119</v>
      </c>
      <c r="Q150" s="6">
        <v>146</v>
      </c>
      <c r="R150" s="6">
        <v>139.5</v>
      </c>
      <c r="S150" s="6">
        <v>78</v>
      </c>
      <c r="T150" s="6">
        <v>67.099999999999994</v>
      </c>
      <c r="U150" s="7">
        <v>176</v>
      </c>
      <c r="V150" s="7">
        <v>183</v>
      </c>
      <c r="W150" s="6">
        <v>75.3</v>
      </c>
      <c r="X150" s="6">
        <v>373</v>
      </c>
      <c r="Y150" s="6">
        <v>82.7</v>
      </c>
      <c r="Z150" s="7">
        <v>108</v>
      </c>
      <c r="AA150" s="55">
        <v>100</v>
      </c>
      <c r="AB150" s="7">
        <v>106</v>
      </c>
      <c r="AC150" s="6">
        <v>198.2</v>
      </c>
      <c r="AD150" s="6">
        <v>98.9</v>
      </c>
      <c r="AE150" s="6">
        <v>109.5</v>
      </c>
      <c r="AF150" s="6">
        <v>144</v>
      </c>
      <c r="AG150" s="6">
        <v>192</v>
      </c>
      <c r="AH150" s="6">
        <v>114</v>
      </c>
      <c r="AI150" s="7">
        <v>196.5</v>
      </c>
      <c r="AJ150" s="6">
        <v>171.6</v>
      </c>
      <c r="AK150" s="7">
        <v>133</v>
      </c>
      <c r="AL150" s="7">
        <v>186</v>
      </c>
    </row>
    <row r="151" spans="2:38" s="9" customFormat="1" x14ac:dyDescent="0.2">
      <c r="B151" s="55">
        <v>1992</v>
      </c>
      <c r="C151" s="115" t="s">
        <v>294</v>
      </c>
      <c r="D151" s="6">
        <v>140</v>
      </c>
      <c r="E151" s="7">
        <v>252</v>
      </c>
      <c r="F151" s="6">
        <v>247.9</v>
      </c>
      <c r="G151" s="7">
        <v>210</v>
      </c>
      <c r="H151" s="6">
        <v>97</v>
      </c>
      <c r="I151" s="6">
        <v>109</v>
      </c>
      <c r="J151" s="7">
        <v>194</v>
      </c>
      <c r="K151" s="7">
        <v>119</v>
      </c>
      <c r="L151" s="6">
        <v>103</v>
      </c>
      <c r="M151" s="6">
        <v>331</v>
      </c>
      <c r="N151" s="7">
        <v>71</v>
      </c>
      <c r="O151" s="6">
        <v>148</v>
      </c>
      <c r="P151" s="7">
        <v>310</v>
      </c>
      <c r="Q151" s="6">
        <v>231</v>
      </c>
      <c r="R151" s="6">
        <v>118.4</v>
      </c>
      <c r="S151" s="6">
        <v>250.5</v>
      </c>
      <c r="T151" s="6">
        <v>64.5</v>
      </c>
      <c r="U151" s="7">
        <v>148.5</v>
      </c>
      <c r="V151" s="7">
        <v>285.5</v>
      </c>
      <c r="W151" s="6">
        <v>93</v>
      </c>
      <c r="X151" s="6">
        <v>98</v>
      </c>
      <c r="Y151" s="6">
        <v>159.69999999999999</v>
      </c>
      <c r="Z151" s="7">
        <v>157</v>
      </c>
      <c r="AA151" s="55">
        <v>116</v>
      </c>
      <c r="AB151" s="7">
        <v>196</v>
      </c>
      <c r="AC151" s="6">
        <v>196.5</v>
      </c>
      <c r="AD151" s="6">
        <v>135.19999999999999</v>
      </c>
      <c r="AE151" s="6">
        <v>54.1</v>
      </c>
      <c r="AF151" s="6">
        <v>153</v>
      </c>
      <c r="AG151" s="6">
        <v>208</v>
      </c>
      <c r="AH151" s="6">
        <v>194</v>
      </c>
      <c r="AI151" s="7">
        <v>254.5</v>
      </c>
      <c r="AJ151" s="6">
        <v>264.60000000000002</v>
      </c>
      <c r="AK151" s="7">
        <v>208</v>
      </c>
      <c r="AL151" s="7">
        <v>266</v>
      </c>
    </row>
    <row r="152" spans="2:38" s="9" customFormat="1" x14ac:dyDescent="0.2">
      <c r="B152" s="55">
        <v>1992</v>
      </c>
      <c r="C152" s="115" t="s">
        <v>295</v>
      </c>
      <c r="D152" s="6">
        <v>98</v>
      </c>
      <c r="E152" s="7">
        <v>296</v>
      </c>
      <c r="F152" s="6">
        <v>102.5</v>
      </c>
      <c r="G152" s="7">
        <v>120</v>
      </c>
      <c r="H152" s="6">
        <v>81</v>
      </c>
      <c r="I152" s="6">
        <v>84</v>
      </c>
      <c r="J152" s="7">
        <v>90</v>
      </c>
      <c r="K152" s="7">
        <v>59</v>
      </c>
      <c r="L152" s="6">
        <v>57</v>
      </c>
      <c r="M152" s="6">
        <v>128</v>
      </c>
      <c r="N152" s="7">
        <v>99</v>
      </c>
      <c r="O152" s="6">
        <v>102</v>
      </c>
      <c r="P152" s="7">
        <v>208</v>
      </c>
      <c r="Q152" s="6">
        <v>92</v>
      </c>
      <c r="R152" s="6">
        <v>53</v>
      </c>
      <c r="S152" s="6">
        <v>112.7</v>
      </c>
      <c r="T152" s="6">
        <v>57.4</v>
      </c>
      <c r="U152" s="7">
        <v>58</v>
      </c>
      <c r="V152" s="7">
        <v>197</v>
      </c>
      <c r="W152" s="6">
        <v>51.3</v>
      </c>
      <c r="X152" s="6">
        <v>49</v>
      </c>
      <c r="Y152" s="6">
        <v>53</v>
      </c>
      <c r="Z152" s="7">
        <v>66</v>
      </c>
      <c r="AA152" s="55">
        <v>47</v>
      </c>
      <c r="AB152" s="7">
        <v>47</v>
      </c>
      <c r="AC152" s="6">
        <v>107.5</v>
      </c>
      <c r="AD152" s="6">
        <v>114.1</v>
      </c>
      <c r="AE152" s="6">
        <v>34.5</v>
      </c>
      <c r="AF152" s="6">
        <v>46</v>
      </c>
      <c r="AG152" s="6">
        <v>68</v>
      </c>
      <c r="AH152" s="6">
        <v>65</v>
      </c>
      <c r="AI152" s="7">
        <v>149.5</v>
      </c>
      <c r="AJ152" s="6">
        <v>113.7</v>
      </c>
      <c r="AK152" s="7">
        <v>35</v>
      </c>
      <c r="AL152" s="7">
        <v>222</v>
      </c>
    </row>
    <row r="153" spans="2:38" s="9" customFormat="1" x14ac:dyDescent="0.2">
      <c r="B153" s="55">
        <v>1992</v>
      </c>
      <c r="C153" s="115" t="s">
        <v>296</v>
      </c>
      <c r="D153" s="6">
        <v>22</v>
      </c>
      <c r="E153" s="7">
        <v>54</v>
      </c>
      <c r="F153" s="6">
        <v>16.2</v>
      </c>
      <c r="G153" s="7">
        <v>60</v>
      </c>
      <c r="H153" s="6">
        <v>12</v>
      </c>
      <c r="I153" s="6">
        <v>83</v>
      </c>
      <c r="J153" s="7">
        <v>68</v>
      </c>
      <c r="K153" s="7">
        <v>106</v>
      </c>
      <c r="L153" s="6">
        <v>83</v>
      </c>
      <c r="M153" s="6">
        <v>50</v>
      </c>
      <c r="N153" s="7">
        <v>97</v>
      </c>
      <c r="O153" s="6">
        <v>36</v>
      </c>
      <c r="P153" s="7">
        <v>50</v>
      </c>
      <c r="Q153" s="6">
        <v>45</v>
      </c>
      <c r="R153" s="6">
        <v>111</v>
      </c>
      <c r="S153" s="6">
        <v>62.7</v>
      </c>
      <c r="T153" s="6">
        <v>77.2</v>
      </c>
      <c r="U153" s="7">
        <v>63</v>
      </c>
      <c r="V153" s="7">
        <v>30.5</v>
      </c>
      <c r="W153" s="6">
        <v>51.5</v>
      </c>
      <c r="X153" s="6">
        <v>111</v>
      </c>
      <c r="Y153" s="6">
        <v>82.4</v>
      </c>
      <c r="Z153" s="7">
        <v>99</v>
      </c>
      <c r="AA153" s="55">
        <v>52</v>
      </c>
      <c r="AB153" s="7">
        <v>29</v>
      </c>
      <c r="AC153" s="6">
        <v>39.299999999999997</v>
      </c>
      <c r="AD153" s="6">
        <v>52.9</v>
      </c>
      <c r="AE153" s="6">
        <v>27.5</v>
      </c>
      <c r="AF153" s="6">
        <v>17</v>
      </c>
      <c r="AG153" s="6">
        <v>21</v>
      </c>
      <c r="AH153" s="6">
        <v>26</v>
      </c>
      <c r="AI153" s="7">
        <v>16</v>
      </c>
      <c r="AJ153" s="6">
        <v>33.200000000000003</v>
      </c>
      <c r="AK153" s="7">
        <v>31</v>
      </c>
      <c r="AL153" s="7">
        <v>39.5</v>
      </c>
    </row>
    <row r="154" spans="2:38" s="9" customFormat="1" x14ac:dyDescent="0.2">
      <c r="B154" s="55">
        <v>1992</v>
      </c>
      <c r="C154" s="115" t="s">
        <v>297</v>
      </c>
      <c r="D154" s="6">
        <v>40</v>
      </c>
      <c r="E154" s="7">
        <v>123</v>
      </c>
      <c r="F154" s="6">
        <v>98.6</v>
      </c>
      <c r="G154" s="7">
        <v>64</v>
      </c>
      <c r="H154" s="6">
        <v>80</v>
      </c>
      <c r="I154" s="6">
        <v>75</v>
      </c>
      <c r="J154" s="7">
        <v>82</v>
      </c>
      <c r="K154" s="7">
        <v>42</v>
      </c>
      <c r="L154" s="6">
        <v>57</v>
      </c>
      <c r="M154" s="6">
        <v>134</v>
      </c>
      <c r="N154" s="7">
        <v>66</v>
      </c>
      <c r="O154" s="6">
        <v>75</v>
      </c>
      <c r="P154" s="7">
        <v>62.5</v>
      </c>
      <c r="Q154" s="6">
        <v>79</v>
      </c>
      <c r="R154" s="6">
        <v>36.700000000000003</v>
      </c>
      <c r="S154" s="6">
        <v>90.5</v>
      </c>
      <c r="T154" s="6">
        <v>37.200000000000003</v>
      </c>
      <c r="U154" s="7">
        <v>62</v>
      </c>
      <c r="V154" s="7">
        <v>118</v>
      </c>
      <c r="W154" s="6">
        <v>57.7</v>
      </c>
      <c r="X154" s="6">
        <v>37</v>
      </c>
      <c r="Y154" s="6">
        <v>65</v>
      </c>
      <c r="Z154" s="7">
        <v>59</v>
      </c>
      <c r="AA154" s="55">
        <v>54</v>
      </c>
      <c r="AB154" s="7">
        <v>83</v>
      </c>
      <c r="AC154" s="6">
        <v>103</v>
      </c>
      <c r="AD154" s="6">
        <v>38.1</v>
      </c>
      <c r="AE154" s="6">
        <v>82.5</v>
      </c>
      <c r="AF154" s="6">
        <v>69</v>
      </c>
      <c r="AG154" s="6">
        <v>56</v>
      </c>
      <c r="AH154" s="6">
        <v>63</v>
      </c>
      <c r="AI154" s="7">
        <v>110</v>
      </c>
      <c r="AJ154" s="6">
        <v>93.9</v>
      </c>
      <c r="AK154" s="7">
        <v>71</v>
      </c>
      <c r="AL154" s="7">
        <v>130</v>
      </c>
    </row>
    <row r="155" spans="2:38" s="9" customFormat="1" x14ac:dyDescent="0.2">
      <c r="B155" s="55">
        <v>1992</v>
      </c>
      <c r="C155" s="115" t="s">
        <v>298</v>
      </c>
      <c r="D155" s="6">
        <v>87</v>
      </c>
      <c r="E155" s="7">
        <v>67</v>
      </c>
      <c r="F155" s="6">
        <v>89.1</v>
      </c>
      <c r="G155" s="7">
        <v>88</v>
      </c>
      <c r="H155" s="6">
        <v>102</v>
      </c>
      <c r="I155" s="6">
        <v>94</v>
      </c>
      <c r="J155" s="7">
        <v>96</v>
      </c>
      <c r="K155" s="7">
        <v>64</v>
      </c>
      <c r="L155" s="6">
        <v>103.5</v>
      </c>
      <c r="M155" s="6">
        <v>92</v>
      </c>
      <c r="N155" s="7">
        <v>93</v>
      </c>
      <c r="O155" s="6">
        <v>54</v>
      </c>
      <c r="P155" s="7">
        <v>42</v>
      </c>
      <c r="Q155" s="6">
        <v>122</v>
      </c>
      <c r="R155" s="6">
        <v>82.2</v>
      </c>
      <c r="S155" s="6">
        <v>65.8</v>
      </c>
      <c r="T155" s="6">
        <v>81.099999999999994</v>
      </c>
      <c r="U155" s="7">
        <v>74</v>
      </c>
      <c r="V155" s="7">
        <v>59.5</v>
      </c>
      <c r="W155" s="6">
        <v>109.2</v>
      </c>
      <c r="X155" s="6">
        <v>86</v>
      </c>
      <c r="Y155" s="6">
        <v>138.80000000000001</v>
      </c>
      <c r="Z155" s="7">
        <v>79</v>
      </c>
      <c r="AA155" s="55">
        <v>110</v>
      </c>
      <c r="AB155" s="7">
        <v>77</v>
      </c>
      <c r="AC155" s="6">
        <v>57.5</v>
      </c>
      <c r="AD155" s="6">
        <v>124.1</v>
      </c>
      <c r="AE155" s="6">
        <v>61.5</v>
      </c>
      <c r="AF155" s="6">
        <v>63</v>
      </c>
      <c r="AG155" s="6">
        <v>60</v>
      </c>
      <c r="AH155" s="6">
        <v>73</v>
      </c>
      <c r="AI155" s="7">
        <v>69</v>
      </c>
      <c r="AJ155" s="6">
        <v>95.4</v>
      </c>
      <c r="AK155" s="7">
        <v>66</v>
      </c>
      <c r="AL155" s="7">
        <v>64</v>
      </c>
    </row>
    <row r="156" spans="2:38" s="9" customFormat="1" x14ac:dyDescent="0.2">
      <c r="B156" s="55">
        <v>1992</v>
      </c>
      <c r="C156" s="115" t="s">
        <v>299</v>
      </c>
      <c r="D156" s="6">
        <v>48</v>
      </c>
      <c r="E156" s="7">
        <v>37</v>
      </c>
      <c r="F156" s="6">
        <v>59.4</v>
      </c>
      <c r="G156" s="7">
        <v>58</v>
      </c>
      <c r="H156" s="6">
        <v>63</v>
      </c>
      <c r="I156" s="6">
        <v>74.5</v>
      </c>
      <c r="J156" s="7">
        <v>46</v>
      </c>
      <c r="K156" s="7">
        <v>43</v>
      </c>
      <c r="L156" s="6">
        <v>94</v>
      </c>
      <c r="M156" s="6">
        <v>45</v>
      </c>
      <c r="N156" s="7">
        <v>154</v>
      </c>
      <c r="O156" s="6">
        <v>29</v>
      </c>
      <c r="P156" s="7">
        <v>53</v>
      </c>
      <c r="Q156" s="6">
        <v>68</v>
      </c>
      <c r="R156" s="6">
        <v>59.4</v>
      </c>
      <c r="S156" s="6">
        <v>90.9</v>
      </c>
      <c r="T156" s="6">
        <v>89.5</v>
      </c>
      <c r="U156" s="7">
        <v>95</v>
      </c>
      <c r="V156" s="7">
        <v>76.099999999999994</v>
      </c>
      <c r="W156" s="6">
        <v>110.5</v>
      </c>
      <c r="X156" s="6">
        <v>125</v>
      </c>
      <c r="Y156" s="6">
        <v>60.7</v>
      </c>
      <c r="Z156" s="7">
        <v>98</v>
      </c>
      <c r="AA156" s="55">
        <v>151</v>
      </c>
      <c r="AB156" s="7">
        <v>61</v>
      </c>
      <c r="AC156" s="6">
        <v>73.099999999999994</v>
      </c>
      <c r="AD156" s="6">
        <v>82.7</v>
      </c>
      <c r="AE156" s="6">
        <v>59.4</v>
      </c>
      <c r="AF156" s="6">
        <v>86</v>
      </c>
      <c r="AG156" s="6">
        <v>50</v>
      </c>
      <c r="AH156" s="6">
        <v>101</v>
      </c>
      <c r="AI156" s="7">
        <v>64.5</v>
      </c>
      <c r="AJ156" s="6">
        <v>52</v>
      </c>
      <c r="AK156" s="7">
        <v>72</v>
      </c>
      <c r="AL156" s="7">
        <v>86</v>
      </c>
    </row>
    <row r="157" spans="2:38" s="9" customFormat="1" x14ac:dyDescent="0.2">
      <c r="B157" s="55">
        <v>1992</v>
      </c>
      <c r="C157" s="115" t="s">
        <v>301</v>
      </c>
      <c r="D157" s="6">
        <v>126</v>
      </c>
      <c r="E157" s="7">
        <v>117</v>
      </c>
      <c r="F157" s="6">
        <v>116.8</v>
      </c>
      <c r="G157" s="7">
        <v>43.6</v>
      </c>
      <c r="H157" s="6">
        <v>65</v>
      </c>
      <c r="I157" s="6">
        <v>32</v>
      </c>
      <c r="J157" s="7">
        <v>134</v>
      </c>
      <c r="K157" s="7">
        <v>48</v>
      </c>
      <c r="L157" s="6">
        <v>50</v>
      </c>
      <c r="M157" s="6">
        <v>101</v>
      </c>
      <c r="N157" s="7">
        <v>55</v>
      </c>
      <c r="O157" s="6">
        <v>60</v>
      </c>
      <c r="P157" s="7">
        <v>113</v>
      </c>
      <c r="Q157" s="6">
        <v>100</v>
      </c>
      <c r="R157" s="6">
        <v>94.7</v>
      </c>
      <c r="S157" s="6">
        <v>92</v>
      </c>
      <c r="T157" s="6">
        <v>72.8</v>
      </c>
      <c r="U157" s="7">
        <v>150</v>
      </c>
      <c r="V157" s="7">
        <v>142</v>
      </c>
      <c r="W157" s="6">
        <v>123.4</v>
      </c>
      <c r="X157" s="6">
        <v>31.5</v>
      </c>
      <c r="Y157" s="6">
        <v>10.4</v>
      </c>
      <c r="Z157" s="7">
        <v>41</v>
      </c>
      <c r="AA157" s="55">
        <v>147</v>
      </c>
      <c r="AB157" s="7">
        <v>78</v>
      </c>
      <c r="AC157" s="6">
        <v>178.7</v>
      </c>
      <c r="AD157" s="6">
        <v>31.7</v>
      </c>
      <c r="AE157" s="6">
        <v>154.9</v>
      </c>
      <c r="AF157" s="6">
        <v>115</v>
      </c>
      <c r="AG157" s="6">
        <v>247</v>
      </c>
      <c r="AH157" s="6">
        <v>33</v>
      </c>
      <c r="AI157" s="7">
        <v>78.900000000000006</v>
      </c>
      <c r="AJ157" s="6">
        <v>152.19999999999999</v>
      </c>
      <c r="AK157" s="7">
        <v>194.5</v>
      </c>
      <c r="AL157" s="7">
        <v>167</v>
      </c>
    </row>
    <row r="158" spans="2:38" s="9" customFormat="1" x14ac:dyDescent="0.2">
      <c r="B158" s="55">
        <v>1993</v>
      </c>
      <c r="C158" s="115" t="s">
        <v>289</v>
      </c>
      <c r="D158" s="6">
        <v>101</v>
      </c>
      <c r="E158" s="7">
        <v>119</v>
      </c>
      <c r="F158" s="6">
        <v>253.3</v>
      </c>
      <c r="G158" s="7">
        <v>267</v>
      </c>
      <c r="H158" s="6">
        <v>296</v>
      </c>
      <c r="I158" s="6">
        <v>117</v>
      </c>
      <c r="J158" s="7">
        <v>125</v>
      </c>
      <c r="K158" s="7">
        <v>130</v>
      </c>
      <c r="L158" s="6">
        <v>216</v>
      </c>
      <c r="M158" s="6">
        <v>224</v>
      </c>
      <c r="N158" s="7">
        <v>180</v>
      </c>
      <c r="O158" s="6">
        <v>73</v>
      </c>
      <c r="P158" s="7">
        <v>87</v>
      </c>
      <c r="Q158" s="6">
        <v>214</v>
      </c>
      <c r="R158" s="6">
        <v>136.4</v>
      </c>
      <c r="S158" s="6">
        <v>105.8</v>
      </c>
      <c r="T158" s="6">
        <v>187.7</v>
      </c>
      <c r="U158" s="7">
        <v>107</v>
      </c>
      <c r="V158" s="7">
        <v>138</v>
      </c>
      <c r="W158" s="6">
        <v>161.69999999999999</v>
      </c>
      <c r="X158" s="6">
        <v>150</v>
      </c>
      <c r="Y158" s="6">
        <v>90</v>
      </c>
      <c r="Z158" s="7">
        <v>129</v>
      </c>
      <c r="AA158" s="55">
        <v>119</v>
      </c>
      <c r="AB158" s="7">
        <v>199</v>
      </c>
      <c r="AC158" s="6">
        <v>237</v>
      </c>
      <c r="AD158" s="6">
        <v>118.6</v>
      </c>
      <c r="AE158" s="6">
        <v>134.80000000000001</v>
      </c>
      <c r="AF158" s="6">
        <v>232</v>
      </c>
      <c r="AG158" s="6">
        <v>210</v>
      </c>
      <c r="AH158" s="6">
        <v>152</v>
      </c>
      <c r="AI158" s="7">
        <v>224</v>
      </c>
      <c r="AJ158" s="6">
        <v>128.80000000000001</v>
      </c>
      <c r="AK158" s="7">
        <v>259</v>
      </c>
      <c r="AL158" s="7">
        <v>99</v>
      </c>
    </row>
    <row r="159" spans="2:38" s="9" customFormat="1" x14ac:dyDescent="0.2">
      <c r="B159" s="55">
        <v>1993</v>
      </c>
      <c r="C159" s="115" t="s">
        <v>290</v>
      </c>
      <c r="D159" s="6">
        <v>109</v>
      </c>
      <c r="E159" s="7">
        <v>97</v>
      </c>
      <c r="F159" s="6">
        <v>73.599999999999994</v>
      </c>
      <c r="G159" s="7">
        <v>224</v>
      </c>
      <c r="H159" s="6">
        <v>22</v>
      </c>
      <c r="I159" s="6">
        <v>111</v>
      </c>
      <c r="J159" s="7">
        <v>88.5</v>
      </c>
      <c r="K159" s="7">
        <v>203</v>
      </c>
      <c r="L159" s="6">
        <v>34</v>
      </c>
      <c r="M159" s="6">
        <v>71</v>
      </c>
      <c r="N159" s="7">
        <v>158.5</v>
      </c>
      <c r="O159" s="6">
        <v>70</v>
      </c>
      <c r="P159" s="7">
        <v>97</v>
      </c>
      <c r="Q159" s="6">
        <v>58</v>
      </c>
      <c r="R159" s="6">
        <v>221.3</v>
      </c>
      <c r="S159" s="6">
        <v>112.2</v>
      </c>
      <c r="T159" s="6">
        <v>77.5</v>
      </c>
      <c r="U159" s="7">
        <v>111.5</v>
      </c>
      <c r="V159" s="7">
        <v>92.5</v>
      </c>
      <c r="W159" s="6">
        <v>88.1</v>
      </c>
      <c r="X159" s="6">
        <v>218.5</v>
      </c>
      <c r="Y159" s="6">
        <v>275.60000000000002</v>
      </c>
      <c r="Z159" s="7">
        <v>158</v>
      </c>
      <c r="AA159" s="55">
        <v>85</v>
      </c>
      <c r="AB159" s="7">
        <v>66</v>
      </c>
      <c r="AC159" s="6">
        <v>102.7</v>
      </c>
      <c r="AD159" s="6">
        <v>185</v>
      </c>
      <c r="AE159" s="6">
        <v>39.6</v>
      </c>
      <c r="AF159" s="6">
        <v>18</v>
      </c>
      <c r="AG159" s="6">
        <v>63</v>
      </c>
      <c r="AH159" s="6">
        <v>36</v>
      </c>
      <c r="AI159" s="7">
        <v>68.5</v>
      </c>
      <c r="AJ159" s="6">
        <v>185.5</v>
      </c>
      <c r="AK159" s="7">
        <v>76</v>
      </c>
      <c r="AL159" s="7">
        <v>109</v>
      </c>
    </row>
    <row r="160" spans="2:38" s="9" customFormat="1" x14ac:dyDescent="0.2">
      <c r="B160" s="55">
        <v>1993</v>
      </c>
      <c r="C160" s="115" t="s">
        <v>291</v>
      </c>
      <c r="D160" s="6">
        <v>12</v>
      </c>
      <c r="E160" s="7">
        <v>57</v>
      </c>
      <c r="F160" s="6">
        <v>64.900000000000006</v>
      </c>
      <c r="G160" s="7">
        <v>138.5</v>
      </c>
      <c r="H160" s="6">
        <v>145</v>
      </c>
      <c r="I160" s="6">
        <v>28</v>
      </c>
      <c r="J160" s="7">
        <v>22</v>
      </c>
      <c r="K160" s="7">
        <v>62</v>
      </c>
      <c r="L160" s="6">
        <v>50</v>
      </c>
      <c r="M160" s="6">
        <v>23</v>
      </c>
      <c r="N160" s="7">
        <v>86</v>
      </c>
      <c r="O160" s="6">
        <v>13</v>
      </c>
      <c r="P160" s="7">
        <v>29</v>
      </c>
      <c r="Q160" s="6">
        <v>10</v>
      </c>
      <c r="R160" s="6">
        <v>49.3</v>
      </c>
      <c r="S160" s="6">
        <v>27.9</v>
      </c>
      <c r="T160" s="6">
        <v>193.1</v>
      </c>
      <c r="U160" s="7">
        <v>96</v>
      </c>
      <c r="V160" s="7">
        <v>29.5</v>
      </c>
      <c r="W160" s="6">
        <v>47</v>
      </c>
      <c r="X160" s="6">
        <v>69</v>
      </c>
      <c r="Y160" s="6">
        <v>26.4</v>
      </c>
      <c r="Z160" s="7">
        <v>36</v>
      </c>
      <c r="AA160" s="55">
        <v>57</v>
      </c>
      <c r="AB160" s="7">
        <v>56</v>
      </c>
      <c r="AC160" s="6">
        <v>52.5</v>
      </c>
      <c r="AD160" s="6">
        <v>31.8</v>
      </c>
      <c r="AE160" s="6">
        <v>128.19999999999999</v>
      </c>
      <c r="AF160" s="6">
        <v>73</v>
      </c>
      <c r="AG160" s="6">
        <v>132</v>
      </c>
      <c r="AH160" s="6">
        <v>88</v>
      </c>
      <c r="AI160" s="7">
        <v>44</v>
      </c>
      <c r="AJ160" s="6">
        <v>79.900000000000006</v>
      </c>
      <c r="AK160" s="7">
        <v>78</v>
      </c>
      <c r="AL160" s="7">
        <v>28</v>
      </c>
    </row>
    <row r="161" spans="2:38" s="9" customFormat="1" x14ac:dyDescent="0.2">
      <c r="B161" s="55">
        <v>1993</v>
      </c>
      <c r="C161" s="115" t="s">
        <v>292</v>
      </c>
      <c r="D161" s="6">
        <v>147</v>
      </c>
      <c r="E161" s="7">
        <v>78</v>
      </c>
      <c r="F161" s="6">
        <v>119.8</v>
      </c>
      <c r="G161" s="7">
        <v>216.5</v>
      </c>
      <c r="H161" s="6">
        <v>135</v>
      </c>
      <c r="I161" s="6">
        <v>107</v>
      </c>
      <c r="J161" s="7">
        <v>101</v>
      </c>
      <c r="K161" s="7">
        <v>131</v>
      </c>
      <c r="L161" s="6">
        <v>243</v>
      </c>
      <c r="M161" s="6">
        <v>101</v>
      </c>
      <c r="N161" s="7">
        <v>253</v>
      </c>
      <c r="O161" s="6">
        <v>214</v>
      </c>
      <c r="P161" s="7">
        <v>113</v>
      </c>
      <c r="Q161" s="6">
        <v>114</v>
      </c>
      <c r="R161" s="6">
        <v>193.1</v>
      </c>
      <c r="S161" s="6">
        <v>118.8</v>
      </c>
      <c r="T161" s="6">
        <v>204.9</v>
      </c>
      <c r="U161" s="7">
        <v>118</v>
      </c>
      <c r="V161" s="7">
        <v>88</v>
      </c>
      <c r="W161" s="6">
        <v>273.89999999999998</v>
      </c>
      <c r="X161" s="6">
        <v>302.5</v>
      </c>
      <c r="Y161" s="6">
        <v>344.6</v>
      </c>
      <c r="Z161" s="7">
        <v>189</v>
      </c>
      <c r="AA161" s="55">
        <v>363.5</v>
      </c>
      <c r="AB161" s="7">
        <v>294</v>
      </c>
      <c r="AC161" s="6">
        <v>111.3</v>
      </c>
      <c r="AD161" s="6">
        <v>239.5</v>
      </c>
      <c r="AE161" s="6">
        <v>158.4</v>
      </c>
      <c r="AF161" s="6">
        <v>167</v>
      </c>
      <c r="AG161" s="6">
        <v>147</v>
      </c>
      <c r="AH161" s="6">
        <v>146</v>
      </c>
      <c r="AI161" s="7">
        <v>133</v>
      </c>
      <c r="AJ161" s="6">
        <v>117.7</v>
      </c>
      <c r="AK161" s="7">
        <v>100</v>
      </c>
      <c r="AL161" s="7">
        <v>150</v>
      </c>
    </row>
    <row r="162" spans="2:38" s="9" customFormat="1" x14ac:dyDescent="0.2">
      <c r="B162" s="55">
        <v>1993</v>
      </c>
      <c r="C162" s="115" t="s">
        <v>293</v>
      </c>
      <c r="D162" s="6">
        <v>38</v>
      </c>
      <c r="E162" s="7">
        <v>186</v>
      </c>
      <c r="F162" s="6">
        <v>367.4</v>
      </c>
      <c r="G162" s="7">
        <v>243</v>
      </c>
      <c r="H162" s="6">
        <v>261</v>
      </c>
      <c r="I162" s="6">
        <v>90</v>
      </c>
      <c r="J162" s="7">
        <v>279</v>
      </c>
      <c r="K162" s="7">
        <v>46</v>
      </c>
      <c r="L162" s="6">
        <v>135</v>
      </c>
      <c r="M162" s="6">
        <v>199</v>
      </c>
      <c r="N162" s="7">
        <v>116</v>
      </c>
      <c r="O162" s="6">
        <v>160</v>
      </c>
      <c r="P162" s="7">
        <v>271</v>
      </c>
      <c r="Q162" s="6">
        <v>139</v>
      </c>
      <c r="R162" s="6">
        <v>96.2</v>
      </c>
      <c r="S162" s="6">
        <v>280.2</v>
      </c>
      <c r="T162" s="6">
        <v>105.2</v>
      </c>
      <c r="U162" s="7">
        <v>160</v>
      </c>
      <c r="V162" s="7">
        <v>358</v>
      </c>
      <c r="W162" s="6">
        <v>153</v>
      </c>
      <c r="X162" s="6">
        <v>102.5</v>
      </c>
      <c r="Y162" s="6">
        <v>74.8</v>
      </c>
      <c r="Z162" s="7">
        <v>71</v>
      </c>
      <c r="AA162" s="55">
        <v>228</v>
      </c>
      <c r="AB162" s="7">
        <v>310</v>
      </c>
      <c r="AC162" s="6">
        <v>417</v>
      </c>
      <c r="AD162" s="6">
        <v>98.8</v>
      </c>
      <c r="AE162" s="6">
        <v>333.7</v>
      </c>
      <c r="AF162" s="6">
        <v>258</v>
      </c>
      <c r="AG162" s="6">
        <v>509</v>
      </c>
      <c r="AH162" s="6">
        <v>215</v>
      </c>
      <c r="AI162" s="7">
        <v>479.5</v>
      </c>
      <c r="AJ162" s="6">
        <v>243.1</v>
      </c>
      <c r="AK162" s="7">
        <v>328</v>
      </c>
      <c r="AL162" s="7">
        <v>382</v>
      </c>
    </row>
    <row r="163" spans="2:38" s="9" customFormat="1" x14ac:dyDescent="0.2">
      <c r="B163" s="55">
        <v>1993</v>
      </c>
      <c r="C163" s="115" t="s">
        <v>294</v>
      </c>
      <c r="D163" s="6">
        <v>82</v>
      </c>
      <c r="E163" s="7">
        <v>103</v>
      </c>
      <c r="F163" s="6">
        <v>72.8</v>
      </c>
      <c r="G163" s="7">
        <v>107.7</v>
      </c>
      <c r="H163" s="6">
        <v>89</v>
      </c>
      <c r="I163" s="6">
        <v>71</v>
      </c>
      <c r="J163" s="7">
        <v>69</v>
      </c>
      <c r="K163" s="7">
        <v>38</v>
      </c>
      <c r="L163" s="258" t="s">
        <v>300</v>
      </c>
      <c r="M163" s="6">
        <v>82</v>
      </c>
      <c r="N163" s="7">
        <v>81</v>
      </c>
      <c r="O163" s="6">
        <v>76</v>
      </c>
      <c r="P163" s="7">
        <v>149</v>
      </c>
      <c r="Q163" s="6">
        <v>100</v>
      </c>
      <c r="R163" s="6">
        <v>120.2</v>
      </c>
      <c r="S163" s="6">
        <v>105.6</v>
      </c>
      <c r="T163" s="6">
        <v>77</v>
      </c>
      <c r="U163" s="7">
        <v>48</v>
      </c>
      <c r="V163" s="7">
        <v>136</v>
      </c>
      <c r="W163" s="6">
        <v>58</v>
      </c>
      <c r="X163" s="6">
        <v>51</v>
      </c>
      <c r="Y163" s="6">
        <v>64</v>
      </c>
      <c r="Z163" s="7">
        <v>76</v>
      </c>
      <c r="AA163" s="55">
        <v>14</v>
      </c>
      <c r="AB163" s="7">
        <v>44</v>
      </c>
      <c r="AC163" s="6">
        <v>147</v>
      </c>
      <c r="AD163" s="6">
        <v>49</v>
      </c>
      <c r="AE163" s="6">
        <v>31.8</v>
      </c>
      <c r="AF163" s="6">
        <v>56</v>
      </c>
      <c r="AG163" s="6">
        <v>98</v>
      </c>
      <c r="AH163" s="6">
        <v>56</v>
      </c>
      <c r="AI163" s="7">
        <v>120</v>
      </c>
      <c r="AJ163" s="6">
        <v>81.599999999999994</v>
      </c>
      <c r="AK163" s="7">
        <v>78</v>
      </c>
      <c r="AL163" s="7">
        <v>107</v>
      </c>
    </row>
    <row r="164" spans="2:38" s="9" customFormat="1" x14ac:dyDescent="0.2">
      <c r="B164" s="55">
        <v>1993</v>
      </c>
      <c r="C164" s="115" t="s">
        <v>295</v>
      </c>
      <c r="D164" s="6">
        <v>104</v>
      </c>
      <c r="E164" s="7">
        <v>117</v>
      </c>
      <c r="F164" s="6">
        <v>51</v>
      </c>
      <c r="G164" s="7">
        <v>268</v>
      </c>
      <c r="H164" s="6">
        <v>43</v>
      </c>
      <c r="I164" s="6">
        <v>75</v>
      </c>
      <c r="J164" s="7">
        <v>102</v>
      </c>
      <c r="K164" s="7">
        <v>2</v>
      </c>
      <c r="L164" s="6">
        <v>31.5</v>
      </c>
      <c r="M164" s="6">
        <v>89</v>
      </c>
      <c r="N164" s="7">
        <v>50</v>
      </c>
      <c r="O164" s="6">
        <v>96</v>
      </c>
      <c r="P164" s="7">
        <v>80</v>
      </c>
      <c r="Q164" s="6">
        <v>118</v>
      </c>
      <c r="R164" s="6">
        <v>34.700000000000003</v>
      </c>
      <c r="S164" s="6">
        <v>72.099999999999994</v>
      </c>
      <c r="T164" s="6">
        <v>29.6</v>
      </c>
      <c r="U164" s="7">
        <v>60.5</v>
      </c>
      <c r="V164" s="7">
        <v>90</v>
      </c>
      <c r="W164" s="6">
        <v>33.200000000000003</v>
      </c>
      <c r="X164" s="6">
        <v>74</v>
      </c>
      <c r="Y164" s="6">
        <v>56.5</v>
      </c>
      <c r="Z164" s="7">
        <v>56</v>
      </c>
      <c r="AA164" s="55">
        <v>36</v>
      </c>
      <c r="AB164" s="7">
        <v>61</v>
      </c>
      <c r="AC164" s="6">
        <v>67</v>
      </c>
      <c r="AD164" s="6">
        <v>164.9</v>
      </c>
      <c r="AE164" s="6">
        <v>38.799999999999997</v>
      </c>
      <c r="AF164" s="6">
        <v>35</v>
      </c>
      <c r="AG164" s="6">
        <v>73</v>
      </c>
      <c r="AH164" s="6">
        <v>23</v>
      </c>
      <c r="AI164" s="7">
        <v>68</v>
      </c>
      <c r="AJ164" s="6">
        <v>116.6</v>
      </c>
      <c r="AK164" s="7">
        <v>60</v>
      </c>
      <c r="AL164" s="7">
        <v>59</v>
      </c>
    </row>
    <row r="165" spans="2:38" s="9" customFormat="1" x14ac:dyDescent="0.2">
      <c r="B165" s="55">
        <v>1993</v>
      </c>
      <c r="C165" s="115" t="s">
        <v>296</v>
      </c>
      <c r="D165" s="6">
        <v>116</v>
      </c>
      <c r="E165" s="7">
        <v>178</v>
      </c>
      <c r="F165" s="6">
        <v>9.5</v>
      </c>
      <c r="G165" s="7">
        <v>256.5</v>
      </c>
      <c r="H165" s="6">
        <v>6</v>
      </c>
      <c r="I165" s="6">
        <v>118</v>
      </c>
      <c r="J165" s="7">
        <v>113</v>
      </c>
      <c r="K165" s="7">
        <v>62</v>
      </c>
      <c r="L165" s="6">
        <v>31</v>
      </c>
      <c r="M165" s="6">
        <v>115</v>
      </c>
      <c r="N165" s="7">
        <v>125</v>
      </c>
      <c r="O165" s="6">
        <v>183</v>
      </c>
      <c r="P165" s="7">
        <v>107</v>
      </c>
      <c r="Q165" s="6">
        <v>166</v>
      </c>
      <c r="R165" s="6">
        <v>66.099999999999994</v>
      </c>
      <c r="S165" s="6">
        <v>93.9</v>
      </c>
      <c r="T165" s="6">
        <v>97.8</v>
      </c>
      <c r="U165" s="7">
        <v>92</v>
      </c>
      <c r="V165" s="7">
        <v>15</v>
      </c>
      <c r="W165" s="6">
        <v>33.9</v>
      </c>
      <c r="X165" s="6">
        <v>83</v>
      </c>
      <c r="Y165" s="6">
        <v>43.8</v>
      </c>
      <c r="Z165" s="7">
        <v>119</v>
      </c>
      <c r="AA165" s="55">
        <v>40</v>
      </c>
      <c r="AB165" s="7">
        <v>29</v>
      </c>
      <c r="AC165" s="6">
        <v>23.1</v>
      </c>
      <c r="AD165" s="6">
        <v>123.6</v>
      </c>
      <c r="AE165" s="6">
        <v>22.7</v>
      </c>
      <c r="AF165" s="6">
        <v>8</v>
      </c>
      <c r="AG165" s="6">
        <v>22</v>
      </c>
      <c r="AH165" s="6">
        <v>14</v>
      </c>
      <c r="AI165" s="7">
        <v>20</v>
      </c>
      <c r="AJ165" s="6">
        <v>117</v>
      </c>
      <c r="AK165" s="7">
        <v>37</v>
      </c>
      <c r="AL165" s="7">
        <v>45</v>
      </c>
    </row>
    <row r="166" spans="2:38" s="9" customFormat="1" x14ac:dyDescent="0.2">
      <c r="B166" s="55">
        <v>1993</v>
      </c>
      <c r="C166" s="115" t="s">
        <v>297</v>
      </c>
      <c r="D166" s="6">
        <v>40</v>
      </c>
      <c r="E166" s="7">
        <v>35</v>
      </c>
      <c r="F166" s="6">
        <v>41.9</v>
      </c>
      <c r="G166" s="7">
        <v>191.5</v>
      </c>
      <c r="H166" s="6">
        <v>5</v>
      </c>
      <c r="I166" s="6">
        <v>47</v>
      </c>
      <c r="J166" s="7">
        <v>45</v>
      </c>
      <c r="K166" s="7">
        <v>16</v>
      </c>
      <c r="L166" s="6">
        <v>14.5</v>
      </c>
      <c r="M166" s="6">
        <v>48</v>
      </c>
      <c r="N166" s="7">
        <v>15</v>
      </c>
      <c r="O166" s="6">
        <v>47</v>
      </c>
      <c r="P166" s="7">
        <v>48</v>
      </c>
      <c r="Q166" s="6">
        <v>41</v>
      </c>
      <c r="R166" s="6">
        <v>34.700000000000003</v>
      </c>
      <c r="S166" s="6">
        <v>44.1</v>
      </c>
      <c r="T166" s="6">
        <v>9.3000000000000007</v>
      </c>
      <c r="U166" s="7">
        <v>23</v>
      </c>
      <c r="V166" s="7">
        <v>51</v>
      </c>
      <c r="W166" s="6">
        <v>12.9</v>
      </c>
      <c r="X166" s="6">
        <v>25</v>
      </c>
      <c r="Y166" s="6">
        <v>51.6</v>
      </c>
      <c r="Z166" s="7">
        <v>70</v>
      </c>
      <c r="AA166" s="55">
        <v>6.5</v>
      </c>
      <c r="AB166" s="7">
        <v>7</v>
      </c>
      <c r="AC166" s="6">
        <v>38.799999999999997</v>
      </c>
      <c r="AD166" s="6">
        <v>55.9</v>
      </c>
      <c r="AE166" s="6">
        <v>7.5</v>
      </c>
      <c r="AF166" s="258" t="s">
        <v>300</v>
      </c>
      <c r="AG166" s="6">
        <v>43</v>
      </c>
      <c r="AH166" s="6">
        <v>12</v>
      </c>
      <c r="AI166" s="7">
        <v>15.9</v>
      </c>
      <c r="AJ166" s="6">
        <v>39.700000000000003</v>
      </c>
      <c r="AK166" s="7">
        <v>4.5</v>
      </c>
      <c r="AL166" s="7">
        <v>41</v>
      </c>
    </row>
    <row r="167" spans="2:38" s="9" customFormat="1" x14ac:dyDescent="0.2">
      <c r="B167" s="55">
        <v>1993</v>
      </c>
      <c r="C167" s="115" t="s">
        <v>298</v>
      </c>
      <c r="D167" s="6">
        <v>210</v>
      </c>
      <c r="E167" s="7">
        <v>218</v>
      </c>
      <c r="F167" s="6">
        <v>284.3</v>
      </c>
      <c r="G167" s="7">
        <v>386</v>
      </c>
      <c r="H167" s="6">
        <v>298</v>
      </c>
      <c r="I167" s="6">
        <v>280</v>
      </c>
      <c r="J167" s="7">
        <v>91</v>
      </c>
      <c r="K167" s="7">
        <v>115</v>
      </c>
      <c r="L167" s="6">
        <v>166.5</v>
      </c>
      <c r="M167" s="6">
        <v>110</v>
      </c>
      <c r="N167" s="7">
        <v>198</v>
      </c>
      <c r="O167" s="6">
        <v>101</v>
      </c>
      <c r="P167" s="7">
        <v>87</v>
      </c>
      <c r="Q167" s="6">
        <v>78</v>
      </c>
      <c r="R167" s="6">
        <v>239.1</v>
      </c>
      <c r="S167" s="6">
        <v>139.19999999999999</v>
      </c>
      <c r="T167" s="6">
        <v>218.5</v>
      </c>
      <c r="U167" s="7">
        <v>146</v>
      </c>
      <c r="V167" s="7">
        <v>135</v>
      </c>
      <c r="W167" s="6">
        <v>249.1</v>
      </c>
      <c r="X167" s="6">
        <v>161.5</v>
      </c>
      <c r="Y167" s="6">
        <v>216.4</v>
      </c>
      <c r="Z167" s="7">
        <v>163</v>
      </c>
      <c r="AA167" s="55">
        <v>290</v>
      </c>
      <c r="AB167" s="7">
        <v>230.5</v>
      </c>
      <c r="AC167" s="6">
        <v>243.8</v>
      </c>
      <c r="AD167" s="6">
        <v>204.8</v>
      </c>
      <c r="AE167" s="6">
        <v>301.89999999999998</v>
      </c>
      <c r="AF167" s="6">
        <v>265</v>
      </c>
      <c r="AG167" s="6">
        <v>135</v>
      </c>
      <c r="AH167" s="6">
        <v>181</v>
      </c>
      <c r="AI167" s="7">
        <v>258</v>
      </c>
      <c r="AJ167" s="6">
        <v>82</v>
      </c>
      <c r="AK167" s="7">
        <v>337</v>
      </c>
      <c r="AL167" s="7">
        <v>135</v>
      </c>
    </row>
    <row r="168" spans="2:38" s="9" customFormat="1" x14ac:dyDescent="0.2">
      <c r="B168" s="55">
        <v>1993</v>
      </c>
      <c r="C168" s="115" t="s">
        <v>299</v>
      </c>
      <c r="D168" s="6">
        <v>68</v>
      </c>
      <c r="E168" s="7">
        <v>197</v>
      </c>
      <c r="F168" s="6">
        <v>227.5</v>
      </c>
      <c r="G168" s="7">
        <v>173.5</v>
      </c>
      <c r="H168" s="6">
        <v>282</v>
      </c>
      <c r="I168" s="6">
        <v>206</v>
      </c>
      <c r="J168" s="7">
        <v>126</v>
      </c>
      <c r="K168" s="7">
        <v>272</v>
      </c>
      <c r="L168" s="6">
        <v>114</v>
      </c>
      <c r="M168" s="6">
        <v>156</v>
      </c>
      <c r="N168" s="7">
        <v>205.5</v>
      </c>
      <c r="O168" s="6">
        <v>316</v>
      </c>
      <c r="P168" s="7">
        <v>136</v>
      </c>
      <c r="Q168" s="6">
        <v>170</v>
      </c>
      <c r="R168" s="6">
        <v>300.60000000000002</v>
      </c>
      <c r="S168" s="6">
        <v>171.6</v>
      </c>
      <c r="T168" s="6">
        <v>178.5</v>
      </c>
      <c r="U168" s="7">
        <v>116</v>
      </c>
      <c r="V168" s="7">
        <v>134.5</v>
      </c>
      <c r="W168" s="6">
        <v>148.4</v>
      </c>
      <c r="X168" s="6">
        <v>254</v>
      </c>
      <c r="Y168" s="6">
        <v>201.2</v>
      </c>
      <c r="Z168" s="7">
        <v>6</v>
      </c>
      <c r="AA168" s="55">
        <v>152.5</v>
      </c>
      <c r="AB168" s="7">
        <v>95</v>
      </c>
      <c r="AC168" s="6">
        <v>157.80000000000001</v>
      </c>
      <c r="AD168" s="6">
        <v>99.3</v>
      </c>
      <c r="AE168" s="6">
        <v>165.5</v>
      </c>
      <c r="AF168" s="6">
        <v>97</v>
      </c>
      <c r="AG168" s="6">
        <v>131</v>
      </c>
      <c r="AH168" s="6">
        <v>183</v>
      </c>
      <c r="AI168" s="7">
        <v>144.5</v>
      </c>
      <c r="AJ168" s="6">
        <v>117</v>
      </c>
      <c r="AK168" s="7">
        <v>111</v>
      </c>
      <c r="AL168" s="7">
        <v>207</v>
      </c>
    </row>
    <row r="169" spans="2:38" s="9" customFormat="1" x14ac:dyDescent="0.2">
      <c r="B169" s="55">
        <v>1993</v>
      </c>
      <c r="C169" s="115" t="s">
        <v>301</v>
      </c>
      <c r="D169" s="6">
        <v>121</v>
      </c>
      <c r="E169" s="7">
        <v>164</v>
      </c>
      <c r="F169" s="6">
        <v>134.4</v>
      </c>
      <c r="G169" s="7">
        <v>230</v>
      </c>
      <c r="H169" s="6">
        <v>73</v>
      </c>
      <c r="I169" s="6">
        <v>173</v>
      </c>
      <c r="J169" s="7">
        <v>148.5</v>
      </c>
      <c r="K169" s="7">
        <v>159</v>
      </c>
      <c r="L169" s="6">
        <v>109.5</v>
      </c>
      <c r="M169" s="6">
        <v>214</v>
      </c>
      <c r="N169" s="7">
        <v>187.5</v>
      </c>
      <c r="O169" s="6">
        <v>130</v>
      </c>
      <c r="P169" s="7">
        <v>142</v>
      </c>
      <c r="Q169" s="6">
        <v>196</v>
      </c>
      <c r="R169" s="6">
        <v>177.9</v>
      </c>
      <c r="S169" s="6">
        <v>134.9</v>
      </c>
      <c r="T169" s="6">
        <v>158.1</v>
      </c>
      <c r="U169" s="7">
        <v>149</v>
      </c>
      <c r="V169" s="7">
        <v>224</v>
      </c>
      <c r="W169" s="6">
        <v>138.6</v>
      </c>
      <c r="X169" s="6">
        <v>146.5</v>
      </c>
      <c r="Y169" s="6">
        <v>132.69999999999999</v>
      </c>
      <c r="Z169" s="7">
        <v>90</v>
      </c>
      <c r="AA169" s="55">
        <v>154</v>
      </c>
      <c r="AB169" s="7">
        <v>220</v>
      </c>
      <c r="AC169" s="6">
        <v>185.1</v>
      </c>
      <c r="AD169" s="6">
        <v>118.5</v>
      </c>
      <c r="AE169" s="6">
        <v>140.69999999999999</v>
      </c>
      <c r="AF169" s="6">
        <v>108</v>
      </c>
      <c r="AG169" s="6">
        <v>256</v>
      </c>
      <c r="AH169" s="6">
        <v>69</v>
      </c>
      <c r="AI169" s="7">
        <v>216</v>
      </c>
      <c r="AJ169" s="6">
        <v>203</v>
      </c>
      <c r="AK169" s="7">
        <v>110</v>
      </c>
      <c r="AL169" s="7">
        <v>192</v>
      </c>
    </row>
    <row r="170" spans="2:38" s="9" customFormat="1" x14ac:dyDescent="0.2">
      <c r="B170" s="55">
        <v>1994</v>
      </c>
      <c r="C170" s="115" t="s">
        <v>289</v>
      </c>
      <c r="D170" s="6">
        <v>77</v>
      </c>
      <c r="E170" s="7">
        <v>83</v>
      </c>
      <c r="F170" s="6">
        <v>14.4</v>
      </c>
      <c r="G170" s="7">
        <v>109</v>
      </c>
      <c r="H170" s="6">
        <v>22</v>
      </c>
      <c r="I170" s="6">
        <v>41</v>
      </c>
      <c r="J170" s="7">
        <v>105.5</v>
      </c>
      <c r="K170" s="7">
        <v>84</v>
      </c>
      <c r="L170" s="6">
        <v>134</v>
      </c>
      <c r="M170" s="6">
        <v>96</v>
      </c>
      <c r="N170" s="7">
        <v>68</v>
      </c>
      <c r="O170" s="6">
        <v>69</v>
      </c>
      <c r="P170" s="7">
        <v>69</v>
      </c>
      <c r="Q170" s="6">
        <v>184</v>
      </c>
      <c r="R170" s="6">
        <v>58.4</v>
      </c>
      <c r="S170" s="6">
        <v>97.6</v>
      </c>
      <c r="T170" s="6">
        <v>76</v>
      </c>
      <c r="U170" s="7">
        <v>169.5</v>
      </c>
      <c r="V170" s="7">
        <v>54</v>
      </c>
      <c r="W170" s="6">
        <v>95.7</v>
      </c>
      <c r="X170" s="6">
        <v>84</v>
      </c>
      <c r="Y170" s="6">
        <v>45.2</v>
      </c>
      <c r="Z170" s="7">
        <v>125</v>
      </c>
      <c r="AA170" s="55">
        <v>55</v>
      </c>
      <c r="AB170" s="7">
        <v>99</v>
      </c>
      <c r="AC170" s="6">
        <v>58.9</v>
      </c>
      <c r="AD170" s="6">
        <v>56.8</v>
      </c>
      <c r="AE170" s="6">
        <v>41.6</v>
      </c>
      <c r="AF170" s="6">
        <v>24</v>
      </c>
      <c r="AG170" s="6">
        <v>112</v>
      </c>
      <c r="AH170" s="6">
        <v>54</v>
      </c>
      <c r="AI170" s="7">
        <v>48</v>
      </c>
      <c r="AJ170" s="6">
        <v>152.80000000000001</v>
      </c>
      <c r="AK170" s="7">
        <v>34</v>
      </c>
      <c r="AL170" s="7">
        <v>40</v>
      </c>
    </row>
    <row r="171" spans="2:38" s="9" customFormat="1" x14ac:dyDescent="0.2">
      <c r="B171" s="55">
        <v>1994</v>
      </c>
      <c r="C171" s="115" t="s">
        <v>290</v>
      </c>
      <c r="D171" s="6">
        <v>32</v>
      </c>
      <c r="E171" s="7">
        <v>153</v>
      </c>
      <c r="F171" s="6">
        <v>205.4</v>
      </c>
      <c r="G171" s="7">
        <v>65</v>
      </c>
      <c r="H171" s="6">
        <v>92</v>
      </c>
      <c r="I171" s="6">
        <v>58</v>
      </c>
      <c r="J171" s="7">
        <v>68</v>
      </c>
      <c r="K171" s="7">
        <v>20</v>
      </c>
      <c r="L171" s="6">
        <v>66</v>
      </c>
      <c r="M171" s="6">
        <v>63</v>
      </c>
      <c r="N171" s="7">
        <v>57</v>
      </c>
      <c r="O171" s="6">
        <v>37</v>
      </c>
      <c r="P171" s="7">
        <v>133</v>
      </c>
      <c r="Q171" s="6">
        <v>94</v>
      </c>
      <c r="R171" s="6">
        <v>31.5</v>
      </c>
      <c r="S171" s="6">
        <v>155.1</v>
      </c>
      <c r="T171" s="6">
        <v>65.7</v>
      </c>
      <c r="U171" s="7">
        <v>168.5</v>
      </c>
      <c r="V171" s="7">
        <v>221.5</v>
      </c>
      <c r="W171" s="6">
        <v>75.3</v>
      </c>
      <c r="X171" s="6">
        <v>32</v>
      </c>
      <c r="Y171" s="6">
        <v>44.2</v>
      </c>
      <c r="Z171" s="7">
        <v>74</v>
      </c>
      <c r="AA171" s="55">
        <v>48</v>
      </c>
      <c r="AB171" s="7">
        <v>141</v>
      </c>
      <c r="AC171" s="6">
        <v>214.5</v>
      </c>
      <c r="AD171" s="6">
        <v>43.7</v>
      </c>
      <c r="AE171" s="6">
        <v>109.1</v>
      </c>
      <c r="AF171" s="6">
        <v>147</v>
      </c>
      <c r="AG171" s="6">
        <v>99</v>
      </c>
      <c r="AH171" s="6">
        <v>97</v>
      </c>
      <c r="AI171" s="7">
        <v>200.5</v>
      </c>
      <c r="AJ171" s="6">
        <v>120.5</v>
      </c>
      <c r="AK171" s="7">
        <v>89</v>
      </c>
      <c r="AL171" s="7">
        <v>174.5</v>
      </c>
    </row>
    <row r="172" spans="2:38" s="9" customFormat="1" x14ac:dyDescent="0.2">
      <c r="B172" s="55">
        <v>1994</v>
      </c>
      <c r="C172" s="115" t="s">
        <v>291</v>
      </c>
      <c r="D172" s="6">
        <v>86</v>
      </c>
      <c r="E172" s="7">
        <v>250</v>
      </c>
      <c r="F172" s="6">
        <v>100.6</v>
      </c>
      <c r="G172" s="7">
        <v>122.5</v>
      </c>
      <c r="H172" s="6">
        <v>164</v>
      </c>
      <c r="I172" s="6">
        <v>80</v>
      </c>
      <c r="J172" s="7">
        <v>263</v>
      </c>
      <c r="K172" s="7">
        <v>56</v>
      </c>
      <c r="L172" s="6">
        <v>97.5</v>
      </c>
      <c r="M172" s="6">
        <v>157</v>
      </c>
      <c r="N172" s="7">
        <v>128.5</v>
      </c>
      <c r="O172" s="6">
        <v>113</v>
      </c>
      <c r="P172" s="7">
        <v>198</v>
      </c>
      <c r="Q172" s="6">
        <v>159</v>
      </c>
      <c r="R172" s="6">
        <v>126</v>
      </c>
      <c r="S172" s="6">
        <v>192.1</v>
      </c>
      <c r="T172" s="6">
        <v>150.80000000000001</v>
      </c>
      <c r="U172" s="7">
        <v>236.5</v>
      </c>
      <c r="V172" s="7">
        <v>106.5</v>
      </c>
      <c r="W172" s="6">
        <v>95.9</v>
      </c>
      <c r="X172" s="6">
        <v>217</v>
      </c>
      <c r="Y172" s="6">
        <v>97.7</v>
      </c>
      <c r="Z172" s="7">
        <v>127</v>
      </c>
      <c r="AA172" s="55">
        <v>89</v>
      </c>
      <c r="AB172" s="7">
        <v>82</v>
      </c>
      <c r="AC172" s="6">
        <v>88.7</v>
      </c>
      <c r="AD172" s="6">
        <v>111.3</v>
      </c>
      <c r="AE172" s="6">
        <v>93.2</v>
      </c>
      <c r="AF172" s="6">
        <v>160</v>
      </c>
      <c r="AG172" s="6">
        <v>104</v>
      </c>
      <c r="AH172" s="6">
        <v>135</v>
      </c>
      <c r="AI172" s="7">
        <v>120</v>
      </c>
      <c r="AJ172" s="6">
        <v>178.1</v>
      </c>
      <c r="AK172" s="7">
        <v>115</v>
      </c>
      <c r="AL172" s="7">
        <v>185.5</v>
      </c>
    </row>
    <row r="173" spans="2:38" s="9" customFormat="1" x14ac:dyDescent="0.2">
      <c r="B173" s="55">
        <v>1994</v>
      </c>
      <c r="C173" s="115" t="s">
        <v>292</v>
      </c>
      <c r="D173" s="6">
        <v>51</v>
      </c>
      <c r="E173" s="7">
        <v>49</v>
      </c>
      <c r="F173" s="6">
        <v>71.599999999999994</v>
      </c>
      <c r="G173" s="7">
        <v>23</v>
      </c>
      <c r="H173" s="6">
        <v>42</v>
      </c>
      <c r="I173" s="6">
        <v>45</v>
      </c>
      <c r="J173" s="7">
        <v>32</v>
      </c>
      <c r="K173" s="7">
        <v>46</v>
      </c>
      <c r="L173" s="6">
        <v>34</v>
      </c>
      <c r="M173" s="6">
        <v>13</v>
      </c>
      <c r="N173" s="7">
        <v>83</v>
      </c>
      <c r="O173" s="6">
        <v>62</v>
      </c>
      <c r="P173" s="7">
        <v>71</v>
      </c>
      <c r="Q173" s="6">
        <v>20</v>
      </c>
      <c r="R173" s="6">
        <v>88.4</v>
      </c>
      <c r="S173" s="6">
        <v>48.4</v>
      </c>
      <c r="T173" s="6">
        <v>94.9</v>
      </c>
      <c r="U173" s="7">
        <v>37</v>
      </c>
      <c r="V173" s="7">
        <v>82</v>
      </c>
      <c r="W173" s="6">
        <v>77</v>
      </c>
      <c r="X173" s="6">
        <v>79</v>
      </c>
      <c r="Y173" s="6">
        <v>140.80000000000001</v>
      </c>
      <c r="Z173" s="7">
        <v>38</v>
      </c>
      <c r="AA173" s="55">
        <v>60</v>
      </c>
      <c r="AB173" s="7">
        <v>36.5</v>
      </c>
      <c r="AC173" s="6">
        <v>93.3</v>
      </c>
      <c r="AD173" s="6">
        <v>87.1</v>
      </c>
      <c r="AE173" s="6">
        <v>52.8</v>
      </c>
      <c r="AF173" s="6">
        <v>53</v>
      </c>
      <c r="AG173" s="6">
        <v>49</v>
      </c>
      <c r="AH173" s="6">
        <v>60</v>
      </c>
      <c r="AI173" s="7">
        <v>121</v>
      </c>
      <c r="AJ173" s="6">
        <v>18.7</v>
      </c>
      <c r="AK173" s="7">
        <v>43.5</v>
      </c>
      <c r="AL173" s="7">
        <v>55</v>
      </c>
    </row>
    <row r="174" spans="2:38" s="9" customFormat="1" x14ac:dyDescent="0.2">
      <c r="B174" s="55">
        <v>1994</v>
      </c>
      <c r="C174" s="115" t="s">
        <v>293</v>
      </c>
      <c r="D174" s="6">
        <v>150</v>
      </c>
      <c r="E174" s="7">
        <v>54</v>
      </c>
      <c r="F174" s="6">
        <v>71.8</v>
      </c>
      <c r="G174" s="7">
        <v>82</v>
      </c>
      <c r="H174" s="6">
        <v>134</v>
      </c>
      <c r="I174" s="6">
        <v>190</v>
      </c>
      <c r="J174" s="7">
        <v>113</v>
      </c>
      <c r="K174" s="7">
        <v>110</v>
      </c>
      <c r="L174" s="6">
        <v>129</v>
      </c>
      <c r="M174" s="6">
        <v>133</v>
      </c>
      <c r="N174" s="7">
        <v>122.5</v>
      </c>
      <c r="O174" s="6">
        <v>58</v>
      </c>
      <c r="P174" s="7">
        <v>84</v>
      </c>
      <c r="Q174" s="6">
        <v>72</v>
      </c>
      <c r="R174" s="6">
        <v>131.5</v>
      </c>
      <c r="S174" s="6">
        <v>63</v>
      </c>
      <c r="T174" s="6">
        <v>93.3</v>
      </c>
      <c r="U174" s="7">
        <v>97</v>
      </c>
      <c r="V174" s="7">
        <v>74</v>
      </c>
      <c r="W174" s="6">
        <v>79.5</v>
      </c>
      <c r="X174" s="6">
        <v>138</v>
      </c>
      <c r="Y174" s="6">
        <v>153.4</v>
      </c>
      <c r="Z174" s="7">
        <v>194</v>
      </c>
      <c r="AA174" s="55">
        <v>62</v>
      </c>
      <c r="AB174" s="7">
        <v>101</v>
      </c>
      <c r="AC174" s="6">
        <v>81.2</v>
      </c>
      <c r="AD174" s="6">
        <v>154.19999999999999</v>
      </c>
      <c r="AE174" s="6">
        <v>56</v>
      </c>
      <c r="AF174" s="6">
        <v>74</v>
      </c>
      <c r="AG174" s="6">
        <v>60</v>
      </c>
      <c r="AH174" s="6">
        <v>81</v>
      </c>
      <c r="AI174" s="7">
        <v>67.5</v>
      </c>
      <c r="AJ174" s="6">
        <v>102.7</v>
      </c>
      <c r="AK174" s="7">
        <v>30.5</v>
      </c>
      <c r="AL174" s="7">
        <v>94.5</v>
      </c>
    </row>
    <row r="175" spans="2:38" s="9" customFormat="1" x14ac:dyDescent="0.2">
      <c r="B175" s="55">
        <v>1994</v>
      </c>
      <c r="C175" s="115" t="s">
        <v>294</v>
      </c>
      <c r="D175" s="6">
        <v>46</v>
      </c>
      <c r="E175" s="7">
        <v>123</v>
      </c>
      <c r="F175" s="6">
        <v>129.80000000000001</v>
      </c>
      <c r="G175" s="7">
        <v>31</v>
      </c>
      <c r="H175" s="6">
        <v>73</v>
      </c>
      <c r="I175" s="6">
        <v>41</v>
      </c>
      <c r="J175" s="7">
        <v>51</v>
      </c>
      <c r="K175" s="7">
        <v>25</v>
      </c>
      <c r="L175" s="6">
        <v>19.5</v>
      </c>
      <c r="M175" s="6">
        <v>81</v>
      </c>
      <c r="N175" s="7">
        <v>20</v>
      </c>
      <c r="O175" s="6">
        <v>47</v>
      </c>
      <c r="P175" s="7">
        <v>139</v>
      </c>
      <c r="Q175" s="6">
        <v>55</v>
      </c>
      <c r="R175" s="6">
        <v>44.8</v>
      </c>
      <c r="S175" s="6">
        <v>187.9</v>
      </c>
      <c r="T175" s="6">
        <v>18.399999999999999</v>
      </c>
      <c r="U175" s="7">
        <v>40</v>
      </c>
      <c r="V175" s="7">
        <v>237</v>
      </c>
      <c r="W175" s="6">
        <v>29.6</v>
      </c>
      <c r="X175" s="6">
        <v>19</v>
      </c>
      <c r="Y175" s="6">
        <v>51.3</v>
      </c>
      <c r="Z175" s="7">
        <v>15</v>
      </c>
      <c r="AA175" s="55">
        <v>24</v>
      </c>
      <c r="AB175" s="7">
        <v>141</v>
      </c>
      <c r="AC175" s="6">
        <v>86.1</v>
      </c>
      <c r="AD175" s="6">
        <v>53.8</v>
      </c>
      <c r="AE175" s="6">
        <v>81.5</v>
      </c>
      <c r="AF175" s="6">
        <v>28</v>
      </c>
      <c r="AG175" s="6">
        <v>140</v>
      </c>
      <c r="AH175" s="6">
        <v>101</v>
      </c>
      <c r="AI175" s="7">
        <v>102.5</v>
      </c>
      <c r="AJ175" s="6">
        <v>73.8</v>
      </c>
      <c r="AK175" s="7">
        <v>81</v>
      </c>
      <c r="AL175" s="7">
        <v>229</v>
      </c>
    </row>
    <row r="176" spans="2:38" s="9" customFormat="1" x14ac:dyDescent="0.2">
      <c r="B176" s="55">
        <v>1994</v>
      </c>
      <c r="C176" s="115" t="s">
        <v>295</v>
      </c>
      <c r="D176" s="6">
        <v>166</v>
      </c>
      <c r="E176" s="7">
        <v>225</v>
      </c>
      <c r="F176" s="6">
        <v>60.9</v>
      </c>
      <c r="G176" s="7">
        <v>167</v>
      </c>
      <c r="H176" s="6">
        <v>48</v>
      </c>
      <c r="I176" s="6">
        <v>126</v>
      </c>
      <c r="J176" s="7">
        <v>198.5</v>
      </c>
      <c r="K176" s="7">
        <v>99</v>
      </c>
      <c r="L176" s="6">
        <v>133</v>
      </c>
      <c r="M176" s="6">
        <v>231</v>
      </c>
      <c r="N176" s="7">
        <v>92</v>
      </c>
      <c r="O176" s="6">
        <v>232</v>
      </c>
      <c r="P176" s="7">
        <v>241</v>
      </c>
      <c r="Q176" s="6">
        <v>233</v>
      </c>
      <c r="R176" s="6">
        <v>149.1</v>
      </c>
      <c r="S176" s="6">
        <v>223</v>
      </c>
      <c r="T176" s="6">
        <v>94.4</v>
      </c>
      <c r="U176" s="7">
        <v>119</v>
      </c>
      <c r="V176" s="7">
        <v>121</v>
      </c>
      <c r="W176" s="6">
        <v>74.7</v>
      </c>
      <c r="X176" s="6">
        <v>87</v>
      </c>
      <c r="Y176" s="6">
        <v>144.69999999999999</v>
      </c>
      <c r="Z176" s="7">
        <v>98</v>
      </c>
      <c r="AA176" s="55">
        <v>80</v>
      </c>
      <c r="AB176" s="7">
        <v>137</v>
      </c>
      <c r="AC176" s="6">
        <v>115.8</v>
      </c>
      <c r="AD176" s="6">
        <v>216.2</v>
      </c>
      <c r="AE176" s="6">
        <v>111.1</v>
      </c>
      <c r="AF176" s="6">
        <v>56</v>
      </c>
      <c r="AG176" s="6">
        <v>224</v>
      </c>
      <c r="AH176" s="6">
        <v>36</v>
      </c>
      <c r="AI176" s="7">
        <v>124</v>
      </c>
      <c r="AJ176" s="6">
        <v>240.7</v>
      </c>
      <c r="AK176" s="7">
        <v>99</v>
      </c>
      <c r="AL176" s="7">
        <v>155</v>
      </c>
    </row>
    <row r="177" spans="2:38" s="9" customFormat="1" x14ac:dyDescent="0.2">
      <c r="B177" s="55">
        <v>1994</v>
      </c>
      <c r="C177" s="115" t="s">
        <v>296</v>
      </c>
      <c r="D177" s="6">
        <v>78</v>
      </c>
      <c r="E177" s="7">
        <v>61</v>
      </c>
      <c r="F177" s="6">
        <v>63</v>
      </c>
      <c r="G177" s="7">
        <v>92.5</v>
      </c>
      <c r="H177" s="6">
        <v>45</v>
      </c>
      <c r="I177" s="6">
        <v>49</v>
      </c>
      <c r="J177" s="7">
        <v>150.5</v>
      </c>
      <c r="K177" s="7">
        <v>25</v>
      </c>
      <c r="L177" s="6">
        <v>140</v>
      </c>
      <c r="M177" s="6">
        <v>81</v>
      </c>
      <c r="N177" s="7">
        <v>26.5</v>
      </c>
      <c r="O177" s="6">
        <v>144</v>
      </c>
      <c r="P177" s="7">
        <v>61</v>
      </c>
      <c r="Q177" s="6">
        <v>181</v>
      </c>
      <c r="R177" s="6">
        <v>26.9</v>
      </c>
      <c r="S177" s="6">
        <v>82.7</v>
      </c>
      <c r="T177" s="6">
        <v>27.5</v>
      </c>
      <c r="U177" s="7">
        <v>62</v>
      </c>
      <c r="V177" s="7">
        <v>50</v>
      </c>
      <c r="W177" s="6">
        <v>24.3</v>
      </c>
      <c r="X177" s="6">
        <v>29</v>
      </c>
      <c r="Y177" s="6">
        <v>33.200000000000003</v>
      </c>
      <c r="Z177" s="7">
        <v>124</v>
      </c>
      <c r="AA177" s="55">
        <v>62</v>
      </c>
      <c r="AB177" s="7">
        <v>103</v>
      </c>
      <c r="AC177" s="6">
        <v>70.099999999999994</v>
      </c>
      <c r="AD177" s="6">
        <v>106</v>
      </c>
      <c r="AE177" s="6">
        <v>91.1</v>
      </c>
      <c r="AF177" s="6">
        <v>90</v>
      </c>
      <c r="AG177" s="6">
        <v>64</v>
      </c>
      <c r="AH177" s="6">
        <v>76</v>
      </c>
      <c r="AI177" s="7">
        <v>72.5</v>
      </c>
      <c r="AJ177" s="6">
        <v>171.6</v>
      </c>
      <c r="AK177" s="7">
        <v>120</v>
      </c>
      <c r="AL177" s="7">
        <v>125.5</v>
      </c>
    </row>
    <row r="178" spans="2:38" s="9" customFormat="1" x14ac:dyDescent="0.2">
      <c r="B178" s="55">
        <v>1994</v>
      </c>
      <c r="C178" s="115" t="s">
        <v>297</v>
      </c>
      <c r="D178" s="6">
        <v>157</v>
      </c>
      <c r="E178" s="7">
        <v>54</v>
      </c>
      <c r="F178" s="6">
        <v>73.099999999999994</v>
      </c>
      <c r="G178" s="7">
        <v>138</v>
      </c>
      <c r="H178" s="6">
        <v>81</v>
      </c>
      <c r="I178" s="6">
        <v>112</v>
      </c>
      <c r="J178" s="7">
        <v>71</v>
      </c>
      <c r="K178" s="7">
        <v>75</v>
      </c>
      <c r="L178" s="6">
        <v>34</v>
      </c>
      <c r="M178" s="6">
        <v>45</v>
      </c>
      <c r="N178" s="7">
        <v>140</v>
      </c>
      <c r="O178" s="6">
        <v>137</v>
      </c>
      <c r="P178" s="7">
        <v>103</v>
      </c>
      <c r="Q178" s="6">
        <v>195</v>
      </c>
      <c r="R178" s="6">
        <v>21.2</v>
      </c>
      <c r="S178" s="6">
        <v>51.2</v>
      </c>
      <c r="T178" s="6">
        <v>30.3</v>
      </c>
      <c r="U178" s="7">
        <v>62.6</v>
      </c>
      <c r="V178" s="7">
        <v>3</v>
      </c>
      <c r="W178" s="6">
        <v>24.3</v>
      </c>
      <c r="X178" s="6">
        <v>131</v>
      </c>
      <c r="Y178" s="6">
        <v>74.7</v>
      </c>
      <c r="Z178" s="7">
        <v>140.5</v>
      </c>
      <c r="AA178" s="55">
        <v>62.5</v>
      </c>
      <c r="AB178" s="7">
        <v>94</v>
      </c>
      <c r="AC178" s="6">
        <v>99.4</v>
      </c>
      <c r="AD178" s="6">
        <v>94.2</v>
      </c>
      <c r="AE178" s="6">
        <v>69.900000000000006</v>
      </c>
      <c r="AF178" s="6">
        <v>160</v>
      </c>
      <c r="AG178" s="6">
        <v>79</v>
      </c>
      <c r="AH178" s="6">
        <v>81</v>
      </c>
      <c r="AI178" s="7">
        <v>74.400000000000006</v>
      </c>
      <c r="AJ178" s="6">
        <v>100.1</v>
      </c>
      <c r="AK178" s="7">
        <v>51</v>
      </c>
      <c r="AL178" s="7">
        <v>55</v>
      </c>
    </row>
    <row r="179" spans="2:38" s="9" customFormat="1" x14ac:dyDescent="0.2">
      <c r="B179" s="55">
        <v>1994</v>
      </c>
      <c r="C179" s="115" t="s">
        <v>298</v>
      </c>
      <c r="D179" s="6">
        <v>181</v>
      </c>
      <c r="E179" s="7">
        <v>132</v>
      </c>
      <c r="F179" s="6">
        <v>181.8</v>
      </c>
      <c r="G179" s="7">
        <v>178</v>
      </c>
      <c r="H179" s="6">
        <v>150</v>
      </c>
      <c r="I179" s="6">
        <v>212</v>
      </c>
      <c r="J179" s="7">
        <v>128</v>
      </c>
      <c r="K179" s="7">
        <v>82</v>
      </c>
      <c r="L179" s="6">
        <v>128</v>
      </c>
      <c r="M179" s="6">
        <v>216</v>
      </c>
      <c r="N179" s="7">
        <v>173</v>
      </c>
      <c r="O179" s="6">
        <v>136</v>
      </c>
      <c r="P179" s="7">
        <v>180</v>
      </c>
      <c r="Q179" s="6">
        <v>180</v>
      </c>
      <c r="R179" s="6">
        <v>125.1</v>
      </c>
      <c r="S179" s="6">
        <v>220.4</v>
      </c>
      <c r="T179" s="6">
        <v>99.2</v>
      </c>
      <c r="U179" s="7">
        <v>142.5</v>
      </c>
      <c r="V179" s="7">
        <v>220</v>
      </c>
      <c r="W179" s="6">
        <v>200.6</v>
      </c>
      <c r="X179" s="6">
        <v>184</v>
      </c>
      <c r="Y179" s="6">
        <v>160.30000000000001</v>
      </c>
      <c r="Z179" s="7">
        <v>242</v>
      </c>
      <c r="AA179" s="55">
        <v>187</v>
      </c>
      <c r="AB179" s="7">
        <v>149.5</v>
      </c>
      <c r="AC179" s="6">
        <v>208.1</v>
      </c>
      <c r="AD179" s="6">
        <v>131.19999999999999</v>
      </c>
      <c r="AE179" s="6">
        <v>151.5</v>
      </c>
      <c r="AF179" s="6">
        <v>112</v>
      </c>
      <c r="AG179" s="6">
        <v>203</v>
      </c>
      <c r="AH179" s="6">
        <v>246</v>
      </c>
      <c r="AI179" s="7">
        <v>204.5</v>
      </c>
      <c r="AJ179" s="6">
        <v>183.1</v>
      </c>
      <c r="AK179" s="7">
        <v>172</v>
      </c>
      <c r="AL179" s="7">
        <v>169</v>
      </c>
    </row>
    <row r="180" spans="2:38" s="9" customFormat="1" x14ac:dyDescent="0.2">
      <c r="B180" s="55">
        <v>1994</v>
      </c>
      <c r="C180" s="115" t="s">
        <v>299</v>
      </c>
      <c r="D180" s="6">
        <v>56</v>
      </c>
      <c r="E180" s="7">
        <v>16</v>
      </c>
      <c r="F180" s="6">
        <v>47.3</v>
      </c>
      <c r="G180" s="7">
        <v>57</v>
      </c>
      <c r="H180" s="6">
        <v>72</v>
      </c>
      <c r="I180" s="6">
        <v>79</v>
      </c>
      <c r="J180" s="7">
        <v>24</v>
      </c>
      <c r="K180" s="7">
        <v>25</v>
      </c>
      <c r="L180" s="6">
        <v>61</v>
      </c>
      <c r="M180" s="6">
        <v>44</v>
      </c>
      <c r="N180" s="7">
        <v>30</v>
      </c>
      <c r="O180" s="6">
        <v>38</v>
      </c>
      <c r="P180" s="7">
        <v>31</v>
      </c>
      <c r="Q180" s="6">
        <v>43</v>
      </c>
      <c r="R180" s="6">
        <v>40.6</v>
      </c>
      <c r="S180" s="6">
        <v>38.299999999999997</v>
      </c>
      <c r="T180" s="6">
        <v>24.5</v>
      </c>
      <c r="U180" s="7">
        <v>53.5</v>
      </c>
      <c r="V180" s="7">
        <v>38</v>
      </c>
      <c r="W180" s="6">
        <v>60.3</v>
      </c>
      <c r="X180" s="6">
        <v>105</v>
      </c>
      <c r="Y180" s="6">
        <v>166.2</v>
      </c>
      <c r="Z180" s="7">
        <v>95.5</v>
      </c>
      <c r="AA180" s="55">
        <v>111</v>
      </c>
      <c r="AB180" s="7">
        <v>80</v>
      </c>
      <c r="AC180" s="6">
        <v>86.6</v>
      </c>
      <c r="AD180" s="6">
        <v>61.6</v>
      </c>
      <c r="AE180" s="6">
        <v>102.2</v>
      </c>
      <c r="AF180" s="6">
        <v>66</v>
      </c>
      <c r="AG180" s="6">
        <v>52</v>
      </c>
      <c r="AH180" s="6">
        <v>76</v>
      </c>
      <c r="AI180" s="7">
        <v>64</v>
      </c>
      <c r="AJ180" s="6">
        <v>26.5</v>
      </c>
      <c r="AK180" s="7">
        <v>94</v>
      </c>
      <c r="AL180" s="7">
        <v>67</v>
      </c>
    </row>
    <row r="181" spans="2:38" s="9" customFormat="1" x14ac:dyDescent="0.2">
      <c r="B181" s="55">
        <v>1994</v>
      </c>
      <c r="C181" s="115" t="s">
        <v>301</v>
      </c>
      <c r="D181" s="6">
        <v>27</v>
      </c>
      <c r="E181" s="7">
        <v>104</v>
      </c>
      <c r="F181" s="6">
        <v>143.30000000000001</v>
      </c>
      <c r="G181" s="7">
        <v>72</v>
      </c>
      <c r="H181" s="6">
        <v>163</v>
      </c>
      <c r="I181" s="6">
        <v>29</v>
      </c>
      <c r="J181" s="7">
        <v>127</v>
      </c>
      <c r="K181" s="7">
        <v>146</v>
      </c>
      <c r="L181" s="6">
        <v>99</v>
      </c>
      <c r="M181" s="6">
        <v>133</v>
      </c>
      <c r="N181" s="7">
        <v>53</v>
      </c>
      <c r="O181" s="6">
        <v>25</v>
      </c>
      <c r="P181" s="7">
        <v>94</v>
      </c>
      <c r="Q181" s="6">
        <v>53</v>
      </c>
      <c r="R181" s="6">
        <v>123.9</v>
      </c>
      <c r="S181" s="6">
        <v>98.9</v>
      </c>
      <c r="T181" s="6">
        <v>73.7</v>
      </c>
      <c r="U181" s="7">
        <v>153</v>
      </c>
      <c r="V181" s="7">
        <v>96</v>
      </c>
      <c r="W181" s="6">
        <v>104.5</v>
      </c>
      <c r="X181" s="6">
        <v>131</v>
      </c>
      <c r="Y181" s="6">
        <v>77.400000000000006</v>
      </c>
      <c r="Z181" s="7">
        <v>89</v>
      </c>
      <c r="AA181" s="55">
        <v>92</v>
      </c>
      <c r="AB181" s="7">
        <v>109</v>
      </c>
      <c r="AC181" s="6">
        <v>48.3</v>
      </c>
      <c r="AD181" s="6">
        <v>49.4</v>
      </c>
      <c r="AE181" s="6">
        <v>118.2</v>
      </c>
      <c r="AF181" s="6">
        <v>129</v>
      </c>
      <c r="AG181" s="6">
        <v>72</v>
      </c>
      <c r="AH181" s="6">
        <v>123</v>
      </c>
      <c r="AI181" s="7">
        <v>140</v>
      </c>
      <c r="AJ181" s="6">
        <v>84.9</v>
      </c>
      <c r="AK181" s="7">
        <v>55</v>
      </c>
      <c r="AL181" s="7">
        <v>62</v>
      </c>
    </row>
    <row r="182" spans="2:38" s="9" customFormat="1" x14ac:dyDescent="0.2">
      <c r="B182" s="55">
        <v>1995</v>
      </c>
      <c r="C182" s="115" t="s">
        <v>289</v>
      </c>
      <c r="D182" s="6">
        <v>93</v>
      </c>
      <c r="E182" s="7">
        <v>49</v>
      </c>
      <c r="F182" s="6">
        <v>50.9</v>
      </c>
      <c r="G182" s="7">
        <v>73</v>
      </c>
      <c r="H182" s="6">
        <v>87</v>
      </c>
      <c r="I182" s="6">
        <v>44</v>
      </c>
      <c r="J182" s="7">
        <v>56.5</v>
      </c>
      <c r="K182" s="7">
        <v>47</v>
      </c>
      <c r="L182" s="6">
        <v>54</v>
      </c>
      <c r="M182" s="6">
        <v>23</v>
      </c>
      <c r="N182" s="7">
        <v>123.5</v>
      </c>
      <c r="O182" s="6">
        <v>48</v>
      </c>
      <c r="P182" s="7">
        <v>24</v>
      </c>
      <c r="Q182" s="6">
        <v>50</v>
      </c>
      <c r="R182" s="6">
        <v>52.8</v>
      </c>
      <c r="S182" s="6">
        <v>94</v>
      </c>
      <c r="T182" s="6">
        <v>96.6</v>
      </c>
      <c r="U182" s="7">
        <v>120</v>
      </c>
      <c r="V182" s="7">
        <v>65</v>
      </c>
      <c r="W182" s="6">
        <v>126.1</v>
      </c>
      <c r="X182" s="6">
        <v>105</v>
      </c>
      <c r="Y182" s="6">
        <v>58.4</v>
      </c>
      <c r="Z182" s="7">
        <v>32</v>
      </c>
      <c r="AA182" s="55">
        <v>68</v>
      </c>
      <c r="AB182" s="7">
        <v>39</v>
      </c>
      <c r="AC182" s="6">
        <v>104.5</v>
      </c>
      <c r="AD182" s="6">
        <v>129.80000000000001</v>
      </c>
      <c r="AE182" s="6">
        <v>62.5</v>
      </c>
      <c r="AF182" s="6">
        <v>95</v>
      </c>
      <c r="AG182" s="6">
        <v>46</v>
      </c>
      <c r="AH182" s="6">
        <v>114</v>
      </c>
      <c r="AI182" s="7">
        <v>46</v>
      </c>
      <c r="AJ182" s="6">
        <v>59.8</v>
      </c>
      <c r="AK182" s="7">
        <v>53</v>
      </c>
      <c r="AL182" s="7">
        <v>64</v>
      </c>
    </row>
    <row r="183" spans="2:38" s="9" customFormat="1" x14ac:dyDescent="0.2">
      <c r="B183" s="55">
        <v>1995</v>
      </c>
      <c r="C183" s="115" t="s">
        <v>290</v>
      </c>
      <c r="D183" s="6">
        <v>89</v>
      </c>
      <c r="E183" s="7">
        <v>166</v>
      </c>
      <c r="F183" s="6">
        <v>188.6</v>
      </c>
      <c r="G183" s="7">
        <v>230</v>
      </c>
      <c r="H183" s="6">
        <v>166</v>
      </c>
      <c r="I183" s="6">
        <v>17</v>
      </c>
      <c r="J183" s="7">
        <v>112.5</v>
      </c>
      <c r="K183" s="7">
        <v>130</v>
      </c>
      <c r="L183" s="6">
        <v>22</v>
      </c>
      <c r="M183" s="6">
        <v>96</v>
      </c>
      <c r="N183" s="7">
        <v>123</v>
      </c>
      <c r="O183" s="6">
        <v>187</v>
      </c>
      <c r="P183" s="7">
        <v>111</v>
      </c>
      <c r="Q183" s="6">
        <v>128</v>
      </c>
      <c r="R183" s="6">
        <v>45.6</v>
      </c>
      <c r="S183" s="6">
        <v>165.8</v>
      </c>
      <c r="T183" s="6">
        <v>63.3</v>
      </c>
      <c r="U183" s="7">
        <v>93.5</v>
      </c>
      <c r="V183" s="7">
        <v>122</v>
      </c>
      <c r="W183" s="6">
        <v>38.6</v>
      </c>
      <c r="X183" s="6">
        <v>114</v>
      </c>
      <c r="Y183" s="6">
        <v>93</v>
      </c>
      <c r="Z183" s="7">
        <v>52</v>
      </c>
      <c r="AA183" s="55">
        <v>110</v>
      </c>
      <c r="AB183" s="7">
        <v>111.5</v>
      </c>
      <c r="AC183" s="6">
        <v>264.89999999999998</v>
      </c>
      <c r="AD183" s="6">
        <v>150.4</v>
      </c>
      <c r="AE183" s="6">
        <v>134.30000000000001</v>
      </c>
      <c r="AF183" s="6">
        <v>347</v>
      </c>
      <c r="AG183" s="6">
        <v>296</v>
      </c>
      <c r="AH183" s="6">
        <v>210</v>
      </c>
      <c r="AI183" s="7">
        <v>207.5</v>
      </c>
      <c r="AJ183" s="6">
        <v>115.5</v>
      </c>
      <c r="AK183" s="7">
        <v>231.9</v>
      </c>
      <c r="AL183" s="7">
        <v>94</v>
      </c>
    </row>
    <row r="184" spans="2:38" s="9" customFormat="1" x14ac:dyDescent="0.2">
      <c r="B184" s="55">
        <v>1995</v>
      </c>
      <c r="C184" s="115" t="s">
        <v>291</v>
      </c>
      <c r="D184" s="6">
        <v>222</v>
      </c>
      <c r="E184" s="7">
        <v>121</v>
      </c>
      <c r="F184" s="6">
        <v>133.9</v>
      </c>
      <c r="G184" s="7">
        <v>144</v>
      </c>
      <c r="H184" s="6">
        <v>195</v>
      </c>
      <c r="I184" s="6">
        <v>175</v>
      </c>
      <c r="J184" s="7">
        <v>101</v>
      </c>
      <c r="K184" s="7">
        <v>102</v>
      </c>
      <c r="L184" s="6">
        <v>135</v>
      </c>
      <c r="M184" s="6">
        <v>97</v>
      </c>
      <c r="N184" s="7">
        <v>227.5</v>
      </c>
      <c r="O184" s="6">
        <v>146</v>
      </c>
      <c r="P184" s="7">
        <v>106</v>
      </c>
      <c r="Q184" s="6">
        <v>143</v>
      </c>
      <c r="R184" s="6">
        <v>157</v>
      </c>
      <c r="S184" s="6">
        <v>93.3</v>
      </c>
      <c r="T184" s="6">
        <v>203.2</v>
      </c>
      <c r="U184" s="7">
        <v>177</v>
      </c>
      <c r="V184" s="7">
        <v>130.5</v>
      </c>
      <c r="W184" s="6">
        <v>154</v>
      </c>
      <c r="X184" s="6">
        <v>265</v>
      </c>
      <c r="Y184" s="6">
        <v>146.1</v>
      </c>
      <c r="Z184" s="7">
        <v>133</v>
      </c>
      <c r="AA184" s="55">
        <v>137</v>
      </c>
      <c r="AB184" s="7">
        <v>125.5</v>
      </c>
      <c r="AC184" s="6">
        <v>124.2</v>
      </c>
      <c r="AD184" s="6">
        <v>221.8</v>
      </c>
      <c r="AE184" s="6">
        <v>129.6</v>
      </c>
      <c r="AF184" s="6">
        <v>196</v>
      </c>
      <c r="AG184" s="6">
        <v>124</v>
      </c>
      <c r="AH184" s="6">
        <v>183</v>
      </c>
      <c r="AI184" s="7">
        <v>127.3</v>
      </c>
      <c r="AJ184" s="6">
        <v>109.2</v>
      </c>
      <c r="AK184" s="7">
        <v>208</v>
      </c>
      <c r="AL184" s="7">
        <v>149</v>
      </c>
    </row>
    <row r="185" spans="2:38" s="9" customFormat="1" x14ac:dyDescent="0.2">
      <c r="B185" s="55">
        <v>1995</v>
      </c>
      <c r="C185" s="115" t="s">
        <v>292</v>
      </c>
      <c r="D185" s="6">
        <v>56</v>
      </c>
      <c r="E185" s="7">
        <v>139</v>
      </c>
      <c r="F185" s="6">
        <v>62.6</v>
      </c>
      <c r="G185" s="7">
        <v>126</v>
      </c>
      <c r="H185" s="6">
        <v>82</v>
      </c>
      <c r="I185" s="6">
        <v>131</v>
      </c>
      <c r="J185" s="7">
        <v>83</v>
      </c>
      <c r="K185" s="7">
        <v>174</v>
      </c>
      <c r="L185" s="6">
        <v>66</v>
      </c>
      <c r="M185" s="6">
        <v>141</v>
      </c>
      <c r="N185" s="7">
        <v>100</v>
      </c>
      <c r="O185" s="6">
        <v>83</v>
      </c>
      <c r="P185" s="7">
        <v>105</v>
      </c>
      <c r="Q185" s="6">
        <v>97</v>
      </c>
      <c r="R185" s="6">
        <v>171.8</v>
      </c>
      <c r="S185" s="6">
        <v>65.599999999999994</v>
      </c>
      <c r="T185" s="6">
        <v>84.1</v>
      </c>
      <c r="U185" s="7">
        <v>102</v>
      </c>
      <c r="V185" s="7">
        <v>94</v>
      </c>
      <c r="W185" s="6">
        <v>135.1</v>
      </c>
      <c r="X185" s="6">
        <v>95</v>
      </c>
      <c r="Y185" s="6">
        <v>124.5</v>
      </c>
      <c r="Z185" s="7">
        <v>33</v>
      </c>
      <c r="AA185" s="55">
        <v>157</v>
      </c>
      <c r="AB185" s="7">
        <v>178</v>
      </c>
      <c r="AC185" s="6">
        <v>55</v>
      </c>
      <c r="AD185" s="6">
        <v>57</v>
      </c>
      <c r="AE185" s="6">
        <v>122.2</v>
      </c>
      <c r="AF185" s="6">
        <v>75</v>
      </c>
      <c r="AG185" s="6">
        <v>67</v>
      </c>
      <c r="AH185" s="6">
        <v>86</v>
      </c>
      <c r="AI185" s="7">
        <v>75.5</v>
      </c>
      <c r="AJ185" s="6">
        <v>56.8</v>
      </c>
      <c r="AK185" s="7">
        <v>135</v>
      </c>
      <c r="AL185" s="7">
        <v>100</v>
      </c>
    </row>
    <row r="186" spans="2:38" s="9" customFormat="1" x14ac:dyDescent="0.2">
      <c r="B186" s="55">
        <v>1995</v>
      </c>
      <c r="C186" s="115" t="s">
        <v>293</v>
      </c>
      <c r="D186" s="6">
        <v>10</v>
      </c>
      <c r="E186" s="7">
        <v>50</v>
      </c>
      <c r="F186" s="6">
        <v>58.5</v>
      </c>
      <c r="G186" s="7">
        <v>31</v>
      </c>
      <c r="H186" s="6">
        <v>54</v>
      </c>
      <c r="I186" s="6">
        <v>48</v>
      </c>
      <c r="J186" s="7">
        <v>83</v>
      </c>
      <c r="K186" s="7">
        <v>60</v>
      </c>
      <c r="L186" s="6">
        <v>103</v>
      </c>
      <c r="M186" s="6">
        <v>65</v>
      </c>
      <c r="N186" s="7">
        <v>26</v>
      </c>
      <c r="O186" s="6">
        <v>64</v>
      </c>
      <c r="P186" s="7">
        <v>80</v>
      </c>
      <c r="Q186" s="6">
        <v>55</v>
      </c>
      <c r="R186" s="6">
        <v>34.700000000000003</v>
      </c>
      <c r="S186" s="6">
        <v>67.099999999999994</v>
      </c>
      <c r="T186" s="6">
        <v>38.9</v>
      </c>
      <c r="U186" s="7">
        <v>53</v>
      </c>
      <c r="V186" s="7">
        <v>52</v>
      </c>
      <c r="W186" s="6">
        <v>83</v>
      </c>
      <c r="X186" s="6">
        <v>35</v>
      </c>
      <c r="Y186" s="6">
        <v>69.8</v>
      </c>
      <c r="Z186" s="7">
        <v>85</v>
      </c>
      <c r="AA186" s="55">
        <v>32.5</v>
      </c>
      <c r="AB186" s="7">
        <v>50</v>
      </c>
      <c r="AC186" s="6">
        <v>85.6</v>
      </c>
      <c r="AD186" s="6">
        <v>25.5</v>
      </c>
      <c r="AE186" s="6">
        <v>32.4</v>
      </c>
      <c r="AF186" s="6">
        <v>74</v>
      </c>
      <c r="AG186" s="6">
        <v>49</v>
      </c>
      <c r="AH186" s="6">
        <v>61</v>
      </c>
      <c r="AI186" s="7">
        <v>63.4</v>
      </c>
      <c r="AJ186" s="6">
        <v>59.8</v>
      </c>
      <c r="AK186" s="7">
        <v>26</v>
      </c>
      <c r="AL186" s="7">
        <v>37</v>
      </c>
    </row>
    <row r="187" spans="2:38" s="9" customFormat="1" x14ac:dyDescent="0.2">
      <c r="B187" s="55">
        <v>1995</v>
      </c>
      <c r="C187" s="115" t="s">
        <v>294</v>
      </c>
      <c r="D187" s="6">
        <v>85</v>
      </c>
      <c r="E187" s="7">
        <v>169</v>
      </c>
      <c r="F187" s="6">
        <v>74.599999999999994</v>
      </c>
      <c r="G187" s="7">
        <v>109</v>
      </c>
      <c r="H187" s="6">
        <v>63</v>
      </c>
      <c r="I187" s="6">
        <v>88</v>
      </c>
      <c r="J187" s="7">
        <v>100</v>
      </c>
      <c r="K187" s="7">
        <v>122</v>
      </c>
      <c r="L187" s="6">
        <v>40</v>
      </c>
      <c r="M187" s="6">
        <v>105</v>
      </c>
      <c r="N187" s="7">
        <v>70</v>
      </c>
      <c r="O187" s="6">
        <v>84</v>
      </c>
      <c r="P187" s="7">
        <v>144</v>
      </c>
      <c r="Q187" s="6">
        <v>174</v>
      </c>
      <c r="R187" s="6">
        <v>49.8</v>
      </c>
      <c r="S187" s="6">
        <v>154.9</v>
      </c>
      <c r="T187" s="6">
        <v>71.5</v>
      </c>
      <c r="U187" s="7">
        <v>72.5</v>
      </c>
      <c r="V187" s="7">
        <v>95</v>
      </c>
      <c r="W187" s="6">
        <v>28.5</v>
      </c>
      <c r="X187" s="6">
        <v>85</v>
      </c>
      <c r="Y187" s="6">
        <v>89.4</v>
      </c>
      <c r="Z187" s="7">
        <v>64</v>
      </c>
      <c r="AA187" s="55">
        <v>27</v>
      </c>
      <c r="AB187" s="7">
        <v>128</v>
      </c>
      <c r="AC187" s="6">
        <v>88.8</v>
      </c>
      <c r="AD187" s="6">
        <v>97.1</v>
      </c>
      <c r="AE187" s="6">
        <v>16.5</v>
      </c>
      <c r="AF187" s="6">
        <v>63</v>
      </c>
      <c r="AG187" s="6">
        <v>111</v>
      </c>
      <c r="AH187" s="6">
        <v>23</v>
      </c>
      <c r="AI187" s="7">
        <v>103.5</v>
      </c>
      <c r="AJ187" s="6">
        <v>133.9</v>
      </c>
      <c r="AK187" s="7">
        <v>62</v>
      </c>
      <c r="AL187" s="7">
        <v>102</v>
      </c>
    </row>
    <row r="188" spans="2:38" s="9" customFormat="1" x14ac:dyDescent="0.2">
      <c r="B188" s="55">
        <v>1995</v>
      </c>
      <c r="C188" s="115" t="s">
        <v>295</v>
      </c>
      <c r="D188" s="6">
        <v>152</v>
      </c>
      <c r="E188" s="7">
        <v>222</v>
      </c>
      <c r="F188" s="6">
        <v>111.8</v>
      </c>
      <c r="G188" s="7">
        <v>134</v>
      </c>
      <c r="H188" s="6">
        <v>140</v>
      </c>
      <c r="I188" s="6">
        <v>38</v>
      </c>
      <c r="J188" s="7">
        <v>225</v>
      </c>
      <c r="K188" s="7">
        <v>66</v>
      </c>
      <c r="L188" s="6">
        <v>76</v>
      </c>
      <c r="M188" s="6">
        <v>222</v>
      </c>
      <c r="N188" s="7">
        <v>40</v>
      </c>
      <c r="O188" s="6">
        <v>275</v>
      </c>
      <c r="P188" s="7">
        <v>301</v>
      </c>
      <c r="Q188" s="6">
        <v>303</v>
      </c>
      <c r="R188" s="6">
        <v>40.1</v>
      </c>
      <c r="S188" s="6">
        <v>258.5</v>
      </c>
      <c r="T188" s="6">
        <v>20.7</v>
      </c>
      <c r="U188" s="7">
        <v>134</v>
      </c>
      <c r="V188" s="7">
        <v>289</v>
      </c>
      <c r="W188" s="6">
        <v>51.4</v>
      </c>
      <c r="X188" s="6">
        <v>124</v>
      </c>
      <c r="Y188" s="6">
        <v>52.1</v>
      </c>
      <c r="Z188" s="7">
        <v>71</v>
      </c>
      <c r="AA188" s="55">
        <v>113</v>
      </c>
      <c r="AB188" s="7">
        <v>228</v>
      </c>
      <c r="AC188" s="6">
        <v>246.2</v>
      </c>
      <c r="AD188" s="6">
        <v>152</v>
      </c>
      <c r="AE188" s="6">
        <v>62.5</v>
      </c>
      <c r="AF188" s="6">
        <v>60</v>
      </c>
      <c r="AG188" s="6">
        <v>175</v>
      </c>
      <c r="AH188" s="6">
        <v>122</v>
      </c>
      <c r="AI188" s="7">
        <v>200</v>
      </c>
      <c r="AJ188" s="6">
        <v>317.5</v>
      </c>
      <c r="AK188" s="7">
        <v>101</v>
      </c>
      <c r="AL188" s="7">
        <v>337</v>
      </c>
    </row>
    <row r="189" spans="2:38" s="9" customFormat="1" x14ac:dyDescent="0.2">
      <c r="B189" s="55">
        <v>1995</v>
      </c>
      <c r="C189" s="115" t="s">
        <v>296</v>
      </c>
      <c r="D189" s="6">
        <v>37</v>
      </c>
      <c r="E189" s="7">
        <v>14</v>
      </c>
      <c r="F189" s="6">
        <v>3</v>
      </c>
      <c r="G189" s="7">
        <v>29</v>
      </c>
      <c r="H189" s="6">
        <v>0</v>
      </c>
      <c r="I189" s="6">
        <v>3</v>
      </c>
      <c r="J189" s="7">
        <v>10</v>
      </c>
      <c r="K189" s="7">
        <v>10</v>
      </c>
      <c r="L189" s="6">
        <v>0</v>
      </c>
      <c r="M189" s="6">
        <v>7</v>
      </c>
      <c r="N189" s="7">
        <v>17</v>
      </c>
      <c r="O189" s="6">
        <v>35</v>
      </c>
      <c r="P189" s="7">
        <v>6</v>
      </c>
      <c r="Q189" s="6">
        <v>48</v>
      </c>
      <c r="R189" s="6">
        <v>4</v>
      </c>
      <c r="S189" s="6">
        <v>11.7</v>
      </c>
      <c r="T189" s="6">
        <v>0.3</v>
      </c>
      <c r="U189" s="7">
        <v>20</v>
      </c>
      <c r="V189" s="7">
        <v>8</v>
      </c>
      <c r="W189" s="6">
        <v>2.7</v>
      </c>
      <c r="X189" s="6">
        <v>4</v>
      </c>
      <c r="Y189" s="6">
        <v>23.8</v>
      </c>
      <c r="Z189" s="7">
        <v>12</v>
      </c>
      <c r="AA189" s="55">
        <v>0</v>
      </c>
      <c r="AB189" s="7">
        <v>10</v>
      </c>
      <c r="AC189" s="6">
        <v>5.6</v>
      </c>
      <c r="AD189" s="6">
        <v>37.4</v>
      </c>
      <c r="AE189" s="6">
        <v>0.1</v>
      </c>
      <c r="AF189" s="6">
        <v>3</v>
      </c>
      <c r="AG189" s="6">
        <v>6</v>
      </c>
      <c r="AH189" s="6">
        <v>1</v>
      </c>
      <c r="AI189" s="7">
        <v>7</v>
      </c>
      <c r="AJ189" s="6">
        <v>33.200000000000003</v>
      </c>
      <c r="AK189" s="7">
        <v>0</v>
      </c>
      <c r="AL189" s="7">
        <v>11.5</v>
      </c>
    </row>
    <row r="190" spans="2:38" s="9" customFormat="1" x14ac:dyDescent="0.2">
      <c r="B190" s="55">
        <v>1995</v>
      </c>
      <c r="C190" s="115" t="s">
        <v>297</v>
      </c>
      <c r="D190" s="6">
        <v>59</v>
      </c>
      <c r="E190" s="7">
        <v>66</v>
      </c>
      <c r="F190" s="6">
        <v>96.7</v>
      </c>
      <c r="G190" s="7">
        <v>43</v>
      </c>
      <c r="H190" s="6">
        <v>61</v>
      </c>
      <c r="I190" s="6">
        <v>47</v>
      </c>
      <c r="J190" s="7">
        <v>64</v>
      </c>
      <c r="K190" s="7">
        <v>40</v>
      </c>
      <c r="L190" s="6">
        <v>81</v>
      </c>
      <c r="M190" s="6">
        <v>65</v>
      </c>
      <c r="N190" s="7">
        <v>35</v>
      </c>
      <c r="O190" s="6">
        <v>63</v>
      </c>
      <c r="P190" s="7">
        <v>47</v>
      </c>
      <c r="Q190" s="6">
        <v>72</v>
      </c>
      <c r="R190" s="6">
        <v>25.9</v>
      </c>
      <c r="S190" s="6">
        <v>78</v>
      </c>
      <c r="T190" s="6">
        <v>36.700000000000003</v>
      </c>
      <c r="U190" s="7">
        <v>59.7</v>
      </c>
      <c r="V190" s="7">
        <v>70</v>
      </c>
      <c r="W190" s="6">
        <v>63.6</v>
      </c>
      <c r="X190" s="6">
        <v>36</v>
      </c>
      <c r="Y190" s="6">
        <v>47.1</v>
      </c>
      <c r="Z190" s="7">
        <v>29</v>
      </c>
      <c r="AA190" s="55">
        <v>68</v>
      </c>
      <c r="AB190" s="7">
        <v>101</v>
      </c>
      <c r="AC190" s="6">
        <v>96.6</v>
      </c>
      <c r="AD190" s="6">
        <v>64.099999999999994</v>
      </c>
      <c r="AE190" s="6">
        <v>52</v>
      </c>
      <c r="AF190" s="6">
        <v>40</v>
      </c>
      <c r="AG190" s="6">
        <v>90</v>
      </c>
      <c r="AH190" s="6">
        <v>37</v>
      </c>
      <c r="AI190" s="7">
        <v>55.2</v>
      </c>
      <c r="AJ190" s="6">
        <v>69.400000000000006</v>
      </c>
      <c r="AK190" s="7">
        <v>59</v>
      </c>
      <c r="AL190" s="7">
        <v>90</v>
      </c>
    </row>
    <row r="191" spans="2:38" s="9" customFormat="1" x14ac:dyDescent="0.2">
      <c r="B191" s="55">
        <v>1995</v>
      </c>
      <c r="C191" s="115" t="s">
        <v>298</v>
      </c>
      <c r="D191" s="6">
        <v>81</v>
      </c>
      <c r="E191" s="7">
        <v>101</v>
      </c>
      <c r="F191" s="6">
        <v>179.3</v>
      </c>
      <c r="G191" s="7">
        <v>83</v>
      </c>
      <c r="H191" s="6">
        <v>124</v>
      </c>
      <c r="I191" s="6">
        <v>103</v>
      </c>
      <c r="J191" s="7">
        <v>117</v>
      </c>
      <c r="K191" s="7">
        <v>124</v>
      </c>
      <c r="L191" s="6">
        <v>126</v>
      </c>
      <c r="M191" s="6">
        <v>104</v>
      </c>
      <c r="N191" s="7">
        <v>143</v>
      </c>
      <c r="O191" s="6">
        <v>83</v>
      </c>
      <c r="P191" s="7">
        <v>132</v>
      </c>
      <c r="Q191" s="6">
        <v>142</v>
      </c>
      <c r="R191" s="6">
        <v>99</v>
      </c>
      <c r="S191" s="6">
        <v>96.7</v>
      </c>
      <c r="T191" s="6">
        <v>127.8</v>
      </c>
      <c r="U191" s="7">
        <v>151.5</v>
      </c>
      <c r="V191" s="7">
        <v>127.5</v>
      </c>
      <c r="W191" s="6">
        <v>139.69999999999999</v>
      </c>
      <c r="X191" s="6">
        <v>92</v>
      </c>
      <c r="Y191" s="6">
        <v>63.4</v>
      </c>
      <c r="Z191" s="7">
        <v>115</v>
      </c>
      <c r="AA191" s="55">
        <v>123</v>
      </c>
      <c r="AB191" s="7">
        <v>95</v>
      </c>
      <c r="AC191" s="6">
        <v>121.5</v>
      </c>
      <c r="AD191" s="6">
        <v>71.400000000000006</v>
      </c>
      <c r="AE191" s="6">
        <v>187.8</v>
      </c>
      <c r="AF191" s="6">
        <v>208</v>
      </c>
      <c r="AG191" s="6">
        <v>119</v>
      </c>
      <c r="AH191" s="6">
        <v>206</v>
      </c>
      <c r="AI191" s="7">
        <v>209.5</v>
      </c>
      <c r="AJ191" s="6">
        <v>124.7</v>
      </c>
      <c r="AK191" s="7">
        <v>201.5</v>
      </c>
      <c r="AL191" s="7">
        <v>107</v>
      </c>
    </row>
    <row r="192" spans="2:38" s="9" customFormat="1" x14ac:dyDescent="0.2">
      <c r="B192" s="55">
        <v>1995</v>
      </c>
      <c r="C192" s="115" t="s">
        <v>299</v>
      </c>
      <c r="D192" s="6">
        <v>117</v>
      </c>
      <c r="E192" s="7">
        <v>85</v>
      </c>
      <c r="F192" s="6">
        <v>54.2</v>
      </c>
      <c r="G192" s="7">
        <v>116</v>
      </c>
      <c r="H192" s="6">
        <v>61</v>
      </c>
      <c r="I192" s="6">
        <v>111</v>
      </c>
      <c r="J192" s="7">
        <v>63</v>
      </c>
      <c r="K192" s="7">
        <v>144</v>
      </c>
      <c r="L192" s="6">
        <v>81</v>
      </c>
      <c r="M192" s="6">
        <v>116</v>
      </c>
      <c r="N192" s="7">
        <v>184</v>
      </c>
      <c r="O192" s="6">
        <v>117</v>
      </c>
      <c r="P192" s="7">
        <v>93</v>
      </c>
      <c r="Q192" s="6">
        <v>83</v>
      </c>
      <c r="R192" s="6">
        <v>148.80000000000001</v>
      </c>
      <c r="S192" s="6">
        <v>99.6</v>
      </c>
      <c r="T192" s="6">
        <v>127.5</v>
      </c>
      <c r="U192" s="7">
        <v>131</v>
      </c>
      <c r="V192" s="7">
        <v>114</v>
      </c>
      <c r="W192" s="6">
        <v>109</v>
      </c>
      <c r="X192" s="6">
        <v>108</v>
      </c>
      <c r="Y192" s="6">
        <v>163.4</v>
      </c>
      <c r="Z192" s="7">
        <v>141</v>
      </c>
      <c r="AA192" s="55">
        <v>90.5</v>
      </c>
      <c r="AB192" s="7">
        <v>135</v>
      </c>
      <c r="AC192" s="6">
        <v>87.8</v>
      </c>
      <c r="AD192" s="6">
        <v>118.1</v>
      </c>
      <c r="AE192" s="6">
        <v>87.3</v>
      </c>
      <c r="AF192" s="6">
        <v>185</v>
      </c>
      <c r="AG192" s="6">
        <v>75</v>
      </c>
      <c r="AH192" s="6">
        <v>89</v>
      </c>
      <c r="AI192" s="7">
        <v>82.5</v>
      </c>
      <c r="AJ192" s="6">
        <v>131.1</v>
      </c>
      <c r="AK192" s="7">
        <v>69</v>
      </c>
      <c r="AL192" s="7">
        <v>89</v>
      </c>
    </row>
    <row r="193" spans="2:38" s="9" customFormat="1" x14ac:dyDescent="0.2">
      <c r="B193" s="55">
        <v>1995</v>
      </c>
      <c r="C193" s="115" t="s">
        <v>301</v>
      </c>
      <c r="D193" s="6">
        <v>32</v>
      </c>
      <c r="E193" s="7">
        <v>76</v>
      </c>
      <c r="F193" s="6">
        <v>11</v>
      </c>
      <c r="G193" s="7">
        <v>108</v>
      </c>
      <c r="H193" s="6">
        <v>2</v>
      </c>
      <c r="I193" s="6">
        <v>11</v>
      </c>
      <c r="J193" s="7">
        <v>32</v>
      </c>
      <c r="K193" s="7">
        <v>12</v>
      </c>
      <c r="L193" s="6">
        <v>65</v>
      </c>
      <c r="M193" s="6">
        <v>14</v>
      </c>
      <c r="N193" s="7">
        <v>17</v>
      </c>
      <c r="O193" s="6">
        <v>10</v>
      </c>
      <c r="P193" s="7">
        <v>45</v>
      </c>
      <c r="Q193" s="6">
        <v>8</v>
      </c>
      <c r="R193" s="6">
        <v>32.299999999999997</v>
      </c>
      <c r="S193" s="6">
        <v>45.2</v>
      </c>
      <c r="T193" s="6">
        <v>172.4</v>
      </c>
      <c r="U193" s="7">
        <v>6</v>
      </c>
      <c r="V193" s="7">
        <v>60</v>
      </c>
      <c r="W193" s="6">
        <v>12.2</v>
      </c>
      <c r="X193" s="6">
        <v>0</v>
      </c>
      <c r="Y193" s="6">
        <v>47.6</v>
      </c>
      <c r="Z193" s="7">
        <v>33.200000000000003</v>
      </c>
      <c r="AA193" s="55">
        <v>8</v>
      </c>
      <c r="AB193" s="7">
        <v>30</v>
      </c>
      <c r="AC193" s="6">
        <v>31.1</v>
      </c>
      <c r="AD193" s="6">
        <v>38.1</v>
      </c>
      <c r="AE193" s="6">
        <v>74.400000000000006</v>
      </c>
      <c r="AF193" s="6">
        <v>26</v>
      </c>
      <c r="AG193" s="6">
        <v>124</v>
      </c>
      <c r="AH193" s="6">
        <v>10</v>
      </c>
      <c r="AI193" s="7">
        <v>62</v>
      </c>
      <c r="AJ193" s="6">
        <v>29.2</v>
      </c>
      <c r="AK193" s="7">
        <v>10.4</v>
      </c>
      <c r="AL193" s="7">
        <v>40</v>
      </c>
    </row>
    <row r="194" spans="2:38" s="9" customFormat="1" x14ac:dyDescent="0.2">
      <c r="B194" s="55">
        <v>1996</v>
      </c>
      <c r="C194" s="115" t="s">
        <v>289</v>
      </c>
      <c r="D194" s="6">
        <v>41</v>
      </c>
      <c r="E194" s="7">
        <v>171</v>
      </c>
      <c r="F194" s="6">
        <v>358.7</v>
      </c>
      <c r="G194" s="7">
        <v>32.5</v>
      </c>
      <c r="H194" s="6">
        <v>309</v>
      </c>
      <c r="I194" s="6">
        <v>91</v>
      </c>
      <c r="J194" s="7">
        <v>71</v>
      </c>
      <c r="K194" s="7">
        <v>89</v>
      </c>
      <c r="L194" s="6">
        <v>178</v>
      </c>
      <c r="M194" s="6">
        <v>55</v>
      </c>
      <c r="N194" s="7">
        <v>121</v>
      </c>
      <c r="O194" s="6">
        <v>144</v>
      </c>
      <c r="P194" s="7">
        <v>158</v>
      </c>
      <c r="Q194" s="6">
        <v>68</v>
      </c>
      <c r="R194" s="6">
        <v>49.3</v>
      </c>
      <c r="S194" s="6">
        <v>173.7</v>
      </c>
      <c r="T194" s="6">
        <v>143.4</v>
      </c>
      <c r="U194" s="7">
        <v>157</v>
      </c>
      <c r="V194" s="7">
        <v>109</v>
      </c>
      <c r="W194" s="6">
        <v>99.2</v>
      </c>
      <c r="X194" s="6">
        <v>68</v>
      </c>
      <c r="Y194" s="6">
        <v>72.400000000000006</v>
      </c>
      <c r="Z194" s="7">
        <v>68</v>
      </c>
      <c r="AA194" s="55">
        <v>163</v>
      </c>
      <c r="AB194" s="7">
        <v>160</v>
      </c>
      <c r="AC194" s="6">
        <v>281</v>
      </c>
      <c r="AD194" s="6">
        <v>62.2</v>
      </c>
      <c r="AE194" s="6">
        <v>159.4</v>
      </c>
      <c r="AF194" s="6">
        <v>139</v>
      </c>
      <c r="AG194" s="6">
        <v>104</v>
      </c>
      <c r="AH194" s="6">
        <v>294</v>
      </c>
      <c r="AI194" s="7">
        <v>242</v>
      </c>
      <c r="AJ194" s="6">
        <v>73.5</v>
      </c>
      <c r="AK194" s="7">
        <v>189.5</v>
      </c>
      <c r="AL194" s="7">
        <v>174</v>
      </c>
    </row>
    <row r="195" spans="2:38" s="9" customFormat="1" x14ac:dyDescent="0.2">
      <c r="B195" s="55">
        <v>1996</v>
      </c>
      <c r="C195" s="115" t="s">
        <v>290</v>
      </c>
      <c r="D195" s="6">
        <v>34</v>
      </c>
      <c r="E195" s="7">
        <v>118</v>
      </c>
      <c r="F195" s="6">
        <v>91.1</v>
      </c>
      <c r="G195" s="7">
        <v>74</v>
      </c>
      <c r="H195" s="6">
        <v>126</v>
      </c>
      <c r="I195" s="6">
        <v>34</v>
      </c>
      <c r="J195" s="7">
        <v>48</v>
      </c>
      <c r="K195" s="7">
        <v>109</v>
      </c>
      <c r="L195" s="6">
        <v>39</v>
      </c>
      <c r="M195" s="6">
        <v>78</v>
      </c>
      <c r="N195" s="7">
        <v>100</v>
      </c>
      <c r="O195" s="6">
        <v>70</v>
      </c>
      <c r="P195" s="7">
        <v>84</v>
      </c>
      <c r="Q195" s="6">
        <v>42</v>
      </c>
      <c r="R195" s="6">
        <v>130.6</v>
      </c>
      <c r="S195" s="6">
        <v>115.3</v>
      </c>
      <c r="T195" s="6">
        <v>68.2</v>
      </c>
      <c r="U195" s="7">
        <v>36</v>
      </c>
      <c r="V195" s="7">
        <v>117</v>
      </c>
      <c r="W195" s="6">
        <v>121.8</v>
      </c>
      <c r="X195" s="6">
        <v>124</v>
      </c>
      <c r="Y195" s="6">
        <v>58.3</v>
      </c>
      <c r="Z195" s="7">
        <v>83</v>
      </c>
      <c r="AA195" s="55">
        <v>67</v>
      </c>
      <c r="AB195" s="7">
        <v>46</v>
      </c>
      <c r="AC195" s="6">
        <v>118.7</v>
      </c>
      <c r="AD195" s="6">
        <v>44.4</v>
      </c>
      <c r="AE195" s="6">
        <v>111</v>
      </c>
      <c r="AF195" s="6">
        <v>78</v>
      </c>
      <c r="AG195" s="6">
        <v>61</v>
      </c>
      <c r="AH195" s="6">
        <v>89</v>
      </c>
      <c r="AI195" s="7">
        <v>101</v>
      </c>
      <c r="AJ195" s="6">
        <v>40.799999999999997</v>
      </c>
      <c r="AK195" s="7">
        <v>96</v>
      </c>
      <c r="AL195" s="7">
        <v>67</v>
      </c>
    </row>
    <row r="196" spans="2:38" s="9" customFormat="1" x14ac:dyDescent="0.2">
      <c r="B196" s="55">
        <v>1996</v>
      </c>
      <c r="C196" s="115" t="s">
        <v>291</v>
      </c>
      <c r="D196" s="6">
        <v>99</v>
      </c>
      <c r="E196" s="7">
        <v>67</v>
      </c>
      <c r="F196" s="6">
        <v>98.3</v>
      </c>
      <c r="G196" s="7">
        <v>142</v>
      </c>
      <c r="H196" s="6">
        <v>71</v>
      </c>
      <c r="I196" s="6">
        <v>118</v>
      </c>
      <c r="J196" s="7">
        <v>104.5</v>
      </c>
      <c r="K196" s="7">
        <v>65</v>
      </c>
      <c r="L196" s="6">
        <v>93</v>
      </c>
      <c r="M196" s="6">
        <v>71</v>
      </c>
      <c r="N196" s="7">
        <v>130</v>
      </c>
      <c r="O196" s="6">
        <v>200</v>
      </c>
      <c r="P196" s="7">
        <v>65</v>
      </c>
      <c r="Q196" s="6">
        <v>75</v>
      </c>
      <c r="R196" s="6">
        <v>64.5</v>
      </c>
      <c r="S196" s="6">
        <v>55</v>
      </c>
      <c r="T196" s="6">
        <v>68.8</v>
      </c>
      <c r="U196" s="7">
        <v>72</v>
      </c>
      <c r="V196" s="7">
        <v>50</v>
      </c>
      <c r="W196" s="6">
        <v>89.2</v>
      </c>
      <c r="X196" s="6">
        <v>118</v>
      </c>
      <c r="Y196" s="6">
        <v>69.900000000000006</v>
      </c>
      <c r="Z196" s="7">
        <v>55</v>
      </c>
      <c r="AA196" s="55">
        <v>72</v>
      </c>
      <c r="AB196" s="7">
        <v>100</v>
      </c>
      <c r="AC196" s="6">
        <v>60.2</v>
      </c>
      <c r="AD196" s="6">
        <v>210.4</v>
      </c>
      <c r="AE196" s="6">
        <v>88.3</v>
      </c>
      <c r="AF196" s="6">
        <v>67</v>
      </c>
      <c r="AG196" s="6">
        <v>84</v>
      </c>
      <c r="AH196" s="6">
        <v>117</v>
      </c>
      <c r="AI196" s="7">
        <v>333.5</v>
      </c>
      <c r="AJ196" s="6">
        <v>102.9</v>
      </c>
      <c r="AK196" s="7">
        <v>91</v>
      </c>
      <c r="AL196" s="7">
        <v>90.5</v>
      </c>
    </row>
    <row r="197" spans="2:38" s="9" customFormat="1" x14ac:dyDescent="0.2">
      <c r="B197" s="55">
        <v>1996</v>
      </c>
      <c r="C197" s="115" t="s">
        <v>292</v>
      </c>
      <c r="D197" s="6">
        <v>113</v>
      </c>
      <c r="E197" s="7">
        <v>176</v>
      </c>
      <c r="F197" s="6">
        <v>300.8</v>
      </c>
      <c r="G197" s="7">
        <v>143.5</v>
      </c>
      <c r="H197" s="6">
        <v>318</v>
      </c>
      <c r="I197" s="6">
        <v>112</v>
      </c>
      <c r="J197" s="7">
        <v>272</v>
      </c>
      <c r="K197" s="7">
        <v>172</v>
      </c>
      <c r="L197" s="6">
        <v>237</v>
      </c>
      <c r="M197" s="6">
        <v>245</v>
      </c>
      <c r="N197" s="7">
        <v>201.5</v>
      </c>
      <c r="O197" s="6">
        <v>237</v>
      </c>
      <c r="P197" s="7">
        <v>144</v>
      </c>
      <c r="Q197" s="6">
        <v>294</v>
      </c>
      <c r="R197" s="6">
        <v>116.1</v>
      </c>
      <c r="S197" s="6">
        <v>260.2</v>
      </c>
      <c r="T197" s="6">
        <v>165</v>
      </c>
      <c r="U197" s="7">
        <v>290</v>
      </c>
      <c r="V197" s="7">
        <v>198.5</v>
      </c>
      <c r="W197" s="6">
        <v>273</v>
      </c>
      <c r="X197" s="6">
        <v>160</v>
      </c>
      <c r="Y197" s="6">
        <v>151</v>
      </c>
      <c r="Z197" s="7">
        <v>182</v>
      </c>
      <c r="AA197" s="55">
        <v>188.5</v>
      </c>
      <c r="AB197" s="7">
        <v>261</v>
      </c>
      <c r="AC197" s="6">
        <v>247</v>
      </c>
      <c r="AD197" s="6">
        <v>124.6</v>
      </c>
      <c r="AE197" s="6">
        <v>195.1</v>
      </c>
      <c r="AF197" s="6">
        <v>171</v>
      </c>
      <c r="AG197" s="6">
        <v>272</v>
      </c>
      <c r="AH197" s="6">
        <v>257</v>
      </c>
      <c r="AI197" s="7">
        <v>207.5</v>
      </c>
      <c r="AJ197" s="6">
        <v>219.1</v>
      </c>
      <c r="AK197" s="7">
        <v>275</v>
      </c>
      <c r="AL197" s="7">
        <v>276</v>
      </c>
    </row>
    <row r="198" spans="2:38" s="9" customFormat="1" x14ac:dyDescent="0.2">
      <c r="B198" s="55">
        <v>1996</v>
      </c>
      <c r="C198" s="115" t="s">
        <v>293</v>
      </c>
      <c r="D198" s="6">
        <v>5</v>
      </c>
      <c r="E198" s="7">
        <v>5</v>
      </c>
      <c r="F198" s="6">
        <v>10.7</v>
      </c>
      <c r="G198" s="7">
        <v>2</v>
      </c>
      <c r="H198" s="6">
        <v>12</v>
      </c>
      <c r="I198" s="6">
        <v>5</v>
      </c>
      <c r="J198" s="7">
        <v>8</v>
      </c>
      <c r="K198" s="7">
        <v>26</v>
      </c>
      <c r="L198" s="6">
        <v>11</v>
      </c>
      <c r="M198" s="6">
        <v>2</v>
      </c>
      <c r="N198" s="7">
        <v>34</v>
      </c>
      <c r="O198" s="6">
        <v>29</v>
      </c>
      <c r="P198" s="7">
        <v>2</v>
      </c>
      <c r="Q198" s="6">
        <v>5</v>
      </c>
      <c r="R198" s="6">
        <v>15.4</v>
      </c>
      <c r="S198" s="6">
        <v>11.1</v>
      </c>
      <c r="T198" s="6">
        <v>29.2</v>
      </c>
      <c r="U198" s="7">
        <v>31.5</v>
      </c>
      <c r="V198" s="7">
        <v>0</v>
      </c>
      <c r="W198" s="6">
        <v>21.5</v>
      </c>
      <c r="X198" s="6">
        <v>14</v>
      </c>
      <c r="Y198" s="6">
        <v>24.1</v>
      </c>
      <c r="Z198" s="7">
        <v>5</v>
      </c>
      <c r="AA198" s="55">
        <v>15</v>
      </c>
      <c r="AB198" s="7">
        <v>12</v>
      </c>
      <c r="AC198" s="6">
        <v>7.5</v>
      </c>
      <c r="AD198" s="6">
        <v>30.6</v>
      </c>
      <c r="AE198" s="6">
        <v>17.899999999999999</v>
      </c>
      <c r="AF198" s="6">
        <v>2</v>
      </c>
      <c r="AG198" s="6">
        <v>8</v>
      </c>
      <c r="AH198" s="6">
        <v>21</v>
      </c>
      <c r="AI198" s="7">
        <v>5</v>
      </c>
      <c r="AJ198" s="6">
        <v>6.5</v>
      </c>
      <c r="AK198" s="7">
        <v>20</v>
      </c>
      <c r="AL198" s="7">
        <v>14</v>
      </c>
    </row>
    <row r="199" spans="2:38" s="9" customFormat="1" x14ac:dyDescent="0.2">
      <c r="B199" s="55">
        <v>1996</v>
      </c>
      <c r="C199" s="115" t="s">
        <v>294</v>
      </c>
      <c r="D199" s="6">
        <v>42</v>
      </c>
      <c r="E199" s="7">
        <v>51</v>
      </c>
      <c r="F199" s="6">
        <v>20.2</v>
      </c>
      <c r="G199" s="7">
        <v>29</v>
      </c>
      <c r="H199" s="6">
        <v>23</v>
      </c>
      <c r="I199" s="6">
        <v>37</v>
      </c>
      <c r="J199" s="7">
        <v>27</v>
      </c>
      <c r="K199" s="7">
        <v>44</v>
      </c>
      <c r="L199" s="6">
        <v>24</v>
      </c>
      <c r="M199" s="6">
        <v>34</v>
      </c>
      <c r="N199" s="7">
        <v>36.5</v>
      </c>
      <c r="O199" s="6">
        <v>51</v>
      </c>
      <c r="P199" s="7">
        <v>41</v>
      </c>
      <c r="Q199" s="6">
        <v>35</v>
      </c>
      <c r="R199" s="6">
        <v>47.8</v>
      </c>
      <c r="S199" s="6">
        <v>67.2</v>
      </c>
      <c r="T199" s="6">
        <v>22.8</v>
      </c>
      <c r="U199" s="7">
        <v>42</v>
      </c>
      <c r="V199" s="7">
        <v>32</v>
      </c>
      <c r="W199" s="6">
        <v>28.8</v>
      </c>
      <c r="X199" s="6">
        <v>44</v>
      </c>
      <c r="Y199" s="6">
        <v>65.400000000000006</v>
      </c>
      <c r="Z199" s="7">
        <v>35</v>
      </c>
      <c r="AA199" s="55">
        <v>17</v>
      </c>
      <c r="AB199" s="7">
        <v>38</v>
      </c>
      <c r="AC199" s="6">
        <v>52.6</v>
      </c>
      <c r="AD199" s="6">
        <v>34.1</v>
      </c>
      <c r="AE199" s="6">
        <v>2.2999999999999998</v>
      </c>
      <c r="AF199" s="6">
        <v>14</v>
      </c>
      <c r="AG199" s="6">
        <v>26</v>
      </c>
      <c r="AH199" s="6">
        <v>8</v>
      </c>
      <c r="AI199" s="7">
        <v>55.5</v>
      </c>
      <c r="AJ199" s="6">
        <v>49.2</v>
      </c>
      <c r="AK199" s="7">
        <v>0</v>
      </c>
      <c r="AL199" s="7">
        <v>50</v>
      </c>
    </row>
    <row r="200" spans="2:38" s="9" customFormat="1" x14ac:dyDescent="0.2">
      <c r="B200" s="55">
        <v>1996</v>
      </c>
      <c r="C200" s="115" t="s">
        <v>295</v>
      </c>
      <c r="D200" s="6">
        <v>26</v>
      </c>
      <c r="E200" s="7">
        <v>9</v>
      </c>
      <c r="F200" s="6">
        <v>23.4</v>
      </c>
      <c r="G200" s="7">
        <v>27.5</v>
      </c>
      <c r="H200" s="6">
        <v>0</v>
      </c>
      <c r="I200" s="6">
        <v>9</v>
      </c>
      <c r="J200" s="7">
        <v>38</v>
      </c>
      <c r="K200" s="7">
        <v>19</v>
      </c>
      <c r="L200" s="6">
        <v>9</v>
      </c>
      <c r="M200" s="6">
        <v>40</v>
      </c>
      <c r="N200" s="7">
        <v>10</v>
      </c>
      <c r="O200" s="6">
        <v>29</v>
      </c>
      <c r="P200" s="7">
        <v>18</v>
      </c>
      <c r="Q200" s="6">
        <v>25</v>
      </c>
      <c r="R200" s="6">
        <v>32.299999999999997</v>
      </c>
      <c r="S200" s="6">
        <v>13.6</v>
      </c>
      <c r="T200" s="6">
        <v>15</v>
      </c>
      <c r="U200" s="7">
        <v>26</v>
      </c>
      <c r="V200" s="7">
        <v>0</v>
      </c>
      <c r="W200" s="6">
        <v>16.7</v>
      </c>
      <c r="X200" s="6">
        <v>34</v>
      </c>
      <c r="Y200" s="6">
        <v>50</v>
      </c>
      <c r="Z200" s="7">
        <v>15</v>
      </c>
      <c r="AA200" s="55">
        <v>10</v>
      </c>
      <c r="AB200" s="7">
        <v>47</v>
      </c>
      <c r="AC200" s="6">
        <v>3.3</v>
      </c>
      <c r="AD200" s="6">
        <v>45.7</v>
      </c>
      <c r="AE200" s="6">
        <v>9.1999999999999993</v>
      </c>
      <c r="AF200" s="6">
        <v>0</v>
      </c>
      <c r="AG200" s="6">
        <v>34</v>
      </c>
      <c r="AH200" s="6">
        <v>3</v>
      </c>
      <c r="AI200" s="7">
        <v>6</v>
      </c>
      <c r="AJ200" s="6">
        <v>21.3</v>
      </c>
      <c r="AK200" s="7">
        <v>19</v>
      </c>
      <c r="AL200" s="7">
        <v>15</v>
      </c>
    </row>
    <row r="201" spans="2:38" s="9" customFormat="1" x14ac:dyDescent="0.2">
      <c r="B201" s="55">
        <v>1996</v>
      </c>
      <c r="C201" s="115" t="s">
        <v>296</v>
      </c>
      <c r="D201" s="6">
        <v>47</v>
      </c>
      <c r="E201" s="7">
        <v>57</v>
      </c>
      <c r="F201" s="6">
        <v>35.9</v>
      </c>
      <c r="G201" s="7">
        <v>48</v>
      </c>
      <c r="H201" s="6">
        <v>26</v>
      </c>
      <c r="I201" s="6">
        <v>18</v>
      </c>
      <c r="J201" s="7">
        <v>83</v>
      </c>
      <c r="K201" s="7">
        <v>32</v>
      </c>
      <c r="L201" s="6">
        <v>34</v>
      </c>
      <c r="M201" s="6">
        <v>62</v>
      </c>
      <c r="N201" s="7">
        <v>92.5</v>
      </c>
      <c r="O201" s="6">
        <v>63</v>
      </c>
      <c r="P201" s="7">
        <v>35</v>
      </c>
      <c r="Q201" s="6">
        <v>70</v>
      </c>
      <c r="R201" s="6">
        <v>71.599999999999994</v>
      </c>
      <c r="S201" s="6">
        <v>54.3</v>
      </c>
      <c r="T201" s="6">
        <v>18.899999999999999</v>
      </c>
      <c r="U201" s="7">
        <v>28</v>
      </c>
      <c r="V201" s="7">
        <v>62</v>
      </c>
      <c r="W201" s="6">
        <v>7</v>
      </c>
      <c r="X201" s="6">
        <v>30</v>
      </c>
      <c r="Y201" s="6">
        <v>31.1</v>
      </c>
      <c r="Z201" s="7">
        <v>25</v>
      </c>
      <c r="AA201" s="55">
        <v>19</v>
      </c>
      <c r="AB201" s="7">
        <v>46.5</v>
      </c>
      <c r="AC201" s="6">
        <v>79.900000000000006</v>
      </c>
      <c r="AD201" s="6">
        <v>42.9</v>
      </c>
      <c r="AE201" s="6">
        <v>18</v>
      </c>
      <c r="AF201" s="6">
        <v>49</v>
      </c>
      <c r="AG201" s="6">
        <v>43</v>
      </c>
      <c r="AH201" s="6">
        <v>18</v>
      </c>
      <c r="AI201" s="7">
        <v>69</v>
      </c>
      <c r="AJ201" s="6">
        <v>87.5</v>
      </c>
      <c r="AK201" s="7">
        <v>23</v>
      </c>
      <c r="AL201" s="7">
        <v>50</v>
      </c>
    </row>
    <row r="202" spans="2:38" s="9" customFormat="1" x14ac:dyDescent="0.2">
      <c r="B202" s="55">
        <v>1996</v>
      </c>
      <c r="C202" s="115" t="s">
        <v>297</v>
      </c>
      <c r="D202" s="6">
        <v>139</v>
      </c>
      <c r="E202" s="7">
        <v>193</v>
      </c>
      <c r="F202" s="6">
        <v>79.7</v>
      </c>
      <c r="G202" s="7">
        <v>178</v>
      </c>
      <c r="H202" s="6">
        <v>34</v>
      </c>
      <c r="I202" s="6">
        <v>181</v>
      </c>
      <c r="J202" s="7">
        <v>260</v>
      </c>
      <c r="K202" s="7">
        <v>105</v>
      </c>
      <c r="L202" s="6">
        <v>77.5</v>
      </c>
      <c r="M202" s="6">
        <v>232</v>
      </c>
      <c r="N202" s="7">
        <v>213</v>
      </c>
      <c r="O202" s="6">
        <v>103</v>
      </c>
      <c r="P202" s="7">
        <v>193</v>
      </c>
      <c r="Q202" s="6">
        <v>203</v>
      </c>
      <c r="R202" s="6">
        <v>155</v>
      </c>
      <c r="S202" s="6">
        <v>164.5</v>
      </c>
      <c r="T202" s="6">
        <v>148.6</v>
      </c>
      <c r="U202" s="7">
        <v>231</v>
      </c>
      <c r="V202" s="7">
        <v>99</v>
      </c>
      <c r="W202" s="6">
        <v>62.9</v>
      </c>
      <c r="X202" s="6">
        <v>135</v>
      </c>
      <c r="Y202" s="6">
        <v>111</v>
      </c>
      <c r="Z202" s="7">
        <v>177</v>
      </c>
      <c r="AA202" s="55">
        <v>48.5</v>
      </c>
      <c r="AB202" s="7">
        <v>195.5</v>
      </c>
      <c r="AC202" s="6">
        <v>77.900000000000006</v>
      </c>
      <c r="AD202" s="6">
        <v>113.6</v>
      </c>
      <c r="AE202" s="6">
        <v>51.7</v>
      </c>
      <c r="AF202" s="6">
        <v>47</v>
      </c>
      <c r="AG202" s="6">
        <v>90</v>
      </c>
      <c r="AH202" s="6">
        <v>53</v>
      </c>
      <c r="AI202" s="7">
        <v>87</v>
      </c>
      <c r="AJ202" s="6">
        <v>196.1</v>
      </c>
      <c r="AK202" s="7">
        <v>82</v>
      </c>
      <c r="AL202" s="7">
        <v>136.5</v>
      </c>
    </row>
    <row r="203" spans="2:38" s="9" customFormat="1" x14ac:dyDescent="0.2">
      <c r="B203" s="55">
        <v>1996</v>
      </c>
      <c r="C203" s="115" t="s">
        <v>298</v>
      </c>
      <c r="D203" s="6">
        <v>40</v>
      </c>
      <c r="E203" s="7">
        <v>75</v>
      </c>
      <c r="F203" s="6">
        <v>120.9</v>
      </c>
      <c r="G203" s="7">
        <v>130</v>
      </c>
      <c r="H203" s="6">
        <v>86</v>
      </c>
      <c r="I203" s="6">
        <v>73</v>
      </c>
      <c r="J203" s="7">
        <v>45</v>
      </c>
      <c r="K203" s="7">
        <v>65</v>
      </c>
      <c r="L203" s="6">
        <v>35</v>
      </c>
      <c r="M203" s="6">
        <v>37</v>
      </c>
      <c r="N203" s="7">
        <v>85</v>
      </c>
      <c r="O203" s="6">
        <v>65</v>
      </c>
      <c r="P203" s="7">
        <v>84</v>
      </c>
      <c r="Q203" s="6">
        <v>54</v>
      </c>
      <c r="R203" s="6">
        <v>60.8</v>
      </c>
      <c r="S203" s="6">
        <v>78.2</v>
      </c>
      <c r="T203" s="6">
        <v>45.7</v>
      </c>
      <c r="U203" s="7">
        <v>50</v>
      </c>
      <c r="V203" s="7">
        <v>86</v>
      </c>
      <c r="W203" s="6">
        <v>43.9</v>
      </c>
      <c r="X203" s="6">
        <v>55.5</v>
      </c>
      <c r="Y203" s="6">
        <v>80</v>
      </c>
      <c r="Z203" s="7">
        <v>68.5</v>
      </c>
      <c r="AA203" s="55">
        <v>137</v>
      </c>
      <c r="AB203" s="7">
        <v>60</v>
      </c>
      <c r="AC203" s="6">
        <v>119.9</v>
      </c>
      <c r="AD203" s="6">
        <v>80.099999999999994</v>
      </c>
      <c r="AE203" s="6">
        <v>91.8</v>
      </c>
      <c r="AF203" s="6">
        <v>85</v>
      </c>
      <c r="AG203" s="6">
        <v>64</v>
      </c>
      <c r="AH203" s="6">
        <v>126</v>
      </c>
      <c r="AI203" s="7">
        <v>109.7</v>
      </c>
      <c r="AJ203" s="6">
        <v>57.9</v>
      </c>
      <c r="AK203" s="7">
        <v>60</v>
      </c>
      <c r="AL203" s="7">
        <v>104.5</v>
      </c>
    </row>
    <row r="204" spans="2:38" s="9" customFormat="1" x14ac:dyDescent="0.2">
      <c r="B204" s="55">
        <v>1996</v>
      </c>
      <c r="C204" s="115" t="s">
        <v>299</v>
      </c>
      <c r="D204" s="6">
        <v>58</v>
      </c>
      <c r="E204" s="7">
        <v>102</v>
      </c>
      <c r="F204" s="6">
        <v>108.6</v>
      </c>
      <c r="G204" s="7">
        <v>58</v>
      </c>
      <c r="H204" s="6">
        <v>108</v>
      </c>
      <c r="I204" s="6">
        <v>75</v>
      </c>
      <c r="J204" s="7">
        <v>86</v>
      </c>
      <c r="K204" s="7">
        <v>111.5</v>
      </c>
      <c r="L204" s="6">
        <v>107</v>
      </c>
      <c r="M204" s="6">
        <v>90</v>
      </c>
      <c r="N204" s="7">
        <v>115</v>
      </c>
      <c r="O204" s="6">
        <v>58</v>
      </c>
      <c r="P204" s="7">
        <v>113</v>
      </c>
      <c r="Q204" s="6">
        <v>112</v>
      </c>
      <c r="R204" s="6">
        <v>115.6</v>
      </c>
      <c r="S204" s="6">
        <v>93</v>
      </c>
      <c r="T204" s="6">
        <v>93</v>
      </c>
      <c r="U204" s="7">
        <v>108</v>
      </c>
      <c r="V204" s="7">
        <v>121</v>
      </c>
      <c r="W204" s="6">
        <v>125.3</v>
      </c>
      <c r="X204" s="6">
        <v>78</v>
      </c>
      <c r="Y204" s="6">
        <v>99.6</v>
      </c>
      <c r="Z204" s="7">
        <v>102</v>
      </c>
      <c r="AA204" s="55">
        <v>167</v>
      </c>
      <c r="AB204" s="7">
        <v>188</v>
      </c>
      <c r="AC204" s="6">
        <v>104.3</v>
      </c>
      <c r="AD204" s="6">
        <v>57.9</v>
      </c>
      <c r="AE204" s="6">
        <v>230.3</v>
      </c>
      <c r="AF204" s="6">
        <v>202</v>
      </c>
      <c r="AG204" s="6">
        <v>162</v>
      </c>
      <c r="AH204" s="6">
        <v>132</v>
      </c>
      <c r="AI204" s="7">
        <v>149.5</v>
      </c>
      <c r="AJ204" s="6">
        <v>90.1</v>
      </c>
      <c r="AK204" s="7">
        <v>139</v>
      </c>
      <c r="AL204" s="7">
        <v>105.5</v>
      </c>
    </row>
    <row r="205" spans="2:38" s="9" customFormat="1" x14ac:dyDescent="0.2">
      <c r="B205" s="55">
        <v>1996</v>
      </c>
      <c r="C205" s="115" t="s">
        <v>301</v>
      </c>
      <c r="D205" s="6">
        <v>41</v>
      </c>
      <c r="E205" s="7">
        <v>56</v>
      </c>
      <c r="F205" s="6">
        <v>93.1</v>
      </c>
      <c r="G205" s="7">
        <v>62</v>
      </c>
      <c r="H205" s="6">
        <v>109</v>
      </c>
      <c r="I205" s="6">
        <v>50</v>
      </c>
      <c r="J205" s="7">
        <v>86</v>
      </c>
      <c r="K205" s="7">
        <v>140.5</v>
      </c>
      <c r="L205" s="6">
        <v>110.5</v>
      </c>
      <c r="M205" s="6">
        <v>55</v>
      </c>
      <c r="N205" s="7">
        <v>198.5</v>
      </c>
      <c r="O205" s="6">
        <v>148</v>
      </c>
      <c r="P205" s="7">
        <v>45</v>
      </c>
      <c r="Q205" s="6">
        <v>70</v>
      </c>
      <c r="R205" s="6">
        <v>74.400000000000006</v>
      </c>
      <c r="S205" s="6">
        <v>43.1</v>
      </c>
      <c r="T205" s="6">
        <v>185.1</v>
      </c>
      <c r="U205" s="7">
        <v>117</v>
      </c>
      <c r="V205" s="7">
        <v>56</v>
      </c>
      <c r="W205" s="6">
        <v>182.6</v>
      </c>
      <c r="X205" s="6">
        <v>90</v>
      </c>
      <c r="Y205" s="6">
        <v>90.3</v>
      </c>
      <c r="Z205" s="7">
        <v>53</v>
      </c>
      <c r="AA205" s="55">
        <v>187</v>
      </c>
      <c r="AB205" s="7">
        <v>169</v>
      </c>
      <c r="AC205" s="6">
        <v>92.8</v>
      </c>
      <c r="AD205" s="6">
        <v>76.400000000000006</v>
      </c>
      <c r="AE205" s="6">
        <v>57.7</v>
      </c>
      <c r="AF205" s="6">
        <v>90</v>
      </c>
      <c r="AG205" s="6">
        <v>194</v>
      </c>
      <c r="AH205" s="6">
        <v>52</v>
      </c>
      <c r="AI205" s="7">
        <v>94</v>
      </c>
      <c r="AJ205" s="6">
        <v>67.900000000000006</v>
      </c>
      <c r="AK205" s="7">
        <v>59</v>
      </c>
      <c r="AL205" s="7">
        <v>69</v>
      </c>
    </row>
    <row r="206" spans="2:38" s="9" customFormat="1" x14ac:dyDescent="0.2">
      <c r="B206" s="55">
        <v>1997</v>
      </c>
      <c r="C206" s="115" t="s">
        <v>289</v>
      </c>
      <c r="D206" s="6">
        <v>43</v>
      </c>
      <c r="E206" s="7">
        <v>77</v>
      </c>
      <c r="F206" s="6">
        <v>78.3</v>
      </c>
      <c r="G206" s="7">
        <v>23</v>
      </c>
      <c r="H206" s="6">
        <v>74</v>
      </c>
      <c r="I206" s="6">
        <v>26</v>
      </c>
      <c r="J206" s="7">
        <v>28.5</v>
      </c>
      <c r="K206" s="7">
        <v>188</v>
      </c>
      <c r="L206" s="6">
        <v>158</v>
      </c>
      <c r="M206" s="6">
        <v>61</v>
      </c>
      <c r="N206" s="7">
        <v>143</v>
      </c>
      <c r="O206" s="6">
        <v>65</v>
      </c>
      <c r="P206" s="7">
        <v>42</v>
      </c>
      <c r="Q206" s="6">
        <v>8</v>
      </c>
      <c r="R206" s="6">
        <v>136.1</v>
      </c>
      <c r="S206" s="6">
        <v>81.7</v>
      </c>
      <c r="T206" s="6">
        <v>125.5</v>
      </c>
      <c r="U206" s="7">
        <v>34</v>
      </c>
      <c r="V206" s="7">
        <v>61.5</v>
      </c>
      <c r="W206" s="6">
        <v>112.2</v>
      </c>
      <c r="X206" s="6">
        <v>68</v>
      </c>
      <c r="Y206" s="6">
        <v>52.6</v>
      </c>
      <c r="Z206" s="7">
        <v>89.5</v>
      </c>
      <c r="AA206" s="55">
        <v>90</v>
      </c>
      <c r="AB206" s="7">
        <v>154</v>
      </c>
      <c r="AC206" s="6">
        <v>61.2</v>
      </c>
      <c r="AD206" s="6">
        <v>97.8</v>
      </c>
      <c r="AE206" s="6">
        <v>132.5</v>
      </c>
      <c r="AF206" s="6">
        <v>248</v>
      </c>
      <c r="AG206" s="6">
        <v>82</v>
      </c>
      <c r="AH206" s="6">
        <v>65</v>
      </c>
      <c r="AI206" s="7">
        <v>93</v>
      </c>
      <c r="AJ206" s="6">
        <v>59.5</v>
      </c>
      <c r="AK206" s="7">
        <v>121</v>
      </c>
      <c r="AL206" s="7">
        <v>88</v>
      </c>
    </row>
    <row r="207" spans="2:38" s="9" customFormat="1" x14ac:dyDescent="0.2">
      <c r="B207" s="55">
        <v>1997</v>
      </c>
      <c r="C207" s="115" t="s">
        <v>290</v>
      </c>
      <c r="D207" s="6">
        <v>271</v>
      </c>
      <c r="E207" s="7">
        <v>102</v>
      </c>
      <c r="F207" s="6">
        <v>245.2</v>
      </c>
      <c r="G207" s="7">
        <v>98</v>
      </c>
      <c r="H207" s="6">
        <v>277</v>
      </c>
      <c r="I207" s="6">
        <v>70</v>
      </c>
      <c r="J207" s="7">
        <v>137</v>
      </c>
      <c r="K207" s="7">
        <v>64</v>
      </c>
      <c r="L207" s="6">
        <v>98</v>
      </c>
      <c r="M207" s="6">
        <v>108</v>
      </c>
      <c r="N207" s="7">
        <v>77.5</v>
      </c>
      <c r="O207" s="6">
        <v>82</v>
      </c>
      <c r="P207" s="7">
        <v>197</v>
      </c>
      <c r="Q207" s="6">
        <v>178</v>
      </c>
      <c r="R207" s="6">
        <v>76.7</v>
      </c>
      <c r="S207" s="6">
        <v>228.9</v>
      </c>
      <c r="T207" s="6">
        <v>77.400000000000006</v>
      </c>
      <c r="U207" s="7">
        <v>141</v>
      </c>
      <c r="V207" s="7">
        <v>330</v>
      </c>
      <c r="W207" s="6">
        <v>124.5</v>
      </c>
      <c r="X207" s="6">
        <v>42.2</v>
      </c>
      <c r="Y207" s="6">
        <v>64.900000000000006</v>
      </c>
      <c r="Z207" s="7">
        <v>74</v>
      </c>
      <c r="AA207" s="55">
        <v>84</v>
      </c>
      <c r="AB207" s="7">
        <v>96</v>
      </c>
      <c r="AC207" s="6">
        <v>294.3</v>
      </c>
      <c r="AD207" s="6">
        <v>98.4</v>
      </c>
      <c r="AE207" s="6">
        <v>115</v>
      </c>
      <c r="AF207" s="6">
        <v>135</v>
      </c>
      <c r="AG207" s="6">
        <v>149</v>
      </c>
      <c r="AH207" s="6">
        <v>244</v>
      </c>
      <c r="AI207" s="7">
        <v>246.5</v>
      </c>
      <c r="AJ207" s="6">
        <v>137.9</v>
      </c>
      <c r="AK207" s="7">
        <v>176.5</v>
      </c>
      <c r="AL207" s="7">
        <v>292.5</v>
      </c>
    </row>
    <row r="208" spans="2:38" s="9" customFormat="1" x14ac:dyDescent="0.2">
      <c r="B208" s="55">
        <v>1997</v>
      </c>
      <c r="C208" s="115" t="s">
        <v>291</v>
      </c>
      <c r="D208" s="6">
        <v>79</v>
      </c>
      <c r="E208" s="7">
        <v>47</v>
      </c>
      <c r="F208" s="6">
        <v>43.1</v>
      </c>
      <c r="G208" s="7">
        <v>92</v>
      </c>
      <c r="H208" s="6">
        <v>27</v>
      </c>
      <c r="I208" s="6">
        <v>206</v>
      </c>
      <c r="J208" s="7">
        <v>30</v>
      </c>
      <c r="K208" s="7">
        <v>48</v>
      </c>
      <c r="L208" s="6">
        <v>68</v>
      </c>
      <c r="M208" s="6">
        <v>68</v>
      </c>
      <c r="N208" s="7">
        <v>90</v>
      </c>
      <c r="O208" s="6">
        <v>85</v>
      </c>
      <c r="P208" s="7">
        <v>61</v>
      </c>
      <c r="Q208" s="6">
        <v>61</v>
      </c>
      <c r="R208" s="6">
        <v>95.5</v>
      </c>
      <c r="S208" s="6">
        <v>37.5</v>
      </c>
      <c r="T208" s="6">
        <v>21.9</v>
      </c>
      <c r="U208" s="7">
        <v>20</v>
      </c>
      <c r="V208" s="7">
        <v>19</v>
      </c>
      <c r="W208" s="6">
        <v>40.700000000000003</v>
      </c>
      <c r="X208" s="6">
        <v>19.8</v>
      </c>
      <c r="Y208" s="6">
        <v>51.3</v>
      </c>
      <c r="Z208" s="7">
        <v>61</v>
      </c>
      <c r="AA208" s="55">
        <v>13</v>
      </c>
      <c r="AB208" s="7">
        <v>60</v>
      </c>
      <c r="AC208" s="6">
        <v>17.8</v>
      </c>
      <c r="AD208" s="6">
        <v>50.2</v>
      </c>
      <c r="AE208" s="6">
        <v>12.2</v>
      </c>
      <c r="AF208" s="6">
        <v>51</v>
      </c>
      <c r="AG208" s="6">
        <v>87</v>
      </c>
      <c r="AH208" s="6">
        <v>87</v>
      </c>
      <c r="AI208" s="7">
        <v>22</v>
      </c>
      <c r="AJ208" s="6">
        <v>70.2</v>
      </c>
      <c r="AK208" s="7">
        <v>31</v>
      </c>
      <c r="AL208" s="7">
        <v>38</v>
      </c>
    </row>
    <row r="209" spans="2:38" s="9" customFormat="1" x14ac:dyDescent="0.2">
      <c r="B209" s="55">
        <v>1997</v>
      </c>
      <c r="C209" s="115" t="s">
        <v>292</v>
      </c>
      <c r="D209" s="6">
        <v>61</v>
      </c>
      <c r="E209" s="7">
        <v>51</v>
      </c>
      <c r="F209" s="6">
        <v>96.8</v>
      </c>
      <c r="G209" s="7">
        <v>55</v>
      </c>
      <c r="H209" s="6">
        <v>87</v>
      </c>
      <c r="I209" s="6">
        <v>49</v>
      </c>
      <c r="J209" s="7">
        <v>68</v>
      </c>
      <c r="K209" s="7">
        <v>77</v>
      </c>
      <c r="L209" s="6">
        <v>64</v>
      </c>
      <c r="M209" s="6">
        <v>81</v>
      </c>
      <c r="N209" s="7">
        <v>79</v>
      </c>
      <c r="O209" s="6">
        <v>89</v>
      </c>
      <c r="P209" s="7">
        <v>91</v>
      </c>
      <c r="Q209" s="6">
        <v>63</v>
      </c>
      <c r="R209" s="6">
        <v>73.599999999999994</v>
      </c>
      <c r="S209" s="6">
        <v>65.5</v>
      </c>
      <c r="T209" s="6">
        <v>53.5</v>
      </c>
      <c r="U209" s="7">
        <v>88</v>
      </c>
      <c r="V209" s="7">
        <v>110.5</v>
      </c>
      <c r="W209" s="6">
        <v>57.9</v>
      </c>
      <c r="X209" s="6">
        <v>56</v>
      </c>
      <c r="Y209" s="6">
        <v>41</v>
      </c>
      <c r="Z209" s="7">
        <v>70</v>
      </c>
      <c r="AA209" s="55">
        <v>55</v>
      </c>
      <c r="AB209" s="7">
        <v>116</v>
      </c>
      <c r="AC209" s="6">
        <v>145.30000000000001</v>
      </c>
      <c r="AD209" s="6">
        <v>36.9</v>
      </c>
      <c r="AE209" s="6">
        <v>77.5</v>
      </c>
      <c r="AF209" s="6">
        <v>55</v>
      </c>
      <c r="AG209" s="6">
        <v>66</v>
      </c>
      <c r="AH209" s="6">
        <v>104</v>
      </c>
      <c r="AI209" s="7">
        <v>77.2</v>
      </c>
      <c r="AJ209" s="6">
        <v>103.1</v>
      </c>
      <c r="AK209" s="7">
        <v>69</v>
      </c>
      <c r="AL209" s="7">
        <v>107</v>
      </c>
    </row>
    <row r="210" spans="2:38" s="9" customFormat="1" x14ac:dyDescent="0.2">
      <c r="B210" s="55">
        <v>1997</v>
      </c>
      <c r="C210" s="115" t="s">
        <v>293</v>
      </c>
      <c r="D210" s="6">
        <v>82</v>
      </c>
      <c r="E210" s="7">
        <v>69</v>
      </c>
      <c r="F210" s="6">
        <v>122.7</v>
      </c>
      <c r="G210" s="7">
        <v>43</v>
      </c>
      <c r="H210" s="6">
        <v>99</v>
      </c>
      <c r="I210" s="6">
        <v>86</v>
      </c>
      <c r="J210" s="7">
        <v>65</v>
      </c>
      <c r="K210" s="7">
        <v>92</v>
      </c>
      <c r="L210" s="6">
        <v>153</v>
      </c>
      <c r="M210" s="6">
        <v>136</v>
      </c>
      <c r="N210" s="7">
        <v>145</v>
      </c>
      <c r="O210" s="6">
        <v>27</v>
      </c>
      <c r="P210" s="7">
        <v>119</v>
      </c>
      <c r="Q210" s="6">
        <v>48</v>
      </c>
      <c r="R210" s="6">
        <v>60.8</v>
      </c>
      <c r="S210" s="6">
        <v>117.4</v>
      </c>
      <c r="T210" s="6">
        <v>54.3</v>
      </c>
      <c r="U210" s="7">
        <v>179</v>
      </c>
      <c r="V210" s="7">
        <v>148</v>
      </c>
      <c r="W210" s="6">
        <v>112.1</v>
      </c>
      <c r="X210" s="6">
        <v>72</v>
      </c>
      <c r="Y210" s="6">
        <v>85.5</v>
      </c>
      <c r="Z210" s="7">
        <v>103</v>
      </c>
      <c r="AA210" s="55">
        <v>118</v>
      </c>
      <c r="AB210" s="7">
        <v>134</v>
      </c>
      <c r="AC210" s="6">
        <v>178</v>
      </c>
      <c r="AD210" s="6">
        <v>71.099999999999994</v>
      </c>
      <c r="AE210" s="6">
        <v>96.3</v>
      </c>
      <c r="AF210" s="6">
        <v>63</v>
      </c>
      <c r="AG210" s="6">
        <v>162</v>
      </c>
      <c r="AH210" s="6">
        <v>128</v>
      </c>
      <c r="AI210" s="7">
        <v>162.69999999999999</v>
      </c>
      <c r="AJ210" s="6">
        <v>83.7</v>
      </c>
      <c r="AK210" s="7">
        <v>135</v>
      </c>
      <c r="AL210" s="7">
        <v>233</v>
      </c>
    </row>
    <row r="211" spans="2:38" s="9" customFormat="1" x14ac:dyDescent="0.2">
      <c r="B211" s="55">
        <v>1997</v>
      </c>
      <c r="C211" s="115" t="s">
        <v>294</v>
      </c>
      <c r="D211" s="6">
        <v>140</v>
      </c>
      <c r="E211" s="7">
        <v>104</v>
      </c>
      <c r="F211" s="6">
        <v>65</v>
      </c>
      <c r="G211" s="7">
        <v>165</v>
      </c>
      <c r="H211" s="6">
        <v>60</v>
      </c>
      <c r="I211" s="6">
        <v>99</v>
      </c>
      <c r="J211" s="7">
        <v>85</v>
      </c>
      <c r="K211" s="7">
        <v>65</v>
      </c>
      <c r="L211" s="6">
        <v>85</v>
      </c>
      <c r="M211" s="6">
        <v>100</v>
      </c>
      <c r="N211" s="7">
        <v>83</v>
      </c>
      <c r="O211" s="6">
        <v>190</v>
      </c>
      <c r="P211" s="7">
        <v>126</v>
      </c>
      <c r="Q211" s="6">
        <v>171</v>
      </c>
      <c r="R211" s="6">
        <v>68.599999999999994</v>
      </c>
      <c r="S211" s="6">
        <v>108.6</v>
      </c>
      <c r="T211" s="6">
        <v>57.1</v>
      </c>
      <c r="U211" s="7">
        <v>146.5</v>
      </c>
      <c r="V211" s="7">
        <v>103</v>
      </c>
      <c r="W211" s="6">
        <v>84.7</v>
      </c>
      <c r="X211" s="6">
        <v>71</v>
      </c>
      <c r="Y211" s="6">
        <v>72.400000000000006</v>
      </c>
      <c r="Z211" s="7">
        <v>168</v>
      </c>
      <c r="AA211" s="55">
        <v>49</v>
      </c>
      <c r="AB211" s="7">
        <v>121</v>
      </c>
      <c r="AC211" s="6">
        <v>131.1</v>
      </c>
      <c r="AD211" s="6">
        <v>150.5</v>
      </c>
      <c r="AE211" s="6">
        <v>47.1</v>
      </c>
      <c r="AF211" s="6">
        <v>111</v>
      </c>
      <c r="AG211" s="6">
        <v>80</v>
      </c>
      <c r="AH211" s="6">
        <v>52</v>
      </c>
      <c r="AI211" s="7">
        <v>147.5</v>
      </c>
      <c r="AJ211" s="6">
        <v>142.80000000000001</v>
      </c>
      <c r="AK211" s="7">
        <v>88</v>
      </c>
      <c r="AL211" s="7">
        <v>167</v>
      </c>
    </row>
    <row r="212" spans="2:38" s="9" customFormat="1" x14ac:dyDescent="0.2">
      <c r="B212" s="55">
        <v>1997</v>
      </c>
      <c r="C212" s="115" t="s">
        <v>295</v>
      </c>
      <c r="D212" s="6">
        <v>57</v>
      </c>
      <c r="E212" s="7">
        <v>34</v>
      </c>
      <c r="F212" s="6">
        <v>123.7</v>
      </c>
      <c r="G212" s="7">
        <v>65</v>
      </c>
      <c r="H212" s="6">
        <v>15</v>
      </c>
      <c r="I212" s="6">
        <v>27</v>
      </c>
      <c r="J212" s="7">
        <v>44</v>
      </c>
      <c r="K212" s="7">
        <v>69</v>
      </c>
      <c r="L212" s="6">
        <v>24</v>
      </c>
      <c r="M212" s="6">
        <v>33</v>
      </c>
      <c r="N212" s="7">
        <v>17.5</v>
      </c>
      <c r="O212" s="6">
        <v>47</v>
      </c>
      <c r="P212" s="7">
        <v>52</v>
      </c>
      <c r="Q212" s="6">
        <v>65</v>
      </c>
      <c r="R212" s="6">
        <v>34.700000000000003</v>
      </c>
      <c r="S212" s="6">
        <v>46.8</v>
      </c>
      <c r="T212" s="6">
        <v>15</v>
      </c>
      <c r="U212" s="7">
        <v>27</v>
      </c>
      <c r="V212" s="7">
        <v>44</v>
      </c>
      <c r="W212" s="6">
        <v>7.2</v>
      </c>
      <c r="X212" s="6">
        <v>8</v>
      </c>
      <c r="Y212" s="6">
        <v>40.299999999999997</v>
      </c>
      <c r="Z212" s="7">
        <v>14</v>
      </c>
      <c r="AA212" s="55">
        <v>20</v>
      </c>
      <c r="AB212" s="7">
        <v>32</v>
      </c>
      <c r="AC212" s="6">
        <v>138.80000000000001</v>
      </c>
      <c r="AD212" s="6">
        <v>49.3</v>
      </c>
      <c r="AE212" s="6">
        <v>23.9</v>
      </c>
      <c r="AF212" s="6">
        <v>64</v>
      </c>
      <c r="AG212" s="6">
        <v>38</v>
      </c>
      <c r="AH212" s="6">
        <v>113</v>
      </c>
      <c r="AI212" s="7">
        <v>55</v>
      </c>
      <c r="AJ212" s="6">
        <v>44.3</v>
      </c>
      <c r="AK212" s="7">
        <v>54</v>
      </c>
      <c r="AL212" s="7">
        <v>70</v>
      </c>
    </row>
    <row r="213" spans="2:38" s="9" customFormat="1" x14ac:dyDescent="0.2">
      <c r="B213" s="55">
        <v>1997</v>
      </c>
      <c r="C213" s="115" t="s">
        <v>296</v>
      </c>
      <c r="D213" s="6">
        <v>142</v>
      </c>
      <c r="E213" s="7">
        <v>151</v>
      </c>
      <c r="F213" s="6">
        <v>46.4</v>
      </c>
      <c r="G213" s="7">
        <v>90.5</v>
      </c>
      <c r="H213" s="6">
        <v>47</v>
      </c>
      <c r="I213" s="6">
        <v>160</v>
      </c>
      <c r="J213" s="7">
        <v>131.5</v>
      </c>
      <c r="K213" s="7">
        <v>171</v>
      </c>
      <c r="L213" s="6">
        <v>62</v>
      </c>
      <c r="M213" s="6">
        <v>172</v>
      </c>
      <c r="N213" s="7">
        <v>75.5</v>
      </c>
      <c r="O213" s="6">
        <v>189</v>
      </c>
      <c r="P213" s="7">
        <v>111</v>
      </c>
      <c r="Q213" s="6">
        <v>211</v>
      </c>
      <c r="R213" s="6">
        <v>136.9</v>
      </c>
      <c r="S213" s="6">
        <v>142</v>
      </c>
      <c r="T213" s="6">
        <v>94.9</v>
      </c>
      <c r="U213" s="7">
        <v>67</v>
      </c>
      <c r="V213" s="7">
        <v>99.5</v>
      </c>
      <c r="W213" s="6">
        <v>92.6</v>
      </c>
      <c r="X213" s="6">
        <v>73</v>
      </c>
      <c r="Y213" s="6">
        <v>165</v>
      </c>
      <c r="Z213" s="7">
        <v>123</v>
      </c>
      <c r="AA213" s="55">
        <v>87</v>
      </c>
      <c r="AB213" s="7">
        <v>103</v>
      </c>
      <c r="AC213" s="6">
        <v>111.7</v>
      </c>
      <c r="AD213" s="6">
        <v>146.1</v>
      </c>
      <c r="AE213" s="6">
        <v>49.3</v>
      </c>
      <c r="AF213" s="6">
        <v>108</v>
      </c>
      <c r="AG213" s="6">
        <v>73</v>
      </c>
      <c r="AH213" s="6">
        <v>73</v>
      </c>
      <c r="AI213" s="7">
        <v>98.5</v>
      </c>
      <c r="AJ213" s="6">
        <v>167.7</v>
      </c>
      <c r="AK213" s="7">
        <v>78</v>
      </c>
      <c r="AL213" s="7">
        <v>94</v>
      </c>
    </row>
    <row r="214" spans="2:38" s="9" customFormat="1" x14ac:dyDescent="0.2">
      <c r="B214" s="55">
        <v>1997</v>
      </c>
      <c r="C214" s="115" t="s">
        <v>297</v>
      </c>
      <c r="D214" s="6">
        <v>6</v>
      </c>
      <c r="E214" s="7">
        <v>108</v>
      </c>
      <c r="F214" s="6">
        <v>46.6</v>
      </c>
      <c r="G214" s="7">
        <v>17</v>
      </c>
      <c r="H214" s="6">
        <v>50</v>
      </c>
      <c r="I214" s="6">
        <v>34</v>
      </c>
      <c r="J214" s="7">
        <v>36.5</v>
      </c>
      <c r="K214" s="7">
        <v>32</v>
      </c>
      <c r="L214" s="6">
        <v>88</v>
      </c>
      <c r="M214" s="6">
        <v>103</v>
      </c>
      <c r="N214" s="7">
        <v>31</v>
      </c>
      <c r="O214" s="6">
        <v>42</v>
      </c>
      <c r="P214" s="7">
        <v>93</v>
      </c>
      <c r="Q214" s="6">
        <v>78</v>
      </c>
      <c r="R214" s="6">
        <v>10.8</v>
      </c>
      <c r="S214" s="6">
        <v>141</v>
      </c>
      <c r="T214" s="6">
        <v>12.1</v>
      </c>
      <c r="U214" s="7">
        <v>46</v>
      </c>
      <c r="V214" s="7">
        <v>16</v>
      </c>
      <c r="W214" s="6">
        <v>56.8</v>
      </c>
      <c r="X214" s="6">
        <v>25</v>
      </c>
      <c r="Y214" s="6">
        <v>33.1</v>
      </c>
      <c r="Z214" s="7">
        <v>45</v>
      </c>
      <c r="AA214" s="55">
        <v>19</v>
      </c>
      <c r="AB214" s="7">
        <v>6</v>
      </c>
      <c r="AC214" s="6">
        <v>19.3</v>
      </c>
      <c r="AD214" s="6">
        <v>28.9</v>
      </c>
      <c r="AE214" s="6">
        <v>18</v>
      </c>
      <c r="AF214" s="6">
        <v>43</v>
      </c>
      <c r="AG214" s="6">
        <v>43</v>
      </c>
      <c r="AH214" s="6">
        <v>42</v>
      </c>
      <c r="AI214" s="7">
        <v>29</v>
      </c>
      <c r="AJ214" s="6">
        <v>44.4</v>
      </c>
      <c r="AK214" s="7">
        <v>22.5</v>
      </c>
      <c r="AL214" s="7">
        <v>20.5</v>
      </c>
    </row>
    <row r="215" spans="2:38" s="9" customFormat="1" x14ac:dyDescent="0.2">
      <c r="B215" s="55">
        <v>1997</v>
      </c>
      <c r="C215" s="115" t="s">
        <v>298</v>
      </c>
      <c r="D215" s="6">
        <v>41</v>
      </c>
      <c r="E215" s="7">
        <v>174</v>
      </c>
      <c r="F215" s="6">
        <v>216.2</v>
      </c>
      <c r="G215" s="7">
        <v>129</v>
      </c>
      <c r="H215" s="6">
        <v>247</v>
      </c>
      <c r="I215" s="6">
        <v>127</v>
      </c>
      <c r="J215" s="7">
        <v>128</v>
      </c>
      <c r="K215" s="7">
        <v>123</v>
      </c>
      <c r="L215" s="6">
        <v>142</v>
      </c>
      <c r="M215" s="6">
        <v>147</v>
      </c>
      <c r="N215" s="7">
        <v>122.5</v>
      </c>
      <c r="O215" s="6">
        <v>112</v>
      </c>
      <c r="P215" s="7">
        <v>193</v>
      </c>
      <c r="Q215" s="6">
        <v>184</v>
      </c>
      <c r="R215" s="6">
        <v>82.6</v>
      </c>
      <c r="S215" s="6">
        <v>169.2</v>
      </c>
      <c r="T215" s="6">
        <v>161.6</v>
      </c>
      <c r="U215" s="7">
        <v>160</v>
      </c>
      <c r="V215" s="7">
        <v>179.5</v>
      </c>
      <c r="W215" s="6">
        <v>118.1</v>
      </c>
      <c r="X215" s="6">
        <v>124</v>
      </c>
      <c r="Y215" s="6">
        <v>53.7</v>
      </c>
      <c r="Z215" s="7">
        <v>63</v>
      </c>
      <c r="AA215" s="55">
        <v>82</v>
      </c>
      <c r="AB215" s="7">
        <v>96</v>
      </c>
      <c r="AC215" s="6">
        <v>203.8</v>
      </c>
      <c r="AD215" s="6">
        <v>63.7</v>
      </c>
      <c r="AE215" s="6">
        <v>94.1</v>
      </c>
      <c r="AF215" s="6">
        <v>174</v>
      </c>
      <c r="AG215" s="6">
        <v>124</v>
      </c>
      <c r="AH215" s="6">
        <v>196</v>
      </c>
      <c r="AI215" s="7">
        <v>176.7</v>
      </c>
      <c r="AJ215" s="6">
        <v>163.4</v>
      </c>
      <c r="AK215" s="7">
        <v>120</v>
      </c>
      <c r="AL215" s="7">
        <v>240.5</v>
      </c>
    </row>
    <row r="216" spans="2:38" s="9" customFormat="1" x14ac:dyDescent="0.2">
      <c r="B216" s="55">
        <v>1997</v>
      </c>
      <c r="C216" s="115" t="s">
        <v>299</v>
      </c>
      <c r="D216" s="6">
        <v>88</v>
      </c>
      <c r="E216" s="7">
        <v>120</v>
      </c>
      <c r="F216" s="6">
        <v>185.7</v>
      </c>
      <c r="G216" s="7">
        <v>66</v>
      </c>
      <c r="H216" s="6">
        <v>199</v>
      </c>
      <c r="I216" s="6">
        <v>109</v>
      </c>
      <c r="J216" s="7">
        <v>154.5</v>
      </c>
      <c r="K216" s="7">
        <v>120</v>
      </c>
      <c r="L216" s="6">
        <v>147.5</v>
      </c>
      <c r="M216" s="6">
        <v>137</v>
      </c>
      <c r="N216" s="7">
        <v>199.5</v>
      </c>
      <c r="O216" s="6">
        <v>125</v>
      </c>
      <c r="P216" s="7">
        <v>140</v>
      </c>
      <c r="Q216" s="6">
        <v>144</v>
      </c>
      <c r="R216" s="6">
        <v>118.5</v>
      </c>
      <c r="S216" s="6">
        <v>172.1</v>
      </c>
      <c r="T216" s="6">
        <v>155</v>
      </c>
      <c r="U216" s="7">
        <v>164</v>
      </c>
      <c r="V216" s="7">
        <v>149.5</v>
      </c>
      <c r="W216" s="6">
        <v>101.4</v>
      </c>
      <c r="X216" s="6">
        <v>112</v>
      </c>
      <c r="Y216" s="6">
        <v>84.7</v>
      </c>
      <c r="Z216" s="7">
        <v>77</v>
      </c>
      <c r="AA216" s="55">
        <v>107</v>
      </c>
      <c r="AB216" s="7">
        <v>182</v>
      </c>
      <c r="AC216" s="6">
        <v>145.6</v>
      </c>
      <c r="AD216" s="6">
        <v>94.5</v>
      </c>
      <c r="AE216" s="6">
        <v>160.9</v>
      </c>
      <c r="AF216" s="6">
        <v>113</v>
      </c>
      <c r="AG216" s="6">
        <v>156</v>
      </c>
      <c r="AH216" s="6">
        <v>217</v>
      </c>
      <c r="AI216" s="7">
        <v>148.69999999999999</v>
      </c>
      <c r="AJ216" s="6">
        <v>190</v>
      </c>
      <c r="AK216" s="7">
        <v>155</v>
      </c>
      <c r="AL216" s="7">
        <v>137</v>
      </c>
    </row>
    <row r="217" spans="2:38" s="9" customFormat="1" x14ac:dyDescent="0.2">
      <c r="B217" s="55">
        <v>1997</v>
      </c>
      <c r="C217" s="115" t="s">
        <v>301</v>
      </c>
      <c r="D217" s="6">
        <v>227</v>
      </c>
      <c r="E217" s="7">
        <v>343</v>
      </c>
      <c r="F217" s="6">
        <v>436.9</v>
      </c>
      <c r="G217" s="7">
        <v>117</v>
      </c>
      <c r="H217" s="6">
        <v>236</v>
      </c>
      <c r="I217" s="6">
        <v>390</v>
      </c>
      <c r="J217" s="7">
        <v>363.5</v>
      </c>
      <c r="K217" s="7">
        <v>321</v>
      </c>
      <c r="L217" s="6">
        <v>241</v>
      </c>
      <c r="M217" s="6">
        <v>223</v>
      </c>
      <c r="N217" s="7">
        <v>446</v>
      </c>
      <c r="O217" s="6">
        <v>225</v>
      </c>
      <c r="P217" s="7">
        <v>346</v>
      </c>
      <c r="Q217" s="6">
        <v>306</v>
      </c>
      <c r="R217" s="6">
        <v>392.7</v>
      </c>
      <c r="S217" s="6">
        <v>342</v>
      </c>
      <c r="T217" s="6">
        <v>312.7</v>
      </c>
      <c r="U217" s="7">
        <v>222</v>
      </c>
      <c r="V217" s="7">
        <v>380</v>
      </c>
      <c r="W217" s="6">
        <v>335.1</v>
      </c>
      <c r="X217" s="6">
        <v>337.5</v>
      </c>
      <c r="Y217" s="6">
        <v>256.7</v>
      </c>
      <c r="Z217" s="7">
        <v>289</v>
      </c>
      <c r="AA217" s="55">
        <v>240</v>
      </c>
      <c r="AB217" s="7">
        <v>265</v>
      </c>
      <c r="AC217" s="6">
        <v>517.20000000000005</v>
      </c>
      <c r="AD217" s="6">
        <v>168.8</v>
      </c>
      <c r="AE217" s="6">
        <v>503.4</v>
      </c>
      <c r="AF217" s="6">
        <v>605</v>
      </c>
      <c r="AG217" s="6">
        <v>347</v>
      </c>
      <c r="AH217" s="6">
        <v>280</v>
      </c>
      <c r="AI217" s="7">
        <v>669.5</v>
      </c>
      <c r="AJ217" s="6">
        <v>379.6</v>
      </c>
      <c r="AK217" s="7">
        <v>506</v>
      </c>
      <c r="AL217" s="7">
        <v>326</v>
      </c>
    </row>
    <row r="218" spans="2:38" s="9" customFormat="1" x14ac:dyDescent="0.2">
      <c r="B218" s="55">
        <v>1998</v>
      </c>
      <c r="C218" s="115" t="s">
        <v>289</v>
      </c>
      <c r="D218" s="6">
        <v>121</v>
      </c>
      <c r="E218" s="7">
        <v>158</v>
      </c>
      <c r="F218" s="6">
        <v>449.7</v>
      </c>
      <c r="G218" s="7">
        <v>130</v>
      </c>
      <c r="H218" s="6">
        <v>542</v>
      </c>
      <c r="I218" s="6">
        <v>100</v>
      </c>
      <c r="J218" s="7">
        <v>182</v>
      </c>
      <c r="K218" s="7">
        <v>94</v>
      </c>
      <c r="L218" s="6">
        <v>254</v>
      </c>
      <c r="M218" s="6">
        <v>224</v>
      </c>
      <c r="N218" s="7">
        <v>189.5</v>
      </c>
      <c r="O218" s="6">
        <v>96</v>
      </c>
      <c r="P218" s="7">
        <v>198</v>
      </c>
      <c r="Q218" s="6">
        <v>134</v>
      </c>
      <c r="R218" s="6">
        <v>74.599999999999994</v>
      </c>
      <c r="S218" s="6">
        <v>193.9</v>
      </c>
      <c r="T218" s="6">
        <v>143.4</v>
      </c>
      <c r="U218" s="7">
        <v>166</v>
      </c>
      <c r="V218" s="7">
        <v>234</v>
      </c>
      <c r="W218" s="6">
        <v>244.7</v>
      </c>
      <c r="X218" s="6">
        <v>106</v>
      </c>
      <c r="Y218" s="6">
        <v>169.4</v>
      </c>
      <c r="Z218" s="7">
        <v>135</v>
      </c>
      <c r="AA218" s="55">
        <v>298</v>
      </c>
      <c r="AB218" s="7">
        <v>325</v>
      </c>
      <c r="AC218" s="6">
        <v>365.6</v>
      </c>
      <c r="AD218" s="6">
        <v>106.8</v>
      </c>
      <c r="AE218" s="6">
        <v>609.1</v>
      </c>
      <c r="AF218" s="6">
        <v>483</v>
      </c>
      <c r="AG218" s="6">
        <v>425</v>
      </c>
      <c r="AH218" s="6">
        <v>752</v>
      </c>
      <c r="AI218" s="7">
        <v>392.5</v>
      </c>
      <c r="AJ218" s="6">
        <v>136</v>
      </c>
      <c r="AK218" s="7">
        <v>433</v>
      </c>
      <c r="AL218" s="7">
        <v>248</v>
      </c>
    </row>
    <row r="219" spans="2:38" s="9" customFormat="1" x14ac:dyDescent="0.2">
      <c r="B219" s="55">
        <v>1998</v>
      </c>
      <c r="C219" s="115" t="s">
        <v>290</v>
      </c>
      <c r="D219" s="6">
        <v>34</v>
      </c>
      <c r="E219" s="7">
        <v>84</v>
      </c>
      <c r="F219" s="6">
        <v>205.7</v>
      </c>
      <c r="G219" s="7">
        <v>24</v>
      </c>
      <c r="H219" s="6">
        <v>180</v>
      </c>
      <c r="I219" s="6">
        <v>31</v>
      </c>
      <c r="J219" s="7">
        <v>109.5</v>
      </c>
      <c r="K219" s="7">
        <v>90</v>
      </c>
      <c r="L219" s="6">
        <v>97</v>
      </c>
      <c r="M219" s="6">
        <v>104</v>
      </c>
      <c r="N219" s="7">
        <v>107</v>
      </c>
      <c r="O219" s="6">
        <v>77</v>
      </c>
      <c r="P219" s="7">
        <v>197</v>
      </c>
      <c r="Q219" s="6">
        <v>64</v>
      </c>
      <c r="R219" s="6">
        <v>59.6</v>
      </c>
      <c r="S219" s="6">
        <v>205</v>
      </c>
      <c r="T219" s="6">
        <v>83.2</v>
      </c>
      <c r="U219" s="7">
        <v>83</v>
      </c>
      <c r="V219" s="7">
        <v>154</v>
      </c>
      <c r="W219" s="6">
        <v>101.1</v>
      </c>
      <c r="X219" s="6">
        <v>97.5</v>
      </c>
      <c r="Y219" s="6">
        <v>34.200000000000003</v>
      </c>
      <c r="Z219" s="7">
        <v>142</v>
      </c>
      <c r="AA219" s="55">
        <v>48</v>
      </c>
      <c r="AB219" s="7">
        <v>83</v>
      </c>
      <c r="AC219" s="6">
        <v>137</v>
      </c>
      <c r="AD219" s="6">
        <v>48.7</v>
      </c>
      <c r="AE219" s="6">
        <v>65.2</v>
      </c>
      <c r="AF219" s="6">
        <v>169</v>
      </c>
      <c r="AG219" s="6">
        <v>154</v>
      </c>
      <c r="AH219" s="6">
        <v>137</v>
      </c>
      <c r="AI219" s="7">
        <v>138.5</v>
      </c>
      <c r="AJ219" s="6">
        <v>59.5</v>
      </c>
      <c r="AK219" s="7">
        <v>108</v>
      </c>
      <c r="AL219" s="7">
        <v>227</v>
      </c>
    </row>
    <row r="220" spans="2:38" s="9" customFormat="1" x14ac:dyDescent="0.2">
      <c r="B220" s="55">
        <v>1998</v>
      </c>
      <c r="C220" s="115" t="s">
        <v>291</v>
      </c>
      <c r="D220" s="6">
        <v>90</v>
      </c>
      <c r="E220" s="7">
        <v>55</v>
      </c>
      <c r="F220" s="6">
        <v>299.2</v>
      </c>
      <c r="G220" s="7">
        <v>82</v>
      </c>
      <c r="H220" s="6">
        <v>199</v>
      </c>
      <c r="I220" s="6">
        <v>39</v>
      </c>
      <c r="J220" s="7">
        <v>138</v>
      </c>
      <c r="K220" s="7">
        <v>140</v>
      </c>
      <c r="L220" s="6">
        <v>117.5</v>
      </c>
      <c r="M220" s="6">
        <v>145</v>
      </c>
      <c r="N220" s="7">
        <v>70.5</v>
      </c>
      <c r="O220" s="6">
        <v>91</v>
      </c>
      <c r="P220" s="7">
        <v>67</v>
      </c>
      <c r="Q220" s="6">
        <v>191</v>
      </c>
      <c r="R220" s="6">
        <v>94.9</v>
      </c>
      <c r="S220" s="6">
        <v>132.9</v>
      </c>
      <c r="T220" s="6">
        <v>87.7</v>
      </c>
      <c r="U220" s="7">
        <v>155</v>
      </c>
      <c r="V220" s="7">
        <v>109.5</v>
      </c>
      <c r="W220" s="6">
        <v>155.9</v>
      </c>
      <c r="X220" s="6">
        <v>67</v>
      </c>
      <c r="Y220" s="6">
        <v>133.6</v>
      </c>
      <c r="Z220" s="7">
        <v>25</v>
      </c>
      <c r="AA220" s="55">
        <v>233.5</v>
      </c>
      <c r="AB220" s="7">
        <v>288</v>
      </c>
      <c r="AC220" s="6">
        <v>211.3</v>
      </c>
      <c r="AD220" s="6">
        <v>87</v>
      </c>
      <c r="AE220" s="6">
        <v>258.60000000000002</v>
      </c>
      <c r="AF220" s="6">
        <v>519</v>
      </c>
      <c r="AG220" s="6">
        <v>215</v>
      </c>
      <c r="AH220" s="6">
        <v>241</v>
      </c>
      <c r="AI220" s="7">
        <v>227</v>
      </c>
      <c r="AJ220" s="6">
        <v>160.19999999999999</v>
      </c>
      <c r="AK220" s="7">
        <v>305</v>
      </c>
      <c r="AL220" s="7">
        <v>135</v>
      </c>
    </row>
    <row r="221" spans="2:38" s="9" customFormat="1" x14ac:dyDescent="0.2">
      <c r="B221" s="55">
        <v>1998</v>
      </c>
      <c r="C221" s="115" t="s">
        <v>292</v>
      </c>
      <c r="D221" s="6">
        <v>332</v>
      </c>
      <c r="E221" s="7">
        <v>209</v>
      </c>
      <c r="F221" s="6">
        <v>301.2</v>
      </c>
      <c r="G221" s="7">
        <v>282</v>
      </c>
      <c r="H221" s="6">
        <v>316</v>
      </c>
      <c r="I221" s="6">
        <v>130</v>
      </c>
      <c r="J221" s="7">
        <v>243.5</v>
      </c>
      <c r="K221" s="7">
        <v>72</v>
      </c>
      <c r="L221" s="6">
        <v>148</v>
      </c>
      <c r="M221" s="6">
        <v>350</v>
      </c>
      <c r="N221" s="7">
        <v>61</v>
      </c>
      <c r="O221" s="6">
        <v>174</v>
      </c>
      <c r="P221" s="7">
        <v>432</v>
      </c>
      <c r="Q221" s="6">
        <v>315</v>
      </c>
      <c r="R221" s="6">
        <v>59.6</v>
      </c>
      <c r="S221" s="6">
        <v>384.9</v>
      </c>
      <c r="T221" s="6">
        <v>146.1</v>
      </c>
      <c r="U221" s="7">
        <v>233</v>
      </c>
      <c r="V221" s="7">
        <v>302.7</v>
      </c>
      <c r="W221" s="6">
        <v>124.9</v>
      </c>
      <c r="X221" s="6">
        <v>133.5</v>
      </c>
      <c r="Y221" s="6">
        <v>115.7</v>
      </c>
      <c r="Z221" s="7">
        <v>76</v>
      </c>
      <c r="AA221" s="55">
        <v>113</v>
      </c>
      <c r="AB221" s="7">
        <v>63</v>
      </c>
      <c r="AC221" s="6">
        <v>241.6</v>
      </c>
      <c r="AD221" s="6">
        <v>227</v>
      </c>
      <c r="AE221" s="6">
        <v>202.1</v>
      </c>
      <c r="AF221" s="6">
        <v>268</v>
      </c>
      <c r="AG221" s="6">
        <v>251</v>
      </c>
      <c r="AH221" s="6">
        <v>225</v>
      </c>
      <c r="AI221" s="7">
        <v>231.5</v>
      </c>
      <c r="AJ221" s="6">
        <v>378.5</v>
      </c>
      <c r="AK221" s="7">
        <v>296</v>
      </c>
      <c r="AL221" s="7">
        <v>432</v>
      </c>
    </row>
    <row r="222" spans="2:38" s="9" customFormat="1" x14ac:dyDescent="0.2">
      <c r="B222" s="55">
        <v>1998</v>
      </c>
      <c r="C222" s="115" t="s">
        <v>293</v>
      </c>
      <c r="D222" s="6">
        <v>68</v>
      </c>
      <c r="E222" s="7">
        <v>165</v>
      </c>
      <c r="F222" s="6">
        <v>129.30000000000001</v>
      </c>
      <c r="G222" s="7">
        <v>60</v>
      </c>
      <c r="H222" s="6">
        <v>120</v>
      </c>
      <c r="I222" s="6">
        <v>44</v>
      </c>
      <c r="J222" s="7">
        <v>114</v>
      </c>
      <c r="K222" s="7">
        <v>60</v>
      </c>
      <c r="L222" s="6">
        <v>106</v>
      </c>
      <c r="M222" s="6">
        <v>140</v>
      </c>
      <c r="N222" s="7">
        <v>114</v>
      </c>
      <c r="O222" s="6">
        <v>132</v>
      </c>
      <c r="P222" s="7">
        <v>216</v>
      </c>
      <c r="Q222" s="6">
        <v>105</v>
      </c>
      <c r="R222" s="6">
        <v>61.6</v>
      </c>
      <c r="S222" s="6">
        <v>175</v>
      </c>
      <c r="T222" s="6">
        <v>69.400000000000006</v>
      </c>
      <c r="U222" s="7">
        <v>118</v>
      </c>
      <c r="V222" s="7">
        <v>324.5</v>
      </c>
      <c r="W222" s="6">
        <v>116.2</v>
      </c>
      <c r="X222" s="6">
        <v>55</v>
      </c>
      <c r="Y222" s="6">
        <v>64.8</v>
      </c>
      <c r="Z222" s="7">
        <v>45</v>
      </c>
      <c r="AA222" s="55">
        <v>111</v>
      </c>
      <c r="AB222" s="7">
        <v>173</v>
      </c>
      <c r="AC222" s="6">
        <v>137.1</v>
      </c>
      <c r="AD222" s="6">
        <v>78.400000000000006</v>
      </c>
      <c r="AE222" s="6">
        <v>97.5</v>
      </c>
      <c r="AF222" s="6">
        <v>170</v>
      </c>
      <c r="AG222" s="6">
        <v>187</v>
      </c>
      <c r="AH222" s="6">
        <v>123</v>
      </c>
      <c r="AI222" s="7">
        <v>235</v>
      </c>
      <c r="AJ222" s="6">
        <v>137</v>
      </c>
      <c r="AK222" s="7">
        <v>127</v>
      </c>
      <c r="AL222" s="7">
        <v>305</v>
      </c>
    </row>
    <row r="223" spans="2:38" s="9" customFormat="1" x14ac:dyDescent="0.2">
      <c r="B223" s="55">
        <v>1998</v>
      </c>
      <c r="C223" s="115" t="s">
        <v>294</v>
      </c>
      <c r="D223" s="6">
        <v>87</v>
      </c>
      <c r="E223" s="7">
        <v>91.8</v>
      </c>
      <c r="F223" s="6">
        <v>219.1</v>
      </c>
      <c r="G223" s="7">
        <v>89.5</v>
      </c>
      <c r="H223" s="6">
        <v>211</v>
      </c>
      <c r="I223" s="6">
        <v>82</v>
      </c>
      <c r="J223" s="7">
        <v>211</v>
      </c>
      <c r="K223" s="7">
        <v>26</v>
      </c>
      <c r="L223" s="6">
        <v>164</v>
      </c>
      <c r="M223" s="6">
        <v>155</v>
      </c>
      <c r="N223" s="7">
        <v>17</v>
      </c>
      <c r="O223" s="6">
        <v>118</v>
      </c>
      <c r="P223" s="7">
        <v>194</v>
      </c>
      <c r="Q223" s="6">
        <v>229</v>
      </c>
      <c r="R223" s="6">
        <v>26.1</v>
      </c>
      <c r="S223" s="6">
        <v>203.2</v>
      </c>
      <c r="T223" s="6">
        <v>20.8</v>
      </c>
      <c r="U223" s="7">
        <v>155</v>
      </c>
      <c r="V223" s="7">
        <v>191</v>
      </c>
      <c r="W223" s="6">
        <v>82.7</v>
      </c>
      <c r="X223" s="6">
        <v>43</v>
      </c>
      <c r="Y223" s="6">
        <v>23.7</v>
      </c>
      <c r="Z223" s="7">
        <v>105</v>
      </c>
      <c r="AA223" s="55">
        <v>117</v>
      </c>
      <c r="AB223" s="7">
        <v>169</v>
      </c>
      <c r="AC223" s="6">
        <v>224.9</v>
      </c>
      <c r="AD223" s="6">
        <v>94.3</v>
      </c>
      <c r="AE223" s="6">
        <v>148.19999999999999</v>
      </c>
      <c r="AF223" s="6">
        <v>253</v>
      </c>
      <c r="AG223" s="6">
        <v>203</v>
      </c>
      <c r="AH223" s="6">
        <v>352</v>
      </c>
      <c r="AI223" s="7">
        <v>197</v>
      </c>
      <c r="AJ223" s="6">
        <v>182.2</v>
      </c>
      <c r="AK223" s="7">
        <v>247</v>
      </c>
      <c r="AL223" s="7">
        <v>160.5</v>
      </c>
    </row>
    <row r="224" spans="2:38" s="9" customFormat="1" x14ac:dyDescent="0.2">
      <c r="B224" s="55">
        <v>1998</v>
      </c>
      <c r="C224" s="115" t="s">
        <v>295</v>
      </c>
      <c r="D224" s="6">
        <v>159</v>
      </c>
      <c r="E224" s="7">
        <v>165</v>
      </c>
      <c r="F224" s="6">
        <v>129.1</v>
      </c>
      <c r="G224" s="7">
        <v>91</v>
      </c>
      <c r="H224" s="6">
        <v>99</v>
      </c>
      <c r="I224" s="6">
        <v>186</v>
      </c>
      <c r="J224" s="7">
        <v>197</v>
      </c>
      <c r="K224" s="7">
        <v>112</v>
      </c>
      <c r="L224" s="6">
        <v>167</v>
      </c>
      <c r="M224" s="6">
        <v>97</v>
      </c>
      <c r="N224" s="7">
        <v>88</v>
      </c>
      <c r="O224" s="6">
        <v>171</v>
      </c>
      <c r="P224" s="7">
        <v>124</v>
      </c>
      <c r="Q224" s="6">
        <v>164</v>
      </c>
      <c r="R224" s="6">
        <v>59.7</v>
      </c>
      <c r="S224" s="6">
        <v>115.5</v>
      </c>
      <c r="T224" s="6">
        <v>132.19999999999999</v>
      </c>
      <c r="U224" s="7">
        <v>227</v>
      </c>
      <c r="V224" s="7">
        <v>64.5</v>
      </c>
      <c r="W224" s="6">
        <v>111.6</v>
      </c>
      <c r="X224" s="6">
        <v>157</v>
      </c>
      <c r="Y224" s="6">
        <v>78.7</v>
      </c>
      <c r="Z224" s="7">
        <v>150</v>
      </c>
      <c r="AA224" s="55">
        <v>108</v>
      </c>
      <c r="AB224" s="7">
        <v>48</v>
      </c>
      <c r="AC224" s="6">
        <v>80.099999999999994</v>
      </c>
      <c r="AD224" s="6">
        <v>108.5</v>
      </c>
      <c r="AE224" s="6">
        <v>47.5</v>
      </c>
      <c r="AF224" s="6">
        <v>78</v>
      </c>
      <c r="AG224" s="6">
        <v>79</v>
      </c>
      <c r="AH224" s="6">
        <v>128</v>
      </c>
      <c r="AI224" s="7">
        <v>119.5</v>
      </c>
      <c r="AJ224" s="6">
        <v>194.2</v>
      </c>
      <c r="AK224" s="7">
        <v>80</v>
      </c>
      <c r="AL224" s="7">
        <v>125</v>
      </c>
    </row>
    <row r="225" spans="2:38" s="9" customFormat="1" x14ac:dyDescent="0.2">
      <c r="B225" s="55">
        <v>1998</v>
      </c>
      <c r="C225" s="115" t="s">
        <v>296</v>
      </c>
      <c r="D225" s="6">
        <v>22</v>
      </c>
      <c r="E225" s="7">
        <v>174</v>
      </c>
      <c r="F225" s="6">
        <v>46.4</v>
      </c>
      <c r="G225" s="7">
        <v>76</v>
      </c>
      <c r="H225" s="6">
        <v>55</v>
      </c>
      <c r="I225" s="6">
        <v>50</v>
      </c>
      <c r="J225" s="7">
        <v>76</v>
      </c>
      <c r="K225" s="7">
        <v>9</v>
      </c>
      <c r="L225" s="6">
        <v>61</v>
      </c>
      <c r="M225" s="6">
        <v>116</v>
      </c>
      <c r="N225" s="7">
        <v>15</v>
      </c>
      <c r="O225" s="6">
        <v>96</v>
      </c>
      <c r="P225" s="7">
        <v>164</v>
      </c>
      <c r="Q225" s="6">
        <v>106</v>
      </c>
      <c r="R225" s="6">
        <v>8.5</v>
      </c>
      <c r="S225" s="6">
        <v>144.30000000000001</v>
      </c>
      <c r="T225" s="6">
        <v>17.100000000000001</v>
      </c>
      <c r="U225" s="7">
        <v>81</v>
      </c>
      <c r="V225" s="7">
        <v>94</v>
      </c>
      <c r="W225" s="6">
        <v>20.5</v>
      </c>
      <c r="X225" s="6">
        <v>17</v>
      </c>
      <c r="Y225" s="6">
        <v>13.4</v>
      </c>
      <c r="Z225" s="7">
        <v>45</v>
      </c>
      <c r="AA225" s="55">
        <v>58</v>
      </c>
      <c r="AB225" s="7">
        <v>78</v>
      </c>
      <c r="AC225" s="6">
        <v>120.2</v>
      </c>
      <c r="AD225" s="6">
        <v>31.3</v>
      </c>
      <c r="AE225" s="6">
        <v>36.799999999999997</v>
      </c>
      <c r="AF225" s="6">
        <v>65</v>
      </c>
      <c r="AG225" s="6">
        <v>103</v>
      </c>
      <c r="AH225" s="6">
        <v>90</v>
      </c>
      <c r="AI225" s="7">
        <v>132</v>
      </c>
      <c r="AJ225" s="6">
        <v>121.4</v>
      </c>
      <c r="AK225" s="7">
        <v>38.700000000000003</v>
      </c>
      <c r="AL225" s="7">
        <v>167</v>
      </c>
    </row>
    <row r="226" spans="2:38" s="9" customFormat="1" x14ac:dyDescent="0.2">
      <c r="B226" s="55">
        <v>1998</v>
      </c>
      <c r="C226" s="115" t="s">
        <v>297</v>
      </c>
      <c r="D226" s="6">
        <v>150</v>
      </c>
      <c r="E226" s="7">
        <v>60</v>
      </c>
      <c r="F226" s="6">
        <v>195.2</v>
      </c>
      <c r="G226" s="7">
        <v>63</v>
      </c>
      <c r="H226" s="6">
        <v>189</v>
      </c>
      <c r="I226" s="6">
        <v>50</v>
      </c>
      <c r="J226" s="7">
        <v>53</v>
      </c>
      <c r="K226" s="7">
        <v>40</v>
      </c>
      <c r="L226" s="6">
        <v>121</v>
      </c>
      <c r="M226" s="6">
        <v>93</v>
      </c>
      <c r="N226" s="7">
        <v>60</v>
      </c>
      <c r="O226" s="6">
        <v>58</v>
      </c>
      <c r="P226" s="7">
        <v>90</v>
      </c>
      <c r="Q226" s="6">
        <v>61</v>
      </c>
      <c r="R226" s="6">
        <v>42.7</v>
      </c>
      <c r="S226" s="6">
        <v>71.5</v>
      </c>
      <c r="T226" s="6">
        <v>44.4</v>
      </c>
      <c r="U226" s="7">
        <v>107</v>
      </c>
      <c r="V226" s="7">
        <v>125</v>
      </c>
      <c r="W226" s="6">
        <v>62.4</v>
      </c>
      <c r="X226" s="6">
        <v>50</v>
      </c>
      <c r="Y226" s="6">
        <v>91.4</v>
      </c>
      <c r="Z226" s="7">
        <v>115</v>
      </c>
      <c r="AA226" s="55">
        <v>93</v>
      </c>
      <c r="AB226" s="7">
        <v>116</v>
      </c>
      <c r="AC226" s="6">
        <v>148.9</v>
      </c>
      <c r="AD226" s="6">
        <v>54.6</v>
      </c>
      <c r="AE226" s="6">
        <v>98</v>
      </c>
      <c r="AF226" s="6">
        <v>143</v>
      </c>
      <c r="AG226" s="6">
        <v>138</v>
      </c>
      <c r="AH226" s="6">
        <v>223</v>
      </c>
      <c r="AI226" s="7">
        <v>162.5</v>
      </c>
      <c r="AJ226" s="6">
        <v>58</v>
      </c>
      <c r="AK226" s="7">
        <v>139</v>
      </c>
      <c r="AL226" s="7">
        <v>141</v>
      </c>
    </row>
    <row r="227" spans="2:38" s="9" customFormat="1" x14ac:dyDescent="0.2">
      <c r="B227" s="55">
        <v>1998</v>
      </c>
      <c r="C227" s="115" t="s">
        <v>298</v>
      </c>
      <c r="D227" s="6">
        <v>53</v>
      </c>
      <c r="E227" s="7">
        <v>33</v>
      </c>
      <c r="F227" s="6">
        <v>33.5</v>
      </c>
      <c r="G227" s="7">
        <v>80</v>
      </c>
      <c r="H227" s="6">
        <v>46</v>
      </c>
      <c r="I227" s="6">
        <v>51</v>
      </c>
      <c r="J227" s="7">
        <v>47</v>
      </c>
      <c r="K227" s="7">
        <v>49</v>
      </c>
      <c r="L227" s="6">
        <v>13</v>
      </c>
      <c r="M227" s="6">
        <v>9</v>
      </c>
      <c r="N227" s="7">
        <v>44</v>
      </c>
      <c r="O227" s="6">
        <v>29</v>
      </c>
      <c r="P227" s="7">
        <v>6</v>
      </c>
      <c r="Q227" s="6">
        <v>129</v>
      </c>
      <c r="R227" s="6">
        <v>30.6</v>
      </c>
      <c r="S227" s="6">
        <v>18.5</v>
      </c>
      <c r="T227" s="6">
        <v>50.5</v>
      </c>
      <c r="U227" s="7">
        <v>53.5</v>
      </c>
      <c r="V227" s="7">
        <v>40.299999999999997</v>
      </c>
      <c r="W227" s="6">
        <v>60.7</v>
      </c>
      <c r="X227" s="6">
        <v>52</v>
      </c>
      <c r="Y227" s="6">
        <v>31.7</v>
      </c>
      <c r="Z227" s="7">
        <v>55</v>
      </c>
      <c r="AA227" s="55">
        <v>47</v>
      </c>
      <c r="AB227" s="7">
        <v>21</v>
      </c>
      <c r="AC227" s="6">
        <v>72.599999999999994</v>
      </c>
      <c r="AD227" s="6">
        <v>41.3</v>
      </c>
      <c r="AE227" s="6">
        <v>55.4</v>
      </c>
      <c r="AF227" s="6">
        <v>70</v>
      </c>
      <c r="AG227" s="6">
        <v>59</v>
      </c>
      <c r="AH227" s="6">
        <v>29</v>
      </c>
      <c r="AI227" s="7">
        <v>41.5</v>
      </c>
      <c r="AJ227" s="6">
        <v>60.4</v>
      </c>
      <c r="AK227" s="7">
        <v>25</v>
      </c>
      <c r="AL227" s="7">
        <v>21</v>
      </c>
    </row>
    <row r="228" spans="2:38" s="9" customFormat="1" x14ac:dyDescent="0.2">
      <c r="B228" s="55">
        <v>1998</v>
      </c>
      <c r="C228" s="115" t="s">
        <v>299</v>
      </c>
      <c r="D228" s="6">
        <v>147</v>
      </c>
      <c r="E228" s="7">
        <v>36</v>
      </c>
      <c r="F228" s="6">
        <v>114.4</v>
      </c>
      <c r="G228" s="7">
        <v>147</v>
      </c>
      <c r="H228" s="6">
        <v>100</v>
      </c>
      <c r="I228" s="6">
        <v>170</v>
      </c>
      <c r="J228" s="7">
        <v>81</v>
      </c>
      <c r="K228" s="7">
        <v>114</v>
      </c>
      <c r="L228" s="6">
        <v>92.5</v>
      </c>
      <c r="M228" s="6">
        <v>78</v>
      </c>
      <c r="N228" s="7">
        <v>101</v>
      </c>
      <c r="O228" s="6">
        <v>118</v>
      </c>
      <c r="P228" s="7">
        <v>44</v>
      </c>
      <c r="Q228" s="6">
        <v>144</v>
      </c>
      <c r="R228" s="6">
        <v>109.2</v>
      </c>
      <c r="S228" s="6">
        <v>35.4</v>
      </c>
      <c r="T228" s="6">
        <v>133.9</v>
      </c>
      <c r="U228" s="7">
        <v>152.5</v>
      </c>
      <c r="V228" s="7">
        <v>46</v>
      </c>
      <c r="W228" s="6">
        <v>79.599999999999994</v>
      </c>
      <c r="X228" s="6">
        <v>141</v>
      </c>
      <c r="Y228" s="6">
        <v>98.7</v>
      </c>
      <c r="Z228" s="7">
        <v>138</v>
      </c>
      <c r="AA228" s="55">
        <v>64</v>
      </c>
      <c r="AB228" s="7">
        <v>75</v>
      </c>
      <c r="AC228" s="6">
        <v>73.5</v>
      </c>
      <c r="AD228" s="6">
        <v>153.9</v>
      </c>
      <c r="AE228" s="6">
        <v>67.3</v>
      </c>
      <c r="AF228" s="6">
        <v>77</v>
      </c>
      <c r="AG228" s="6">
        <v>78</v>
      </c>
      <c r="AH228" s="6">
        <v>97</v>
      </c>
      <c r="AI228" s="7">
        <v>67</v>
      </c>
      <c r="AJ228" s="6">
        <v>85.9</v>
      </c>
      <c r="AK228" s="7">
        <v>62</v>
      </c>
      <c r="AL228" s="7">
        <v>81</v>
      </c>
    </row>
    <row r="229" spans="2:38" s="9" customFormat="1" x14ac:dyDescent="0.2">
      <c r="B229" s="55">
        <v>1998</v>
      </c>
      <c r="C229" s="115" t="s">
        <v>301</v>
      </c>
      <c r="D229" s="6">
        <v>125</v>
      </c>
      <c r="E229" s="7">
        <v>104</v>
      </c>
      <c r="F229" s="6">
        <v>91.2</v>
      </c>
      <c r="G229" s="7">
        <v>142</v>
      </c>
      <c r="H229" s="6">
        <v>84</v>
      </c>
      <c r="I229" s="6">
        <v>138</v>
      </c>
      <c r="J229" s="7">
        <v>172</v>
      </c>
      <c r="K229" s="7">
        <v>98</v>
      </c>
      <c r="L229" s="6">
        <v>150.5</v>
      </c>
      <c r="M229" s="6">
        <v>138</v>
      </c>
      <c r="N229" s="7">
        <v>138</v>
      </c>
      <c r="O229" s="6">
        <v>194</v>
      </c>
      <c r="P229" s="7">
        <v>112</v>
      </c>
      <c r="Q229" s="6">
        <v>240</v>
      </c>
      <c r="R229" s="6">
        <v>165.6</v>
      </c>
      <c r="S229" s="6">
        <v>92.6</v>
      </c>
      <c r="T229" s="6">
        <v>202.8</v>
      </c>
      <c r="U229" s="7">
        <v>211</v>
      </c>
      <c r="V229" s="7">
        <v>72</v>
      </c>
      <c r="W229" s="6">
        <v>145.30000000000001</v>
      </c>
      <c r="X229" s="6">
        <v>123</v>
      </c>
      <c r="Y229" s="6">
        <v>205.3</v>
      </c>
      <c r="Z229" s="7">
        <v>132</v>
      </c>
      <c r="AA229" s="55">
        <v>224</v>
      </c>
      <c r="AB229" s="7">
        <v>105.5</v>
      </c>
      <c r="AC229" s="6">
        <v>143.4</v>
      </c>
      <c r="AD229" s="6">
        <v>158.30000000000001</v>
      </c>
      <c r="AE229" s="6">
        <v>130.6</v>
      </c>
      <c r="AF229" s="6">
        <v>119</v>
      </c>
      <c r="AG229" s="6">
        <v>101</v>
      </c>
      <c r="AH229" s="6">
        <v>107</v>
      </c>
      <c r="AI229" s="7">
        <v>71</v>
      </c>
      <c r="AJ229" s="6">
        <v>171.7</v>
      </c>
      <c r="AK229" s="7">
        <v>91</v>
      </c>
      <c r="AL229" s="7">
        <v>102</v>
      </c>
    </row>
    <row r="230" spans="2:38" s="9" customFormat="1" x14ac:dyDescent="0.2">
      <c r="B230" s="55">
        <v>1999</v>
      </c>
      <c r="C230" s="115" t="s">
        <v>289</v>
      </c>
      <c r="D230" s="6">
        <v>117</v>
      </c>
      <c r="E230" s="7">
        <v>103</v>
      </c>
      <c r="F230" s="6">
        <v>16.7</v>
      </c>
      <c r="G230" s="7">
        <v>86.5</v>
      </c>
      <c r="H230" s="6">
        <v>97</v>
      </c>
      <c r="I230" s="6">
        <v>145</v>
      </c>
      <c r="J230" s="7">
        <v>171</v>
      </c>
      <c r="K230" s="7">
        <v>91</v>
      </c>
      <c r="L230" s="6">
        <v>109</v>
      </c>
      <c r="M230" s="6">
        <v>85</v>
      </c>
      <c r="N230" s="7">
        <v>171.5</v>
      </c>
      <c r="O230" s="6">
        <v>42</v>
      </c>
      <c r="P230" s="7">
        <v>86</v>
      </c>
      <c r="Q230" s="6">
        <v>92</v>
      </c>
      <c r="R230" s="6">
        <v>131.30000000000001</v>
      </c>
      <c r="S230" s="6">
        <v>61.6</v>
      </c>
      <c r="T230" s="6">
        <v>108</v>
      </c>
      <c r="U230" s="7">
        <v>61</v>
      </c>
      <c r="V230" s="7">
        <v>63.5</v>
      </c>
      <c r="W230" s="6">
        <v>155.4</v>
      </c>
      <c r="X230" s="6">
        <v>155.5</v>
      </c>
      <c r="Y230" s="6">
        <v>194.1</v>
      </c>
      <c r="Z230" s="7">
        <v>100</v>
      </c>
      <c r="AA230" s="55">
        <v>58</v>
      </c>
      <c r="AB230" s="7">
        <v>70</v>
      </c>
      <c r="AC230" s="6">
        <v>65.5</v>
      </c>
      <c r="AD230" s="6">
        <v>189.9</v>
      </c>
      <c r="AE230" s="6">
        <v>31.9</v>
      </c>
      <c r="AF230" s="6">
        <v>45</v>
      </c>
      <c r="AG230" s="6">
        <v>33</v>
      </c>
      <c r="AH230" s="6">
        <v>44</v>
      </c>
      <c r="AI230" s="7">
        <v>90.5</v>
      </c>
      <c r="AJ230" s="6">
        <v>62.5</v>
      </c>
      <c r="AK230" s="7">
        <v>38</v>
      </c>
      <c r="AL230" s="7">
        <v>96</v>
      </c>
    </row>
    <row r="231" spans="2:38" s="9" customFormat="1" x14ac:dyDescent="0.2">
      <c r="B231" s="55">
        <v>1999</v>
      </c>
      <c r="C231" s="115" t="s">
        <v>290</v>
      </c>
      <c r="D231" s="6">
        <v>153</v>
      </c>
      <c r="E231" s="7">
        <v>84</v>
      </c>
      <c r="F231" s="6">
        <v>168.2</v>
      </c>
      <c r="G231" s="7">
        <v>173</v>
      </c>
      <c r="H231" s="6">
        <v>127</v>
      </c>
      <c r="I231" s="6">
        <v>223</v>
      </c>
      <c r="J231" s="7">
        <v>154</v>
      </c>
      <c r="K231" s="7">
        <v>155</v>
      </c>
      <c r="L231" s="6">
        <v>169</v>
      </c>
      <c r="M231" s="6">
        <v>98</v>
      </c>
      <c r="N231" s="7">
        <v>112</v>
      </c>
      <c r="O231" s="6">
        <v>88</v>
      </c>
      <c r="P231" s="7">
        <v>78</v>
      </c>
      <c r="Q231" s="6">
        <v>180</v>
      </c>
      <c r="R231" s="6">
        <v>180.1</v>
      </c>
      <c r="S231" s="6">
        <v>120.1</v>
      </c>
      <c r="T231" s="6">
        <v>188</v>
      </c>
      <c r="U231" s="7">
        <v>195</v>
      </c>
      <c r="V231" s="7">
        <v>45</v>
      </c>
      <c r="W231" s="6">
        <v>109.1</v>
      </c>
      <c r="X231" s="6">
        <v>148</v>
      </c>
      <c r="Y231" s="6">
        <v>97.9</v>
      </c>
      <c r="Z231" s="7">
        <v>177</v>
      </c>
      <c r="AA231" s="55">
        <v>75.3</v>
      </c>
      <c r="AB231" s="7">
        <v>132</v>
      </c>
      <c r="AC231" s="6">
        <v>84</v>
      </c>
      <c r="AD231" s="6">
        <v>164.2</v>
      </c>
      <c r="AE231" s="6">
        <v>146.30000000000001</v>
      </c>
      <c r="AF231" s="6">
        <v>144</v>
      </c>
      <c r="AG231" s="6">
        <v>85</v>
      </c>
      <c r="AH231" s="6">
        <v>119</v>
      </c>
      <c r="AI231" s="7">
        <v>115</v>
      </c>
      <c r="AJ231" s="6">
        <v>165.3</v>
      </c>
      <c r="AK231" s="7">
        <v>126</v>
      </c>
      <c r="AL231" s="7">
        <v>122</v>
      </c>
    </row>
    <row r="232" spans="2:38" s="9" customFormat="1" x14ac:dyDescent="0.2">
      <c r="B232" s="55">
        <v>1999</v>
      </c>
      <c r="C232" s="115" t="s">
        <v>291</v>
      </c>
      <c r="D232" s="6">
        <v>120</v>
      </c>
      <c r="E232" s="7">
        <v>153</v>
      </c>
      <c r="F232" s="6">
        <v>55.6</v>
      </c>
      <c r="G232" s="7">
        <v>168</v>
      </c>
      <c r="H232" s="6">
        <v>109</v>
      </c>
      <c r="I232" s="6">
        <v>211</v>
      </c>
      <c r="J232" s="7">
        <v>92</v>
      </c>
      <c r="K232" s="7">
        <v>215</v>
      </c>
      <c r="L232" s="6">
        <v>95</v>
      </c>
      <c r="M232" s="6">
        <v>59</v>
      </c>
      <c r="N232" s="7">
        <v>175</v>
      </c>
      <c r="O232" s="6">
        <v>89</v>
      </c>
      <c r="P232" s="7">
        <v>135</v>
      </c>
      <c r="Q232" s="6">
        <v>172</v>
      </c>
      <c r="R232" s="6">
        <v>358.2</v>
      </c>
      <c r="S232" s="6">
        <v>167.4</v>
      </c>
      <c r="T232" s="6">
        <v>143.4</v>
      </c>
      <c r="U232" s="7">
        <v>88</v>
      </c>
      <c r="V232" s="7">
        <v>128</v>
      </c>
      <c r="W232" s="6">
        <v>169.5</v>
      </c>
      <c r="X232" s="6">
        <v>229</v>
      </c>
      <c r="Y232" s="6">
        <v>137.19999999999999</v>
      </c>
      <c r="Z232" s="7">
        <v>160</v>
      </c>
      <c r="AA232" s="55">
        <v>91</v>
      </c>
      <c r="AB232" s="7">
        <v>155</v>
      </c>
      <c r="AC232" s="6">
        <v>109.9</v>
      </c>
      <c r="AD232" s="6">
        <v>115.6</v>
      </c>
      <c r="AE232" s="6">
        <v>68.5</v>
      </c>
      <c r="AF232" s="6">
        <v>116</v>
      </c>
      <c r="AG232" s="6">
        <v>96</v>
      </c>
      <c r="AH232" s="6">
        <v>58</v>
      </c>
      <c r="AI232" s="7">
        <v>124.5</v>
      </c>
      <c r="AJ232" s="6">
        <v>128.9</v>
      </c>
      <c r="AK232" s="7">
        <v>150</v>
      </c>
      <c r="AL232" s="7">
        <v>197</v>
      </c>
    </row>
    <row r="233" spans="2:38" s="9" customFormat="1" x14ac:dyDescent="0.2">
      <c r="B233" s="55">
        <v>1999</v>
      </c>
      <c r="C233" s="115" t="s">
        <v>292</v>
      </c>
      <c r="D233" s="6">
        <v>80</v>
      </c>
      <c r="E233" s="7">
        <v>114</v>
      </c>
      <c r="F233" s="6">
        <v>151</v>
      </c>
      <c r="G233" s="7">
        <v>74</v>
      </c>
      <c r="H233" s="6">
        <v>223</v>
      </c>
      <c r="I233" s="6">
        <v>35</v>
      </c>
      <c r="J233" s="7">
        <v>90.5</v>
      </c>
      <c r="K233" s="7">
        <v>39</v>
      </c>
      <c r="L233" s="6">
        <v>49</v>
      </c>
      <c r="M233" s="6">
        <v>92</v>
      </c>
      <c r="N233" s="7">
        <v>54</v>
      </c>
      <c r="O233" s="6">
        <v>122</v>
      </c>
      <c r="P233" s="7">
        <v>109</v>
      </c>
      <c r="Q233" s="6">
        <v>118</v>
      </c>
      <c r="R233" s="6">
        <v>12.9</v>
      </c>
      <c r="S233" s="6">
        <v>172.1</v>
      </c>
      <c r="T233" s="6">
        <v>31.1</v>
      </c>
      <c r="U233" s="7">
        <v>49</v>
      </c>
      <c r="V233" s="7">
        <v>175.5</v>
      </c>
      <c r="W233" s="6">
        <v>52.9</v>
      </c>
      <c r="X233" s="6">
        <v>23.5</v>
      </c>
      <c r="Y233" s="6">
        <v>67.2</v>
      </c>
      <c r="Z233" s="7">
        <v>72</v>
      </c>
      <c r="AA233" s="55">
        <v>113</v>
      </c>
      <c r="AB233" s="7">
        <v>97</v>
      </c>
      <c r="AC233" s="6">
        <v>167.1</v>
      </c>
      <c r="AD233" s="6">
        <v>117.3</v>
      </c>
      <c r="AE233" s="6">
        <v>91.4</v>
      </c>
      <c r="AF233" s="6">
        <v>144</v>
      </c>
      <c r="AG233" s="6">
        <v>206</v>
      </c>
      <c r="AH233" s="6">
        <v>180</v>
      </c>
      <c r="AI233" s="7">
        <v>211</v>
      </c>
      <c r="AJ233" s="6">
        <v>106.9</v>
      </c>
      <c r="AK233" s="7">
        <v>128</v>
      </c>
      <c r="AL233" s="7">
        <v>223</v>
      </c>
    </row>
    <row r="234" spans="2:38" s="9" customFormat="1" x14ac:dyDescent="0.2">
      <c r="B234" s="55">
        <v>1999</v>
      </c>
      <c r="C234" s="115" t="s">
        <v>293</v>
      </c>
      <c r="D234" s="6">
        <v>42</v>
      </c>
      <c r="E234" s="7">
        <v>22</v>
      </c>
      <c r="F234" s="6">
        <v>59.8</v>
      </c>
      <c r="G234" s="7">
        <v>51</v>
      </c>
      <c r="H234" s="6">
        <v>66</v>
      </c>
      <c r="I234" s="6">
        <v>41</v>
      </c>
      <c r="J234" s="7">
        <v>47</v>
      </c>
      <c r="K234" s="7">
        <v>55</v>
      </c>
      <c r="L234" s="6">
        <v>29.5</v>
      </c>
      <c r="M234" s="6">
        <v>31</v>
      </c>
      <c r="N234" s="7">
        <v>30</v>
      </c>
      <c r="O234" s="6">
        <v>28</v>
      </c>
      <c r="P234" s="7">
        <v>30</v>
      </c>
      <c r="Q234" s="6">
        <v>44</v>
      </c>
      <c r="R234" s="6">
        <v>31.8</v>
      </c>
      <c r="S234" s="6">
        <v>32.700000000000003</v>
      </c>
      <c r="T234" s="6">
        <v>24.1</v>
      </c>
      <c r="U234" s="7">
        <v>38</v>
      </c>
      <c r="V234" s="7">
        <v>99</v>
      </c>
      <c r="W234" s="6">
        <v>45.7</v>
      </c>
      <c r="X234" s="6">
        <v>34.5</v>
      </c>
      <c r="Y234" s="6">
        <v>53.2</v>
      </c>
      <c r="Z234" s="7">
        <v>57</v>
      </c>
      <c r="AA234" s="55">
        <v>24</v>
      </c>
      <c r="AB234" s="7">
        <v>10</v>
      </c>
      <c r="AC234" s="6">
        <v>77.400000000000006</v>
      </c>
      <c r="AD234" s="6">
        <v>56.6</v>
      </c>
      <c r="AE234" s="6">
        <v>17</v>
      </c>
      <c r="AF234" s="6">
        <v>33</v>
      </c>
      <c r="AG234" s="6">
        <v>34</v>
      </c>
      <c r="AH234" s="6">
        <v>42</v>
      </c>
      <c r="AI234" s="7">
        <v>81</v>
      </c>
      <c r="AJ234" s="6">
        <v>45</v>
      </c>
      <c r="AK234" s="7">
        <v>11</v>
      </c>
      <c r="AL234" s="7">
        <v>103</v>
      </c>
    </row>
    <row r="235" spans="2:38" s="9" customFormat="1" x14ac:dyDescent="0.2">
      <c r="B235" s="55">
        <v>1999</v>
      </c>
      <c r="C235" s="115" t="s">
        <v>294</v>
      </c>
      <c r="D235" s="6">
        <v>140</v>
      </c>
      <c r="E235" s="7">
        <v>71</v>
      </c>
      <c r="F235" s="6">
        <v>71.400000000000006</v>
      </c>
      <c r="G235" s="7">
        <v>164</v>
      </c>
      <c r="H235" s="6">
        <v>40</v>
      </c>
      <c r="I235" s="6">
        <v>204</v>
      </c>
      <c r="J235" s="7">
        <v>216</v>
      </c>
      <c r="K235" s="7">
        <v>46</v>
      </c>
      <c r="L235" s="6">
        <v>204</v>
      </c>
      <c r="M235" s="6">
        <v>216</v>
      </c>
      <c r="N235" s="7">
        <v>82</v>
      </c>
      <c r="O235" s="6">
        <v>209</v>
      </c>
      <c r="P235" s="7">
        <v>106</v>
      </c>
      <c r="Q235" s="6">
        <v>254</v>
      </c>
      <c r="R235" s="6">
        <v>24.7</v>
      </c>
      <c r="S235" s="6">
        <v>161.69999999999999</v>
      </c>
      <c r="T235" s="6">
        <v>110.4</v>
      </c>
      <c r="U235" s="7">
        <v>213.5</v>
      </c>
      <c r="V235" s="7">
        <v>182</v>
      </c>
      <c r="W235" s="6">
        <v>152.19999999999999</v>
      </c>
      <c r="X235" s="6">
        <v>134</v>
      </c>
      <c r="Y235" s="6">
        <v>88.1</v>
      </c>
      <c r="Z235" s="7">
        <v>147</v>
      </c>
      <c r="AA235" s="55">
        <v>174</v>
      </c>
      <c r="AB235" s="7">
        <v>255</v>
      </c>
      <c r="AC235" s="6">
        <v>117.6</v>
      </c>
      <c r="AD235" s="6">
        <v>164.5</v>
      </c>
      <c r="AE235" s="6">
        <v>225.7</v>
      </c>
      <c r="AF235" s="6">
        <v>96</v>
      </c>
      <c r="AG235" s="6">
        <v>266</v>
      </c>
      <c r="AH235" s="6">
        <v>86</v>
      </c>
      <c r="AI235" s="7">
        <v>174</v>
      </c>
      <c r="AJ235" s="6">
        <v>307.3</v>
      </c>
      <c r="AK235" s="7">
        <v>237</v>
      </c>
      <c r="AL235" s="7">
        <v>263</v>
      </c>
    </row>
    <row r="236" spans="2:38" s="9" customFormat="1" x14ac:dyDescent="0.2">
      <c r="B236" s="55">
        <v>1999</v>
      </c>
      <c r="C236" s="115" t="s">
        <v>295</v>
      </c>
      <c r="D236" s="6">
        <v>116</v>
      </c>
      <c r="E236" s="7">
        <v>26</v>
      </c>
      <c r="F236" s="6">
        <v>98.3</v>
      </c>
      <c r="G236" s="7">
        <v>110</v>
      </c>
      <c r="H236" s="6">
        <v>58</v>
      </c>
      <c r="I236" s="6">
        <v>155</v>
      </c>
      <c r="J236" s="7">
        <v>73</v>
      </c>
      <c r="K236" s="7">
        <v>88</v>
      </c>
      <c r="L236" s="6">
        <v>157</v>
      </c>
      <c r="M236" s="6">
        <v>43</v>
      </c>
      <c r="N236" s="7">
        <v>98</v>
      </c>
      <c r="O236" s="6">
        <v>94</v>
      </c>
      <c r="P236" s="7">
        <v>36</v>
      </c>
      <c r="Q236" s="6">
        <v>103</v>
      </c>
      <c r="R236" s="6">
        <v>103.7</v>
      </c>
      <c r="S236" s="6">
        <v>39.799999999999997</v>
      </c>
      <c r="T236" s="6">
        <v>99.4</v>
      </c>
      <c r="U236" s="7">
        <v>154</v>
      </c>
      <c r="V236" s="7">
        <v>77.5</v>
      </c>
      <c r="W236" s="6">
        <v>133.5</v>
      </c>
      <c r="X236" s="6">
        <v>145</v>
      </c>
      <c r="Y236" s="6">
        <v>101.3</v>
      </c>
      <c r="Z236" s="7">
        <v>182</v>
      </c>
      <c r="AA236" s="55">
        <v>248</v>
      </c>
      <c r="AB236" s="7">
        <v>146</v>
      </c>
      <c r="AC236" s="6">
        <v>85.5</v>
      </c>
      <c r="AD236" s="6">
        <v>115.6</v>
      </c>
      <c r="AE236" s="6">
        <v>108.6</v>
      </c>
      <c r="AF236" s="6">
        <v>78</v>
      </c>
      <c r="AG236" s="6">
        <v>74</v>
      </c>
      <c r="AH236" s="6">
        <v>78</v>
      </c>
      <c r="AI236" s="7">
        <v>84</v>
      </c>
      <c r="AJ236" s="6">
        <v>67.3</v>
      </c>
      <c r="AK236" s="7">
        <v>58</v>
      </c>
      <c r="AL236" s="7">
        <v>80</v>
      </c>
    </row>
    <row r="237" spans="2:38" s="9" customFormat="1" x14ac:dyDescent="0.2">
      <c r="B237" s="55">
        <v>1999</v>
      </c>
      <c r="C237" s="115" t="s">
        <v>296</v>
      </c>
      <c r="D237" s="6">
        <v>109</v>
      </c>
      <c r="E237" s="7">
        <v>0</v>
      </c>
      <c r="F237" s="6">
        <v>17.899999999999999</v>
      </c>
      <c r="G237" s="7">
        <v>132</v>
      </c>
      <c r="H237" s="6">
        <v>16</v>
      </c>
      <c r="I237" s="6">
        <v>130</v>
      </c>
      <c r="J237" s="7">
        <v>74</v>
      </c>
      <c r="K237" s="7">
        <v>109</v>
      </c>
      <c r="L237" s="6">
        <v>33</v>
      </c>
      <c r="M237" s="6">
        <v>62</v>
      </c>
      <c r="N237" s="7">
        <v>51</v>
      </c>
      <c r="O237" s="6">
        <v>62</v>
      </c>
      <c r="P237" s="7">
        <v>41</v>
      </c>
      <c r="Q237" s="6">
        <v>123</v>
      </c>
      <c r="R237" s="6">
        <v>83.4</v>
      </c>
      <c r="S237" s="6">
        <v>69.099999999999994</v>
      </c>
      <c r="T237" s="6">
        <v>35</v>
      </c>
      <c r="U237" s="7">
        <v>43</v>
      </c>
      <c r="V237" s="7">
        <v>44</v>
      </c>
      <c r="W237" s="6">
        <v>17.2</v>
      </c>
      <c r="X237" s="6">
        <v>0</v>
      </c>
      <c r="Y237" s="6">
        <v>109.7</v>
      </c>
      <c r="Z237" s="7">
        <v>41</v>
      </c>
      <c r="AA237" s="55">
        <v>27</v>
      </c>
      <c r="AB237" s="7">
        <v>24</v>
      </c>
      <c r="AC237" s="6">
        <v>30.6</v>
      </c>
      <c r="AD237" s="6">
        <v>79.099999999999994</v>
      </c>
      <c r="AE237" s="6">
        <v>14.3</v>
      </c>
      <c r="AF237" s="6">
        <v>25</v>
      </c>
      <c r="AG237" s="6">
        <v>114</v>
      </c>
      <c r="AH237" s="6">
        <v>18</v>
      </c>
      <c r="AI237" s="7">
        <v>31.5</v>
      </c>
      <c r="AJ237" s="6">
        <v>65.5</v>
      </c>
      <c r="AK237" s="7">
        <v>19</v>
      </c>
      <c r="AL237" s="7">
        <v>69</v>
      </c>
    </row>
    <row r="238" spans="2:38" s="9" customFormat="1" x14ac:dyDescent="0.2">
      <c r="B238" s="55">
        <v>1999</v>
      </c>
      <c r="C238" s="115" t="s">
        <v>297</v>
      </c>
      <c r="D238" s="6">
        <v>77</v>
      </c>
      <c r="E238" s="7">
        <v>64</v>
      </c>
      <c r="F238" s="6">
        <v>40.700000000000003</v>
      </c>
      <c r="G238" s="7">
        <v>49</v>
      </c>
      <c r="H238" s="6">
        <v>54</v>
      </c>
      <c r="I238" s="6">
        <v>56</v>
      </c>
      <c r="J238" s="7">
        <v>58</v>
      </c>
      <c r="K238" s="7">
        <v>58</v>
      </c>
      <c r="L238" s="6">
        <v>13</v>
      </c>
      <c r="M238" s="6">
        <v>34</v>
      </c>
      <c r="N238" s="7">
        <v>30</v>
      </c>
      <c r="O238" s="6">
        <v>37</v>
      </c>
      <c r="P238" s="7">
        <v>114</v>
      </c>
      <c r="Q238" s="6">
        <v>63</v>
      </c>
      <c r="R238" s="6">
        <v>51.5</v>
      </c>
      <c r="S238" s="6">
        <v>115.3</v>
      </c>
      <c r="T238" s="6">
        <v>19.7</v>
      </c>
      <c r="U238" s="7">
        <v>28</v>
      </c>
      <c r="V238" s="7">
        <v>137</v>
      </c>
      <c r="W238" s="6">
        <v>21.1</v>
      </c>
      <c r="X238" s="6">
        <v>0</v>
      </c>
      <c r="Y238" s="6">
        <v>91</v>
      </c>
      <c r="Z238" s="7">
        <v>59</v>
      </c>
      <c r="AA238" s="55">
        <v>6</v>
      </c>
      <c r="AB238" s="7">
        <v>37</v>
      </c>
      <c r="AC238" s="6">
        <v>94.7</v>
      </c>
      <c r="AD238" s="6">
        <v>110.8</v>
      </c>
      <c r="AE238" s="6">
        <v>31.1</v>
      </c>
      <c r="AF238" s="6">
        <v>46</v>
      </c>
      <c r="AG238" s="6">
        <v>59</v>
      </c>
      <c r="AH238" s="6">
        <v>106</v>
      </c>
      <c r="AI238" s="7">
        <v>98</v>
      </c>
      <c r="AJ238" s="6">
        <v>77.8</v>
      </c>
      <c r="AK238" s="7">
        <v>46</v>
      </c>
      <c r="AL238" s="7">
        <v>152</v>
      </c>
    </row>
    <row r="239" spans="2:38" s="9" customFormat="1" x14ac:dyDescent="0.2">
      <c r="B239" s="55">
        <v>1999</v>
      </c>
      <c r="C239" s="115" t="s">
        <v>298</v>
      </c>
      <c r="D239" s="6">
        <v>26</v>
      </c>
      <c r="E239" s="7">
        <v>71</v>
      </c>
      <c r="F239" s="6">
        <v>82.9</v>
      </c>
      <c r="G239" s="7">
        <v>36</v>
      </c>
      <c r="H239" s="6">
        <v>95</v>
      </c>
      <c r="I239" s="6">
        <v>28</v>
      </c>
      <c r="J239" s="7">
        <v>49</v>
      </c>
      <c r="K239" s="7">
        <v>8</v>
      </c>
      <c r="L239" s="6">
        <v>45</v>
      </c>
      <c r="M239" s="6">
        <v>64</v>
      </c>
      <c r="N239" s="7">
        <v>0</v>
      </c>
      <c r="O239" s="6">
        <v>26</v>
      </c>
      <c r="P239" s="7">
        <v>68</v>
      </c>
      <c r="Q239" s="6">
        <v>44</v>
      </c>
      <c r="R239" s="6">
        <v>8.9</v>
      </c>
      <c r="S239" s="6">
        <v>64.7</v>
      </c>
      <c r="T239" s="6">
        <v>17.7</v>
      </c>
      <c r="U239" s="7">
        <v>14.5</v>
      </c>
      <c r="V239" s="7">
        <v>115.1</v>
      </c>
      <c r="W239" s="6">
        <v>57.3</v>
      </c>
      <c r="X239" s="6">
        <v>17</v>
      </c>
      <c r="Y239" s="6">
        <v>71.8</v>
      </c>
      <c r="Z239" s="7">
        <v>25</v>
      </c>
      <c r="AA239" s="55">
        <v>65</v>
      </c>
      <c r="AB239" s="7">
        <v>36.5</v>
      </c>
      <c r="AC239" s="6">
        <v>150.6</v>
      </c>
      <c r="AD239" s="6">
        <v>75.3</v>
      </c>
      <c r="AE239" s="6">
        <v>30.5</v>
      </c>
      <c r="AF239" s="6">
        <v>98</v>
      </c>
      <c r="AG239" s="6">
        <v>95</v>
      </c>
      <c r="AH239" s="6">
        <v>102</v>
      </c>
      <c r="AI239" s="7">
        <v>123</v>
      </c>
      <c r="AJ239" s="6">
        <v>21.5</v>
      </c>
      <c r="AK239" s="7">
        <v>72</v>
      </c>
      <c r="AL239" s="7">
        <v>148</v>
      </c>
    </row>
    <row r="240" spans="2:38" s="9" customFormat="1" x14ac:dyDescent="0.2">
      <c r="B240" s="55">
        <v>1999</v>
      </c>
      <c r="C240" s="115" t="s">
        <v>299</v>
      </c>
      <c r="D240" s="6">
        <v>65</v>
      </c>
      <c r="E240" s="7">
        <v>18</v>
      </c>
      <c r="F240" s="6">
        <v>3.5</v>
      </c>
      <c r="G240" s="7">
        <v>47</v>
      </c>
      <c r="H240" s="6">
        <v>9</v>
      </c>
      <c r="I240" s="6">
        <v>55</v>
      </c>
      <c r="J240" s="7">
        <v>2</v>
      </c>
      <c r="K240" s="7">
        <v>13</v>
      </c>
      <c r="L240" s="6">
        <v>56.5</v>
      </c>
      <c r="M240" s="6">
        <v>14</v>
      </c>
      <c r="N240" s="7">
        <v>14.5</v>
      </c>
      <c r="O240" s="6">
        <v>13</v>
      </c>
      <c r="P240" s="7">
        <v>1</v>
      </c>
      <c r="Q240" s="6">
        <v>80</v>
      </c>
      <c r="R240" s="6">
        <v>24.3</v>
      </c>
      <c r="S240" s="6">
        <v>15.8</v>
      </c>
      <c r="T240" s="6">
        <v>15.4</v>
      </c>
      <c r="U240" s="7">
        <v>19</v>
      </c>
      <c r="V240" s="7">
        <v>8</v>
      </c>
      <c r="W240" s="6">
        <v>16.2</v>
      </c>
      <c r="X240" s="6">
        <v>49</v>
      </c>
      <c r="Y240" s="6">
        <v>35.299999999999997</v>
      </c>
      <c r="Z240" s="7">
        <v>63</v>
      </c>
      <c r="AA240" s="55">
        <v>0</v>
      </c>
      <c r="AB240" s="7">
        <v>12</v>
      </c>
      <c r="AC240" s="6">
        <v>23.3</v>
      </c>
      <c r="AD240" s="6">
        <v>41.7</v>
      </c>
      <c r="AE240" s="6">
        <v>2.8</v>
      </c>
      <c r="AF240" s="6">
        <v>0</v>
      </c>
      <c r="AG240" s="6">
        <v>46</v>
      </c>
      <c r="AH240" s="6">
        <v>0</v>
      </c>
      <c r="AI240" s="7">
        <v>1</v>
      </c>
      <c r="AJ240" s="6">
        <v>34.6</v>
      </c>
      <c r="AK240" s="7">
        <v>0</v>
      </c>
      <c r="AL240" s="7">
        <v>24</v>
      </c>
    </row>
    <row r="241" spans="2:38" s="9" customFormat="1" x14ac:dyDescent="0.2">
      <c r="B241" s="55">
        <v>1999</v>
      </c>
      <c r="C241" s="115" t="s">
        <v>301</v>
      </c>
      <c r="D241" s="6">
        <v>27</v>
      </c>
      <c r="E241" s="7">
        <v>41</v>
      </c>
      <c r="F241" s="6">
        <v>37.799999999999997</v>
      </c>
      <c r="G241" s="7">
        <v>107</v>
      </c>
      <c r="H241" s="6">
        <v>66</v>
      </c>
      <c r="I241" s="6">
        <v>89</v>
      </c>
      <c r="J241" s="7">
        <v>77.5</v>
      </c>
      <c r="K241" s="7">
        <v>29</v>
      </c>
      <c r="L241" s="6">
        <v>43.5</v>
      </c>
      <c r="M241" s="6">
        <v>27</v>
      </c>
      <c r="N241" s="7">
        <v>30</v>
      </c>
      <c r="O241" s="6">
        <v>38</v>
      </c>
      <c r="P241" s="7">
        <v>67</v>
      </c>
      <c r="Q241" s="6">
        <v>36</v>
      </c>
      <c r="R241" s="6">
        <v>111.8</v>
      </c>
      <c r="S241" s="6">
        <v>34.1</v>
      </c>
      <c r="T241" s="6">
        <v>56.1</v>
      </c>
      <c r="U241" s="7">
        <v>62</v>
      </c>
      <c r="V241" s="7">
        <v>78</v>
      </c>
      <c r="W241" s="6">
        <v>29.4</v>
      </c>
      <c r="X241" s="6">
        <v>74</v>
      </c>
      <c r="Y241" s="6">
        <v>87.4</v>
      </c>
      <c r="Z241" s="7">
        <v>88</v>
      </c>
      <c r="AA241" s="55">
        <v>38</v>
      </c>
      <c r="AB241" s="7">
        <v>20</v>
      </c>
      <c r="AC241" s="6">
        <v>45.8</v>
      </c>
      <c r="AD241" s="6">
        <v>86.9</v>
      </c>
      <c r="AE241" s="6">
        <v>59.5</v>
      </c>
      <c r="AF241" s="6">
        <v>24</v>
      </c>
      <c r="AG241" s="6">
        <v>35</v>
      </c>
      <c r="AH241" s="6">
        <v>40</v>
      </c>
      <c r="AI241" s="7">
        <v>50</v>
      </c>
      <c r="AJ241" s="6">
        <v>31</v>
      </c>
      <c r="AK241" s="7">
        <v>22</v>
      </c>
      <c r="AL241" s="7">
        <v>62</v>
      </c>
    </row>
    <row r="242" spans="2:38" s="8" customFormat="1" x14ac:dyDescent="0.2">
      <c r="B242" s="115">
        <v>2000</v>
      </c>
      <c r="C242" s="115" t="s">
        <v>289</v>
      </c>
      <c r="D242" s="10">
        <v>71.5</v>
      </c>
      <c r="E242" s="10">
        <v>27</v>
      </c>
      <c r="F242" s="6">
        <v>130.4</v>
      </c>
      <c r="G242" s="10">
        <v>60</v>
      </c>
      <c r="H242" s="10">
        <v>154</v>
      </c>
      <c r="I242" s="10">
        <v>33</v>
      </c>
      <c r="J242" s="10">
        <v>20</v>
      </c>
      <c r="K242" s="10">
        <v>28</v>
      </c>
      <c r="L242" s="10">
        <v>66</v>
      </c>
      <c r="M242" s="10">
        <v>46</v>
      </c>
      <c r="N242" s="10">
        <v>37</v>
      </c>
      <c r="O242" s="10">
        <v>50</v>
      </c>
      <c r="P242" s="10">
        <v>37</v>
      </c>
      <c r="Q242" s="10">
        <v>148</v>
      </c>
      <c r="R242" s="10">
        <v>44.7</v>
      </c>
      <c r="S242" s="10">
        <v>36</v>
      </c>
      <c r="T242" s="10">
        <v>34.6</v>
      </c>
      <c r="U242" s="10">
        <v>18.5</v>
      </c>
      <c r="V242" s="10">
        <v>97.5</v>
      </c>
      <c r="W242" s="10">
        <v>27.7</v>
      </c>
      <c r="X242" s="10">
        <v>17</v>
      </c>
      <c r="Y242" s="10">
        <v>32.5</v>
      </c>
      <c r="Z242" s="10">
        <v>10</v>
      </c>
      <c r="AA242" s="56">
        <v>57</v>
      </c>
      <c r="AB242" s="10">
        <v>73.5</v>
      </c>
      <c r="AC242" s="10">
        <v>252.7</v>
      </c>
      <c r="AD242" s="10">
        <v>33.299999999999997</v>
      </c>
      <c r="AE242" s="10">
        <v>96.3</v>
      </c>
      <c r="AF242" s="10">
        <v>105</v>
      </c>
      <c r="AG242" s="10">
        <v>111.2</v>
      </c>
      <c r="AH242" s="10">
        <v>412</v>
      </c>
      <c r="AI242" s="10">
        <v>178</v>
      </c>
      <c r="AJ242" s="10">
        <v>153.1</v>
      </c>
      <c r="AK242" s="10">
        <v>149</v>
      </c>
      <c r="AL242" s="10">
        <v>147</v>
      </c>
    </row>
    <row r="243" spans="2:38" s="8" customFormat="1" x14ac:dyDescent="0.2">
      <c r="B243" s="115">
        <v>2000</v>
      </c>
      <c r="C243" s="115" t="s">
        <v>290</v>
      </c>
      <c r="D243" s="10">
        <v>49</v>
      </c>
      <c r="E243" s="10">
        <v>56</v>
      </c>
      <c r="F243" s="11">
        <v>99.6</v>
      </c>
      <c r="G243" s="10">
        <v>51</v>
      </c>
      <c r="H243" s="10">
        <v>74</v>
      </c>
      <c r="I243" s="10">
        <v>105</v>
      </c>
      <c r="J243" s="10">
        <v>111</v>
      </c>
      <c r="K243" s="10">
        <v>49</v>
      </c>
      <c r="L243" s="10">
        <v>109.5</v>
      </c>
      <c r="M243" s="10">
        <v>140</v>
      </c>
      <c r="N243" s="10">
        <v>78</v>
      </c>
      <c r="O243" s="10">
        <v>87</v>
      </c>
      <c r="P243" s="10">
        <v>28</v>
      </c>
      <c r="Q243" s="10">
        <v>156</v>
      </c>
      <c r="R243" s="10">
        <v>42.8</v>
      </c>
      <c r="S243" s="10">
        <v>38.4</v>
      </c>
      <c r="T243" s="10">
        <v>132.30000000000001</v>
      </c>
      <c r="U243" s="10">
        <v>79.7</v>
      </c>
      <c r="V243" s="10">
        <v>75</v>
      </c>
      <c r="W243" s="10">
        <v>203.2</v>
      </c>
      <c r="X243" s="10">
        <v>33.5</v>
      </c>
      <c r="Y243" s="10">
        <v>23</v>
      </c>
      <c r="Z243" s="10">
        <v>61</v>
      </c>
      <c r="AA243" s="56">
        <v>211</v>
      </c>
      <c r="AB243" s="10">
        <v>114</v>
      </c>
      <c r="AC243" s="10">
        <v>92.9</v>
      </c>
      <c r="AD243" s="10">
        <v>61.2</v>
      </c>
      <c r="AE243" s="10">
        <v>53.7</v>
      </c>
      <c r="AF243" s="10">
        <v>109</v>
      </c>
      <c r="AG243" s="10">
        <v>227.3</v>
      </c>
      <c r="AH243" s="10">
        <v>71</v>
      </c>
      <c r="AI243" s="10">
        <v>122</v>
      </c>
      <c r="AJ243" s="10">
        <v>67.8</v>
      </c>
      <c r="AK243" s="10">
        <v>84</v>
      </c>
      <c r="AL243" s="10">
        <v>70</v>
      </c>
    </row>
    <row r="244" spans="2:38" s="8" customFormat="1" x14ac:dyDescent="0.2">
      <c r="B244" s="115">
        <v>2000</v>
      </c>
      <c r="C244" s="115" t="s">
        <v>291</v>
      </c>
      <c r="D244" s="10">
        <v>46</v>
      </c>
      <c r="E244" s="10">
        <v>63</v>
      </c>
      <c r="F244" s="11">
        <v>172.6</v>
      </c>
      <c r="G244" s="10">
        <v>34</v>
      </c>
      <c r="H244" s="10">
        <v>297</v>
      </c>
      <c r="I244" s="10">
        <v>83</v>
      </c>
      <c r="J244" s="10">
        <v>42.5</v>
      </c>
      <c r="K244" s="10">
        <v>42</v>
      </c>
      <c r="L244" s="10">
        <v>62</v>
      </c>
      <c r="M244" s="10">
        <v>45</v>
      </c>
      <c r="N244" s="10">
        <v>56</v>
      </c>
      <c r="O244" s="10">
        <v>61</v>
      </c>
      <c r="P244" s="10">
        <v>53</v>
      </c>
      <c r="Q244" s="10">
        <v>66</v>
      </c>
      <c r="R244" s="10">
        <v>82.2</v>
      </c>
      <c r="S244" s="10">
        <v>69.400000000000006</v>
      </c>
      <c r="T244" s="10">
        <v>74.099999999999994</v>
      </c>
      <c r="U244" s="10">
        <v>62.5</v>
      </c>
      <c r="V244" s="10">
        <v>86</v>
      </c>
      <c r="W244" s="10">
        <v>66</v>
      </c>
      <c r="X244" s="10">
        <v>68.5</v>
      </c>
      <c r="Y244" s="10">
        <v>95</v>
      </c>
      <c r="Z244" s="10">
        <v>77</v>
      </c>
      <c r="AA244" s="56">
        <v>106</v>
      </c>
      <c r="AB244" s="10">
        <v>125</v>
      </c>
      <c r="AC244" s="10">
        <v>161.19999999999999</v>
      </c>
      <c r="AD244" s="10">
        <v>114.4</v>
      </c>
      <c r="AE244" s="10">
        <v>138.5</v>
      </c>
      <c r="AF244" s="10">
        <v>143.5</v>
      </c>
      <c r="AG244" s="10">
        <v>92.3</v>
      </c>
      <c r="AH244" s="10">
        <v>67</v>
      </c>
      <c r="AI244" s="10">
        <v>196</v>
      </c>
      <c r="AJ244" s="10">
        <v>71</v>
      </c>
      <c r="AK244" s="10">
        <v>98</v>
      </c>
      <c r="AL244" s="10">
        <v>105</v>
      </c>
    </row>
    <row r="245" spans="2:38" s="8" customFormat="1" x14ac:dyDescent="0.2">
      <c r="B245" s="115">
        <v>2000</v>
      </c>
      <c r="C245" s="115" t="s">
        <v>292</v>
      </c>
      <c r="D245" s="10">
        <v>167</v>
      </c>
      <c r="E245" s="10">
        <v>264.5</v>
      </c>
      <c r="F245" s="11">
        <v>114.7</v>
      </c>
      <c r="G245" s="10">
        <v>206</v>
      </c>
      <c r="H245" s="10">
        <v>171</v>
      </c>
      <c r="I245" s="10">
        <v>169.1</v>
      </c>
      <c r="J245" s="10">
        <v>231.5</v>
      </c>
      <c r="K245" s="10">
        <v>75</v>
      </c>
      <c r="L245" s="10">
        <v>317</v>
      </c>
      <c r="M245" s="10">
        <v>311</v>
      </c>
      <c r="N245" s="10">
        <v>172</v>
      </c>
      <c r="O245" s="10">
        <v>218</v>
      </c>
      <c r="P245" s="10">
        <v>208</v>
      </c>
      <c r="Q245" s="10">
        <v>201</v>
      </c>
      <c r="R245" s="10">
        <v>190.3</v>
      </c>
      <c r="S245" s="10">
        <v>195.4</v>
      </c>
      <c r="T245" s="10">
        <v>176.7</v>
      </c>
      <c r="U245" s="10">
        <v>392</v>
      </c>
      <c r="V245" s="10">
        <v>68</v>
      </c>
      <c r="W245" s="10">
        <v>321.89999999999998</v>
      </c>
      <c r="X245" s="10">
        <v>150</v>
      </c>
      <c r="Y245" s="10">
        <v>225.1</v>
      </c>
      <c r="Z245" s="10">
        <v>184</v>
      </c>
      <c r="AA245" s="56">
        <v>341</v>
      </c>
      <c r="AB245" s="10">
        <v>261</v>
      </c>
      <c r="AC245" s="10">
        <v>88</v>
      </c>
      <c r="AD245" s="10">
        <v>272.3</v>
      </c>
      <c r="AE245" s="10">
        <v>118.4</v>
      </c>
      <c r="AF245" s="10">
        <v>119</v>
      </c>
      <c r="AG245" s="10">
        <v>172.2</v>
      </c>
      <c r="AH245" s="10">
        <v>296</v>
      </c>
      <c r="AI245" s="10">
        <v>158</v>
      </c>
      <c r="AJ245" s="10">
        <v>307.60000000000002</v>
      </c>
      <c r="AK245" s="10">
        <v>164</v>
      </c>
      <c r="AL245" s="10">
        <v>176</v>
      </c>
    </row>
    <row r="246" spans="2:38" s="8" customFormat="1" x14ac:dyDescent="0.2">
      <c r="B246" s="115">
        <v>2000</v>
      </c>
      <c r="C246" s="115" t="s">
        <v>293</v>
      </c>
      <c r="D246" s="10">
        <v>182</v>
      </c>
      <c r="E246" s="10">
        <v>321</v>
      </c>
      <c r="F246" s="11">
        <v>252.9</v>
      </c>
      <c r="G246" s="10">
        <v>294</v>
      </c>
      <c r="H246" s="10">
        <v>194</v>
      </c>
      <c r="I246" s="10">
        <v>308.2</v>
      </c>
      <c r="J246" s="10">
        <v>272</v>
      </c>
      <c r="K246" s="10">
        <v>251</v>
      </c>
      <c r="L246" s="10">
        <v>295</v>
      </c>
      <c r="M246" s="10">
        <v>273</v>
      </c>
      <c r="N246" s="10">
        <v>286</v>
      </c>
      <c r="O246" s="10">
        <v>232</v>
      </c>
      <c r="P246" s="10">
        <v>352</v>
      </c>
      <c r="Q246" s="10">
        <v>387</v>
      </c>
      <c r="R246" s="10">
        <v>322.89999999999998</v>
      </c>
      <c r="S246" s="10">
        <v>327.9</v>
      </c>
      <c r="T246" s="10">
        <v>228.3</v>
      </c>
      <c r="U246" s="10">
        <v>202.5</v>
      </c>
      <c r="V246" s="10">
        <v>258.5</v>
      </c>
      <c r="W246" s="10">
        <v>226</v>
      </c>
      <c r="X246" s="10">
        <v>297</v>
      </c>
      <c r="Y246" s="10">
        <v>235.6</v>
      </c>
      <c r="Z246" s="10">
        <v>223</v>
      </c>
      <c r="AA246" s="56">
        <v>298</v>
      </c>
      <c r="AB246" s="10">
        <v>237</v>
      </c>
      <c r="AC246" s="10">
        <v>275.89999999999998</v>
      </c>
      <c r="AD246" s="10">
        <v>357.3</v>
      </c>
      <c r="AE246" s="10">
        <v>234</v>
      </c>
      <c r="AF246" s="10">
        <v>174.5</v>
      </c>
      <c r="AG246" s="10">
        <v>280.10000000000002</v>
      </c>
      <c r="AH246" s="10">
        <v>221.5</v>
      </c>
      <c r="AI246" s="10">
        <v>250.5</v>
      </c>
      <c r="AJ246" s="10">
        <v>267.7</v>
      </c>
      <c r="AK246" s="10">
        <v>218</v>
      </c>
      <c r="AL246" s="10">
        <v>263</v>
      </c>
    </row>
    <row r="247" spans="2:38" s="8" customFormat="1" x14ac:dyDescent="0.2">
      <c r="B247" s="115">
        <v>2000</v>
      </c>
      <c r="C247" s="115" t="s">
        <v>294</v>
      </c>
      <c r="D247" s="10">
        <v>81</v>
      </c>
      <c r="E247" s="10">
        <v>191</v>
      </c>
      <c r="F247" s="11">
        <v>110.7</v>
      </c>
      <c r="G247" s="10">
        <v>120</v>
      </c>
      <c r="H247" s="10">
        <v>90</v>
      </c>
      <c r="I247" s="10">
        <v>79</v>
      </c>
      <c r="J247" s="10">
        <v>154.5</v>
      </c>
      <c r="K247" s="10">
        <v>56</v>
      </c>
      <c r="L247" s="10">
        <v>147</v>
      </c>
      <c r="M247" s="10">
        <v>146</v>
      </c>
      <c r="N247" s="10">
        <v>66</v>
      </c>
      <c r="O247" s="10">
        <v>159</v>
      </c>
      <c r="P247" s="10">
        <v>173</v>
      </c>
      <c r="Q247" s="10">
        <v>183</v>
      </c>
      <c r="R247" s="10">
        <v>125.7</v>
      </c>
      <c r="S247" s="10">
        <v>170</v>
      </c>
      <c r="T247" s="10">
        <v>70.099999999999994</v>
      </c>
      <c r="U247" s="10">
        <v>241.5</v>
      </c>
      <c r="V247" s="10">
        <v>210</v>
      </c>
      <c r="W247" s="10">
        <v>58.2</v>
      </c>
      <c r="X247" s="10">
        <v>92</v>
      </c>
      <c r="Y247" s="10">
        <v>127.1</v>
      </c>
      <c r="Z247" s="10">
        <v>112</v>
      </c>
      <c r="AA247" s="56">
        <v>144</v>
      </c>
      <c r="AB247" s="10">
        <v>183</v>
      </c>
      <c r="AC247" s="10">
        <v>167.8</v>
      </c>
      <c r="AD247" s="10">
        <v>121.5</v>
      </c>
      <c r="AE247" s="10">
        <v>104.9</v>
      </c>
      <c r="AF247" s="10">
        <v>184</v>
      </c>
      <c r="AG247" s="10">
        <v>150.6</v>
      </c>
      <c r="AH247" s="10">
        <v>51</v>
      </c>
      <c r="AI247" s="10">
        <v>185.5</v>
      </c>
      <c r="AJ247" s="10">
        <v>137.9</v>
      </c>
      <c r="AK247" s="10">
        <v>173</v>
      </c>
      <c r="AL247" s="10">
        <v>255</v>
      </c>
    </row>
    <row r="248" spans="2:38" s="8" customFormat="1" x14ac:dyDescent="0.2">
      <c r="B248" s="115">
        <v>2000</v>
      </c>
      <c r="C248" s="115" t="s">
        <v>295</v>
      </c>
      <c r="D248" s="10">
        <v>123</v>
      </c>
      <c r="E248" s="10">
        <v>187</v>
      </c>
      <c r="F248" s="11">
        <v>82.8</v>
      </c>
      <c r="G248" s="10">
        <v>128.5</v>
      </c>
      <c r="H248" s="10">
        <v>50</v>
      </c>
      <c r="I248" s="10">
        <v>130</v>
      </c>
      <c r="J248" s="10">
        <v>106</v>
      </c>
      <c r="K248" s="10">
        <v>77</v>
      </c>
      <c r="L248" s="10">
        <v>98</v>
      </c>
      <c r="M248" s="10">
        <v>127</v>
      </c>
      <c r="N248" s="10">
        <v>115</v>
      </c>
      <c r="O248" s="10">
        <v>50</v>
      </c>
      <c r="P248" s="10">
        <v>148</v>
      </c>
      <c r="Q248" s="10">
        <v>128</v>
      </c>
      <c r="R248" s="10">
        <v>72.900000000000006</v>
      </c>
      <c r="S248" s="10">
        <v>147.4</v>
      </c>
      <c r="T248" s="10">
        <v>100.8</v>
      </c>
      <c r="U248" s="10">
        <v>175</v>
      </c>
      <c r="V248" s="10">
        <v>115</v>
      </c>
      <c r="W248" s="10">
        <v>85.9</v>
      </c>
      <c r="X248" s="10">
        <v>104.5</v>
      </c>
      <c r="Y248" s="10">
        <v>142.9</v>
      </c>
      <c r="Z248" s="10">
        <v>107</v>
      </c>
      <c r="AA248" s="56">
        <v>125</v>
      </c>
      <c r="AB248" s="10">
        <v>80</v>
      </c>
      <c r="AC248" s="10">
        <v>75.900000000000006</v>
      </c>
      <c r="AD248" s="10">
        <v>200.5</v>
      </c>
      <c r="AE248" s="10">
        <v>71.900000000000006</v>
      </c>
      <c r="AF248" s="10">
        <v>86</v>
      </c>
      <c r="AG248" s="10">
        <v>80.599999999999994</v>
      </c>
      <c r="AH248" s="10">
        <v>7</v>
      </c>
      <c r="AI248" s="10">
        <v>124</v>
      </c>
      <c r="AJ248" s="10">
        <v>134.4</v>
      </c>
      <c r="AK248" s="10">
        <v>51</v>
      </c>
      <c r="AL248" s="10">
        <v>157</v>
      </c>
    </row>
    <row r="249" spans="2:38" s="8" customFormat="1" x14ac:dyDescent="0.2">
      <c r="B249" s="115">
        <v>2000</v>
      </c>
      <c r="C249" s="115" t="s">
        <v>296</v>
      </c>
      <c r="D249" s="10">
        <v>130</v>
      </c>
      <c r="E249" s="10">
        <v>104</v>
      </c>
      <c r="F249" s="11">
        <v>98.6</v>
      </c>
      <c r="G249" s="10">
        <v>88</v>
      </c>
      <c r="H249" s="10">
        <v>49</v>
      </c>
      <c r="I249" s="10">
        <v>80</v>
      </c>
      <c r="J249" s="10">
        <v>60</v>
      </c>
      <c r="K249" s="10">
        <v>27</v>
      </c>
      <c r="L249" s="10">
        <v>77</v>
      </c>
      <c r="M249" s="10">
        <v>108</v>
      </c>
      <c r="N249" s="10">
        <v>44</v>
      </c>
      <c r="O249" s="10">
        <v>86</v>
      </c>
      <c r="P249" s="10">
        <v>62</v>
      </c>
      <c r="Q249" s="10">
        <v>100</v>
      </c>
      <c r="R249" s="10">
        <v>51.7</v>
      </c>
      <c r="S249" s="10">
        <v>93.4</v>
      </c>
      <c r="T249" s="10">
        <v>80.099999999999994</v>
      </c>
      <c r="U249" s="10">
        <v>65</v>
      </c>
      <c r="V249" s="10">
        <v>56</v>
      </c>
      <c r="W249" s="10">
        <v>60.8</v>
      </c>
      <c r="X249" s="10">
        <v>56</v>
      </c>
      <c r="Y249" s="10">
        <v>129.19999999999999</v>
      </c>
      <c r="Z249" s="10">
        <v>72</v>
      </c>
      <c r="AA249" s="56">
        <v>95</v>
      </c>
      <c r="AB249" s="10">
        <v>12</v>
      </c>
      <c r="AC249" s="10">
        <v>70.3</v>
      </c>
      <c r="AD249" s="10">
        <v>133</v>
      </c>
      <c r="AE249" s="10">
        <v>29.7</v>
      </c>
      <c r="AF249" s="10">
        <v>43</v>
      </c>
      <c r="AG249" s="10">
        <v>65.8</v>
      </c>
      <c r="AH249" s="10">
        <v>237</v>
      </c>
      <c r="AI249" s="10">
        <v>49.5</v>
      </c>
      <c r="AJ249" s="10">
        <v>76.3</v>
      </c>
      <c r="AK249" s="10">
        <v>32</v>
      </c>
      <c r="AL249" s="10">
        <v>57</v>
      </c>
    </row>
    <row r="250" spans="2:38" s="8" customFormat="1" x14ac:dyDescent="0.2">
      <c r="B250" s="115">
        <v>2000</v>
      </c>
      <c r="C250" s="115" t="s">
        <v>297</v>
      </c>
      <c r="D250" s="10">
        <v>179</v>
      </c>
      <c r="E250" s="10">
        <v>156</v>
      </c>
      <c r="F250" s="11">
        <v>180.9</v>
      </c>
      <c r="G250" s="10">
        <v>245</v>
      </c>
      <c r="H250" s="10">
        <v>175</v>
      </c>
      <c r="I250" s="10">
        <v>221</v>
      </c>
      <c r="J250" s="10">
        <v>230</v>
      </c>
      <c r="K250" s="10">
        <v>110</v>
      </c>
      <c r="L250" s="10">
        <v>122</v>
      </c>
      <c r="M250" s="10">
        <v>190.5</v>
      </c>
      <c r="N250" s="10">
        <v>131</v>
      </c>
      <c r="O250" s="10">
        <v>160</v>
      </c>
      <c r="P250" s="10">
        <v>143</v>
      </c>
      <c r="Q250" s="10">
        <v>232</v>
      </c>
      <c r="R250" s="10">
        <v>123.2</v>
      </c>
      <c r="S250" s="10">
        <v>192.5</v>
      </c>
      <c r="T250" s="10">
        <v>104.3</v>
      </c>
      <c r="U250" s="10">
        <v>213.5</v>
      </c>
      <c r="V250" s="10">
        <v>124.5</v>
      </c>
      <c r="W250" s="10">
        <v>124.7</v>
      </c>
      <c r="X250" s="10">
        <v>154</v>
      </c>
      <c r="Y250" s="10">
        <v>120.4</v>
      </c>
      <c r="Z250" s="10">
        <v>194</v>
      </c>
      <c r="AA250" s="56">
        <v>171</v>
      </c>
      <c r="AB250" s="10">
        <v>164.6</v>
      </c>
      <c r="AC250" s="10">
        <v>125.1</v>
      </c>
      <c r="AD250" s="10">
        <v>153.80000000000001</v>
      </c>
      <c r="AE250" s="10">
        <v>137.30000000000001</v>
      </c>
      <c r="AF250" s="10">
        <v>85.5</v>
      </c>
      <c r="AG250" s="10">
        <v>177.6</v>
      </c>
      <c r="AH250" s="10">
        <v>184</v>
      </c>
      <c r="AI250" s="10">
        <v>113.5</v>
      </c>
      <c r="AJ250" s="10">
        <v>246.1</v>
      </c>
      <c r="AK250" s="10">
        <v>124</v>
      </c>
      <c r="AL250" s="10">
        <v>95</v>
      </c>
    </row>
    <row r="251" spans="2:38" s="8" customFormat="1" x14ac:dyDescent="0.2">
      <c r="B251" s="115">
        <v>2000</v>
      </c>
      <c r="C251" s="115" t="s">
        <v>298</v>
      </c>
      <c r="D251" s="10">
        <v>43</v>
      </c>
      <c r="E251" s="10">
        <v>121</v>
      </c>
      <c r="F251" s="11">
        <v>162</v>
      </c>
      <c r="G251" s="10">
        <v>56.5</v>
      </c>
      <c r="H251" s="10">
        <v>130</v>
      </c>
      <c r="I251" s="10">
        <v>77</v>
      </c>
      <c r="J251" s="10">
        <v>59</v>
      </c>
      <c r="K251" s="10">
        <v>107</v>
      </c>
      <c r="L251" s="10">
        <v>134</v>
      </c>
      <c r="M251" s="10">
        <v>142</v>
      </c>
      <c r="N251" s="10">
        <v>130</v>
      </c>
      <c r="O251" s="10">
        <v>25</v>
      </c>
      <c r="P251" s="10">
        <v>105</v>
      </c>
      <c r="Q251" s="10">
        <v>74</v>
      </c>
      <c r="R251" s="10">
        <v>121.3</v>
      </c>
      <c r="S251" s="10">
        <v>117.1</v>
      </c>
      <c r="T251" s="10">
        <v>128.6</v>
      </c>
      <c r="U251" s="10">
        <v>99</v>
      </c>
      <c r="V251" s="10">
        <v>175</v>
      </c>
      <c r="W251" s="10">
        <v>90</v>
      </c>
      <c r="X251" s="10">
        <v>127.5</v>
      </c>
      <c r="Y251" s="10">
        <v>123.9</v>
      </c>
      <c r="Z251" s="10">
        <v>110</v>
      </c>
      <c r="AA251" s="56">
        <v>175</v>
      </c>
      <c r="AB251" s="10">
        <v>145</v>
      </c>
      <c r="AC251" s="10">
        <v>153.69999999999999</v>
      </c>
      <c r="AD251" s="10">
        <v>61.3</v>
      </c>
      <c r="AE251" s="10">
        <v>108.6</v>
      </c>
      <c r="AF251" s="10">
        <v>206</v>
      </c>
      <c r="AG251" s="10">
        <v>176.9</v>
      </c>
      <c r="AH251" s="10">
        <v>202</v>
      </c>
      <c r="AI251" s="10">
        <v>167</v>
      </c>
      <c r="AJ251" s="10">
        <v>81.099999999999994</v>
      </c>
      <c r="AK251" s="10">
        <v>138</v>
      </c>
      <c r="AL251" s="10">
        <v>164</v>
      </c>
    </row>
    <row r="252" spans="2:38" s="8" customFormat="1" x14ac:dyDescent="0.2">
      <c r="B252" s="115">
        <v>2000</v>
      </c>
      <c r="C252" s="115" t="s">
        <v>299</v>
      </c>
      <c r="D252" s="259" t="s">
        <v>300</v>
      </c>
      <c r="E252" s="10">
        <v>36</v>
      </c>
      <c r="F252" s="11">
        <v>143.4</v>
      </c>
      <c r="G252" s="10">
        <v>24</v>
      </c>
      <c r="H252" s="10">
        <v>224</v>
      </c>
      <c r="I252" s="10">
        <v>76</v>
      </c>
      <c r="J252" s="10">
        <v>31</v>
      </c>
      <c r="K252" s="10">
        <v>116</v>
      </c>
      <c r="L252" s="10">
        <v>49</v>
      </c>
      <c r="M252" s="10">
        <v>20</v>
      </c>
      <c r="N252" s="10">
        <v>88</v>
      </c>
      <c r="O252" s="10">
        <v>5</v>
      </c>
      <c r="P252" s="10">
        <v>25</v>
      </c>
      <c r="Q252" s="10">
        <v>52</v>
      </c>
      <c r="R252" s="10">
        <v>104.6</v>
      </c>
      <c r="S252" s="10">
        <v>34.4</v>
      </c>
      <c r="T252" s="10">
        <v>80.2</v>
      </c>
      <c r="U252" s="10">
        <v>61</v>
      </c>
      <c r="V252" s="10">
        <v>68</v>
      </c>
      <c r="W252" s="10">
        <v>71.5</v>
      </c>
      <c r="X252" s="10">
        <v>113</v>
      </c>
      <c r="Y252" s="10">
        <v>87.5</v>
      </c>
      <c r="Z252" s="10">
        <v>53</v>
      </c>
      <c r="AA252" s="56">
        <v>68.5</v>
      </c>
      <c r="AB252" s="10">
        <v>44</v>
      </c>
      <c r="AC252" s="10">
        <v>114.3</v>
      </c>
      <c r="AD252" s="10">
        <v>63.7</v>
      </c>
      <c r="AE252" s="10">
        <v>94.5</v>
      </c>
      <c r="AF252" s="10">
        <v>182</v>
      </c>
      <c r="AG252" s="10">
        <v>75.5</v>
      </c>
      <c r="AH252" s="10">
        <v>181</v>
      </c>
      <c r="AI252" s="10">
        <v>84</v>
      </c>
      <c r="AJ252" s="10">
        <v>72.2</v>
      </c>
      <c r="AK252" s="10">
        <v>83</v>
      </c>
      <c r="AL252" s="10">
        <v>52.5</v>
      </c>
    </row>
    <row r="253" spans="2:38" s="8" customFormat="1" x14ac:dyDescent="0.2">
      <c r="B253" s="115">
        <v>2000</v>
      </c>
      <c r="C253" s="115" t="s">
        <v>301</v>
      </c>
      <c r="D253" s="10">
        <v>64</v>
      </c>
      <c r="E253" s="10">
        <v>138</v>
      </c>
      <c r="F253" s="11">
        <v>93</v>
      </c>
      <c r="G253" s="10">
        <v>127</v>
      </c>
      <c r="H253" s="10">
        <v>117</v>
      </c>
      <c r="I253" s="10">
        <v>123</v>
      </c>
      <c r="J253" s="10">
        <v>133</v>
      </c>
      <c r="K253" s="10">
        <v>43</v>
      </c>
      <c r="L253" s="10">
        <v>133</v>
      </c>
      <c r="M253" s="10">
        <v>110</v>
      </c>
      <c r="N253" s="10">
        <v>73</v>
      </c>
      <c r="O253" s="10">
        <v>44</v>
      </c>
      <c r="P253" s="10">
        <v>133</v>
      </c>
      <c r="Q253" s="10">
        <v>115</v>
      </c>
      <c r="R253" s="10">
        <v>116.6</v>
      </c>
      <c r="S253" s="10">
        <v>169.1</v>
      </c>
      <c r="T253" s="10">
        <v>57.8</v>
      </c>
      <c r="U253" s="10">
        <v>95</v>
      </c>
      <c r="V253" s="10">
        <v>101</v>
      </c>
      <c r="W253" s="10">
        <v>127.6</v>
      </c>
      <c r="X253" s="10">
        <v>65</v>
      </c>
      <c r="Y253" s="10">
        <v>139.4</v>
      </c>
      <c r="Z253" s="10">
        <v>110</v>
      </c>
      <c r="AA253" s="56">
        <v>81</v>
      </c>
      <c r="AB253" s="10">
        <v>66</v>
      </c>
      <c r="AC253" s="10">
        <v>50.4</v>
      </c>
      <c r="AD253" s="10">
        <v>86.2</v>
      </c>
      <c r="AE253" s="10">
        <v>90.3</v>
      </c>
      <c r="AF253" s="10">
        <v>127</v>
      </c>
      <c r="AG253" s="10">
        <v>125.4</v>
      </c>
      <c r="AH253" s="10">
        <v>88</v>
      </c>
      <c r="AI253" s="10">
        <v>100</v>
      </c>
      <c r="AJ253" s="10">
        <v>123.6</v>
      </c>
      <c r="AK253" s="10">
        <v>70</v>
      </c>
      <c r="AL253" s="10">
        <v>143</v>
      </c>
    </row>
    <row r="254" spans="2:38" s="12" customFormat="1" x14ac:dyDescent="0.2">
      <c r="B254" s="57">
        <v>2001</v>
      </c>
      <c r="C254" s="57" t="s">
        <v>289</v>
      </c>
      <c r="D254" s="13">
        <v>48</v>
      </c>
      <c r="E254" s="13">
        <v>101</v>
      </c>
      <c r="F254" s="13">
        <v>143.19999999999999</v>
      </c>
      <c r="G254" s="13">
        <v>146</v>
      </c>
      <c r="H254" s="13">
        <v>410</v>
      </c>
      <c r="I254" s="13">
        <v>161</v>
      </c>
      <c r="J254" s="13">
        <v>102</v>
      </c>
      <c r="K254" s="13">
        <v>93</v>
      </c>
      <c r="L254" s="13">
        <v>31</v>
      </c>
      <c r="M254" s="13">
        <v>154</v>
      </c>
      <c r="N254" s="13">
        <v>268</v>
      </c>
      <c r="O254" s="13">
        <v>57</v>
      </c>
      <c r="P254" s="13">
        <v>48</v>
      </c>
      <c r="Q254" s="13">
        <v>138</v>
      </c>
      <c r="R254" s="13">
        <v>159.69999999999999</v>
      </c>
      <c r="S254" s="13">
        <v>89</v>
      </c>
      <c r="T254" s="13">
        <v>252.7</v>
      </c>
      <c r="U254" s="13">
        <v>195.9</v>
      </c>
      <c r="V254" s="13">
        <v>149.80000000000001</v>
      </c>
      <c r="W254" s="13">
        <v>72.3</v>
      </c>
      <c r="X254" s="13">
        <v>205</v>
      </c>
      <c r="Y254" s="13">
        <v>132.1</v>
      </c>
      <c r="Z254" s="13">
        <v>330</v>
      </c>
      <c r="AA254" s="57">
        <v>201</v>
      </c>
      <c r="AB254" s="13">
        <v>30</v>
      </c>
      <c r="AC254" s="13">
        <v>184.1</v>
      </c>
      <c r="AD254" s="13">
        <v>137.80000000000001</v>
      </c>
      <c r="AE254" s="13">
        <v>178.1</v>
      </c>
      <c r="AF254" s="13">
        <v>247</v>
      </c>
      <c r="AG254" s="13">
        <v>120.7</v>
      </c>
      <c r="AH254" s="13">
        <v>412</v>
      </c>
      <c r="AI254" s="13">
        <v>102.6</v>
      </c>
      <c r="AJ254" s="13">
        <v>244.1</v>
      </c>
      <c r="AK254" s="13">
        <v>146</v>
      </c>
      <c r="AL254" s="13">
        <v>127</v>
      </c>
    </row>
    <row r="255" spans="2:38" x14ac:dyDescent="0.2">
      <c r="B255" s="14">
        <v>2001</v>
      </c>
      <c r="C255" s="14" t="s">
        <v>290</v>
      </c>
      <c r="D255" s="258" t="s">
        <v>300</v>
      </c>
      <c r="E255" s="6">
        <v>32</v>
      </c>
      <c r="F255" s="6">
        <v>89.1</v>
      </c>
      <c r="G255" s="6">
        <v>233</v>
      </c>
      <c r="H255" s="6">
        <v>8</v>
      </c>
      <c r="I255" s="6">
        <v>214</v>
      </c>
      <c r="J255" s="6">
        <v>111</v>
      </c>
      <c r="K255" s="6">
        <v>52</v>
      </c>
      <c r="L255" s="6">
        <v>83</v>
      </c>
      <c r="M255" s="6">
        <v>79</v>
      </c>
      <c r="N255" s="6">
        <v>166</v>
      </c>
      <c r="O255" s="6">
        <v>174</v>
      </c>
      <c r="P255" s="6">
        <v>104</v>
      </c>
      <c r="Q255" s="6">
        <v>176</v>
      </c>
      <c r="R255" s="6">
        <v>81.099999999999994</v>
      </c>
      <c r="S255" s="6">
        <v>59.3</v>
      </c>
      <c r="T255" s="6">
        <v>115.7</v>
      </c>
      <c r="U255" s="6">
        <v>191</v>
      </c>
      <c r="V255" s="6">
        <v>72</v>
      </c>
      <c r="W255" s="6">
        <v>66.900000000000006</v>
      </c>
      <c r="X255" s="6">
        <v>163</v>
      </c>
      <c r="Y255" s="6">
        <v>152.69999999999999</v>
      </c>
      <c r="Z255" s="6">
        <v>90</v>
      </c>
      <c r="AA255" s="14">
        <v>175</v>
      </c>
      <c r="AB255" s="6">
        <v>173</v>
      </c>
      <c r="AC255" s="6">
        <v>83.5</v>
      </c>
      <c r="AD255" s="6">
        <v>133.4</v>
      </c>
      <c r="AE255" s="6">
        <v>115.3</v>
      </c>
      <c r="AF255" s="6">
        <v>76</v>
      </c>
      <c r="AG255" s="6">
        <v>92</v>
      </c>
      <c r="AH255" s="6">
        <v>71</v>
      </c>
      <c r="AI255" s="6">
        <v>101.5</v>
      </c>
      <c r="AJ255" s="6">
        <v>98.6</v>
      </c>
      <c r="AK255" s="6">
        <v>36</v>
      </c>
      <c r="AL255" s="6">
        <v>69</v>
      </c>
    </row>
    <row r="256" spans="2:38" x14ac:dyDescent="0.2">
      <c r="B256" s="14">
        <v>2001</v>
      </c>
      <c r="C256" s="14" t="s">
        <v>291</v>
      </c>
      <c r="D256" s="258" t="s">
        <v>300</v>
      </c>
      <c r="E256" s="6">
        <v>388</v>
      </c>
      <c r="F256" s="6">
        <v>99.9</v>
      </c>
      <c r="G256" s="6">
        <v>140</v>
      </c>
      <c r="H256" s="6">
        <v>150</v>
      </c>
      <c r="I256" s="6">
        <v>187</v>
      </c>
      <c r="J256" s="6">
        <v>184</v>
      </c>
      <c r="K256" s="6">
        <v>99</v>
      </c>
      <c r="L256" s="6">
        <v>300</v>
      </c>
      <c r="M256" s="6">
        <v>216</v>
      </c>
      <c r="N256" s="6">
        <v>174.5</v>
      </c>
      <c r="O256" s="6">
        <v>175</v>
      </c>
      <c r="P256" s="6">
        <v>291</v>
      </c>
      <c r="Q256" s="6">
        <v>170</v>
      </c>
      <c r="R256" s="6">
        <v>310.5</v>
      </c>
      <c r="S256" s="6">
        <v>319.7</v>
      </c>
      <c r="T256" s="6">
        <v>177.7</v>
      </c>
      <c r="U256" s="6">
        <v>215</v>
      </c>
      <c r="V256" s="6">
        <v>274.5</v>
      </c>
      <c r="W256" s="6">
        <v>198.2</v>
      </c>
      <c r="X256" s="6">
        <v>128</v>
      </c>
      <c r="Y256" s="6">
        <v>242.9</v>
      </c>
      <c r="Z256" s="6">
        <v>119</v>
      </c>
      <c r="AA256" s="14">
        <v>145.5</v>
      </c>
      <c r="AB256" s="6">
        <v>80</v>
      </c>
      <c r="AC256" s="6">
        <v>154.1</v>
      </c>
      <c r="AD256" s="6">
        <v>210.4</v>
      </c>
      <c r="AE256" s="6">
        <v>221.7</v>
      </c>
      <c r="AF256" s="6">
        <v>120</v>
      </c>
      <c r="AG256" s="6">
        <v>355.3</v>
      </c>
      <c r="AH256" s="6">
        <v>67</v>
      </c>
      <c r="AI256" s="6">
        <v>377</v>
      </c>
      <c r="AJ256" s="6">
        <v>164.8</v>
      </c>
      <c r="AK256" s="6">
        <v>219</v>
      </c>
      <c r="AL256" s="6">
        <v>256</v>
      </c>
    </row>
    <row r="257" spans="2:38" x14ac:dyDescent="0.2">
      <c r="B257" s="14">
        <v>2001</v>
      </c>
      <c r="C257" s="14" t="s">
        <v>292</v>
      </c>
      <c r="D257" s="258" t="s">
        <v>300</v>
      </c>
      <c r="E257" s="6">
        <v>145</v>
      </c>
      <c r="F257" s="6">
        <v>417.4</v>
      </c>
      <c r="G257" s="6">
        <v>43</v>
      </c>
      <c r="H257" s="6">
        <v>331</v>
      </c>
      <c r="I257" s="6">
        <v>28</v>
      </c>
      <c r="J257" s="6">
        <v>68</v>
      </c>
      <c r="K257" s="6">
        <v>15</v>
      </c>
      <c r="L257" s="6">
        <v>124</v>
      </c>
      <c r="M257" s="6">
        <v>99</v>
      </c>
      <c r="N257" s="6">
        <v>71.5</v>
      </c>
      <c r="O257" s="6">
        <v>79</v>
      </c>
      <c r="P257" s="6">
        <v>139</v>
      </c>
      <c r="Q257" s="6">
        <v>82</v>
      </c>
      <c r="R257" s="6">
        <v>43.5</v>
      </c>
      <c r="S257" s="6">
        <v>190.2</v>
      </c>
      <c r="T257" s="6">
        <v>67.099999999999994</v>
      </c>
      <c r="U257" s="6">
        <v>128</v>
      </c>
      <c r="V257" s="6">
        <v>195.5</v>
      </c>
      <c r="W257" s="6">
        <v>140.80000000000001</v>
      </c>
      <c r="X257" s="6">
        <v>41</v>
      </c>
      <c r="Y257" s="6">
        <v>65.3</v>
      </c>
      <c r="Z257" s="6">
        <v>42</v>
      </c>
      <c r="AA257" s="14">
        <v>183.5</v>
      </c>
      <c r="AB257" s="6">
        <v>152</v>
      </c>
      <c r="AC257" s="6">
        <v>438.5</v>
      </c>
      <c r="AD257" s="6">
        <v>45.3</v>
      </c>
      <c r="AE257" s="6">
        <v>188.8</v>
      </c>
      <c r="AF257" s="6">
        <v>214.5</v>
      </c>
      <c r="AG257" s="6">
        <v>261.8</v>
      </c>
      <c r="AH257" s="6">
        <v>296</v>
      </c>
      <c r="AI257" s="6">
        <v>403.5</v>
      </c>
      <c r="AJ257" s="6">
        <v>80.900000000000006</v>
      </c>
      <c r="AK257" s="6">
        <v>176.5</v>
      </c>
      <c r="AL257" s="6">
        <v>286</v>
      </c>
    </row>
    <row r="258" spans="2:38" x14ac:dyDescent="0.2">
      <c r="B258" s="14">
        <v>2001</v>
      </c>
      <c r="C258" s="14" t="s">
        <v>293</v>
      </c>
      <c r="D258" s="258" t="s">
        <v>300</v>
      </c>
      <c r="E258" s="6">
        <v>106.5</v>
      </c>
      <c r="F258" s="6">
        <v>219.9</v>
      </c>
      <c r="G258" s="6">
        <v>96</v>
      </c>
      <c r="H258" s="6">
        <v>160</v>
      </c>
      <c r="I258" s="6">
        <v>108</v>
      </c>
      <c r="J258" s="6">
        <v>137</v>
      </c>
      <c r="K258" s="6">
        <v>68</v>
      </c>
      <c r="L258" s="6">
        <v>110.5</v>
      </c>
      <c r="M258" s="6">
        <v>167</v>
      </c>
      <c r="N258" s="6">
        <v>67</v>
      </c>
      <c r="O258" s="6">
        <v>86</v>
      </c>
      <c r="P258" s="6">
        <v>151</v>
      </c>
      <c r="Q258" s="6">
        <v>122</v>
      </c>
      <c r="R258" s="6">
        <v>59.1</v>
      </c>
      <c r="S258" s="6">
        <v>177.5</v>
      </c>
      <c r="T258" s="6">
        <v>80.5</v>
      </c>
      <c r="U258" s="6">
        <v>219</v>
      </c>
      <c r="V258" s="6">
        <v>202.5</v>
      </c>
      <c r="W258" s="6">
        <v>125.9</v>
      </c>
      <c r="X258" s="6">
        <v>111</v>
      </c>
      <c r="Y258" s="6">
        <v>65</v>
      </c>
      <c r="Z258" s="6">
        <v>93</v>
      </c>
      <c r="AA258" s="14">
        <v>57</v>
      </c>
      <c r="AB258" s="6">
        <v>60</v>
      </c>
      <c r="AC258" s="6">
        <v>254.5</v>
      </c>
      <c r="AD258" s="6">
        <v>93.9</v>
      </c>
      <c r="AE258" s="6">
        <v>59.9</v>
      </c>
      <c r="AF258" s="6">
        <v>228</v>
      </c>
      <c r="AG258" s="6">
        <v>135.1</v>
      </c>
      <c r="AH258" s="6">
        <v>221.5</v>
      </c>
      <c r="AI258" s="6">
        <v>274</v>
      </c>
      <c r="AJ258" s="6">
        <v>166.8</v>
      </c>
      <c r="AK258" s="6">
        <v>64</v>
      </c>
      <c r="AL258" s="6">
        <v>139</v>
      </c>
    </row>
    <row r="259" spans="2:38" x14ac:dyDescent="0.2">
      <c r="B259" s="14">
        <v>2001</v>
      </c>
      <c r="C259" s="14" t="s">
        <v>294</v>
      </c>
      <c r="D259" s="258" t="s">
        <v>300</v>
      </c>
      <c r="E259" s="6">
        <v>118</v>
      </c>
      <c r="F259" s="6">
        <v>93.3</v>
      </c>
      <c r="G259" s="6">
        <v>140</v>
      </c>
      <c r="H259" s="6">
        <v>62</v>
      </c>
      <c r="I259" s="6">
        <v>170</v>
      </c>
      <c r="J259" s="6">
        <v>143</v>
      </c>
      <c r="K259" s="6">
        <v>84</v>
      </c>
      <c r="L259" s="6">
        <v>155</v>
      </c>
      <c r="M259" s="6">
        <v>140</v>
      </c>
      <c r="N259" s="6">
        <v>114</v>
      </c>
      <c r="O259" s="6">
        <v>57</v>
      </c>
      <c r="P259" s="6">
        <v>125</v>
      </c>
      <c r="Q259" s="6">
        <v>180</v>
      </c>
      <c r="R259" s="6">
        <v>89.4</v>
      </c>
      <c r="S259" s="6">
        <v>71.5</v>
      </c>
      <c r="T259" s="6">
        <v>110.7</v>
      </c>
      <c r="U259" s="6">
        <v>254.5</v>
      </c>
      <c r="V259" s="6">
        <v>73</v>
      </c>
      <c r="W259" s="6">
        <v>105.7</v>
      </c>
      <c r="X259" s="6">
        <v>162</v>
      </c>
      <c r="Y259" s="6">
        <v>161.6</v>
      </c>
      <c r="Z259" s="6">
        <v>89</v>
      </c>
      <c r="AA259" s="14">
        <v>67</v>
      </c>
      <c r="AB259" s="6">
        <v>82</v>
      </c>
      <c r="AC259" s="6">
        <v>74.900000000000006</v>
      </c>
      <c r="AD259" s="6">
        <v>168.4</v>
      </c>
      <c r="AE259" s="6">
        <v>124.9</v>
      </c>
      <c r="AF259" s="6">
        <v>63</v>
      </c>
      <c r="AG259" s="6">
        <v>59.6</v>
      </c>
      <c r="AH259" s="6">
        <v>51</v>
      </c>
      <c r="AI259" s="6">
        <v>75</v>
      </c>
      <c r="AJ259" s="6">
        <v>150.9</v>
      </c>
      <c r="AK259" s="6">
        <v>78</v>
      </c>
      <c r="AL259" s="6">
        <v>71.5</v>
      </c>
    </row>
    <row r="260" spans="2:38" x14ac:dyDescent="0.2">
      <c r="B260" s="14">
        <v>2001</v>
      </c>
      <c r="C260" s="14" t="s">
        <v>295</v>
      </c>
      <c r="D260" s="6">
        <v>45</v>
      </c>
      <c r="E260" s="6">
        <v>184</v>
      </c>
      <c r="F260" s="6">
        <v>34</v>
      </c>
      <c r="G260" s="6">
        <v>107</v>
      </c>
      <c r="H260" s="6">
        <v>13</v>
      </c>
      <c r="I260" s="6">
        <v>52</v>
      </c>
      <c r="J260" s="6">
        <v>86</v>
      </c>
      <c r="K260" s="6">
        <v>10</v>
      </c>
      <c r="L260" s="6">
        <v>41</v>
      </c>
      <c r="M260" s="6">
        <v>99</v>
      </c>
      <c r="N260" s="6">
        <v>46</v>
      </c>
      <c r="O260" s="6">
        <v>119</v>
      </c>
      <c r="P260" s="6">
        <v>133</v>
      </c>
      <c r="Q260" s="6">
        <v>138</v>
      </c>
      <c r="R260" s="6">
        <v>67.7</v>
      </c>
      <c r="S260" s="6">
        <v>232.9</v>
      </c>
      <c r="T260" s="6">
        <v>27.5</v>
      </c>
      <c r="U260" s="6">
        <v>107</v>
      </c>
      <c r="V260" s="6">
        <v>57.5</v>
      </c>
      <c r="W260" s="6">
        <v>34.6</v>
      </c>
      <c r="X260" s="6">
        <v>27</v>
      </c>
      <c r="Y260" s="6">
        <v>104.3</v>
      </c>
      <c r="Z260" s="6">
        <v>33</v>
      </c>
      <c r="AA260" s="14">
        <v>32</v>
      </c>
      <c r="AB260" s="6">
        <v>117</v>
      </c>
      <c r="AC260" s="6">
        <v>107.7</v>
      </c>
      <c r="AD260" s="6">
        <v>140.5</v>
      </c>
      <c r="AE260" s="6">
        <v>39.799999999999997</v>
      </c>
      <c r="AF260" s="6">
        <v>22</v>
      </c>
      <c r="AG260" s="6">
        <v>64.099999999999994</v>
      </c>
      <c r="AH260" s="6">
        <v>7</v>
      </c>
      <c r="AI260" s="6">
        <v>118</v>
      </c>
      <c r="AJ260" s="6">
        <v>93.1</v>
      </c>
      <c r="AK260" s="6">
        <v>35</v>
      </c>
      <c r="AL260" s="6">
        <v>125</v>
      </c>
    </row>
    <row r="261" spans="2:38" x14ac:dyDescent="0.2">
      <c r="B261" s="14">
        <v>2001</v>
      </c>
      <c r="C261" s="14" t="s">
        <v>296</v>
      </c>
      <c r="D261" s="6">
        <v>99</v>
      </c>
      <c r="E261" s="6">
        <v>46</v>
      </c>
      <c r="F261" s="6">
        <v>184.9</v>
      </c>
      <c r="G261" s="6">
        <v>146</v>
      </c>
      <c r="H261" s="6">
        <v>172</v>
      </c>
      <c r="I261" s="6">
        <v>120</v>
      </c>
      <c r="J261" s="6">
        <v>78</v>
      </c>
      <c r="K261" s="6">
        <v>129</v>
      </c>
      <c r="L261" s="6">
        <v>93</v>
      </c>
      <c r="M261" s="6">
        <v>85</v>
      </c>
      <c r="N261" s="6">
        <v>161</v>
      </c>
      <c r="O261" s="6">
        <v>29</v>
      </c>
      <c r="P261" s="6">
        <v>74</v>
      </c>
      <c r="Q261" s="6">
        <v>85</v>
      </c>
      <c r="R261" s="6">
        <v>131.19999999999999</v>
      </c>
      <c r="S261" s="6">
        <v>68.3</v>
      </c>
      <c r="T261" s="6">
        <v>156.30000000000001</v>
      </c>
      <c r="U261" s="6">
        <v>163</v>
      </c>
      <c r="V261" s="6">
        <v>97</v>
      </c>
      <c r="W261" s="6">
        <v>101.6</v>
      </c>
      <c r="X261" s="6">
        <v>132</v>
      </c>
      <c r="Y261" s="6">
        <v>134.1</v>
      </c>
      <c r="Z261" s="6">
        <v>114</v>
      </c>
      <c r="AA261" s="14">
        <v>118</v>
      </c>
      <c r="AB261" s="6">
        <v>74</v>
      </c>
      <c r="AC261" s="6">
        <v>128.5</v>
      </c>
      <c r="AD261" s="6">
        <v>91.8</v>
      </c>
      <c r="AE261" s="6">
        <v>110.7</v>
      </c>
      <c r="AF261" s="6">
        <v>168</v>
      </c>
      <c r="AG261" s="6">
        <v>116.9</v>
      </c>
      <c r="AH261" s="6">
        <v>237</v>
      </c>
      <c r="AI261" s="6">
        <v>133</v>
      </c>
      <c r="AJ261" s="6">
        <v>60.1</v>
      </c>
      <c r="AK261" s="6">
        <v>171</v>
      </c>
      <c r="AL261" s="6">
        <v>103</v>
      </c>
    </row>
    <row r="262" spans="2:38" x14ac:dyDescent="0.2">
      <c r="B262" s="14">
        <v>2001</v>
      </c>
      <c r="C262" s="14" t="s">
        <v>297</v>
      </c>
      <c r="D262" s="6">
        <v>74</v>
      </c>
      <c r="E262" s="6">
        <v>78</v>
      </c>
      <c r="F262" s="6">
        <v>229.8</v>
      </c>
      <c r="G262" s="6">
        <v>115</v>
      </c>
      <c r="H262" s="6">
        <v>168</v>
      </c>
      <c r="I262" s="6">
        <v>94</v>
      </c>
      <c r="J262" s="6">
        <v>126.5</v>
      </c>
      <c r="K262" s="6">
        <v>33</v>
      </c>
      <c r="L262" s="6">
        <v>191.5</v>
      </c>
      <c r="M262" s="6">
        <v>215</v>
      </c>
      <c r="N262" s="6">
        <v>73.5</v>
      </c>
      <c r="O262" s="6">
        <v>151</v>
      </c>
      <c r="P262" s="6">
        <v>345</v>
      </c>
      <c r="Q262" s="6">
        <v>159</v>
      </c>
      <c r="R262" s="6">
        <v>42.3</v>
      </c>
      <c r="S262" s="6">
        <v>339.1</v>
      </c>
      <c r="T262" s="6">
        <v>103.7</v>
      </c>
      <c r="U262" s="6">
        <v>148.5</v>
      </c>
      <c r="V262" s="6">
        <v>366</v>
      </c>
      <c r="W262" s="6">
        <v>110</v>
      </c>
      <c r="X262" s="6">
        <v>47</v>
      </c>
      <c r="Y262" s="6">
        <v>54</v>
      </c>
      <c r="Z262" s="6">
        <v>110</v>
      </c>
      <c r="AA262" s="14">
        <v>197</v>
      </c>
      <c r="AB262" s="6">
        <v>165</v>
      </c>
      <c r="AC262" s="6">
        <v>353.6</v>
      </c>
      <c r="AD262" s="6">
        <v>56.3</v>
      </c>
      <c r="AE262" s="6">
        <v>172.9</v>
      </c>
      <c r="AF262" s="6">
        <v>303</v>
      </c>
      <c r="AG262" s="6">
        <v>253.1</v>
      </c>
      <c r="AH262" s="6">
        <v>184</v>
      </c>
      <c r="AI262" s="6">
        <v>283</v>
      </c>
      <c r="AJ262" s="6">
        <v>161.69999999999999</v>
      </c>
      <c r="AK262" s="6">
        <v>278</v>
      </c>
      <c r="AL262" s="6">
        <v>336</v>
      </c>
    </row>
    <row r="263" spans="2:38" x14ac:dyDescent="0.2">
      <c r="B263" s="14">
        <v>2001</v>
      </c>
      <c r="C263" s="14" t="s">
        <v>298</v>
      </c>
      <c r="D263" s="258" t="s">
        <v>300</v>
      </c>
      <c r="E263" s="6">
        <v>185</v>
      </c>
      <c r="F263" s="6">
        <v>126.5</v>
      </c>
      <c r="G263" s="6">
        <v>229</v>
      </c>
      <c r="H263" s="6">
        <v>205</v>
      </c>
      <c r="I263" s="6">
        <v>219</v>
      </c>
      <c r="J263" s="6">
        <v>241</v>
      </c>
      <c r="K263" s="6">
        <v>252</v>
      </c>
      <c r="L263" s="6">
        <v>307</v>
      </c>
      <c r="M263" s="6">
        <v>191</v>
      </c>
      <c r="N263" s="6">
        <v>384</v>
      </c>
      <c r="O263" s="6">
        <v>152</v>
      </c>
      <c r="P263" s="6">
        <v>244</v>
      </c>
      <c r="Q263" s="6">
        <v>356</v>
      </c>
      <c r="R263" s="6">
        <v>198.4</v>
      </c>
      <c r="S263" s="6">
        <v>212.9</v>
      </c>
      <c r="T263" s="6">
        <v>225.9</v>
      </c>
      <c r="U263" s="6">
        <v>429</v>
      </c>
      <c r="V263" s="6">
        <v>187</v>
      </c>
      <c r="W263" s="6">
        <v>229.6</v>
      </c>
      <c r="X263" s="6">
        <v>231</v>
      </c>
      <c r="Y263" s="6">
        <v>179.2</v>
      </c>
      <c r="Z263" s="6">
        <v>220</v>
      </c>
      <c r="AA263" s="14">
        <v>137</v>
      </c>
      <c r="AB263" s="6">
        <v>56</v>
      </c>
      <c r="AC263" s="6">
        <v>116.8</v>
      </c>
      <c r="AD263" s="6">
        <v>235.1</v>
      </c>
      <c r="AE263" s="6">
        <v>203.7</v>
      </c>
      <c r="AF263" s="6">
        <v>201</v>
      </c>
      <c r="AG263" s="6">
        <v>206.3</v>
      </c>
      <c r="AH263" s="6">
        <v>202</v>
      </c>
      <c r="AI263" s="6">
        <v>112</v>
      </c>
      <c r="AJ263" s="6">
        <v>227.1</v>
      </c>
      <c r="AK263" s="6">
        <v>267</v>
      </c>
      <c r="AL263" s="6">
        <v>177</v>
      </c>
    </row>
    <row r="264" spans="2:38" x14ac:dyDescent="0.2">
      <c r="B264" s="14">
        <v>2001</v>
      </c>
      <c r="C264" s="14" t="s">
        <v>299</v>
      </c>
      <c r="D264" s="258" t="s">
        <v>300</v>
      </c>
      <c r="E264" s="6">
        <v>146</v>
      </c>
      <c r="F264" s="6">
        <v>171.4</v>
      </c>
      <c r="G264" s="6">
        <v>255</v>
      </c>
      <c r="H264" s="6">
        <v>206</v>
      </c>
      <c r="I264" s="6">
        <v>194</v>
      </c>
      <c r="J264" s="6">
        <v>225</v>
      </c>
      <c r="K264" s="6">
        <v>117</v>
      </c>
      <c r="L264" s="6">
        <v>156</v>
      </c>
      <c r="M264" s="6">
        <v>172</v>
      </c>
      <c r="N264" s="6">
        <v>58</v>
      </c>
      <c r="O264" s="6">
        <v>76</v>
      </c>
      <c r="P264" s="6">
        <v>60</v>
      </c>
      <c r="Q264" s="6">
        <v>162</v>
      </c>
      <c r="R264" s="6">
        <v>153.6</v>
      </c>
      <c r="S264" s="6">
        <v>239.8</v>
      </c>
      <c r="T264" s="6">
        <v>128.80000000000001</v>
      </c>
      <c r="U264" s="6">
        <v>196.5</v>
      </c>
      <c r="V264" s="6">
        <v>161.5</v>
      </c>
      <c r="W264" s="6">
        <v>161.69999999999999</v>
      </c>
      <c r="X264" s="6">
        <v>133</v>
      </c>
      <c r="Y264" s="6">
        <v>179.3</v>
      </c>
      <c r="Z264" s="6">
        <v>97</v>
      </c>
      <c r="AA264" s="14">
        <v>213</v>
      </c>
      <c r="AB264" s="6">
        <v>117</v>
      </c>
      <c r="AC264" s="6">
        <v>179.3</v>
      </c>
      <c r="AD264" s="6">
        <v>144.30000000000001</v>
      </c>
      <c r="AE264" s="6">
        <v>198.2</v>
      </c>
      <c r="AF264" s="6">
        <v>208</v>
      </c>
      <c r="AG264" s="6">
        <v>153.4</v>
      </c>
      <c r="AH264" s="6">
        <v>181</v>
      </c>
      <c r="AI264" s="6">
        <v>253</v>
      </c>
      <c r="AJ264" s="6">
        <v>103.3</v>
      </c>
      <c r="AK264" s="6">
        <v>163</v>
      </c>
      <c r="AL264" s="6">
        <v>164</v>
      </c>
    </row>
    <row r="265" spans="2:38" x14ac:dyDescent="0.2">
      <c r="B265" s="14">
        <v>2001</v>
      </c>
      <c r="C265" s="14" t="s">
        <v>301</v>
      </c>
      <c r="D265" s="258" t="s">
        <v>300</v>
      </c>
      <c r="E265" s="6">
        <v>36</v>
      </c>
      <c r="F265" s="6">
        <v>70.900000000000006</v>
      </c>
      <c r="G265" s="6">
        <v>47</v>
      </c>
      <c r="H265" s="6">
        <v>86</v>
      </c>
      <c r="I265" s="6">
        <v>72</v>
      </c>
      <c r="J265" s="6">
        <v>47</v>
      </c>
      <c r="K265" s="6">
        <v>114</v>
      </c>
      <c r="L265" s="6">
        <v>75</v>
      </c>
      <c r="M265" s="6">
        <v>18</v>
      </c>
      <c r="N265" s="6">
        <v>68.5</v>
      </c>
      <c r="O265" s="6">
        <v>7</v>
      </c>
      <c r="P265" s="6">
        <v>39</v>
      </c>
      <c r="Q265" s="6">
        <v>46</v>
      </c>
      <c r="R265" s="6">
        <v>23.7</v>
      </c>
      <c r="S265" s="6">
        <v>59.8</v>
      </c>
      <c r="T265" s="6">
        <v>77.099999999999994</v>
      </c>
      <c r="U265" s="6">
        <v>207</v>
      </c>
      <c r="V265" s="6">
        <v>61.5</v>
      </c>
      <c r="W265" s="6">
        <v>65.099999999999994</v>
      </c>
      <c r="X265" s="6">
        <v>77</v>
      </c>
      <c r="Y265" s="6">
        <v>37</v>
      </c>
      <c r="Z265" s="6">
        <v>109</v>
      </c>
      <c r="AA265" s="14">
        <v>22</v>
      </c>
      <c r="AB265" s="6">
        <v>39</v>
      </c>
      <c r="AC265" s="6">
        <v>87.1</v>
      </c>
      <c r="AD265" s="6">
        <v>39</v>
      </c>
      <c r="AE265" s="6">
        <v>56.5</v>
      </c>
      <c r="AF265" s="6">
        <v>81.400000000000006</v>
      </c>
      <c r="AG265" s="6">
        <v>53.4</v>
      </c>
      <c r="AH265" s="6">
        <v>88</v>
      </c>
      <c r="AI265" s="6">
        <v>78</v>
      </c>
      <c r="AJ265" s="6">
        <v>70.7</v>
      </c>
      <c r="AK265" s="6">
        <v>70</v>
      </c>
      <c r="AL265" s="6">
        <v>80</v>
      </c>
    </row>
    <row r="266" spans="2:38" x14ac:dyDescent="0.2">
      <c r="B266" s="14">
        <v>2002</v>
      </c>
      <c r="C266" s="14" t="s">
        <v>289</v>
      </c>
      <c r="D266" s="258" t="s">
        <v>300</v>
      </c>
      <c r="E266" s="6">
        <v>92</v>
      </c>
      <c r="F266" s="6">
        <v>115.3</v>
      </c>
      <c r="G266" s="6">
        <v>67</v>
      </c>
      <c r="H266" s="6">
        <v>148</v>
      </c>
      <c r="I266" s="6">
        <v>44</v>
      </c>
      <c r="J266" s="6">
        <v>95.5</v>
      </c>
      <c r="K266" s="6">
        <v>72</v>
      </c>
      <c r="L266" s="6">
        <v>197</v>
      </c>
      <c r="M266" s="6">
        <v>227</v>
      </c>
      <c r="N266" s="6">
        <v>141.5</v>
      </c>
      <c r="O266" s="6">
        <v>91</v>
      </c>
      <c r="P266" s="6">
        <v>129</v>
      </c>
      <c r="Q266" s="6">
        <v>190</v>
      </c>
      <c r="R266" s="6">
        <v>99.5</v>
      </c>
      <c r="S266" s="6">
        <v>83.4</v>
      </c>
      <c r="T266" s="6">
        <v>145</v>
      </c>
      <c r="U266" s="6">
        <v>284</v>
      </c>
      <c r="V266" s="6">
        <v>93</v>
      </c>
      <c r="W266" s="6">
        <v>196.4</v>
      </c>
      <c r="X266" s="6">
        <v>142</v>
      </c>
      <c r="Y266" s="6">
        <v>109.3</v>
      </c>
      <c r="Z266" s="6">
        <v>81</v>
      </c>
      <c r="AA266" s="14">
        <v>136</v>
      </c>
      <c r="AB266" s="6">
        <v>207</v>
      </c>
      <c r="AC266" s="6">
        <v>82.7</v>
      </c>
      <c r="AD266" s="6">
        <v>148.5</v>
      </c>
      <c r="AE266" s="6">
        <v>115.2</v>
      </c>
      <c r="AF266" s="6">
        <v>127</v>
      </c>
      <c r="AG266" s="6">
        <v>230.9</v>
      </c>
      <c r="AH266" s="6">
        <v>185</v>
      </c>
      <c r="AI266" s="6">
        <v>259</v>
      </c>
      <c r="AJ266" s="6">
        <v>241.9</v>
      </c>
      <c r="AK266" s="6">
        <v>128</v>
      </c>
      <c r="AL266" s="6">
        <v>174</v>
      </c>
    </row>
    <row r="267" spans="2:38" x14ac:dyDescent="0.2">
      <c r="B267" s="14">
        <v>2002</v>
      </c>
      <c r="C267" s="14" t="s">
        <v>290</v>
      </c>
      <c r="D267" s="258" t="s">
        <v>300</v>
      </c>
      <c r="E267" s="6">
        <v>178</v>
      </c>
      <c r="F267" s="6">
        <v>115.2</v>
      </c>
      <c r="G267" s="6">
        <v>155</v>
      </c>
      <c r="H267" s="6">
        <v>164</v>
      </c>
      <c r="I267" s="6">
        <v>202</v>
      </c>
      <c r="J267" s="6">
        <v>138</v>
      </c>
      <c r="K267" s="6">
        <v>31</v>
      </c>
      <c r="L267" s="6">
        <v>57</v>
      </c>
      <c r="M267" s="6">
        <v>69</v>
      </c>
      <c r="N267" s="6">
        <v>132</v>
      </c>
      <c r="O267" s="6">
        <v>225</v>
      </c>
      <c r="P267" s="6">
        <v>36</v>
      </c>
      <c r="Q267" s="6">
        <v>255</v>
      </c>
      <c r="R267" s="6">
        <v>66.3</v>
      </c>
      <c r="S267" s="6">
        <v>92.8</v>
      </c>
      <c r="T267" s="6">
        <v>89.3</v>
      </c>
      <c r="U267" s="6">
        <v>251.5</v>
      </c>
      <c r="V267" s="6">
        <v>112.5</v>
      </c>
      <c r="W267" s="6">
        <v>56.5</v>
      </c>
      <c r="X267" s="6">
        <v>90</v>
      </c>
      <c r="Y267" s="6">
        <v>118.9</v>
      </c>
      <c r="Z267" s="6">
        <v>77</v>
      </c>
      <c r="AA267" s="14">
        <v>66</v>
      </c>
      <c r="AB267" s="6">
        <v>66.5</v>
      </c>
      <c r="AC267" s="6">
        <v>125.6</v>
      </c>
      <c r="AD267" s="6">
        <v>187.7</v>
      </c>
      <c r="AE267" s="6">
        <v>104</v>
      </c>
      <c r="AF267" s="6">
        <v>117</v>
      </c>
      <c r="AG267" s="6">
        <v>86.7</v>
      </c>
      <c r="AH267" s="6">
        <v>107</v>
      </c>
      <c r="AI267" s="6">
        <v>78</v>
      </c>
      <c r="AJ267" s="6">
        <v>281.39999999999998</v>
      </c>
      <c r="AK267" s="6">
        <v>56</v>
      </c>
      <c r="AL267" s="6">
        <v>137</v>
      </c>
    </row>
    <row r="268" spans="2:38" x14ac:dyDescent="0.2">
      <c r="B268" s="14">
        <v>2002</v>
      </c>
      <c r="C268" s="14" t="s">
        <v>291</v>
      </c>
      <c r="D268" s="258" t="s">
        <v>300</v>
      </c>
      <c r="E268" s="6">
        <v>172</v>
      </c>
      <c r="F268" s="6">
        <v>363.7</v>
      </c>
      <c r="G268" s="6">
        <v>722</v>
      </c>
      <c r="H268" s="6">
        <v>298</v>
      </c>
      <c r="I268" s="6">
        <v>465</v>
      </c>
      <c r="J268" s="6">
        <v>274</v>
      </c>
      <c r="K268" s="6">
        <v>143</v>
      </c>
      <c r="L268" s="6">
        <v>281</v>
      </c>
      <c r="M268" s="6">
        <v>361</v>
      </c>
      <c r="N268" s="6">
        <v>289</v>
      </c>
      <c r="O268" s="6">
        <v>405</v>
      </c>
      <c r="P268" s="6">
        <v>329</v>
      </c>
      <c r="Q268" s="6">
        <v>441</v>
      </c>
      <c r="R268" s="6">
        <v>235.4</v>
      </c>
      <c r="S268" s="6">
        <v>294.60000000000002</v>
      </c>
      <c r="T268" s="6">
        <v>369.9</v>
      </c>
      <c r="U268" s="6">
        <v>563</v>
      </c>
      <c r="V268" s="6">
        <v>272</v>
      </c>
      <c r="W268" s="6">
        <v>319.5</v>
      </c>
      <c r="X268" s="6">
        <v>535.5</v>
      </c>
      <c r="Y268" s="6">
        <v>450.3</v>
      </c>
      <c r="Z268" s="6">
        <v>461</v>
      </c>
      <c r="AA268" s="14">
        <v>414.5</v>
      </c>
      <c r="AB268" s="6">
        <v>265</v>
      </c>
      <c r="AC268" s="6">
        <v>292.2</v>
      </c>
      <c r="AD268" s="6">
        <v>467</v>
      </c>
      <c r="AE268" s="6">
        <v>354.9</v>
      </c>
      <c r="AF268" s="6">
        <v>253</v>
      </c>
      <c r="AG268" s="6">
        <v>395</v>
      </c>
      <c r="AH268" s="6">
        <v>291</v>
      </c>
      <c r="AI268" s="6">
        <v>258</v>
      </c>
      <c r="AJ268" s="6">
        <v>324.60000000000002</v>
      </c>
      <c r="AK268" s="6">
        <v>185</v>
      </c>
      <c r="AL268" s="6">
        <v>217</v>
      </c>
    </row>
    <row r="269" spans="2:38" x14ac:dyDescent="0.2">
      <c r="B269" s="14">
        <v>2002</v>
      </c>
      <c r="C269" s="14" t="s">
        <v>292</v>
      </c>
      <c r="D269" s="258" t="s">
        <v>300</v>
      </c>
      <c r="E269" s="6">
        <v>315</v>
      </c>
      <c r="F269" s="6">
        <v>382.9</v>
      </c>
      <c r="G269" s="6">
        <v>240</v>
      </c>
      <c r="H269" s="6">
        <v>377</v>
      </c>
      <c r="I269" s="6">
        <v>263</v>
      </c>
      <c r="J269" s="6">
        <v>326</v>
      </c>
      <c r="K269" s="6">
        <v>51</v>
      </c>
      <c r="L269" s="6">
        <v>373</v>
      </c>
      <c r="M269" s="6">
        <v>413</v>
      </c>
      <c r="N269" s="6">
        <v>216.5</v>
      </c>
      <c r="O269" s="6">
        <v>178</v>
      </c>
      <c r="P269" s="6">
        <v>372</v>
      </c>
      <c r="Q269" s="6">
        <v>283</v>
      </c>
      <c r="R269" s="6">
        <v>88.7</v>
      </c>
      <c r="S269" s="6">
        <v>317.5</v>
      </c>
      <c r="T269" s="6">
        <v>211.4</v>
      </c>
      <c r="U269" s="6">
        <v>345</v>
      </c>
      <c r="V269" s="6">
        <v>391</v>
      </c>
      <c r="W269" s="6">
        <v>325.8</v>
      </c>
      <c r="X269" s="6">
        <v>233</v>
      </c>
      <c r="Y269" s="6">
        <v>71.900000000000006</v>
      </c>
      <c r="Z269" s="6">
        <v>238</v>
      </c>
      <c r="AA269" s="14">
        <v>211</v>
      </c>
      <c r="AB269" s="6">
        <v>342</v>
      </c>
      <c r="AC269" s="6">
        <v>395.1</v>
      </c>
      <c r="AD269" s="6">
        <v>108.4</v>
      </c>
      <c r="AE269" s="6">
        <v>307.8</v>
      </c>
      <c r="AF269" s="6">
        <v>497</v>
      </c>
      <c r="AG269" s="6">
        <v>430.6</v>
      </c>
      <c r="AH269" s="6">
        <v>476</v>
      </c>
      <c r="AI269" s="6">
        <v>393</v>
      </c>
      <c r="AJ269" s="6">
        <v>285.60000000000002</v>
      </c>
      <c r="AK269" s="6">
        <v>397</v>
      </c>
      <c r="AL269" s="6">
        <v>441</v>
      </c>
    </row>
    <row r="270" spans="2:38" x14ac:dyDescent="0.2">
      <c r="B270" s="14">
        <v>2002</v>
      </c>
      <c r="C270" s="14" t="s">
        <v>293</v>
      </c>
      <c r="D270" s="258" t="s">
        <v>300</v>
      </c>
      <c r="E270" s="6">
        <v>105</v>
      </c>
      <c r="F270" s="6">
        <v>128.6</v>
      </c>
      <c r="G270" s="6">
        <v>128</v>
      </c>
      <c r="H270" s="6">
        <v>129</v>
      </c>
      <c r="I270" s="6">
        <v>136</v>
      </c>
      <c r="J270" s="6">
        <v>117</v>
      </c>
      <c r="K270" s="6">
        <v>131</v>
      </c>
      <c r="L270" s="6">
        <v>111</v>
      </c>
      <c r="M270" s="6">
        <v>158</v>
      </c>
      <c r="N270" s="6">
        <v>114</v>
      </c>
      <c r="O270" s="6">
        <v>87</v>
      </c>
      <c r="P270" s="6">
        <v>188</v>
      </c>
      <c r="Q270" s="6">
        <v>153</v>
      </c>
      <c r="R270" s="6">
        <v>176</v>
      </c>
      <c r="S270" s="6">
        <v>143.19999999999999</v>
      </c>
      <c r="T270" s="6">
        <v>100.3</v>
      </c>
      <c r="U270" s="6">
        <v>231</v>
      </c>
      <c r="V270" s="6">
        <v>89.5</v>
      </c>
      <c r="W270" s="6">
        <v>87.1</v>
      </c>
      <c r="X270" s="6">
        <v>115</v>
      </c>
      <c r="Y270" s="6">
        <v>139.19999999999999</v>
      </c>
      <c r="Z270" s="6">
        <v>171</v>
      </c>
      <c r="AA270" s="14">
        <v>76</v>
      </c>
      <c r="AB270" s="6">
        <v>92</v>
      </c>
      <c r="AC270" s="6">
        <v>174.5</v>
      </c>
      <c r="AD270" s="6">
        <v>104.8</v>
      </c>
      <c r="AE270" s="6">
        <v>83.7</v>
      </c>
      <c r="AF270" s="6">
        <v>70</v>
      </c>
      <c r="AG270" s="6">
        <v>123.9</v>
      </c>
      <c r="AH270" s="6">
        <v>109</v>
      </c>
      <c r="AI270" s="6">
        <v>98</v>
      </c>
      <c r="AJ270" s="6">
        <v>142.19999999999999</v>
      </c>
      <c r="AK270" s="6">
        <v>62</v>
      </c>
      <c r="AL270" s="6">
        <v>92</v>
      </c>
    </row>
    <row r="271" spans="2:38" x14ac:dyDescent="0.2">
      <c r="B271" s="14">
        <v>2002</v>
      </c>
      <c r="C271" s="14" t="s">
        <v>294</v>
      </c>
      <c r="D271" s="258" t="s">
        <v>300</v>
      </c>
      <c r="E271" s="6">
        <v>140</v>
      </c>
      <c r="F271" s="6">
        <v>71.7</v>
      </c>
      <c r="G271" s="6">
        <v>131</v>
      </c>
      <c r="H271" s="6">
        <v>39</v>
      </c>
      <c r="I271" s="6">
        <v>80</v>
      </c>
      <c r="J271" s="6">
        <v>46</v>
      </c>
      <c r="K271" s="6">
        <v>26</v>
      </c>
      <c r="L271" s="6">
        <v>57</v>
      </c>
      <c r="M271" s="6">
        <v>101</v>
      </c>
      <c r="N271" s="6">
        <v>10.5</v>
      </c>
      <c r="O271" s="6">
        <v>126</v>
      </c>
      <c r="P271" s="6">
        <v>200</v>
      </c>
      <c r="Q271" s="6">
        <v>99</v>
      </c>
      <c r="R271" s="6">
        <v>23</v>
      </c>
      <c r="S271" s="6">
        <v>149.69999999999999</v>
      </c>
      <c r="T271" s="6">
        <v>21.5</v>
      </c>
      <c r="U271" s="6">
        <v>37.5</v>
      </c>
      <c r="V271" s="6">
        <v>115</v>
      </c>
      <c r="W271" s="6">
        <v>15.5</v>
      </c>
      <c r="X271" s="6">
        <v>43</v>
      </c>
      <c r="Y271" s="6">
        <v>32.9</v>
      </c>
      <c r="Z271" s="6">
        <v>49</v>
      </c>
      <c r="AA271" s="14">
        <v>45</v>
      </c>
      <c r="AB271" s="6">
        <v>48</v>
      </c>
      <c r="AC271" s="6">
        <v>133.6</v>
      </c>
      <c r="AD271" s="6">
        <v>89.5</v>
      </c>
      <c r="AE271" s="6">
        <v>19.7</v>
      </c>
      <c r="AF271" s="6">
        <v>16</v>
      </c>
      <c r="AG271" s="6">
        <v>53.9</v>
      </c>
      <c r="AH271" s="6">
        <v>25</v>
      </c>
      <c r="AI271" s="6">
        <v>78</v>
      </c>
      <c r="AJ271" s="6">
        <v>67.3</v>
      </c>
      <c r="AK271" s="6">
        <v>16.5</v>
      </c>
      <c r="AL271" s="6">
        <v>163</v>
      </c>
    </row>
    <row r="272" spans="2:38" x14ac:dyDescent="0.2">
      <c r="B272" s="14">
        <v>2002</v>
      </c>
      <c r="C272" s="14" t="s">
        <v>295</v>
      </c>
      <c r="D272" s="258" t="s">
        <v>300</v>
      </c>
      <c r="E272" s="6">
        <v>207</v>
      </c>
      <c r="F272" s="6">
        <v>193.5</v>
      </c>
      <c r="G272" s="6">
        <v>134</v>
      </c>
      <c r="H272" s="6">
        <v>164</v>
      </c>
      <c r="I272" s="6">
        <v>114</v>
      </c>
      <c r="J272" s="6">
        <v>116</v>
      </c>
      <c r="K272" s="6">
        <v>92</v>
      </c>
      <c r="L272" s="6">
        <v>120</v>
      </c>
      <c r="M272" s="6">
        <v>168</v>
      </c>
      <c r="N272" s="6">
        <v>124</v>
      </c>
      <c r="O272" s="6">
        <v>32</v>
      </c>
      <c r="P272" s="6">
        <v>196</v>
      </c>
      <c r="Q272" s="6">
        <v>133</v>
      </c>
      <c r="R272" s="6">
        <v>110.8</v>
      </c>
      <c r="S272" s="6">
        <v>209</v>
      </c>
      <c r="T272" s="6">
        <v>91.1</v>
      </c>
      <c r="U272" s="6">
        <v>98</v>
      </c>
      <c r="V272" s="6">
        <v>193.5</v>
      </c>
      <c r="W272" s="6">
        <v>82.6</v>
      </c>
      <c r="X272" s="6">
        <v>74</v>
      </c>
      <c r="Y272" s="6">
        <v>87.6</v>
      </c>
      <c r="Z272" s="6">
        <v>97</v>
      </c>
      <c r="AA272" s="14">
        <v>81</v>
      </c>
      <c r="AB272" s="6">
        <v>97</v>
      </c>
      <c r="AC272" s="6">
        <v>205</v>
      </c>
      <c r="AD272" s="6">
        <v>89.2</v>
      </c>
      <c r="AE272" s="6">
        <v>121.9</v>
      </c>
      <c r="AF272" s="6">
        <v>123</v>
      </c>
      <c r="AG272" s="6">
        <v>143.19999999999999</v>
      </c>
      <c r="AH272" s="6">
        <v>145</v>
      </c>
      <c r="AI272" s="6">
        <v>227</v>
      </c>
      <c r="AJ272" s="6">
        <v>148.80000000000001</v>
      </c>
      <c r="AK272" s="6">
        <v>90</v>
      </c>
      <c r="AL272" s="6">
        <v>220</v>
      </c>
    </row>
    <row r="273" spans="2:38" x14ac:dyDescent="0.2">
      <c r="B273" s="14">
        <v>2002</v>
      </c>
      <c r="C273" s="14" t="s">
        <v>296</v>
      </c>
      <c r="D273" s="258" t="s">
        <v>300</v>
      </c>
      <c r="E273" s="6">
        <v>92</v>
      </c>
      <c r="F273" s="6">
        <v>74.8</v>
      </c>
      <c r="G273" s="6">
        <v>187</v>
      </c>
      <c r="H273" s="6">
        <v>60</v>
      </c>
      <c r="I273" s="6">
        <v>141</v>
      </c>
      <c r="J273" s="6">
        <v>159</v>
      </c>
      <c r="K273" s="6">
        <v>17</v>
      </c>
      <c r="L273" s="6">
        <v>82</v>
      </c>
      <c r="M273" s="6">
        <v>164</v>
      </c>
      <c r="N273" s="6">
        <v>36.5</v>
      </c>
      <c r="O273" s="6">
        <v>168</v>
      </c>
      <c r="P273" s="6">
        <v>136</v>
      </c>
      <c r="Q273" s="6">
        <v>205</v>
      </c>
      <c r="R273" s="6">
        <v>40.1</v>
      </c>
      <c r="S273" s="6">
        <v>187.1</v>
      </c>
      <c r="T273" s="6">
        <v>38.299999999999997</v>
      </c>
      <c r="U273" s="6">
        <v>146</v>
      </c>
      <c r="V273" s="6">
        <v>188</v>
      </c>
      <c r="W273" s="6">
        <v>52.4</v>
      </c>
      <c r="X273" s="6">
        <v>70</v>
      </c>
      <c r="Y273" s="6">
        <v>75.7</v>
      </c>
      <c r="Z273" s="6">
        <v>95</v>
      </c>
      <c r="AA273" s="14">
        <v>49</v>
      </c>
      <c r="AB273" s="6">
        <v>104</v>
      </c>
      <c r="AC273" s="6">
        <v>147.1</v>
      </c>
      <c r="AD273" s="6">
        <v>129.6</v>
      </c>
      <c r="AE273" s="6">
        <v>56.8</v>
      </c>
      <c r="AF273" s="6">
        <v>31</v>
      </c>
      <c r="AG273" s="6">
        <v>140.80000000000001</v>
      </c>
      <c r="AH273" s="6">
        <v>14</v>
      </c>
      <c r="AI273" s="6">
        <v>169</v>
      </c>
      <c r="AJ273" s="6">
        <v>201.4</v>
      </c>
      <c r="AK273" s="6">
        <v>33.5</v>
      </c>
      <c r="AL273" s="6">
        <v>228</v>
      </c>
    </row>
    <row r="274" spans="2:38" x14ac:dyDescent="0.2">
      <c r="B274" s="14">
        <v>2002</v>
      </c>
      <c r="C274" s="14" t="s">
        <v>297</v>
      </c>
      <c r="D274" s="258" t="s">
        <v>300</v>
      </c>
      <c r="E274" s="6">
        <v>96</v>
      </c>
      <c r="F274" s="6">
        <v>283.39999999999998</v>
      </c>
      <c r="G274" s="6">
        <v>92</v>
      </c>
      <c r="H274" s="6">
        <v>287</v>
      </c>
      <c r="I274" s="6">
        <v>89</v>
      </c>
      <c r="J274" s="6">
        <v>99</v>
      </c>
      <c r="K274" s="6">
        <v>57</v>
      </c>
      <c r="L274" s="6">
        <v>176</v>
      </c>
      <c r="M274" s="6">
        <v>114</v>
      </c>
      <c r="N274" s="6">
        <v>74.5</v>
      </c>
      <c r="O274" s="6">
        <v>48</v>
      </c>
      <c r="P274" s="6">
        <v>113</v>
      </c>
      <c r="Q274" s="6">
        <v>118</v>
      </c>
      <c r="R274" s="6">
        <v>86.3</v>
      </c>
      <c r="S274" s="6">
        <v>112.6</v>
      </c>
      <c r="T274" s="6">
        <v>104.8</v>
      </c>
      <c r="U274" s="6">
        <v>142</v>
      </c>
      <c r="V274" s="6">
        <v>224</v>
      </c>
      <c r="W274" s="6">
        <v>151.9</v>
      </c>
      <c r="X274" s="6">
        <v>83</v>
      </c>
      <c r="Y274" s="6">
        <v>71.7</v>
      </c>
      <c r="Z274" s="6">
        <v>41</v>
      </c>
      <c r="AA274" s="14">
        <v>262</v>
      </c>
      <c r="AB274" s="6">
        <v>197</v>
      </c>
      <c r="AC274" s="6">
        <v>247.7</v>
      </c>
      <c r="AD274" s="6">
        <v>38.700000000000003</v>
      </c>
      <c r="AE274" s="6">
        <v>183.8</v>
      </c>
      <c r="AF274" s="6">
        <v>182</v>
      </c>
      <c r="AG274" s="6">
        <v>185.2</v>
      </c>
      <c r="AH274" s="6">
        <v>253</v>
      </c>
      <c r="AI274" s="6">
        <v>331.5</v>
      </c>
      <c r="AJ274" s="6">
        <v>64.900000000000006</v>
      </c>
      <c r="AK274" s="6">
        <v>134</v>
      </c>
      <c r="AL274" s="6">
        <v>215</v>
      </c>
    </row>
    <row r="275" spans="2:38" x14ac:dyDescent="0.2">
      <c r="B275" s="14">
        <v>2002</v>
      </c>
      <c r="C275" s="14" t="s">
        <v>298</v>
      </c>
      <c r="D275" s="258" t="s">
        <v>300</v>
      </c>
      <c r="E275" s="6">
        <v>56</v>
      </c>
      <c r="F275" s="6">
        <v>211.9</v>
      </c>
      <c r="G275" s="6">
        <v>140</v>
      </c>
      <c r="H275" s="6">
        <v>200</v>
      </c>
      <c r="I275" s="6">
        <v>97</v>
      </c>
      <c r="J275" s="6">
        <v>149</v>
      </c>
      <c r="K275" s="6">
        <v>81</v>
      </c>
      <c r="L275" s="6">
        <v>139</v>
      </c>
      <c r="M275" s="6">
        <v>188</v>
      </c>
      <c r="N275" s="6">
        <v>115</v>
      </c>
      <c r="O275" s="6">
        <v>59</v>
      </c>
      <c r="P275" s="6">
        <v>168</v>
      </c>
      <c r="Q275" s="6">
        <v>100</v>
      </c>
      <c r="R275" s="6">
        <v>59.1</v>
      </c>
      <c r="S275" s="6">
        <v>171.8</v>
      </c>
      <c r="T275" s="6">
        <v>218.2</v>
      </c>
      <c r="U275" s="6">
        <v>152</v>
      </c>
      <c r="V275" s="6">
        <v>251</v>
      </c>
      <c r="W275" s="6">
        <v>118</v>
      </c>
      <c r="X275" s="6">
        <v>78</v>
      </c>
      <c r="Y275" s="6">
        <v>103.2</v>
      </c>
      <c r="Z275" s="6">
        <v>106</v>
      </c>
      <c r="AA275" s="14">
        <v>256</v>
      </c>
      <c r="AB275" s="6">
        <v>285</v>
      </c>
      <c r="AC275" s="6">
        <v>331.7</v>
      </c>
      <c r="AD275" s="6">
        <v>85.3</v>
      </c>
      <c r="AE275" s="6">
        <v>306</v>
      </c>
      <c r="AF275" s="6">
        <v>300</v>
      </c>
      <c r="AG275" s="6">
        <v>379.8</v>
      </c>
      <c r="AH275" s="6">
        <v>197</v>
      </c>
      <c r="AI275" s="6">
        <v>489</v>
      </c>
      <c r="AJ275" s="6">
        <v>130.1</v>
      </c>
      <c r="AK275" s="6">
        <v>367</v>
      </c>
      <c r="AL275" s="6">
        <v>292</v>
      </c>
    </row>
    <row r="276" spans="2:38" x14ac:dyDescent="0.2">
      <c r="B276" s="14">
        <v>2002</v>
      </c>
      <c r="C276" s="14" t="s">
        <v>299</v>
      </c>
      <c r="D276" s="258" t="s">
        <v>300</v>
      </c>
      <c r="E276" s="6">
        <v>163</v>
      </c>
      <c r="F276" s="6">
        <v>434.5</v>
      </c>
      <c r="G276" s="6">
        <v>220</v>
      </c>
      <c r="H276" s="6">
        <v>331</v>
      </c>
      <c r="I276" s="6">
        <v>134</v>
      </c>
      <c r="J276" s="6">
        <v>108</v>
      </c>
      <c r="K276" s="6">
        <v>149</v>
      </c>
      <c r="L276" s="6">
        <v>226</v>
      </c>
      <c r="M276" s="6">
        <v>154</v>
      </c>
      <c r="N276" s="6">
        <v>103</v>
      </c>
      <c r="O276" s="6">
        <v>56.5</v>
      </c>
      <c r="P276" s="6">
        <v>215</v>
      </c>
      <c r="Q276" s="6">
        <v>102</v>
      </c>
      <c r="R276" s="6">
        <v>177.7</v>
      </c>
      <c r="S276" s="6">
        <v>221</v>
      </c>
      <c r="T276" s="6">
        <v>120.7</v>
      </c>
      <c r="U276" s="6">
        <v>159</v>
      </c>
      <c r="V276" s="6">
        <v>208</v>
      </c>
      <c r="W276" s="6">
        <v>252.4</v>
      </c>
      <c r="X276" s="6">
        <v>121</v>
      </c>
      <c r="Y276" s="6">
        <v>124.1</v>
      </c>
      <c r="Z276" s="6">
        <v>72</v>
      </c>
      <c r="AA276" s="14">
        <v>454</v>
      </c>
      <c r="AB276" s="6">
        <v>261</v>
      </c>
      <c r="AC276" s="6">
        <v>271.89999999999998</v>
      </c>
      <c r="AD276" s="6">
        <v>98.2</v>
      </c>
      <c r="AE276" s="6">
        <v>319.2</v>
      </c>
      <c r="AF276" s="6">
        <v>257</v>
      </c>
      <c r="AG276" s="6">
        <v>399.8</v>
      </c>
      <c r="AH276" s="6">
        <v>272</v>
      </c>
      <c r="AI276" s="6">
        <v>254</v>
      </c>
      <c r="AJ276" s="6">
        <v>107.2</v>
      </c>
      <c r="AK276" s="6">
        <v>232</v>
      </c>
      <c r="AL276" s="6">
        <v>245</v>
      </c>
    </row>
    <row r="277" spans="2:38" x14ac:dyDescent="0.2">
      <c r="B277" s="14">
        <v>2002</v>
      </c>
      <c r="C277" s="14" t="s">
        <v>301</v>
      </c>
      <c r="D277" s="258" t="s">
        <v>300</v>
      </c>
      <c r="E277" s="6">
        <v>150</v>
      </c>
      <c r="F277" s="6">
        <v>288.3</v>
      </c>
      <c r="G277" s="6">
        <v>156</v>
      </c>
      <c r="H277" s="6">
        <v>299</v>
      </c>
      <c r="I277" s="6">
        <v>241</v>
      </c>
      <c r="J277" s="6">
        <v>210</v>
      </c>
      <c r="K277" s="6">
        <v>182</v>
      </c>
      <c r="L277" s="6">
        <v>238</v>
      </c>
      <c r="M277" s="6">
        <v>234</v>
      </c>
      <c r="N277" s="6">
        <v>139</v>
      </c>
      <c r="O277" s="6">
        <v>74</v>
      </c>
      <c r="P277" s="6">
        <v>240</v>
      </c>
      <c r="Q277" s="6">
        <v>208</v>
      </c>
      <c r="R277" s="6">
        <v>215.7</v>
      </c>
      <c r="S277" s="6">
        <v>260.7</v>
      </c>
      <c r="T277" s="6">
        <v>170.5</v>
      </c>
      <c r="U277" s="6">
        <v>165</v>
      </c>
      <c r="V277" s="6">
        <v>239</v>
      </c>
      <c r="W277" s="6">
        <v>171.4</v>
      </c>
      <c r="X277" s="6">
        <v>252</v>
      </c>
      <c r="Y277" s="6">
        <v>87.5</v>
      </c>
      <c r="Z277" s="6">
        <v>150</v>
      </c>
      <c r="AA277" s="14">
        <v>166</v>
      </c>
      <c r="AB277" s="6">
        <v>251</v>
      </c>
      <c r="AC277" s="6">
        <v>275.60000000000002</v>
      </c>
      <c r="AD277" s="6">
        <v>162.6</v>
      </c>
      <c r="AE277" s="6">
        <v>300.24</v>
      </c>
      <c r="AF277" s="6">
        <v>281</v>
      </c>
      <c r="AG277" s="6">
        <v>232.7</v>
      </c>
      <c r="AH277" s="6">
        <v>293</v>
      </c>
      <c r="AI277" s="6">
        <v>331</v>
      </c>
      <c r="AJ277" s="6">
        <v>289.10000000000002</v>
      </c>
      <c r="AK277" s="6">
        <v>369</v>
      </c>
      <c r="AL277" s="6">
        <v>264</v>
      </c>
    </row>
    <row r="278" spans="2:38" x14ac:dyDescent="0.2">
      <c r="B278" s="14">
        <v>2003</v>
      </c>
      <c r="C278" s="14" t="s">
        <v>289</v>
      </c>
      <c r="D278" s="258" t="s">
        <v>300</v>
      </c>
      <c r="E278" s="6">
        <v>86</v>
      </c>
      <c r="F278" s="6">
        <v>118.3</v>
      </c>
      <c r="G278" s="6">
        <v>15</v>
      </c>
      <c r="H278" s="6">
        <v>148</v>
      </c>
      <c r="I278" s="6">
        <v>56</v>
      </c>
      <c r="J278" s="6">
        <v>11</v>
      </c>
      <c r="K278" s="6">
        <v>35</v>
      </c>
      <c r="L278" s="6">
        <v>41</v>
      </c>
      <c r="M278" s="6">
        <v>44</v>
      </c>
      <c r="N278" s="6">
        <v>22</v>
      </c>
      <c r="O278" s="6">
        <v>19</v>
      </c>
      <c r="P278" s="6">
        <v>47</v>
      </c>
      <c r="Q278" s="6">
        <v>80</v>
      </c>
      <c r="R278" s="6">
        <v>60.2</v>
      </c>
      <c r="S278" s="6">
        <v>53.3</v>
      </c>
      <c r="T278" s="6">
        <v>23.7</v>
      </c>
      <c r="U278" s="6">
        <v>11</v>
      </c>
      <c r="V278" s="6">
        <v>93</v>
      </c>
      <c r="W278" s="6">
        <v>52.3</v>
      </c>
      <c r="X278" s="6">
        <v>66</v>
      </c>
      <c r="Y278" s="6">
        <v>80</v>
      </c>
      <c r="Z278" s="6">
        <v>58</v>
      </c>
      <c r="AA278" s="14">
        <v>68</v>
      </c>
      <c r="AB278" s="6">
        <v>25</v>
      </c>
      <c r="AC278" s="6">
        <v>57.1</v>
      </c>
      <c r="AD278" s="6">
        <v>55.4</v>
      </c>
      <c r="AE278" s="6">
        <v>57.2</v>
      </c>
      <c r="AF278" s="6">
        <v>110</v>
      </c>
      <c r="AG278" s="6">
        <v>93</v>
      </c>
      <c r="AH278" s="6">
        <v>71</v>
      </c>
      <c r="AI278" s="6">
        <v>94</v>
      </c>
      <c r="AJ278" s="6">
        <v>79.099999999999994</v>
      </c>
      <c r="AK278" s="6">
        <v>76</v>
      </c>
      <c r="AL278" s="6">
        <v>88</v>
      </c>
    </row>
    <row r="279" spans="2:38" x14ac:dyDescent="0.2">
      <c r="B279" s="14">
        <v>2003</v>
      </c>
      <c r="C279" s="14" t="s">
        <v>290</v>
      </c>
      <c r="D279" s="258" t="s">
        <v>300</v>
      </c>
      <c r="E279" s="6">
        <v>283</v>
      </c>
      <c r="F279" s="6">
        <v>217.7</v>
      </c>
      <c r="G279" s="6">
        <v>190</v>
      </c>
      <c r="H279" s="6">
        <v>306</v>
      </c>
      <c r="I279" s="6">
        <v>211</v>
      </c>
      <c r="J279" s="6">
        <v>278</v>
      </c>
      <c r="K279" s="6">
        <v>163</v>
      </c>
      <c r="L279" s="6">
        <v>200</v>
      </c>
      <c r="M279" s="6">
        <v>362</v>
      </c>
      <c r="N279" s="6">
        <v>305.5</v>
      </c>
      <c r="O279" s="6">
        <v>182</v>
      </c>
      <c r="P279" s="6">
        <v>331</v>
      </c>
      <c r="Q279" s="6">
        <v>353</v>
      </c>
      <c r="R279" s="6">
        <v>296.10000000000002</v>
      </c>
      <c r="S279" s="6">
        <v>219.6</v>
      </c>
      <c r="T279" s="6">
        <v>257.10000000000002</v>
      </c>
      <c r="U279" s="6">
        <v>255</v>
      </c>
      <c r="V279" s="6">
        <v>259</v>
      </c>
      <c r="W279" s="6">
        <v>108.7</v>
      </c>
      <c r="X279" s="6">
        <v>225</v>
      </c>
      <c r="Y279" s="6">
        <v>118.2</v>
      </c>
      <c r="Z279" s="6">
        <v>250</v>
      </c>
      <c r="AA279" s="14">
        <v>93</v>
      </c>
      <c r="AB279" s="6">
        <v>194</v>
      </c>
      <c r="AC279" s="6">
        <v>267.2</v>
      </c>
      <c r="AD279" s="6">
        <v>167.2</v>
      </c>
      <c r="AE279" s="6">
        <v>322</v>
      </c>
      <c r="AF279" s="6">
        <v>256</v>
      </c>
      <c r="AG279" s="6">
        <v>350.1</v>
      </c>
      <c r="AH279" s="6">
        <v>203</v>
      </c>
      <c r="AI279" s="6">
        <v>132</v>
      </c>
      <c r="AJ279" s="6">
        <v>274</v>
      </c>
      <c r="AK279" s="6">
        <v>263.7</v>
      </c>
      <c r="AL279" s="6">
        <v>292</v>
      </c>
    </row>
    <row r="280" spans="2:38" x14ac:dyDescent="0.2">
      <c r="B280" s="14">
        <v>2003</v>
      </c>
      <c r="C280" s="14" t="s">
        <v>291</v>
      </c>
      <c r="D280" s="258" t="s">
        <v>300</v>
      </c>
      <c r="E280" s="6">
        <v>36</v>
      </c>
      <c r="F280" s="6">
        <v>195.4</v>
      </c>
      <c r="G280" s="6">
        <v>58</v>
      </c>
      <c r="H280" s="6">
        <v>313</v>
      </c>
      <c r="I280" s="6">
        <v>56</v>
      </c>
      <c r="J280" s="6">
        <v>60</v>
      </c>
      <c r="K280" s="6">
        <v>102</v>
      </c>
      <c r="L280" s="6">
        <v>121</v>
      </c>
      <c r="M280" s="6">
        <v>93</v>
      </c>
      <c r="N280" s="6">
        <v>234</v>
      </c>
      <c r="O280" s="6">
        <v>50</v>
      </c>
      <c r="P280" s="6">
        <v>73</v>
      </c>
      <c r="Q280" s="6">
        <v>132</v>
      </c>
      <c r="R280" s="6">
        <v>98.3</v>
      </c>
      <c r="S280" s="6">
        <v>91.1</v>
      </c>
      <c r="T280" s="6">
        <v>113.5</v>
      </c>
      <c r="U280" s="6">
        <v>54</v>
      </c>
      <c r="V280" s="6">
        <v>109</v>
      </c>
      <c r="W280" s="6">
        <v>147.6</v>
      </c>
      <c r="X280" s="6">
        <v>147</v>
      </c>
      <c r="Y280" s="6">
        <v>20.8</v>
      </c>
      <c r="Z280" s="6">
        <v>90</v>
      </c>
      <c r="AA280" s="14">
        <v>139</v>
      </c>
      <c r="AB280" s="6">
        <v>77</v>
      </c>
      <c r="AC280" s="6">
        <v>137.9</v>
      </c>
      <c r="AD280" s="6">
        <v>57.4</v>
      </c>
      <c r="AE280" s="6">
        <v>166.2</v>
      </c>
      <c r="AF280" s="6">
        <v>184</v>
      </c>
      <c r="AG280" s="6">
        <v>187.9</v>
      </c>
      <c r="AH280" s="6">
        <v>303</v>
      </c>
      <c r="AI280" s="6">
        <v>14.5</v>
      </c>
      <c r="AJ280" s="6">
        <v>70.599999999999994</v>
      </c>
      <c r="AK280" s="6">
        <v>120</v>
      </c>
      <c r="AL280" s="6">
        <v>134</v>
      </c>
    </row>
    <row r="281" spans="2:38" x14ac:dyDescent="0.2">
      <c r="B281" s="14">
        <v>2003</v>
      </c>
      <c r="C281" s="14" t="s">
        <v>292</v>
      </c>
      <c r="D281" s="258" t="s">
        <v>300</v>
      </c>
      <c r="E281" s="6">
        <v>101</v>
      </c>
      <c r="F281" s="6">
        <v>170.5</v>
      </c>
      <c r="G281" s="6">
        <v>56</v>
      </c>
      <c r="H281" s="6">
        <v>215</v>
      </c>
      <c r="I281" s="6">
        <v>38</v>
      </c>
      <c r="J281" s="6">
        <v>98</v>
      </c>
      <c r="K281" s="6">
        <v>63</v>
      </c>
      <c r="L281" s="6">
        <v>228</v>
      </c>
      <c r="M281" s="6">
        <v>166</v>
      </c>
      <c r="N281" s="6">
        <v>62</v>
      </c>
      <c r="O281" s="6">
        <v>37</v>
      </c>
      <c r="P281" s="6">
        <v>138</v>
      </c>
      <c r="Q281" s="6">
        <v>122</v>
      </c>
      <c r="R281" s="6">
        <v>44.7</v>
      </c>
      <c r="S281" s="6">
        <v>188</v>
      </c>
      <c r="T281" s="6">
        <v>140.4</v>
      </c>
      <c r="U281" s="6">
        <v>125</v>
      </c>
      <c r="V281" s="6">
        <v>238</v>
      </c>
      <c r="W281" s="6">
        <v>234.3</v>
      </c>
      <c r="X281" s="6">
        <v>46</v>
      </c>
      <c r="Y281" s="6">
        <v>69.2</v>
      </c>
      <c r="Z281" s="6">
        <v>58</v>
      </c>
      <c r="AA281" s="14">
        <v>245</v>
      </c>
      <c r="AB281" s="6">
        <v>176</v>
      </c>
      <c r="AC281" s="6">
        <v>290.7</v>
      </c>
      <c r="AD281" s="6">
        <v>46.8</v>
      </c>
      <c r="AE281" s="6">
        <v>308</v>
      </c>
      <c r="AF281" s="6">
        <v>323</v>
      </c>
      <c r="AG281" s="6">
        <v>268.89999999999998</v>
      </c>
      <c r="AH281" s="6">
        <v>231</v>
      </c>
      <c r="AI281" s="6">
        <v>196</v>
      </c>
      <c r="AJ281" s="6">
        <v>73.2</v>
      </c>
      <c r="AK281" s="6">
        <v>300</v>
      </c>
      <c r="AL281" s="6">
        <v>184</v>
      </c>
    </row>
    <row r="282" spans="2:38" x14ac:dyDescent="0.2">
      <c r="B282" s="14">
        <v>2003</v>
      </c>
      <c r="C282" s="14" t="s">
        <v>293</v>
      </c>
      <c r="D282" s="258" t="s">
        <v>300</v>
      </c>
      <c r="E282" s="6">
        <v>157</v>
      </c>
      <c r="F282" s="6">
        <v>180.9</v>
      </c>
      <c r="G282" s="6">
        <v>194</v>
      </c>
      <c r="H282" s="6">
        <v>202</v>
      </c>
      <c r="I282" s="6">
        <v>156</v>
      </c>
      <c r="J282" s="6">
        <v>271</v>
      </c>
      <c r="K282" s="6">
        <v>84</v>
      </c>
      <c r="L282" s="6">
        <v>328</v>
      </c>
      <c r="M282" s="6">
        <v>287</v>
      </c>
      <c r="N282" s="6">
        <v>128.5</v>
      </c>
      <c r="O282" s="6">
        <v>245</v>
      </c>
      <c r="P282" s="6">
        <v>231</v>
      </c>
      <c r="Q282" s="6">
        <v>379</v>
      </c>
      <c r="R282" s="6">
        <v>58.8</v>
      </c>
      <c r="S282" s="6">
        <v>151.80000000000001</v>
      </c>
      <c r="T282" s="6">
        <v>124.4</v>
      </c>
      <c r="U282" s="6">
        <v>260</v>
      </c>
      <c r="V282" s="6">
        <v>130.5</v>
      </c>
      <c r="W282" s="6">
        <v>230.4</v>
      </c>
      <c r="X282" s="6">
        <v>134</v>
      </c>
      <c r="Y282" s="6">
        <v>91.4</v>
      </c>
      <c r="Z282" s="6">
        <v>232</v>
      </c>
      <c r="AA282" s="14">
        <v>182</v>
      </c>
      <c r="AB282" s="6">
        <v>233</v>
      </c>
      <c r="AC282" s="6">
        <v>200.1</v>
      </c>
      <c r="AD282" s="6">
        <v>164</v>
      </c>
      <c r="AE282" s="6">
        <v>174.9</v>
      </c>
      <c r="AF282" s="6">
        <v>181</v>
      </c>
      <c r="AG282" s="6">
        <v>166.8</v>
      </c>
      <c r="AH282" s="6">
        <v>127</v>
      </c>
      <c r="AI282" s="6">
        <v>170</v>
      </c>
      <c r="AJ282" s="6">
        <v>371.8</v>
      </c>
      <c r="AK282" s="6">
        <v>224</v>
      </c>
      <c r="AL282" s="6">
        <v>118</v>
      </c>
    </row>
    <row r="283" spans="2:38" x14ac:dyDescent="0.2">
      <c r="B283" s="14">
        <v>2003</v>
      </c>
      <c r="C283" s="14" t="s">
        <v>294</v>
      </c>
      <c r="D283" s="258" t="s">
        <v>300</v>
      </c>
      <c r="E283" s="6">
        <v>84</v>
      </c>
      <c r="F283" s="6">
        <v>93.7</v>
      </c>
      <c r="G283" s="6">
        <v>173</v>
      </c>
      <c r="H283" s="6">
        <v>122</v>
      </c>
      <c r="I283" s="6">
        <v>226</v>
      </c>
      <c r="J283" s="6">
        <v>141</v>
      </c>
      <c r="K283" s="6">
        <v>29</v>
      </c>
      <c r="L283" s="6">
        <v>65</v>
      </c>
      <c r="M283" s="6">
        <v>87</v>
      </c>
      <c r="N283" s="6">
        <v>124</v>
      </c>
      <c r="O283" s="6">
        <v>150</v>
      </c>
      <c r="P283" s="6">
        <v>127</v>
      </c>
      <c r="Q283" s="6">
        <v>221</v>
      </c>
      <c r="R283" s="6">
        <v>63.7</v>
      </c>
      <c r="S283" s="6">
        <v>91.8</v>
      </c>
      <c r="T283" s="6">
        <v>53.3</v>
      </c>
      <c r="U283" s="6">
        <v>109</v>
      </c>
      <c r="V283" s="6">
        <v>41</v>
      </c>
      <c r="W283" s="6">
        <v>34.9</v>
      </c>
      <c r="X283" s="6">
        <v>169</v>
      </c>
      <c r="Y283" s="6">
        <v>123.9</v>
      </c>
      <c r="Z283" s="6">
        <v>75</v>
      </c>
      <c r="AA283" s="14">
        <v>20</v>
      </c>
      <c r="AB283" s="6">
        <v>26</v>
      </c>
      <c r="AC283" s="6">
        <v>117.7</v>
      </c>
      <c r="AD283" s="6">
        <v>158.9</v>
      </c>
      <c r="AE283" s="6">
        <v>84.5</v>
      </c>
      <c r="AF283" s="6">
        <v>82</v>
      </c>
      <c r="AG283" s="6">
        <v>42.3</v>
      </c>
      <c r="AH283" s="6">
        <v>77</v>
      </c>
      <c r="AI283" s="6">
        <v>83</v>
      </c>
      <c r="AJ283" s="6">
        <v>148.19999999999999</v>
      </c>
      <c r="AK283" s="6">
        <v>63</v>
      </c>
      <c r="AL283" s="6">
        <v>110</v>
      </c>
    </row>
    <row r="284" spans="2:38" x14ac:dyDescent="0.2">
      <c r="B284" s="14">
        <v>2003</v>
      </c>
      <c r="C284" s="14" t="s">
        <v>295</v>
      </c>
      <c r="D284" s="258" t="s">
        <v>300</v>
      </c>
      <c r="E284" s="6">
        <v>28</v>
      </c>
      <c r="F284" s="6">
        <v>38</v>
      </c>
      <c r="G284" s="6">
        <v>44</v>
      </c>
      <c r="H284" s="6">
        <v>52</v>
      </c>
      <c r="I284" s="6">
        <v>47</v>
      </c>
      <c r="J284" s="6">
        <v>31</v>
      </c>
      <c r="K284" s="6">
        <v>43</v>
      </c>
      <c r="L284" s="6">
        <v>32</v>
      </c>
      <c r="M284" s="6">
        <v>28</v>
      </c>
      <c r="N284" s="6">
        <v>33.5</v>
      </c>
      <c r="O284" s="6">
        <v>37</v>
      </c>
      <c r="P284" s="6">
        <v>16</v>
      </c>
      <c r="Q284" s="6">
        <v>67</v>
      </c>
      <c r="R284" s="6">
        <v>58.5</v>
      </c>
      <c r="S284" s="6">
        <v>21.8</v>
      </c>
      <c r="T284" s="6">
        <v>49.6</v>
      </c>
      <c r="U284" s="6">
        <v>39</v>
      </c>
      <c r="V284" s="6">
        <v>9</v>
      </c>
      <c r="W284" s="6">
        <v>27.8</v>
      </c>
      <c r="X284" s="6">
        <v>66</v>
      </c>
      <c r="Y284" s="6">
        <v>71.900000000000006</v>
      </c>
      <c r="Z284" s="6">
        <v>42</v>
      </c>
      <c r="AA284" s="14">
        <v>15</v>
      </c>
      <c r="AB284" s="6">
        <v>25</v>
      </c>
      <c r="AC284" s="6">
        <v>43.3</v>
      </c>
      <c r="AD284" s="6">
        <v>54.9</v>
      </c>
      <c r="AE284" s="6">
        <v>12.7</v>
      </c>
      <c r="AF284" s="6">
        <v>24</v>
      </c>
      <c r="AG284" s="6">
        <v>15.2</v>
      </c>
      <c r="AH284" s="6">
        <v>21</v>
      </c>
      <c r="AI284" s="6">
        <v>25</v>
      </c>
      <c r="AJ284" s="6">
        <v>37</v>
      </c>
      <c r="AK284" s="6">
        <v>48</v>
      </c>
      <c r="AL284" s="6">
        <v>29</v>
      </c>
    </row>
    <row r="285" spans="2:38" x14ac:dyDescent="0.2">
      <c r="B285" s="14">
        <v>2003</v>
      </c>
      <c r="C285" s="14" t="s">
        <v>296</v>
      </c>
      <c r="D285" s="258" t="s">
        <v>300</v>
      </c>
      <c r="E285" s="6">
        <v>130</v>
      </c>
      <c r="F285" s="6">
        <v>140.4</v>
      </c>
      <c r="G285" s="6">
        <v>107</v>
      </c>
      <c r="H285" s="6">
        <v>114</v>
      </c>
      <c r="I285" s="6">
        <v>82</v>
      </c>
      <c r="J285" s="6">
        <v>112</v>
      </c>
      <c r="K285" s="6">
        <v>108</v>
      </c>
      <c r="L285" s="6">
        <v>143</v>
      </c>
      <c r="M285" s="6">
        <v>147</v>
      </c>
      <c r="N285" s="6">
        <v>139</v>
      </c>
      <c r="O285" s="6">
        <v>110</v>
      </c>
      <c r="P285" s="6">
        <v>144</v>
      </c>
      <c r="Q285" s="6">
        <v>150.4</v>
      </c>
      <c r="R285" s="6">
        <v>36.799999999999997</v>
      </c>
      <c r="S285" s="6">
        <v>129.69999999999999</v>
      </c>
      <c r="T285" s="6">
        <v>165.5</v>
      </c>
      <c r="U285" s="6">
        <v>148.5</v>
      </c>
      <c r="V285" s="6">
        <v>107</v>
      </c>
      <c r="W285" s="6">
        <v>184.6</v>
      </c>
      <c r="X285" s="6">
        <v>157</v>
      </c>
      <c r="Y285" s="6">
        <v>60.8</v>
      </c>
      <c r="Z285" s="6">
        <v>109</v>
      </c>
      <c r="AA285" s="14">
        <v>90</v>
      </c>
      <c r="AB285" s="6">
        <v>10</v>
      </c>
      <c r="AC285" s="6">
        <v>130.6</v>
      </c>
      <c r="AD285" s="6">
        <v>82.3</v>
      </c>
      <c r="AE285" s="6">
        <v>86.5</v>
      </c>
      <c r="AF285" s="6">
        <v>119</v>
      </c>
      <c r="AG285" s="6">
        <v>107.3</v>
      </c>
      <c r="AH285" s="6">
        <v>112</v>
      </c>
      <c r="AI285" s="6">
        <v>135.5</v>
      </c>
      <c r="AJ285" s="6">
        <v>109.4</v>
      </c>
      <c r="AK285" s="6">
        <v>79</v>
      </c>
      <c r="AL285" s="6">
        <v>128</v>
      </c>
    </row>
    <row r="286" spans="2:38" x14ac:dyDescent="0.2">
      <c r="B286" s="14">
        <v>2003</v>
      </c>
      <c r="C286" s="14" t="s">
        <v>297</v>
      </c>
      <c r="D286" s="258" t="s">
        <v>300</v>
      </c>
      <c r="E286" s="6">
        <v>165</v>
      </c>
      <c r="F286" s="6">
        <v>71.5</v>
      </c>
      <c r="G286" s="6">
        <v>242</v>
      </c>
      <c r="H286" s="6">
        <v>95</v>
      </c>
      <c r="I286" s="6">
        <v>221</v>
      </c>
      <c r="J286" s="6">
        <v>222</v>
      </c>
      <c r="K286" s="6">
        <v>164</v>
      </c>
      <c r="L286" s="6">
        <v>103</v>
      </c>
      <c r="M286" s="6">
        <v>160</v>
      </c>
      <c r="N286" s="6">
        <v>148.5</v>
      </c>
      <c r="O286" s="6">
        <v>113</v>
      </c>
      <c r="P286" s="6">
        <v>110</v>
      </c>
      <c r="Q286" s="6">
        <v>323</v>
      </c>
      <c r="R286" s="6">
        <v>172.2</v>
      </c>
      <c r="S286" s="6">
        <v>126.9</v>
      </c>
      <c r="T286" s="6">
        <v>147.6</v>
      </c>
      <c r="U286" s="6">
        <v>160</v>
      </c>
      <c r="V286" s="6">
        <v>91</v>
      </c>
      <c r="W286" s="6">
        <v>67.5</v>
      </c>
      <c r="X286" s="6">
        <v>147</v>
      </c>
      <c r="Y286" s="6">
        <v>180.8</v>
      </c>
      <c r="Z286" s="6">
        <v>216</v>
      </c>
      <c r="AA286" s="14">
        <v>62</v>
      </c>
      <c r="AB286" s="6">
        <v>34</v>
      </c>
      <c r="AC286" s="6">
        <v>90.4</v>
      </c>
      <c r="AD286" s="6">
        <v>156.6</v>
      </c>
      <c r="AE286" s="6">
        <v>71.900000000000006</v>
      </c>
      <c r="AF286" s="6">
        <v>71</v>
      </c>
      <c r="AG286" s="6">
        <v>90.5</v>
      </c>
      <c r="AH286" s="6">
        <v>88</v>
      </c>
      <c r="AI286" s="6">
        <v>88</v>
      </c>
      <c r="AJ286" s="6">
        <v>225.2</v>
      </c>
      <c r="AK286" s="6">
        <v>39.799999999999997</v>
      </c>
      <c r="AL286" s="6">
        <v>83</v>
      </c>
    </row>
    <row r="287" spans="2:38" x14ac:dyDescent="0.2">
      <c r="B287" s="14">
        <v>2003</v>
      </c>
      <c r="C287" s="14" t="s">
        <v>298</v>
      </c>
      <c r="D287" s="258" t="s">
        <v>300</v>
      </c>
      <c r="E287" s="6">
        <v>57</v>
      </c>
      <c r="F287" s="6">
        <v>146.1</v>
      </c>
      <c r="G287" s="6">
        <v>78</v>
      </c>
      <c r="H287" s="6">
        <v>162</v>
      </c>
      <c r="I287" s="6">
        <v>84</v>
      </c>
      <c r="J287" s="6">
        <v>102</v>
      </c>
      <c r="K287" s="6">
        <v>40</v>
      </c>
      <c r="L287" s="6">
        <v>39</v>
      </c>
      <c r="M287" s="6">
        <v>72</v>
      </c>
      <c r="N287" s="6">
        <v>77.5</v>
      </c>
      <c r="O287" s="6">
        <v>35</v>
      </c>
      <c r="P287" s="6">
        <v>47</v>
      </c>
      <c r="Q287" s="6">
        <v>74</v>
      </c>
      <c r="R287" s="6">
        <v>51.2</v>
      </c>
      <c r="S287" s="6">
        <v>60.8</v>
      </c>
      <c r="T287" s="6">
        <v>72</v>
      </c>
      <c r="U287" s="6">
        <v>88</v>
      </c>
      <c r="V287" s="6">
        <v>91</v>
      </c>
      <c r="W287" s="6">
        <v>48.1</v>
      </c>
      <c r="X287" s="6">
        <v>52</v>
      </c>
      <c r="Y287" s="6">
        <v>65.400000000000006</v>
      </c>
      <c r="Z287" s="6">
        <v>95</v>
      </c>
      <c r="AA287" s="14">
        <v>36</v>
      </c>
      <c r="AB287" s="6">
        <v>12</v>
      </c>
      <c r="AC287" s="6">
        <v>94.2</v>
      </c>
      <c r="AD287" s="6">
        <v>61.5</v>
      </c>
      <c r="AE287" s="6">
        <v>87.2</v>
      </c>
      <c r="AF287" s="6">
        <v>172</v>
      </c>
      <c r="AG287" s="6">
        <v>92</v>
      </c>
      <c r="AH287" s="6">
        <v>208</v>
      </c>
      <c r="AI287" s="6">
        <v>170</v>
      </c>
      <c r="AJ287" s="6">
        <v>73.400000000000006</v>
      </c>
      <c r="AK287" s="6">
        <v>82</v>
      </c>
      <c r="AL287" s="6">
        <v>98</v>
      </c>
    </row>
    <row r="288" spans="2:38" x14ac:dyDescent="0.2">
      <c r="B288" s="14">
        <v>2003</v>
      </c>
      <c r="C288" s="14" t="s">
        <v>299</v>
      </c>
      <c r="D288" s="258" t="s">
        <v>300</v>
      </c>
      <c r="E288" s="6">
        <v>40</v>
      </c>
      <c r="F288" s="6">
        <v>156.6</v>
      </c>
      <c r="G288" s="6">
        <v>196</v>
      </c>
      <c r="H288" s="6">
        <v>156</v>
      </c>
      <c r="I288" s="6">
        <v>201</v>
      </c>
      <c r="J288" s="6">
        <v>188</v>
      </c>
      <c r="K288" s="6">
        <v>167</v>
      </c>
      <c r="L288" s="6">
        <v>237.5</v>
      </c>
      <c r="M288" s="6">
        <v>197</v>
      </c>
      <c r="N288" s="6">
        <v>201</v>
      </c>
      <c r="O288" s="6">
        <v>168</v>
      </c>
      <c r="P288" s="6">
        <v>194</v>
      </c>
      <c r="Q288" s="6">
        <v>213</v>
      </c>
      <c r="R288" s="6">
        <v>172.5</v>
      </c>
      <c r="S288" s="6">
        <v>130.69999999999999</v>
      </c>
      <c r="T288" s="6">
        <v>146.1</v>
      </c>
      <c r="U288" s="6">
        <v>166</v>
      </c>
      <c r="V288" s="6">
        <v>150</v>
      </c>
      <c r="W288" s="6">
        <v>145.6</v>
      </c>
      <c r="X288" s="258" t="s">
        <v>300</v>
      </c>
      <c r="Y288" s="6">
        <v>169.5</v>
      </c>
      <c r="Z288" s="6">
        <v>172</v>
      </c>
      <c r="AA288" s="14">
        <v>139</v>
      </c>
      <c r="AB288" s="6">
        <v>114</v>
      </c>
      <c r="AC288" s="6">
        <v>165</v>
      </c>
      <c r="AD288" s="6">
        <v>157.1</v>
      </c>
      <c r="AE288" s="6">
        <v>264.5</v>
      </c>
      <c r="AF288" s="6">
        <v>171</v>
      </c>
      <c r="AG288" s="6">
        <v>154.9</v>
      </c>
      <c r="AH288" s="6">
        <v>149</v>
      </c>
      <c r="AI288" s="6">
        <v>235.5</v>
      </c>
      <c r="AJ288" s="6">
        <v>132.6</v>
      </c>
      <c r="AK288" s="6">
        <v>104</v>
      </c>
      <c r="AL288" s="6">
        <v>149</v>
      </c>
    </row>
    <row r="289" spans="2:38" x14ac:dyDescent="0.2">
      <c r="B289" s="14">
        <v>2003</v>
      </c>
      <c r="C289" s="14" t="s">
        <v>301</v>
      </c>
      <c r="D289" s="258" t="s">
        <v>300</v>
      </c>
      <c r="E289" s="6">
        <v>75</v>
      </c>
      <c r="F289" s="6">
        <v>173.9</v>
      </c>
      <c r="G289" s="6">
        <v>120</v>
      </c>
      <c r="H289" s="6">
        <v>230</v>
      </c>
      <c r="I289" s="6">
        <v>82</v>
      </c>
      <c r="J289" s="6">
        <v>84</v>
      </c>
      <c r="K289" s="6">
        <v>62</v>
      </c>
      <c r="L289" s="6">
        <v>70</v>
      </c>
      <c r="M289" s="6">
        <v>56</v>
      </c>
      <c r="N289" s="6">
        <v>46</v>
      </c>
      <c r="O289" s="6">
        <v>70</v>
      </c>
      <c r="P289" s="6">
        <v>91</v>
      </c>
      <c r="Q289" s="6">
        <v>113</v>
      </c>
      <c r="R289" s="6">
        <v>97.9</v>
      </c>
      <c r="S289" s="6">
        <v>118.9</v>
      </c>
      <c r="T289" s="6">
        <v>77.400000000000006</v>
      </c>
      <c r="U289" s="6">
        <v>95.5</v>
      </c>
      <c r="V289" s="6">
        <v>139</v>
      </c>
      <c r="W289" s="6">
        <v>95.5</v>
      </c>
      <c r="X289" s="6">
        <v>60</v>
      </c>
      <c r="Y289" s="6">
        <v>135</v>
      </c>
      <c r="Z289" s="6">
        <v>61</v>
      </c>
      <c r="AA289" s="14">
        <v>124</v>
      </c>
      <c r="AB289" s="6">
        <v>73</v>
      </c>
      <c r="AC289" s="6">
        <v>226.7</v>
      </c>
      <c r="AD289" s="6">
        <v>124.4</v>
      </c>
      <c r="AE289" s="6">
        <v>95.8</v>
      </c>
      <c r="AF289" s="6">
        <v>146</v>
      </c>
      <c r="AG289" s="6">
        <v>101.6</v>
      </c>
      <c r="AH289" s="6">
        <v>164</v>
      </c>
      <c r="AI289" s="6">
        <v>120</v>
      </c>
      <c r="AJ289" s="6">
        <v>30.3</v>
      </c>
      <c r="AK289" s="6">
        <v>112.5</v>
      </c>
      <c r="AL289" s="6">
        <v>159</v>
      </c>
    </row>
    <row r="290" spans="2:38" x14ac:dyDescent="0.2">
      <c r="B290" s="14">
        <v>2004</v>
      </c>
      <c r="C290" s="14" t="s">
        <v>289</v>
      </c>
      <c r="D290" s="258" t="s">
        <v>300</v>
      </c>
      <c r="E290" s="6">
        <v>138</v>
      </c>
      <c r="F290" s="6">
        <v>48.2</v>
      </c>
      <c r="G290" s="6">
        <v>56</v>
      </c>
      <c r="H290" s="6">
        <v>54</v>
      </c>
      <c r="I290" s="6">
        <v>76</v>
      </c>
      <c r="J290" s="6">
        <v>49</v>
      </c>
      <c r="K290" s="6">
        <v>171</v>
      </c>
      <c r="L290" s="6">
        <v>107.5</v>
      </c>
      <c r="M290" s="6">
        <v>136</v>
      </c>
      <c r="N290" s="6">
        <v>91</v>
      </c>
      <c r="O290" s="6">
        <v>109</v>
      </c>
      <c r="P290" s="6">
        <v>45</v>
      </c>
      <c r="Q290" s="6">
        <v>235</v>
      </c>
      <c r="R290" s="6">
        <v>226.1</v>
      </c>
      <c r="S290" s="6">
        <v>90.6</v>
      </c>
      <c r="T290" s="6">
        <v>92.4</v>
      </c>
      <c r="U290" s="6">
        <v>66</v>
      </c>
      <c r="V290" s="6">
        <v>50</v>
      </c>
      <c r="W290" s="6">
        <v>52.3</v>
      </c>
      <c r="X290" s="6">
        <v>66</v>
      </c>
      <c r="Y290" s="6">
        <v>67.7</v>
      </c>
      <c r="Z290" s="6">
        <v>18</v>
      </c>
      <c r="AA290" s="14">
        <v>69</v>
      </c>
      <c r="AB290" s="6">
        <v>25</v>
      </c>
      <c r="AC290" s="6">
        <v>18.600000000000001</v>
      </c>
      <c r="AD290" s="6">
        <v>209.5</v>
      </c>
      <c r="AE290" s="6">
        <v>37.299999999999997</v>
      </c>
      <c r="AF290" s="6">
        <v>36</v>
      </c>
      <c r="AG290" s="6">
        <v>95</v>
      </c>
      <c r="AH290" s="6">
        <v>50</v>
      </c>
      <c r="AI290" s="6">
        <v>34</v>
      </c>
      <c r="AJ290" s="6">
        <v>105.3</v>
      </c>
      <c r="AK290" s="6">
        <v>50</v>
      </c>
      <c r="AL290" s="6">
        <v>53</v>
      </c>
    </row>
    <row r="291" spans="2:38" x14ac:dyDescent="0.2">
      <c r="B291" s="14">
        <v>2004</v>
      </c>
      <c r="C291" s="14" t="s">
        <v>290</v>
      </c>
      <c r="D291" s="258" t="s">
        <v>300</v>
      </c>
      <c r="E291" s="6">
        <v>26</v>
      </c>
      <c r="F291" s="6">
        <v>61.3</v>
      </c>
      <c r="G291" s="6">
        <v>44</v>
      </c>
      <c r="H291" s="6">
        <v>77</v>
      </c>
      <c r="I291" s="6">
        <v>40</v>
      </c>
      <c r="J291" s="6">
        <v>15</v>
      </c>
      <c r="K291" s="6">
        <v>57</v>
      </c>
      <c r="L291" s="6">
        <v>22</v>
      </c>
      <c r="M291" s="6">
        <v>8</v>
      </c>
      <c r="N291" s="6">
        <v>24</v>
      </c>
      <c r="O291" s="6">
        <v>79</v>
      </c>
      <c r="P291" s="6">
        <v>87</v>
      </c>
      <c r="Q291" s="6">
        <v>30</v>
      </c>
      <c r="R291" s="6">
        <v>26.8</v>
      </c>
      <c r="S291" s="6">
        <v>60</v>
      </c>
      <c r="T291" s="6">
        <v>13.1</v>
      </c>
      <c r="U291" s="6">
        <v>38</v>
      </c>
      <c r="V291" s="6">
        <v>37</v>
      </c>
      <c r="W291" s="6">
        <v>17.399999999999999</v>
      </c>
      <c r="X291" s="6">
        <v>43</v>
      </c>
      <c r="Y291" s="6">
        <v>86.7</v>
      </c>
      <c r="Z291" s="6">
        <v>82</v>
      </c>
      <c r="AA291" s="14">
        <v>40</v>
      </c>
      <c r="AB291" s="6">
        <v>73</v>
      </c>
      <c r="AC291" s="6">
        <v>84.8</v>
      </c>
      <c r="AD291" s="6">
        <v>72.3</v>
      </c>
      <c r="AE291" s="6">
        <v>90.5</v>
      </c>
      <c r="AF291" s="6">
        <v>64</v>
      </c>
      <c r="AG291" s="6">
        <v>37.200000000000003</v>
      </c>
      <c r="AH291" s="6">
        <v>45</v>
      </c>
      <c r="AI291" s="6">
        <v>90</v>
      </c>
      <c r="AJ291" s="6">
        <v>38.6</v>
      </c>
      <c r="AK291" s="6">
        <v>70</v>
      </c>
      <c r="AL291" s="6">
        <v>49</v>
      </c>
    </row>
    <row r="292" spans="2:38" x14ac:dyDescent="0.2">
      <c r="B292" s="14">
        <v>2004</v>
      </c>
      <c r="C292" s="14" t="s">
        <v>291</v>
      </c>
      <c r="D292" s="258" t="s">
        <v>300</v>
      </c>
      <c r="E292" s="6">
        <v>14</v>
      </c>
      <c r="F292" s="6">
        <v>53.3</v>
      </c>
      <c r="G292" s="6">
        <v>27</v>
      </c>
      <c r="H292" s="6">
        <v>45</v>
      </c>
      <c r="I292" s="6">
        <v>11</v>
      </c>
      <c r="J292" s="6">
        <v>35</v>
      </c>
      <c r="K292" s="6">
        <v>25</v>
      </c>
      <c r="L292" s="6">
        <v>41</v>
      </c>
      <c r="M292" s="6">
        <v>8</v>
      </c>
      <c r="N292" s="6">
        <v>52</v>
      </c>
      <c r="O292" s="6">
        <v>65</v>
      </c>
      <c r="P292" s="6">
        <v>13</v>
      </c>
      <c r="Q292" s="6">
        <v>73</v>
      </c>
      <c r="R292" s="6">
        <v>28.9</v>
      </c>
      <c r="S292" s="6">
        <v>13.1</v>
      </c>
      <c r="T292" s="6">
        <v>33.1</v>
      </c>
      <c r="U292" s="6">
        <v>26.5</v>
      </c>
      <c r="V292" s="6">
        <v>34</v>
      </c>
      <c r="W292" s="6">
        <v>81.599999999999994</v>
      </c>
      <c r="X292" s="6">
        <v>28</v>
      </c>
      <c r="Y292" s="6">
        <v>15.4</v>
      </c>
      <c r="Z292" s="6">
        <v>63</v>
      </c>
      <c r="AA292" s="14">
        <v>71</v>
      </c>
      <c r="AB292" s="6">
        <v>44</v>
      </c>
      <c r="AC292" s="6">
        <v>67.7</v>
      </c>
      <c r="AD292" s="6">
        <v>28.4</v>
      </c>
      <c r="AE292" s="6">
        <v>74.3</v>
      </c>
      <c r="AF292" s="6">
        <v>39</v>
      </c>
      <c r="AG292" s="6">
        <v>33</v>
      </c>
      <c r="AH292" s="6">
        <v>39</v>
      </c>
      <c r="AI292" s="6">
        <v>32</v>
      </c>
      <c r="AJ292" s="6">
        <v>44.6</v>
      </c>
      <c r="AK292" s="6">
        <v>37</v>
      </c>
      <c r="AL292" s="6">
        <v>13</v>
      </c>
    </row>
    <row r="293" spans="2:38" x14ac:dyDescent="0.2">
      <c r="B293" s="14">
        <v>2004</v>
      </c>
      <c r="C293" s="14" t="s">
        <v>292</v>
      </c>
      <c r="D293" s="258" t="s">
        <v>300</v>
      </c>
      <c r="E293" s="6">
        <v>133</v>
      </c>
      <c r="F293" s="6">
        <v>125</v>
      </c>
      <c r="G293" s="6">
        <v>210</v>
      </c>
      <c r="H293" s="6">
        <v>194</v>
      </c>
      <c r="I293" s="6">
        <v>205</v>
      </c>
      <c r="J293" s="6">
        <v>189</v>
      </c>
      <c r="K293" s="6">
        <v>218</v>
      </c>
      <c r="L293" s="6">
        <v>233</v>
      </c>
      <c r="M293" s="6">
        <v>222</v>
      </c>
      <c r="N293" s="6">
        <v>196.9</v>
      </c>
      <c r="O293" s="6">
        <v>111</v>
      </c>
      <c r="P293" s="6">
        <v>190</v>
      </c>
      <c r="Q293" s="6">
        <v>259</v>
      </c>
      <c r="R293" s="6">
        <v>262.39999999999998</v>
      </c>
      <c r="S293" s="6">
        <v>166.3</v>
      </c>
      <c r="T293" s="6">
        <v>243.7</v>
      </c>
      <c r="U293" s="6">
        <v>211</v>
      </c>
      <c r="V293" s="6">
        <v>193</v>
      </c>
      <c r="W293" s="6">
        <v>349.3</v>
      </c>
      <c r="X293" s="6">
        <v>211</v>
      </c>
      <c r="Y293" s="6">
        <v>244.5</v>
      </c>
      <c r="Z293" s="6">
        <v>199</v>
      </c>
      <c r="AA293" s="14">
        <v>307.5</v>
      </c>
      <c r="AB293" s="6">
        <v>168</v>
      </c>
      <c r="AC293" s="6">
        <v>178.2</v>
      </c>
      <c r="AD293" s="6">
        <v>205.7</v>
      </c>
      <c r="AE293" s="6">
        <v>253.9</v>
      </c>
      <c r="AF293" s="6">
        <v>150</v>
      </c>
      <c r="AG293" s="6">
        <v>134.19999999999999</v>
      </c>
      <c r="AH293" s="6">
        <v>187</v>
      </c>
      <c r="AI293" s="6">
        <v>223.5</v>
      </c>
      <c r="AJ293" s="6">
        <v>213.2</v>
      </c>
      <c r="AK293" s="6">
        <v>131</v>
      </c>
      <c r="AL293" s="6">
        <v>143</v>
      </c>
    </row>
    <row r="294" spans="2:38" x14ac:dyDescent="0.2">
      <c r="B294" s="14">
        <v>2004</v>
      </c>
      <c r="C294" s="14" t="s">
        <v>293</v>
      </c>
      <c r="D294" s="258" t="s">
        <v>300</v>
      </c>
      <c r="E294" s="6">
        <v>151</v>
      </c>
      <c r="F294" s="6">
        <v>29.2</v>
      </c>
      <c r="G294" s="6">
        <v>136</v>
      </c>
      <c r="H294" s="6">
        <v>46</v>
      </c>
      <c r="I294" s="6">
        <v>74</v>
      </c>
      <c r="J294" s="6">
        <v>109.5</v>
      </c>
      <c r="K294" s="6">
        <v>57</v>
      </c>
      <c r="L294" s="6">
        <v>64</v>
      </c>
      <c r="M294" s="6">
        <v>89</v>
      </c>
      <c r="N294" s="6">
        <v>37</v>
      </c>
      <c r="O294" s="6">
        <v>178</v>
      </c>
      <c r="P294" s="6">
        <v>104</v>
      </c>
      <c r="Q294" s="6">
        <v>190</v>
      </c>
      <c r="R294" s="6">
        <v>61</v>
      </c>
      <c r="S294" s="6">
        <v>143.6</v>
      </c>
      <c r="T294" s="6">
        <v>32.1</v>
      </c>
      <c r="U294" s="6">
        <v>74.5</v>
      </c>
      <c r="V294" s="6">
        <v>91</v>
      </c>
      <c r="W294" s="6">
        <v>35.6</v>
      </c>
      <c r="X294" s="6">
        <v>45</v>
      </c>
      <c r="Y294" s="6">
        <v>38</v>
      </c>
      <c r="Z294" s="6">
        <v>47</v>
      </c>
      <c r="AA294" s="14">
        <v>31</v>
      </c>
      <c r="AB294" s="258" t="s">
        <v>300</v>
      </c>
      <c r="AC294" s="6">
        <v>73</v>
      </c>
      <c r="AD294" s="6">
        <v>142</v>
      </c>
      <c r="AE294" s="6">
        <v>26.4</v>
      </c>
      <c r="AF294" s="6">
        <v>30</v>
      </c>
      <c r="AG294" s="6">
        <v>75.2</v>
      </c>
      <c r="AH294" s="6">
        <v>29</v>
      </c>
      <c r="AI294" s="6">
        <v>39.5</v>
      </c>
      <c r="AJ294" s="6">
        <v>179.9</v>
      </c>
      <c r="AK294" s="6">
        <v>42</v>
      </c>
      <c r="AL294" s="6">
        <v>141</v>
      </c>
    </row>
    <row r="295" spans="2:38" x14ac:dyDescent="0.2">
      <c r="B295" s="14">
        <v>2004</v>
      </c>
      <c r="C295" s="14" t="s">
        <v>294</v>
      </c>
      <c r="D295" s="258" t="s">
        <v>300</v>
      </c>
      <c r="E295" s="6">
        <v>85</v>
      </c>
      <c r="F295" s="6">
        <v>82.1</v>
      </c>
      <c r="G295" s="6">
        <v>90</v>
      </c>
      <c r="H295" s="6">
        <v>112</v>
      </c>
      <c r="I295" s="6">
        <v>115</v>
      </c>
      <c r="J295" s="6">
        <v>128</v>
      </c>
      <c r="K295" s="6">
        <v>97</v>
      </c>
      <c r="L295" s="6">
        <v>88</v>
      </c>
      <c r="M295" s="6">
        <v>106</v>
      </c>
      <c r="N295" s="6">
        <v>38</v>
      </c>
      <c r="O295" s="6">
        <v>116</v>
      </c>
      <c r="P295" s="6">
        <v>121</v>
      </c>
      <c r="Q295" s="6">
        <v>97</v>
      </c>
      <c r="R295" s="6">
        <v>62.2</v>
      </c>
      <c r="S295" s="6">
        <v>101.9</v>
      </c>
      <c r="T295" s="6">
        <v>50</v>
      </c>
      <c r="U295" s="6">
        <v>88.5</v>
      </c>
      <c r="V295" s="6">
        <v>95</v>
      </c>
      <c r="W295" s="6">
        <v>36.299999999999997</v>
      </c>
      <c r="X295" s="6">
        <v>69</v>
      </c>
      <c r="Y295" s="6">
        <v>76.5</v>
      </c>
      <c r="Z295" s="6">
        <v>82</v>
      </c>
      <c r="AA295" s="14">
        <v>56</v>
      </c>
      <c r="AB295" s="6">
        <v>45</v>
      </c>
      <c r="AC295" s="6">
        <v>100.8</v>
      </c>
      <c r="AD295" s="6">
        <v>108.3</v>
      </c>
      <c r="AE295" s="6">
        <v>76</v>
      </c>
      <c r="AF295" s="6">
        <v>52</v>
      </c>
      <c r="AG295" s="6">
        <v>89.6</v>
      </c>
      <c r="AH295" s="6">
        <v>66</v>
      </c>
      <c r="AI295" s="6">
        <v>84</v>
      </c>
      <c r="AJ295" s="6">
        <v>93.8</v>
      </c>
      <c r="AK295" s="6">
        <v>53</v>
      </c>
      <c r="AL295" s="6">
        <v>86.5</v>
      </c>
    </row>
    <row r="296" spans="2:38" x14ac:dyDescent="0.2">
      <c r="B296" s="14">
        <v>2004</v>
      </c>
      <c r="C296" s="14" t="s">
        <v>295</v>
      </c>
      <c r="D296" s="258" t="s">
        <v>300</v>
      </c>
      <c r="E296" s="6">
        <v>65</v>
      </c>
      <c r="F296" s="6">
        <v>30.5</v>
      </c>
      <c r="G296" s="6">
        <v>37</v>
      </c>
      <c r="H296" s="6">
        <v>58</v>
      </c>
      <c r="I296" s="6">
        <v>41</v>
      </c>
      <c r="J296" s="6">
        <v>57</v>
      </c>
      <c r="K296" s="6">
        <v>42</v>
      </c>
      <c r="L296" s="6">
        <v>31</v>
      </c>
      <c r="M296" s="6">
        <v>39</v>
      </c>
      <c r="N296" s="6">
        <v>33.5</v>
      </c>
      <c r="O296" s="6">
        <v>44</v>
      </c>
      <c r="P296" s="6">
        <v>40</v>
      </c>
      <c r="Q296" s="6">
        <v>70</v>
      </c>
      <c r="R296" s="6">
        <v>42.7</v>
      </c>
      <c r="S296" s="6">
        <v>31.7</v>
      </c>
      <c r="T296" s="6">
        <v>28.2</v>
      </c>
      <c r="U296" s="6">
        <v>35</v>
      </c>
      <c r="V296" s="6">
        <v>38.5</v>
      </c>
      <c r="W296" s="6">
        <v>34.799999999999997</v>
      </c>
      <c r="X296" s="6">
        <v>74</v>
      </c>
      <c r="Y296" s="6">
        <v>41.7</v>
      </c>
      <c r="Z296" s="6">
        <v>20</v>
      </c>
      <c r="AA296" s="14">
        <v>25</v>
      </c>
      <c r="AB296" s="6">
        <v>12</v>
      </c>
      <c r="AC296" s="6">
        <v>61.7</v>
      </c>
      <c r="AD296" s="6">
        <v>39.6</v>
      </c>
      <c r="AE296" s="6">
        <v>19.3</v>
      </c>
      <c r="AF296" s="6">
        <v>41</v>
      </c>
      <c r="AG296" s="6">
        <v>58.4</v>
      </c>
      <c r="AH296" s="6">
        <v>63</v>
      </c>
      <c r="AI296" s="6">
        <v>66.5</v>
      </c>
      <c r="AJ296" s="6">
        <v>55.7</v>
      </c>
      <c r="AK296" s="6">
        <v>34</v>
      </c>
      <c r="AL296" s="6">
        <v>44</v>
      </c>
    </row>
    <row r="297" spans="2:38" x14ac:dyDescent="0.2">
      <c r="B297" s="14">
        <v>2004</v>
      </c>
      <c r="C297" s="14" t="s">
        <v>296</v>
      </c>
      <c r="D297" s="258" t="s">
        <v>300</v>
      </c>
      <c r="E297" s="6">
        <v>44</v>
      </c>
      <c r="F297" s="6">
        <v>18.399999999999999</v>
      </c>
      <c r="G297" s="6">
        <v>36</v>
      </c>
      <c r="H297" s="6">
        <v>13</v>
      </c>
      <c r="I297" s="6">
        <v>67</v>
      </c>
      <c r="J297" s="6">
        <v>47</v>
      </c>
      <c r="K297" s="6">
        <v>53</v>
      </c>
      <c r="L297" s="6">
        <v>23</v>
      </c>
      <c r="M297" s="6">
        <v>62</v>
      </c>
      <c r="N297" s="6">
        <v>14</v>
      </c>
      <c r="O297" s="6">
        <v>40</v>
      </c>
      <c r="P297" s="6">
        <v>56</v>
      </c>
      <c r="Q297" s="6">
        <v>93</v>
      </c>
      <c r="R297" s="6">
        <v>62.1</v>
      </c>
      <c r="S297" s="6">
        <v>38.9</v>
      </c>
      <c r="T297" s="6">
        <v>20.6</v>
      </c>
      <c r="U297" s="6">
        <v>23.5</v>
      </c>
      <c r="V297" s="6">
        <v>14</v>
      </c>
      <c r="W297" s="6">
        <v>15.4</v>
      </c>
      <c r="X297" s="6">
        <v>44</v>
      </c>
      <c r="Y297" s="6">
        <v>75</v>
      </c>
      <c r="Z297" s="6">
        <v>46</v>
      </c>
      <c r="AA297" s="14">
        <v>19</v>
      </c>
      <c r="AB297" s="6">
        <v>23</v>
      </c>
      <c r="AC297" s="6">
        <v>16</v>
      </c>
      <c r="AD297" s="6">
        <v>51.3</v>
      </c>
      <c r="AE297" s="6">
        <v>13.6</v>
      </c>
      <c r="AF297" s="6">
        <v>7</v>
      </c>
      <c r="AG297" s="6">
        <v>24.9</v>
      </c>
      <c r="AH297" s="6">
        <v>17</v>
      </c>
      <c r="AI297" s="6">
        <v>8.5</v>
      </c>
      <c r="AJ297" s="6">
        <v>51.7</v>
      </c>
      <c r="AK297" s="6">
        <v>23</v>
      </c>
      <c r="AL297" s="6">
        <v>20</v>
      </c>
    </row>
    <row r="298" spans="2:38" x14ac:dyDescent="0.2">
      <c r="B298" s="14">
        <v>2004</v>
      </c>
      <c r="C298" s="14" t="s">
        <v>297</v>
      </c>
      <c r="D298" s="258" t="s">
        <v>300</v>
      </c>
      <c r="E298" s="6">
        <v>213</v>
      </c>
      <c r="F298" s="6">
        <v>109.2</v>
      </c>
      <c r="G298" s="6">
        <v>63</v>
      </c>
      <c r="H298" s="6">
        <v>110</v>
      </c>
      <c r="I298" s="6">
        <v>118</v>
      </c>
      <c r="J298" s="6">
        <v>131</v>
      </c>
      <c r="K298" s="6">
        <v>20</v>
      </c>
      <c r="L298" s="6">
        <v>43</v>
      </c>
      <c r="M298" s="6">
        <v>86</v>
      </c>
      <c r="N298" s="6">
        <v>64</v>
      </c>
      <c r="O298" s="6">
        <v>23</v>
      </c>
      <c r="P298" s="6">
        <v>120</v>
      </c>
      <c r="Q298" s="6">
        <v>114</v>
      </c>
      <c r="R298" s="6">
        <v>49</v>
      </c>
      <c r="S298" s="6">
        <v>143.31</v>
      </c>
      <c r="T298" s="6">
        <v>61.9</v>
      </c>
      <c r="U298" s="6">
        <v>61</v>
      </c>
      <c r="V298" s="6">
        <v>99</v>
      </c>
      <c r="W298" s="6">
        <v>52</v>
      </c>
      <c r="X298" s="6">
        <v>106</v>
      </c>
      <c r="Y298" s="6">
        <v>53.2</v>
      </c>
      <c r="Z298" s="6">
        <v>78</v>
      </c>
      <c r="AA298" s="14">
        <v>37</v>
      </c>
      <c r="AB298" s="258" t="s">
        <v>300</v>
      </c>
      <c r="AC298" s="6">
        <v>154.1</v>
      </c>
      <c r="AD298" s="6">
        <v>104.8</v>
      </c>
      <c r="AE298" s="6">
        <v>28.6</v>
      </c>
      <c r="AF298" s="6">
        <v>66</v>
      </c>
      <c r="AG298" s="6">
        <v>82.2</v>
      </c>
      <c r="AH298" s="6">
        <v>116</v>
      </c>
      <c r="AI298" s="6">
        <v>168.5</v>
      </c>
      <c r="AJ298" s="6">
        <v>126.2</v>
      </c>
      <c r="AK298" s="6">
        <v>33</v>
      </c>
      <c r="AL298" s="6">
        <v>77</v>
      </c>
    </row>
    <row r="299" spans="2:38" x14ac:dyDescent="0.2">
      <c r="B299" s="14">
        <v>2004</v>
      </c>
      <c r="C299" s="14" t="s">
        <v>298</v>
      </c>
      <c r="D299" s="258" t="s">
        <v>300</v>
      </c>
      <c r="E299" s="6">
        <v>60</v>
      </c>
      <c r="F299" s="6">
        <v>191.5</v>
      </c>
      <c r="G299" s="6">
        <v>130</v>
      </c>
      <c r="H299" s="6">
        <v>113</v>
      </c>
      <c r="I299" s="6">
        <v>201</v>
      </c>
      <c r="J299" s="6">
        <v>124</v>
      </c>
      <c r="K299" s="6">
        <v>143</v>
      </c>
      <c r="L299" s="6">
        <v>68</v>
      </c>
      <c r="M299" s="6">
        <v>119</v>
      </c>
      <c r="N299" s="6">
        <v>211.5</v>
      </c>
      <c r="O299" s="6">
        <v>110</v>
      </c>
      <c r="P299" s="6">
        <v>82</v>
      </c>
      <c r="Q299" s="6">
        <v>106</v>
      </c>
      <c r="R299" s="6">
        <v>82.6</v>
      </c>
      <c r="S299" s="6">
        <v>103.7</v>
      </c>
      <c r="T299" s="6">
        <v>175.9</v>
      </c>
      <c r="U299" s="6">
        <v>162</v>
      </c>
      <c r="V299" s="6">
        <v>73</v>
      </c>
      <c r="W299" s="6">
        <v>113.3</v>
      </c>
      <c r="X299" s="6">
        <v>196</v>
      </c>
      <c r="Y299" s="6">
        <v>114.7</v>
      </c>
      <c r="Z299" s="6">
        <v>162</v>
      </c>
      <c r="AA299" s="14">
        <v>90</v>
      </c>
      <c r="AB299" s="6">
        <v>23</v>
      </c>
      <c r="AC299" s="6">
        <v>116.2</v>
      </c>
      <c r="AD299" s="6">
        <v>125.4</v>
      </c>
      <c r="AE299" s="6">
        <v>109.4</v>
      </c>
      <c r="AF299" s="6">
        <v>98</v>
      </c>
      <c r="AG299" s="6">
        <v>77.3</v>
      </c>
      <c r="AH299" s="6">
        <v>110</v>
      </c>
      <c r="AI299" s="6">
        <v>89</v>
      </c>
      <c r="AJ299" s="6">
        <v>75.400000000000006</v>
      </c>
      <c r="AK299" s="6">
        <v>70</v>
      </c>
      <c r="AL299" s="6">
        <v>130</v>
      </c>
    </row>
    <row r="300" spans="2:38" x14ac:dyDescent="0.2">
      <c r="B300" s="14">
        <v>2004</v>
      </c>
      <c r="C300" s="14" t="s">
        <v>299</v>
      </c>
      <c r="D300" s="258" t="s">
        <v>300</v>
      </c>
      <c r="E300" s="258" t="s">
        <v>300</v>
      </c>
      <c r="F300" s="6">
        <v>192.4</v>
      </c>
      <c r="G300" s="6">
        <v>108</v>
      </c>
      <c r="H300" s="6">
        <v>194</v>
      </c>
      <c r="I300" s="6">
        <v>109</v>
      </c>
      <c r="J300" s="6">
        <v>131.5</v>
      </c>
      <c r="K300" s="6">
        <v>77</v>
      </c>
      <c r="L300" s="6">
        <v>98</v>
      </c>
      <c r="M300" s="6">
        <v>113</v>
      </c>
      <c r="N300" s="6">
        <v>96.5</v>
      </c>
      <c r="O300" s="6">
        <v>45.5</v>
      </c>
      <c r="P300" s="6">
        <v>135</v>
      </c>
      <c r="Q300" s="6">
        <v>133</v>
      </c>
      <c r="R300" s="6">
        <v>75</v>
      </c>
      <c r="S300" s="6">
        <v>108.9</v>
      </c>
      <c r="T300" s="6">
        <v>82.7</v>
      </c>
      <c r="U300" s="6">
        <v>138.5</v>
      </c>
      <c r="V300" s="6">
        <v>126</v>
      </c>
      <c r="W300" s="6">
        <v>122.4</v>
      </c>
      <c r="X300" s="6">
        <v>83.5</v>
      </c>
      <c r="Y300" s="6">
        <v>90.8</v>
      </c>
      <c r="Z300" s="6">
        <v>128</v>
      </c>
      <c r="AA300" s="14">
        <v>111</v>
      </c>
      <c r="AB300" s="6">
        <v>88</v>
      </c>
      <c r="AC300" s="6">
        <v>167.2</v>
      </c>
      <c r="AD300" s="6">
        <v>58.9</v>
      </c>
      <c r="AE300" s="6">
        <v>154</v>
      </c>
      <c r="AF300" s="6">
        <v>157</v>
      </c>
      <c r="AG300" s="6">
        <v>106.2</v>
      </c>
      <c r="AH300" s="6">
        <v>163</v>
      </c>
      <c r="AI300" s="6">
        <v>196</v>
      </c>
      <c r="AJ300" s="6">
        <v>82.4</v>
      </c>
      <c r="AK300" s="6">
        <v>109</v>
      </c>
      <c r="AL300" s="6">
        <v>184</v>
      </c>
    </row>
    <row r="301" spans="2:38" x14ac:dyDescent="0.2">
      <c r="B301" s="14">
        <v>2004</v>
      </c>
      <c r="C301" s="14" t="s">
        <v>301</v>
      </c>
      <c r="D301" s="258" t="s">
        <v>300</v>
      </c>
      <c r="E301" s="258" t="s">
        <v>300</v>
      </c>
      <c r="F301" s="6">
        <v>85.4</v>
      </c>
      <c r="G301" s="6">
        <v>76</v>
      </c>
      <c r="H301" s="6">
        <v>102</v>
      </c>
      <c r="I301" s="6">
        <v>34</v>
      </c>
      <c r="J301" s="6">
        <v>48</v>
      </c>
      <c r="K301" s="6">
        <v>93</v>
      </c>
      <c r="L301" s="6">
        <v>36</v>
      </c>
      <c r="M301" s="6">
        <v>23</v>
      </c>
      <c r="N301" s="6">
        <v>58</v>
      </c>
      <c r="O301" s="6">
        <v>47</v>
      </c>
      <c r="P301" s="6">
        <v>57</v>
      </c>
      <c r="Q301" s="6">
        <v>12</v>
      </c>
      <c r="R301" s="6">
        <v>69.2</v>
      </c>
      <c r="S301" s="6">
        <v>37.700000000000003</v>
      </c>
      <c r="T301" s="6">
        <v>136.5</v>
      </c>
      <c r="U301" s="6">
        <v>10.5</v>
      </c>
      <c r="V301" s="6">
        <v>54.5</v>
      </c>
      <c r="W301" s="6">
        <v>38.5</v>
      </c>
      <c r="X301" s="6">
        <v>8</v>
      </c>
      <c r="Y301" s="6">
        <v>42.7</v>
      </c>
      <c r="Z301" s="6">
        <v>25</v>
      </c>
      <c r="AA301" s="14">
        <v>91</v>
      </c>
      <c r="AB301" s="6">
        <v>34</v>
      </c>
      <c r="AC301" s="6">
        <v>111</v>
      </c>
      <c r="AD301" s="6">
        <v>103.9</v>
      </c>
      <c r="AE301" s="6">
        <v>107.5</v>
      </c>
      <c r="AF301" s="6">
        <v>114</v>
      </c>
      <c r="AG301" s="6">
        <v>66.5</v>
      </c>
      <c r="AH301" s="6">
        <v>163</v>
      </c>
      <c r="AI301" s="6">
        <v>56</v>
      </c>
      <c r="AJ301" s="6">
        <v>52.2</v>
      </c>
      <c r="AK301" s="6">
        <v>126</v>
      </c>
      <c r="AL301" s="6">
        <v>39</v>
      </c>
    </row>
    <row r="302" spans="2:38" x14ac:dyDescent="0.2">
      <c r="B302" s="14">
        <v>2005</v>
      </c>
      <c r="C302" s="14" t="s">
        <v>289</v>
      </c>
      <c r="D302" s="258" t="s">
        <v>300</v>
      </c>
      <c r="E302" s="6">
        <v>6</v>
      </c>
      <c r="F302" s="6">
        <v>81.3</v>
      </c>
      <c r="G302" s="6">
        <v>36</v>
      </c>
      <c r="H302" s="6">
        <v>68</v>
      </c>
      <c r="I302" s="6">
        <v>89</v>
      </c>
      <c r="J302" s="6">
        <v>74</v>
      </c>
      <c r="K302" s="6">
        <v>183</v>
      </c>
      <c r="L302" s="6">
        <v>175</v>
      </c>
      <c r="M302" s="6">
        <v>15</v>
      </c>
      <c r="N302" s="6">
        <v>153</v>
      </c>
      <c r="O302" s="6">
        <v>27</v>
      </c>
      <c r="P302" s="6">
        <v>32</v>
      </c>
      <c r="Q302" s="6">
        <v>13</v>
      </c>
      <c r="R302" s="6">
        <v>173.5</v>
      </c>
      <c r="S302" s="6">
        <v>14.4</v>
      </c>
      <c r="T302" s="6">
        <v>149.80000000000001</v>
      </c>
      <c r="U302" s="6">
        <v>148.5</v>
      </c>
      <c r="V302" s="6">
        <v>20</v>
      </c>
      <c r="W302" s="6">
        <v>227.5</v>
      </c>
      <c r="X302" s="6">
        <v>248</v>
      </c>
      <c r="Y302" s="6">
        <v>244.9</v>
      </c>
      <c r="Z302" s="6">
        <v>152</v>
      </c>
      <c r="AA302" s="14">
        <v>189</v>
      </c>
      <c r="AB302" s="6">
        <v>95</v>
      </c>
      <c r="AC302" s="6">
        <v>89.8</v>
      </c>
      <c r="AD302" s="6">
        <v>69.5</v>
      </c>
      <c r="AE302" s="6">
        <v>146.9</v>
      </c>
      <c r="AF302" s="6">
        <v>77</v>
      </c>
      <c r="AG302" s="6">
        <v>75.2</v>
      </c>
      <c r="AH302" s="6">
        <v>115</v>
      </c>
      <c r="AI302" s="6">
        <v>55</v>
      </c>
      <c r="AJ302" s="6">
        <v>17</v>
      </c>
      <c r="AK302" s="6">
        <v>95.5</v>
      </c>
      <c r="AL302" s="6">
        <v>33</v>
      </c>
    </row>
    <row r="303" spans="2:38" x14ac:dyDescent="0.2">
      <c r="B303" s="14">
        <v>2005</v>
      </c>
      <c r="C303" s="14" t="s">
        <v>290</v>
      </c>
      <c r="D303" s="258" t="s">
        <v>300</v>
      </c>
      <c r="E303" s="6">
        <v>62</v>
      </c>
      <c r="F303" s="6">
        <v>26.7</v>
      </c>
      <c r="G303" s="6">
        <v>143</v>
      </c>
      <c r="H303" s="6">
        <v>67</v>
      </c>
      <c r="I303" s="6">
        <v>70</v>
      </c>
      <c r="J303" s="6">
        <v>40</v>
      </c>
      <c r="K303" s="6">
        <v>10</v>
      </c>
      <c r="L303" s="6">
        <v>118</v>
      </c>
      <c r="M303" s="6">
        <v>60</v>
      </c>
      <c r="N303" s="6">
        <v>33.5</v>
      </c>
      <c r="O303" s="6">
        <v>21.5</v>
      </c>
      <c r="P303" s="6">
        <v>42</v>
      </c>
      <c r="Q303" s="6">
        <v>47</v>
      </c>
      <c r="R303" s="6">
        <v>29.3</v>
      </c>
      <c r="S303" s="6">
        <v>29.2</v>
      </c>
      <c r="T303" s="6">
        <v>52.9</v>
      </c>
      <c r="U303" s="6">
        <v>84</v>
      </c>
      <c r="V303" s="6">
        <v>18</v>
      </c>
      <c r="W303" s="6">
        <v>61.6</v>
      </c>
      <c r="X303" s="6">
        <v>55</v>
      </c>
      <c r="Y303" s="6">
        <v>47</v>
      </c>
      <c r="Z303" s="6">
        <v>56</v>
      </c>
      <c r="AA303" s="14">
        <v>41</v>
      </c>
      <c r="AB303" s="258" t="s">
        <v>300</v>
      </c>
      <c r="AC303" s="6">
        <v>5.7</v>
      </c>
      <c r="AD303" s="6">
        <v>32</v>
      </c>
      <c r="AE303" s="6">
        <v>49</v>
      </c>
      <c r="AF303" s="6">
        <v>26</v>
      </c>
      <c r="AG303" s="6">
        <v>29.8</v>
      </c>
      <c r="AH303" s="6">
        <v>104</v>
      </c>
      <c r="AI303" s="6">
        <v>11</v>
      </c>
      <c r="AJ303" s="6">
        <v>37.6</v>
      </c>
      <c r="AK303" s="6">
        <v>72</v>
      </c>
      <c r="AL303" s="6">
        <v>5</v>
      </c>
    </row>
    <row r="304" spans="2:38" x14ac:dyDescent="0.2">
      <c r="B304" s="14">
        <v>2005</v>
      </c>
      <c r="C304" s="14" t="s">
        <v>291</v>
      </c>
      <c r="D304" s="258" t="s">
        <v>300</v>
      </c>
      <c r="E304" s="6">
        <v>17</v>
      </c>
      <c r="F304" s="6">
        <v>82.3</v>
      </c>
      <c r="G304" s="6">
        <v>33</v>
      </c>
      <c r="H304" s="6">
        <v>90</v>
      </c>
      <c r="I304" s="6">
        <v>24</v>
      </c>
      <c r="J304" s="6">
        <v>94.5</v>
      </c>
      <c r="K304" s="6">
        <v>99</v>
      </c>
      <c r="L304" s="6">
        <v>93</v>
      </c>
      <c r="M304" s="6">
        <v>110</v>
      </c>
      <c r="N304" s="6">
        <v>75.5</v>
      </c>
      <c r="O304" s="6">
        <v>59</v>
      </c>
      <c r="P304" s="6">
        <v>67</v>
      </c>
      <c r="Q304" s="6">
        <v>97</v>
      </c>
      <c r="R304" s="6">
        <v>99.6</v>
      </c>
      <c r="S304" s="6">
        <v>56.6</v>
      </c>
      <c r="T304" s="6">
        <v>129.1</v>
      </c>
      <c r="U304" s="6">
        <v>67</v>
      </c>
      <c r="V304" s="6">
        <v>58.5</v>
      </c>
      <c r="W304" s="6">
        <v>136.4</v>
      </c>
      <c r="X304" s="6">
        <v>86</v>
      </c>
      <c r="Y304" s="6">
        <v>83.8</v>
      </c>
      <c r="Z304" s="6">
        <v>76</v>
      </c>
      <c r="AA304" s="14">
        <v>234</v>
      </c>
      <c r="AB304" s="6">
        <v>52</v>
      </c>
      <c r="AC304" s="6">
        <v>144.6</v>
      </c>
      <c r="AD304" s="6">
        <v>21.3</v>
      </c>
      <c r="AE304" s="6">
        <v>245.4</v>
      </c>
      <c r="AF304" s="6">
        <v>95</v>
      </c>
      <c r="AG304" s="6">
        <v>172.6</v>
      </c>
      <c r="AH304" s="6">
        <v>114</v>
      </c>
      <c r="AI304" s="6">
        <v>163.5</v>
      </c>
      <c r="AJ304" s="6">
        <v>115.7</v>
      </c>
      <c r="AK304" s="6">
        <v>175</v>
      </c>
      <c r="AL304" s="6">
        <v>64</v>
      </c>
    </row>
    <row r="305" spans="2:38" x14ac:dyDescent="0.2">
      <c r="B305" s="14">
        <v>2005</v>
      </c>
      <c r="C305" s="14" t="s">
        <v>292</v>
      </c>
      <c r="D305" s="258" t="s">
        <v>300</v>
      </c>
      <c r="E305" s="6">
        <v>241</v>
      </c>
      <c r="F305" s="6">
        <v>120.2</v>
      </c>
      <c r="G305" s="6">
        <v>249</v>
      </c>
      <c r="H305" s="6">
        <v>138</v>
      </c>
      <c r="I305" s="6">
        <v>292</v>
      </c>
      <c r="J305" s="6">
        <v>346</v>
      </c>
      <c r="K305" s="6">
        <v>149</v>
      </c>
      <c r="L305" s="6">
        <v>254</v>
      </c>
      <c r="M305" s="6">
        <v>454</v>
      </c>
      <c r="N305" s="6">
        <v>185</v>
      </c>
      <c r="O305" s="6">
        <v>247</v>
      </c>
      <c r="P305" s="6">
        <v>249</v>
      </c>
      <c r="Q305" s="6">
        <v>283</v>
      </c>
      <c r="R305" s="6">
        <v>148.69999999999999</v>
      </c>
      <c r="S305" s="6">
        <v>268</v>
      </c>
      <c r="T305" s="6">
        <v>196.9</v>
      </c>
      <c r="U305" s="6">
        <v>388</v>
      </c>
      <c r="V305" s="6">
        <v>198.5</v>
      </c>
      <c r="W305" s="6">
        <v>192.4</v>
      </c>
      <c r="X305" s="6">
        <v>323</v>
      </c>
      <c r="Y305" s="6">
        <v>180</v>
      </c>
      <c r="Z305" s="6">
        <v>263</v>
      </c>
      <c r="AA305" s="14">
        <v>245</v>
      </c>
      <c r="AB305" s="6">
        <v>82</v>
      </c>
      <c r="AC305" s="6">
        <v>102.4</v>
      </c>
      <c r="AD305" s="6">
        <v>345.1</v>
      </c>
      <c r="AE305" s="6">
        <v>173.2</v>
      </c>
      <c r="AF305" s="6">
        <v>85</v>
      </c>
      <c r="AG305" s="6">
        <v>174.4</v>
      </c>
      <c r="AH305" s="6">
        <v>93</v>
      </c>
      <c r="AI305" s="6">
        <v>167.5</v>
      </c>
      <c r="AJ305" s="6">
        <v>287.7</v>
      </c>
      <c r="AK305" s="6">
        <v>93.5</v>
      </c>
      <c r="AL305" s="6">
        <v>156</v>
      </c>
    </row>
    <row r="306" spans="2:38" x14ac:dyDescent="0.2">
      <c r="B306" s="14">
        <v>2005</v>
      </c>
      <c r="C306" s="14" t="s">
        <v>293</v>
      </c>
      <c r="D306" s="258" t="s">
        <v>300</v>
      </c>
      <c r="E306" s="6">
        <v>308</v>
      </c>
      <c r="F306" s="6">
        <v>169.4</v>
      </c>
      <c r="G306" s="6">
        <v>233</v>
      </c>
      <c r="H306" s="6">
        <v>180</v>
      </c>
      <c r="I306" s="6">
        <v>172</v>
      </c>
      <c r="J306" s="6">
        <v>337</v>
      </c>
      <c r="K306" s="6">
        <v>36.5</v>
      </c>
      <c r="L306" s="6">
        <v>425</v>
      </c>
      <c r="M306" s="6">
        <v>362</v>
      </c>
      <c r="N306" s="6">
        <v>169</v>
      </c>
      <c r="O306" s="6">
        <v>265</v>
      </c>
      <c r="P306" s="6">
        <v>299</v>
      </c>
      <c r="Q306" s="6">
        <v>313</v>
      </c>
      <c r="R306" s="6">
        <v>38.6</v>
      </c>
      <c r="S306" s="6">
        <v>285.60000000000002</v>
      </c>
      <c r="T306" s="6">
        <v>71.3</v>
      </c>
      <c r="U306" s="6">
        <v>158.5</v>
      </c>
      <c r="V306" s="6">
        <v>244</v>
      </c>
      <c r="W306" s="6">
        <v>221.4</v>
      </c>
      <c r="X306" s="6">
        <v>148</v>
      </c>
      <c r="Y306" s="6">
        <v>91.2</v>
      </c>
      <c r="Z306" s="6">
        <v>133</v>
      </c>
      <c r="AA306" s="14">
        <v>308</v>
      </c>
      <c r="AB306" s="6">
        <v>78</v>
      </c>
      <c r="AC306" s="6">
        <v>191.6</v>
      </c>
      <c r="AD306" s="6">
        <v>212.2</v>
      </c>
      <c r="AE306" s="6">
        <v>129.6</v>
      </c>
      <c r="AF306" s="6">
        <v>280</v>
      </c>
      <c r="AG306" s="6">
        <v>308.39999999999998</v>
      </c>
      <c r="AH306" s="6">
        <v>272</v>
      </c>
      <c r="AI306" s="6">
        <v>250.5</v>
      </c>
      <c r="AJ306" s="6">
        <v>314.2</v>
      </c>
      <c r="AK306" s="6">
        <v>397</v>
      </c>
      <c r="AL306" s="6">
        <v>229</v>
      </c>
    </row>
    <row r="307" spans="2:38" x14ac:dyDescent="0.2">
      <c r="B307" s="14">
        <v>2005</v>
      </c>
      <c r="C307" s="14" t="s">
        <v>294</v>
      </c>
      <c r="D307" s="258" t="s">
        <v>300</v>
      </c>
      <c r="E307" s="6">
        <v>150</v>
      </c>
      <c r="F307" s="6">
        <v>175.3</v>
      </c>
      <c r="G307" s="6">
        <v>298</v>
      </c>
      <c r="H307" s="6">
        <v>187</v>
      </c>
      <c r="I307" s="6">
        <v>203</v>
      </c>
      <c r="J307" s="6">
        <v>278</v>
      </c>
      <c r="K307" s="6">
        <v>80</v>
      </c>
      <c r="L307" s="6">
        <v>135</v>
      </c>
      <c r="M307" s="6">
        <v>252</v>
      </c>
      <c r="N307" s="6">
        <v>199</v>
      </c>
      <c r="O307" s="6">
        <v>216</v>
      </c>
      <c r="P307" s="6">
        <v>194</v>
      </c>
      <c r="Q307" s="6">
        <v>342</v>
      </c>
      <c r="R307" s="6">
        <v>110.2</v>
      </c>
      <c r="S307" s="6">
        <v>112.6</v>
      </c>
      <c r="T307" s="6">
        <v>150.69999999999999</v>
      </c>
      <c r="U307" s="6">
        <v>250</v>
      </c>
      <c r="V307" s="6">
        <v>69</v>
      </c>
      <c r="W307" s="6">
        <v>138.4</v>
      </c>
      <c r="X307" s="6">
        <v>169</v>
      </c>
      <c r="Y307" s="6">
        <v>133.69999999999999</v>
      </c>
      <c r="Z307" s="6">
        <v>197</v>
      </c>
      <c r="AA307" s="14">
        <v>123</v>
      </c>
      <c r="AB307" s="6">
        <v>117</v>
      </c>
      <c r="AC307" s="6">
        <v>109.1</v>
      </c>
      <c r="AD307" s="6">
        <v>312.7</v>
      </c>
      <c r="AE307" s="6">
        <v>226.4</v>
      </c>
      <c r="AF307" s="6">
        <v>276</v>
      </c>
      <c r="AG307" s="6">
        <v>261</v>
      </c>
      <c r="AH307" s="6">
        <v>319</v>
      </c>
      <c r="AI307" s="6">
        <v>177</v>
      </c>
      <c r="AJ307" s="6">
        <v>309.89999999999998</v>
      </c>
      <c r="AK307" s="6">
        <v>333.5</v>
      </c>
      <c r="AL307" s="6">
        <v>111</v>
      </c>
    </row>
    <row r="308" spans="2:38" x14ac:dyDescent="0.2">
      <c r="B308" s="14">
        <v>2005</v>
      </c>
      <c r="C308" s="14" t="s">
        <v>295</v>
      </c>
      <c r="D308" s="6">
        <v>66</v>
      </c>
      <c r="E308" s="6">
        <v>31</v>
      </c>
      <c r="F308" s="6">
        <v>23.5</v>
      </c>
      <c r="G308" s="6">
        <v>74</v>
      </c>
      <c r="H308" s="6">
        <v>27</v>
      </c>
      <c r="I308" s="6">
        <v>100</v>
      </c>
      <c r="J308" s="6">
        <v>30</v>
      </c>
      <c r="K308" s="6">
        <v>54</v>
      </c>
      <c r="L308" s="6">
        <v>15</v>
      </c>
      <c r="M308" s="6">
        <v>10</v>
      </c>
      <c r="N308" s="6">
        <v>56</v>
      </c>
      <c r="O308" s="6">
        <v>111</v>
      </c>
      <c r="P308" s="6">
        <v>18</v>
      </c>
      <c r="Q308" s="6">
        <v>41</v>
      </c>
      <c r="R308" s="6">
        <v>101.3</v>
      </c>
      <c r="S308" s="6">
        <v>31.9</v>
      </c>
      <c r="T308" s="6">
        <v>52.3</v>
      </c>
      <c r="U308" s="6">
        <v>38</v>
      </c>
      <c r="V308" s="6">
        <v>55</v>
      </c>
      <c r="W308" s="6">
        <v>49.6</v>
      </c>
      <c r="X308" s="6">
        <v>70</v>
      </c>
      <c r="Y308" s="6">
        <v>155</v>
      </c>
      <c r="Z308" s="6">
        <v>52</v>
      </c>
      <c r="AA308" s="14">
        <v>45</v>
      </c>
      <c r="AB308" s="258" t="s">
        <v>300</v>
      </c>
      <c r="AC308" s="6">
        <v>39.9</v>
      </c>
      <c r="AD308" s="6">
        <v>47.3</v>
      </c>
      <c r="AE308" s="6">
        <v>38.4</v>
      </c>
      <c r="AF308" s="6">
        <v>43</v>
      </c>
      <c r="AG308" s="6">
        <v>38.200000000000003</v>
      </c>
      <c r="AH308" s="6">
        <v>9</v>
      </c>
      <c r="AI308" s="6">
        <v>76</v>
      </c>
      <c r="AJ308" s="6">
        <v>43.5</v>
      </c>
      <c r="AK308" s="6">
        <v>26</v>
      </c>
      <c r="AL308" s="6">
        <v>57</v>
      </c>
    </row>
    <row r="309" spans="2:38" x14ac:dyDescent="0.2">
      <c r="B309" s="14">
        <v>2005</v>
      </c>
      <c r="C309" s="14" t="s">
        <v>296</v>
      </c>
      <c r="D309" s="6">
        <v>45</v>
      </c>
      <c r="E309" s="6">
        <v>52</v>
      </c>
      <c r="F309" s="6">
        <v>91.3</v>
      </c>
      <c r="G309" s="6">
        <v>32</v>
      </c>
      <c r="H309" s="6">
        <v>155</v>
      </c>
      <c r="I309" s="6">
        <v>21</v>
      </c>
      <c r="J309" s="6">
        <v>63</v>
      </c>
      <c r="K309" s="6">
        <v>124</v>
      </c>
      <c r="L309" s="6">
        <v>37</v>
      </c>
      <c r="M309" s="6">
        <v>93</v>
      </c>
      <c r="N309" s="6">
        <v>52.5</v>
      </c>
      <c r="O309" s="6">
        <v>30</v>
      </c>
      <c r="P309" s="6">
        <v>29</v>
      </c>
      <c r="Q309" s="6">
        <v>66</v>
      </c>
      <c r="R309" s="6">
        <v>125.5</v>
      </c>
      <c r="S309" s="6">
        <v>50.5</v>
      </c>
      <c r="T309" s="6">
        <v>90.3</v>
      </c>
      <c r="U309" s="6">
        <v>30</v>
      </c>
      <c r="V309" s="6">
        <v>65</v>
      </c>
      <c r="W309" s="6">
        <v>66.7</v>
      </c>
      <c r="X309" s="6">
        <v>35</v>
      </c>
      <c r="Y309" s="6">
        <v>63.9</v>
      </c>
      <c r="Z309" s="6">
        <v>39</v>
      </c>
      <c r="AA309" s="14">
        <v>63</v>
      </c>
      <c r="AB309" s="6">
        <v>7</v>
      </c>
      <c r="AC309" s="6">
        <v>168.4</v>
      </c>
      <c r="AD309" s="6">
        <v>44.8</v>
      </c>
      <c r="AE309" s="6">
        <v>87.5</v>
      </c>
      <c r="AF309" s="6">
        <v>94</v>
      </c>
      <c r="AG309" s="6">
        <v>64.7</v>
      </c>
      <c r="AH309" s="6">
        <v>112</v>
      </c>
      <c r="AI309" s="6">
        <v>85</v>
      </c>
      <c r="AJ309" s="6">
        <v>65.099999999999994</v>
      </c>
      <c r="AK309" s="6">
        <v>89</v>
      </c>
      <c r="AL309" s="6">
        <v>100</v>
      </c>
    </row>
    <row r="310" spans="2:38" x14ac:dyDescent="0.2">
      <c r="B310" s="14">
        <v>2005</v>
      </c>
      <c r="C310" s="14" t="s">
        <v>297</v>
      </c>
      <c r="D310" s="6">
        <v>85</v>
      </c>
      <c r="E310" s="6">
        <v>265</v>
      </c>
      <c r="F310" s="6">
        <v>112.8</v>
      </c>
      <c r="G310" s="6">
        <v>111</v>
      </c>
      <c r="H310" s="6">
        <v>86</v>
      </c>
      <c r="I310" s="6">
        <v>96</v>
      </c>
      <c r="J310" s="6">
        <v>154</v>
      </c>
      <c r="K310" s="6">
        <v>64</v>
      </c>
      <c r="L310" s="6">
        <v>156</v>
      </c>
      <c r="M310" s="6">
        <v>245</v>
      </c>
      <c r="N310" s="6">
        <v>63</v>
      </c>
      <c r="O310" s="6">
        <v>142</v>
      </c>
      <c r="P310" s="6">
        <v>206</v>
      </c>
      <c r="Q310" s="6">
        <v>193</v>
      </c>
      <c r="R310" s="6">
        <v>60.5</v>
      </c>
      <c r="S310" s="6">
        <v>261.39999999999998</v>
      </c>
      <c r="T310" s="6">
        <v>75.8</v>
      </c>
      <c r="U310" s="6">
        <v>105</v>
      </c>
      <c r="V310" s="6">
        <v>169</v>
      </c>
      <c r="W310" s="6">
        <v>117.3</v>
      </c>
      <c r="X310" s="6">
        <v>107.5</v>
      </c>
      <c r="Y310" s="6">
        <v>109.4</v>
      </c>
      <c r="Z310" s="6">
        <v>111</v>
      </c>
      <c r="AA310" s="14">
        <v>80</v>
      </c>
      <c r="AB310" s="6">
        <v>18</v>
      </c>
      <c r="AC310" s="6">
        <v>150.30000000000001</v>
      </c>
      <c r="AD310" s="6">
        <v>105.7</v>
      </c>
      <c r="AE310" s="6">
        <v>119.7</v>
      </c>
      <c r="AF310" s="6">
        <v>115</v>
      </c>
      <c r="AG310" s="6">
        <v>137.4</v>
      </c>
      <c r="AH310" s="6">
        <v>83</v>
      </c>
      <c r="AI310" s="6">
        <v>132</v>
      </c>
      <c r="AJ310" s="6">
        <v>148.6</v>
      </c>
      <c r="AK310" s="6">
        <v>96</v>
      </c>
      <c r="AL310" s="6">
        <v>199</v>
      </c>
    </row>
    <row r="311" spans="2:38" x14ac:dyDescent="0.2">
      <c r="B311" s="14">
        <v>2005</v>
      </c>
      <c r="C311" s="14" t="s">
        <v>298</v>
      </c>
      <c r="D311" s="6">
        <v>30</v>
      </c>
      <c r="E311" s="6">
        <v>105</v>
      </c>
      <c r="F311" s="6">
        <v>108.5</v>
      </c>
      <c r="G311" s="6">
        <v>61</v>
      </c>
      <c r="H311" s="6">
        <v>113</v>
      </c>
      <c r="I311" s="6">
        <v>51</v>
      </c>
      <c r="J311" s="6">
        <v>151</v>
      </c>
      <c r="K311" s="6">
        <v>40</v>
      </c>
      <c r="L311" s="6">
        <v>91</v>
      </c>
      <c r="M311" s="6">
        <v>101</v>
      </c>
      <c r="N311" s="6">
        <v>34.5</v>
      </c>
      <c r="O311" s="6">
        <v>99</v>
      </c>
      <c r="P311" s="6">
        <v>127</v>
      </c>
      <c r="Q311" s="6">
        <v>137</v>
      </c>
      <c r="R311" s="6">
        <v>43.5</v>
      </c>
      <c r="S311" s="6">
        <v>137.5</v>
      </c>
      <c r="T311" s="6">
        <v>52.9</v>
      </c>
      <c r="U311" s="6">
        <v>88</v>
      </c>
      <c r="V311" s="6">
        <v>125</v>
      </c>
      <c r="W311" s="6">
        <v>107.3</v>
      </c>
      <c r="X311" s="6">
        <v>74.5</v>
      </c>
      <c r="Y311" s="6">
        <v>60.9</v>
      </c>
      <c r="Z311" s="6">
        <v>50</v>
      </c>
      <c r="AA311" s="14">
        <v>85</v>
      </c>
      <c r="AB311" s="6">
        <v>87</v>
      </c>
      <c r="AC311" s="6">
        <v>186.4</v>
      </c>
      <c r="AD311" s="6">
        <v>68.400000000000006</v>
      </c>
      <c r="AE311" s="6">
        <v>85.6</v>
      </c>
      <c r="AF311" s="6">
        <v>75</v>
      </c>
      <c r="AG311" s="6">
        <v>151.6</v>
      </c>
      <c r="AH311" s="6">
        <v>101</v>
      </c>
      <c r="AI311" s="6">
        <v>124</v>
      </c>
      <c r="AJ311" s="6">
        <v>156.4</v>
      </c>
      <c r="AK311" s="6">
        <v>105</v>
      </c>
      <c r="AL311" s="6">
        <v>136</v>
      </c>
    </row>
    <row r="312" spans="2:38" x14ac:dyDescent="0.2">
      <c r="B312" s="14">
        <v>2005</v>
      </c>
      <c r="C312" s="14" t="s">
        <v>299</v>
      </c>
      <c r="D312" s="6">
        <v>40</v>
      </c>
      <c r="E312" s="6">
        <v>27</v>
      </c>
      <c r="F312" s="6">
        <v>109.8</v>
      </c>
      <c r="G312" s="6">
        <v>33</v>
      </c>
      <c r="H312" s="6">
        <v>95</v>
      </c>
      <c r="I312" s="6">
        <v>30</v>
      </c>
      <c r="J312" s="6">
        <v>20</v>
      </c>
      <c r="K312" s="6">
        <v>45</v>
      </c>
      <c r="L312" s="6">
        <v>57</v>
      </c>
      <c r="M312" s="6">
        <v>52</v>
      </c>
      <c r="N312" s="6">
        <v>47.5</v>
      </c>
      <c r="O312" s="6">
        <v>14</v>
      </c>
      <c r="P312" s="6">
        <v>19</v>
      </c>
      <c r="Q312" s="6">
        <v>23</v>
      </c>
      <c r="R312" s="6">
        <v>60.2</v>
      </c>
      <c r="S312" s="6">
        <v>16.600000000000001</v>
      </c>
      <c r="T312" s="6">
        <v>67</v>
      </c>
      <c r="U312" s="6">
        <v>53.5</v>
      </c>
      <c r="V312" s="6">
        <v>16</v>
      </c>
      <c r="W312" s="6">
        <v>57.2</v>
      </c>
      <c r="X312" s="6">
        <v>39</v>
      </c>
      <c r="Y312" s="6">
        <v>44.7</v>
      </c>
      <c r="Z312" s="6">
        <v>25</v>
      </c>
      <c r="AA312" s="14">
        <v>45</v>
      </c>
      <c r="AB312" s="258" t="s">
        <v>300</v>
      </c>
      <c r="AC312" s="6">
        <v>73.900000000000006</v>
      </c>
      <c r="AD312" s="6">
        <v>23.2</v>
      </c>
      <c r="AE312" s="6">
        <v>51.4</v>
      </c>
      <c r="AF312" s="6">
        <v>72</v>
      </c>
      <c r="AG312" s="6">
        <v>28.2</v>
      </c>
      <c r="AH312" s="6">
        <v>101</v>
      </c>
      <c r="AI312" s="6">
        <v>28</v>
      </c>
      <c r="AJ312" s="6">
        <v>22.6</v>
      </c>
      <c r="AK312" s="6">
        <v>33</v>
      </c>
      <c r="AL312" s="6">
        <v>30</v>
      </c>
    </row>
    <row r="313" spans="2:38" x14ac:dyDescent="0.2">
      <c r="B313" s="14">
        <v>2005</v>
      </c>
      <c r="C313" s="14" t="s">
        <v>301</v>
      </c>
      <c r="D313" s="6">
        <v>28</v>
      </c>
      <c r="E313" s="6">
        <v>51</v>
      </c>
      <c r="F313" s="6">
        <v>145</v>
      </c>
      <c r="G313" s="6">
        <v>50</v>
      </c>
      <c r="H313" s="6">
        <v>228</v>
      </c>
      <c r="I313" s="6">
        <v>63</v>
      </c>
      <c r="J313" s="6">
        <v>115</v>
      </c>
      <c r="K313" s="6">
        <v>16</v>
      </c>
      <c r="L313" s="6">
        <v>46</v>
      </c>
      <c r="M313" s="6">
        <v>51</v>
      </c>
      <c r="N313" s="6">
        <v>26</v>
      </c>
      <c r="O313" s="6">
        <v>22</v>
      </c>
      <c r="P313" s="6">
        <v>86</v>
      </c>
      <c r="Q313" s="6">
        <v>86</v>
      </c>
      <c r="R313" s="6">
        <v>35.799999999999997</v>
      </c>
      <c r="S313" s="6">
        <v>75.3</v>
      </c>
      <c r="T313" s="6">
        <v>40.799999999999997</v>
      </c>
      <c r="U313" s="6">
        <v>27</v>
      </c>
      <c r="V313" s="6">
        <v>32</v>
      </c>
      <c r="W313" s="6">
        <v>96</v>
      </c>
      <c r="X313" s="6">
        <v>42</v>
      </c>
      <c r="Y313" s="6">
        <v>59.6</v>
      </c>
      <c r="Z313" s="6">
        <v>38</v>
      </c>
      <c r="AA313" s="14">
        <v>31</v>
      </c>
      <c r="AB313" s="6">
        <v>36</v>
      </c>
      <c r="AC313" s="6">
        <v>42.7</v>
      </c>
      <c r="AD313" s="6">
        <v>33.700000000000003</v>
      </c>
      <c r="AE313" s="6">
        <v>43.8</v>
      </c>
      <c r="AF313" s="6">
        <v>128</v>
      </c>
      <c r="AG313" s="6">
        <v>70.900000000000006</v>
      </c>
      <c r="AH313" s="6">
        <v>297</v>
      </c>
      <c r="AI313" s="6">
        <v>77</v>
      </c>
      <c r="AJ313" s="6">
        <v>80.599999999999994</v>
      </c>
      <c r="AK313" s="6">
        <v>85</v>
      </c>
      <c r="AL313" s="6">
        <v>107</v>
      </c>
    </row>
    <row r="314" spans="2:38" x14ac:dyDescent="0.2">
      <c r="B314" s="14">
        <v>2006</v>
      </c>
      <c r="C314" s="14" t="s">
        <v>289</v>
      </c>
      <c r="D314" s="6">
        <v>141</v>
      </c>
      <c r="E314" s="258" t="s">
        <v>300</v>
      </c>
      <c r="F314" s="6">
        <v>54.6</v>
      </c>
      <c r="G314" s="6">
        <v>131</v>
      </c>
      <c r="H314" s="6">
        <v>26</v>
      </c>
      <c r="I314" s="6">
        <v>293</v>
      </c>
      <c r="J314" s="6">
        <v>225.5</v>
      </c>
      <c r="K314" s="6">
        <v>209</v>
      </c>
      <c r="L314" s="6">
        <v>79</v>
      </c>
      <c r="M314" s="6">
        <v>254</v>
      </c>
      <c r="N314" s="6">
        <v>304</v>
      </c>
      <c r="O314" s="6">
        <v>82</v>
      </c>
      <c r="P314" s="6">
        <v>149</v>
      </c>
      <c r="Q314" s="6">
        <v>175</v>
      </c>
      <c r="R314" s="6">
        <v>255</v>
      </c>
      <c r="S314" s="6">
        <v>149.4</v>
      </c>
      <c r="T314" s="6">
        <v>272.5</v>
      </c>
      <c r="U314" s="6">
        <v>179.5</v>
      </c>
      <c r="V314" s="6">
        <v>111</v>
      </c>
      <c r="W314" s="6">
        <v>116</v>
      </c>
      <c r="X314" s="6">
        <v>186.5</v>
      </c>
      <c r="Y314" s="6">
        <v>161.6</v>
      </c>
      <c r="Z314" s="6">
        <v>238</v>
      </c>
      <c r="AA314" s="14">
        <v>109</v>
      </c>
      <c r="AB314" s="6">
        <v>136</v>
      </c>
      <c r="AC314" s="6">
        <v>67.8</v>
      </c>
      <c r="AD314" s="6">
        <v>98.5</v>
      </c>
      <c r="AE314" s="6">
        <v>127.2</v>
      </c>
      <c r="AF314" s="6">
        <v>130</v>
      </c>
      <c r="AG314" s="6">
        <v>165.8</v>
      </c>
      <c r="AH314" s="6">
        <v>24</v>
      </c>
      <c r="AI314" s="6">
        <v>35</v>
      </c>
      <c r="AJ314" s="6">
        <v>108.6</v>
      </c>
      <c r="AK314" s="6">
        <v>74</v>
      </c>
      <c r="AL314" s="6">
        <v>113</v>
      </c>
    </row>
    <row r="315" spans="2:38" x14ac:dyDescent="0.2">
      <c r="B315" s="14">
        <v>2006</v>
      </c>
      <c r="C315" s="14" t="s">
        <v>290</v>
      </c>
      <c r="D315" s="6">
        <v>46</v>
      </c>
      <c r="E315" s="6">
        <v>205</v>
      </c>
      <c r="F315" s="6">
        <v>9.1999999999999993</v>
      </c>
      <c r="G315" s="6">
        <v>52</v>
      </c>
      <c r="H315" s="6">
        <v>15</v>
      </c>
      <c r="I315" s="6">
        <v>18</v>
      </c>
      <c r="J315" s="6">
        <v>111.5</v>
      </c>
      <c r="K315" s="6">
        <v>124</v>
      </c>
      <c r="L315" s="6">
        <v>51</v>
      </c>
      <c r="M315" s="6">
        <v>147</v>
      </c>
      <c r="N315" s="6">
        <v>39</v>
      </c>
      <c r="O315" s="6">
        <v>191</v>
      </c>
      <c r="P315" s="6">
        <v>208</v>
      </c>
      <c r="Q315" s="6">
        <v>48</v>
      </c>
      <c r="R315" s="6">
        <v>89.7</v>
      </c>
      <c r="S315" s="6">
        <v>104.2</v>
      </c>
      <c r="T315" s="6">
        <v>65.3</v>
      </c>
      <c r="U315" s="6">
        <v>56</v>
      </c>
      <c r="V315" s="6">
        <v>19</v>
      </c>
      <c r="W315" s="6">
        <v>69.900000000000006</v>
      </c>
      <c r="X315" s="6">
        <v>29</v>
      </c>
      <c r="Y315" s="6">
        <v>57.2</v>
      </c>
      <c r="Z315" s="6">
        <v>43</v>
      </c>
      <c r="AA315" s="14">
        <v>57</v>
      </c>
      <c r="AB315" s="258" t="s">
        <v>300</v>
      </c>
      <c r="AC315" s="6">
        <v>13.3</v>
      </c>
      <c r="AD315" s="6">
        <v>132.4</v>
      </c>
      <c r="AE315" s="6">
        <v>68.7</v>
      </c>
      <c r="AF315" s="6">
        <v>27</v>
      </c>
      <c r="AG315" s="6">
        <v>13.2</v>
      </c>
      <c r="AH315" s="6">
        <v>39</v>
      </c>
      <c r="AI315" s="6">
        <v>11.5</v>
      </c>
      <c r="AJ315" s="6">
        <v>75.400000000000006</v>
      </c>
      <c r="AK315" s="6">
        <v>63</v>
      </c>
      <c r="AL315" s="6">
        <v>45</v>
      </c>
    </row>
    <row r="316" spans="2:38" x14ac:dyDescent="0.2">
      <c r="B316" s="14">
        <v>2006</v>
      </c>
      <c r="C316" s="14" t="s">
        <v>291</v>
      </c>
      <c r="D316" s="6">
        <v>97</v>
      </c>
      <c r="E316" s="6">
        <v>43</v>
      </c>
      <c r="F316" s="6">
        <v>68.3</v>
      </c>
      <c r="G316" s="6">
        <v>158</v>
      </c>
      <c r="H316" s="6">
        <v>74</v>
      </c>
      <c r="I316" s="6">
        <v>130</v>
      </c>
      <c r="J316" s="6">
        <v>46.5</v>
      </c>
      <c r="K316" s="6">
        <v>154</v>
      </c>
      <c r="L316" s="6">
        <v>72.5</v>
      </c>
      <c r="M316" s="6">
        <v>71</v>
      </c>
      <c r="N316" s="6">
        <v>150</v>
      </c>
      <c r="O316" s="6">
        <v>116</v>
      </c>
      <c r="P316" s="6">
        <v>65</v>
      </c>
      <c r="Q316" s="6">
        <v>87</v>
      </c>
      <c r="R316" s="6">
        <v>176.4</v>
      </c>
      <c r="S316" s="6">
        <v>119.8</v>
      </c>
      <c r="T316" s="6">
        <v>155.69999999999999</v>
      </c>
      <c r="U316" s="6">
        <v>59</v>
      </c>
      <c r="V316" s="6">
        <v>76</v>
      </c>
      <c r="W316" s="6">
        <v>63.4</v>
      </c>
      <c r="X316" s="6">
        <v>165</v>
      </c>
      <c r="Y316" s="6">
        <v>141.69999999999999</v>
      </c>
      <c r="Z316" s="6">
        <v>122</v>
      </c>
      <c r="AA316" s="14">
        <v>35</v>
      </c>
      <c r="AB316" s="6">
        <v>5</v>
      </c>
      <c r="AC316" s="6">
        <v>103.6</v>
      </c>
      <c r="AD316" s="6">
        <v>379</v>
      </c>
      <c r="AE316" s="6">
        <v>47.6</v>
      </c>
      <c r="AF316" s="6">
        <v>13</v>
      </c>
      <c r="AG316" s="6">
        <v>76.3</v>
      </c>
      <c r="AH316" s="6">
        <v>57</v>
      </c>
      <c r="AI316" s="6">
        <v>63</v>
      </c>
      <c r="AJ316" s="6">
        <v>48.6</v>
      </c>
      <c r="AK316" s="6">
        <v>30</v>
      </c>
      <c r="AL316" s="6">
        <v>158</v>
      </c>
    </row>
    <row r="317" spans="2:38" x14ac:dyDescent="0.2">
      <c r="B317" s="14">
        <v>2006</v>
      </c>
      <c r="C317" s="14" t="s">
        <v>292</v>
      </c>
      <c r="D317" s="6">
        <v>49</v>
      </c>
      <c r="E317" s="6">
        <v>57</v>
      </c>
      <c r="F317" s="6">
        <v>125.8</v>
      </c>
      <c r="G317" s="6">
        <v>74</v>
      </c>
      <c r="H317" s="6">
        <v>101</v>
      </c>
      <c r="I317" s="6">
        <v>36</v>
      </c>
      <c r="J317" s="6">
        <v>41</v>
      </c>
      <c r="K317" s="6">
        <v>24</v>
      </c>
      <c r="L317" s="6">
        <v>81</v>
      </c>
      <c r="M317" s="6">
        <v>25</v>
      </c>
      <c r="N317" s="6">
        <v>45</v>
      </c>
      <c r="O317" s="6">
        <v>87</v>
      </c>
      <c r="P317" s="6">
        <v>66</v>
      </c>
      <c r="Q317" s="6">
        <v>62</v>
      </c>
      <c r="R317" s="6">
        <v>36.700000000000003</v>
      </c>
      <c r="S317" s="6">
        <v>65.400000000000006</v>
      </c>
      <c r="T317" s="6">
        <v>49.7</v>
      </c>
      <c r="U317" s="6">
        <v>44</v>
      </c>
      <c r="V317" s="6">
        <v>81</v>
      </c>
      <c r="W317" s="6">
        <v>70.7</v>
      </c>
      <c r="X317" s="6">
        <v>53</v>
      </c>
      <c r="Y317" s="6">
        <v>37.299999999999997</v>
      </c>
      <c r="Z317" s="6">
        <v>50</v>
      </c>
      <c r="AA317" s="14">
        <v>36</v>
      </c>
      <c r="AB317" s="6">
        <v>55</v>
      </c>
      <c r="AC317" s="6">
        <v>97.6</v>
      </c>
      <c r="AD317" s="6">
        <v>60.5</v>
      </c>
      <c r="AE317" s="6">
        <v>70.900000000000006</v>
      </c>
      <c r="AF317" s="6">
        <v>120</v>
      </c>
      <c r="AG317" s="6">
        <v>64.5</v>
      </c>
      <c r="AH317" s="6">
        <v>115</v>
      </c>
      <c r="AI317" s="6">
        <v>64</v>
      </c>
      <c r="AJ317" s="6">
        <v>87.9</v>
      </c>
      <c r="AK317" s="6">
        <v>51</v>
      </c>
      <c r="AL317" s="6">
        <v>47</v>
      </c>
    </row>
    <row r="318" spans="2:38" x14ac:dyDescent="0.2">
      <c r="B318" s="14">
        <v>2006</v>
      </c>
      <c r="C318" s="14" t="s">
        <v>293</v>
      </c>
      <c r="D318" s="6">
        <v>27</v>
      </c>
      <c r="E318" s="6">
        <v>61</v>
      </c>
      <c r="F318" s="6">
        <v>82</v>
      </c>
      <c r="G318" s="6">
        <v>25</v>
      </c>
      <c r="H318" s="6">
        <v>81</v>
      </c>
      <c r="I318" s="6">
        <v>17</v>
      </c>
      <c r="J318" s="6">
        <v>38.5</v>
      </c>
      <c r="K318" s="6">
        <v>12</v>
      </c>
      <c r="L318" s="6">
        <v>18</v>
      </c>
      <c r="M318" s="6">
        <v>26</v>
      </c>
      <c r="N318" s="6">
        <v>13</v>
      </c>
      <c r="O318" s="6">
        <v>24</v>
      </c>
      <c r="P318" s="6">
        <v>34</v>
      </c>
      <c r="Q318" s="6">
        <v>33</v>
      </c>
      <c r="R318" s="6">
        <v>12.4</v>
      </c>
      <c r="S318" s="6">
        <v>45.6</v>
      </c>
      <c r="T318" s="6">
        <v>4.4000000000000004</v>
      </c>
      <c r="U318" s="6">
        <v>15.5</v>
      </c>
      <c r="V318" s="6">
        <v>54</v>
      </c>
      <c r="W318" s="6">
        <v>29</v>
      </c>
      <c r="X318" s="6">
        <v>12</v>
      </c>
      <c r="Y318" s="6">
        <v>13.3</v>
      </c>
      <c r="Z318" s="6">
        <v>7</v>
      </c>
      <c r="AA318" s="14">
        <v>35</v>
      </c>
      <c r="AB318" s="6">
        <v>28</v>
      </c>
      <c r="AC318" s="6">
        <v>97.1</v>
      </c>
      <c r="AD318" s="6">
        <v>21.5</v>
      </c>
      <c r="AE318" s="6">
        <v>30.8</v>
      </c>
      <c r="AF318" s="6">
        <v>73</v>
      </c>
      <c r="AG318" s="6">
        <v>70.7</v>
      </c>
      <c r="AH318" s="6">
        <v>37</v>
      </c>
      <c r="AI318" s="6">
        <v>72</v>
      </c>
      <c r="AJ318" s="6">
        <v>25.9</v>
      </c>
      <c r="AK318" s="6">
        <v>48</v>
      </c>
      <c r="AL318" s="6">
        <v>59</v>
      </c>
    </row>
    <row r="319" spans="2:38" x14ac:dyDescent="0.2">
      <c r="B319" s="14">
        <v>2006</v>
      </c>
      <c r="C319" s="14" t="s">
        <v>294</v>
      </c>
      <c r="D319" s="6">
        <v>198</v>
      </c>
      <c r="E319" s="6">
        <v>96</v>
      </c>
      <c r="F319" s="6">
        <v>139.4</v>
      </c>
      <c r="G319" s="6">
        <v>204</v>
      </c>
      <c r="H319" s="6">
        <v>146</v>
      </c>
      <c r="I319" s="6">
        <v>186</v>
      </c>
      <c r="J319" s="6">
        <v>215</v>
      </c>
      <c r="K319" s="6">
        <v>264</v>
      </c>
      <c r="L319" s="6">
        <v>196</v>
      </c>
      <c r="M319" s="6">
        <v>162</v>
      </c>
      <c r="N319" s="6">
        <v>249</v>
      </c>
      <c r="O319" s="6">
        <v>172</v>
      </c>
      <c r="P319" s="6">
        <v>156</v>
      </c>
      <c r="Q319" s="6">
        <v>243</v>
      </c>
      <c r="R319" s="6">
        <v>225.5</v>
      </c>
      <c r="S319" s="6">
        <v>134.30000000000001</v>
      </c>
      <c r="T319" s="6">
        <v>278.60000000000002</v>
      </c>
      <c r="U319" s="6">
        <v>202.5</v>
      </c>
      <c r="V319" s="6">
        <v>137</v>
      </c>
      <c r="W319" s="6">
        <v>170.8</v>
      </c>
      <c r="X319" s="6">
        <v>272</v>
      </c>
      <c r="Y319" s="6">
        <v>192.5</v>
      </c>
      <c r="Z319" s="6">
        <v>254</v>
      </c>
      <c r="AA319" s="14">
        <v>206</v>
      </c>
      <c r="AB319" s="6">
        <v>65</v>
      </c>
      <c r="AC319" s="6">
        <v>144.5</v>
      </c>
      <c r="AD319" s="6">
        <v>164.8</v>
      </c>
      <c r="AE319" s="6">
        <v>129.19999999999999</v>
      </c>
      <c r="AF319" s="6">
        <v>255</v>
      </c>
      <c r="AG319" s="6">
        <v>179.7</v>
      </c>
      <c r="AH319" s="6">
        <v>222</v>
      </c>
      <c r="AI319" s="6">
        <v>192.5</v>
      </c>
      <c r="AJ319" s="6">
        <v>193</v>
      </c>
      <c r="AK319" s="6">
        <v>203</v>
      </c>
      <c r="AL319" s="6">
        <v>124</v>
      </c>
    </row>
    <row r="320" spans="2:38" x14ac:dyDescent="0.2">
      <c r="B320" s="14">
        <v>2006</v>
      </c>
      <c r="C320" s="14" t="s">
        <v>295</v>
      </c>
      <c r="D320" s="6">
        <v>71</v>
      </c>
      <c r="E320" s="6">
        <v>34</v>
      </c>
      <c r="F320" s="6">
        <v>52.6</v>
      </c>
      <c r="G320" s="6">
        <v>52</v>
      </c>
      <c r="H320" s="6">
        <v>54</v>
      </c>
      <c r="I320" s="6">
        <v>60</v>
      </c>
      <c r="J320" s="6">
        <v>69.5</v>
      </c>
      <c r="K320" s="6">
        <v>28</v>
      </c>
      <c r="L320" s="6">
        <v>33</v>
      </c>
      <c r="M320" s="6">
        <v>27</v>
      </c>
      <c r="N320" s="6">
        <v>56</v>
      </c>
      <c r="O320" s="6">
        <v>124</v>
      </c>
      <c r="P320" s="6">
        <v>29</v>
      </c>
      <c r="Q320" s="6">
        <v>86</v>
      </c>
      <c r="R320" s="6">
        <v>70.3</v>
      </c>
      <c r="S320" s="6">
        <v>29.9</v>
      </c>
      <c r="T320" s="6">
        <v>33.1</v>
      </c>
      <c r="U320" s="6">
        <v>45.5</v>
      </c>
      <c r="V320" s="6">
        <v>33</v>
      </c>
      <c r="W320" s="6">
        <v>29.9</v>
      </c>
      <c r="X320" s="6">
        <v>66</v>
      </c>
      <c r="Y320" s="6">
        <v>73.8</v>
      </c>
      <c r="Z320" s="6">
        <v>48</v>
      </c>
      <c r="AA320" s="258" t="s">
        <v>300</v>
      </c>
      <c r="AB320" s="6">
        <v>5</v>
      </c>
      <c r="AC320" s="6">
        <v>53.2</v>
      </c>
      <c r="AD320" s="6">
        <v>70.900000000000006</v>
      </c>
      <c r="AE320" s="6">
        <v>7.1</v>
      </c>
      <c r="AF320" s="6">
        <v>17</v>
      </c>
      <c r="AG320" s="6">
        <v>20</v>
      </c>
      <c r="AH320" s="6">
        <v>30</v>
      </c>
      <c r="AI320" s="6">
        <v>19.5</v>
      </c>
      <c r="AJ320" s="6">
        <v>63.7</v>
      </c>
      <c r="AK320" s="6">
        <v>25</v>
      </c>
      <c r="AL320" s="6">
        <v>24</v>
      </c>
    </row>
    <row r="321" spans="2:38" x14ac:dyDescent="0.2">
      <c r="B321" s="14">
        <v>2006</v>
      </c>
      <c r="C321" s="14" t="s">
        <v>296</v>
      </c>
      <c r="D321" s="6">
        <v>135</v>
      </c>
      <c r="E321" s="6">
        <v>122</v>
      </c>
      <c r="F321" s="6">
        <v>26.8</v>
      </c>
      <c r="G321" s="6">
        <v>163</v>
      </c>
      <c r="H321" s="6">
        <v>28</v>
      </c>
      <c r="I321" s="6">
        <v>89</v>
      </c>
      <c r="J321" s="6">
        <v>207</v>
      </c>
      <c r="K321" s="6">
        <v>24</v>
      </c>
      <c r="L321" s="6">
        <v>58</v>
      </c>
      <c r="M321" s="6">
        <v>142</v>
      </c>
      <c r="N321" s="6">
        <v>40</v>
      </c>
      <c r="O321" s="6">
        <v>162</v>
      </c>
      <c r="P321" s="6">
        <v>118</v>
      </c>
      <c r="Q321" s="6">
        <v>230</v>
      </c>
      <c r="R321" s="6">
        <v>35.1</v>
      </c>
      <c r="S321" s="6">
        <v>147.19999999999999</v>
      </c>
      <c r="T321" s="6">
        <v>39.6</v>
      </c>
      <c r="U321" s="6">
        <v>113.5</v>
      </c>
      <c r="V321" s="6">
        <v>60.5</v>
      </c>
      <c r="W321" s="6">
        <v>27.9</v>
      </c>
      <c r="X321" s="6">
        <v>69</v>
      </c>
      <c r="Y321" s="6">
        <v>40.1</v>
      </c>
      <c r="Z321" s="6">
        <v>90</v>
      </c>
      <c r="AA321" s="14">
        <v>82</v>
      </c>
      <c r="AB321" s="6">
        <v>58</v>
      </c>
      <c r="AC321" s="6">
        <v>53.6</v>
      </c>
      <c r="AD321" s="6">
        <v>142.1</v>
      </c>
      <c r="AE321" s="6">
        <v>46.7</v>
      </c>
      <c r="AF321" s="6">
        <v>24</v>
      </c>
      <c r="AG321" s="6">
        <v>54.9</v>
      </c>
      <c r="AH321" s="6">
        <v>29</v>
      </c>
      <c r="AI321" s="6">
        <v>25.5</v>
      </c>
      <c r="AJ321" s="6">
        <v>274</v>
      </c>
      <c r="AK321" s="6">
        <v>22</v>
      </c>
      <c r="AL321" s="6">
        <v>85</v>
      </c>
    </row>
    <row r="322" spans="2:38" x14ac:dyDescent="0.2">
      <c r="B322" s="14">
        <v>2006</v>
      </c>
      <c r="C322" s="14" t="s">
        <v>297</v>
      </c>
      <c r="D322" s="6">
        <v>43</v>
      </c>
      <c r="E322" s="6">
        <v>79</v>
      </c>
      <c r="F322" s="6">
        <v>52.3</v>
      </c>
      <c r="G322" s="6">
        <v>44</v>
      </c>
      <c r="H322" s="6">
        <v>76</v>
      </c>
      <c r="I322" s="6">
        <v>48</v>
      </c>
      <c r="J322" s="6">
        <v>15</v>
      </c>
      <c r="K322" s="6">
        <v>31</v>
      </c>
      <c r="L322" s="6">
        <v>48</v>
      </c>
      <c r="M322" s="6">
        <v>25</v>
      </c>
      <c r="N322" s="6">
        <v>38</v>
      </c>
      <c r="O322" s="6">
        <v>23</v>
      </c>
      <c r="P322" s="6">
        <v>54</v>
      </c>
      <c r="Q322" s="6">
        <v>46</v>
      </c>
      <c r="R322" s="6">
        <v>22.9</v>
      </c>
      <c r="S322" s="6">
        <v>71.900000000000006</v>
      </c>
      <c r="T322" s="6">
        <v>26.3</v>
      </c>
      <c r="U322" s="6">
        <v>55</v>
      </c>
      <c r="V322" s="6">
        <v>47</v>
      </c>
      <c r="W322" s="6">
        <v>36.700000000000003</v>
      </c>
      <c r="X322" s="6">
        <v>62</v>
      </c>
      <c r="Y322" s="6">
        <v>35.6</v>
      </c>
      <c r="Z322" s="6">
        <v>57</v>
      </c>
      <c r="AA322" s="14">
        <v>41</v>
      </c>
      <c r="AB322" s="258" t="s">
        <v>300</v>
      </c>
      <c r="AC322" s="6">
        <v>96.9</v>
      </c>
      <c r="AD322" s="6">
        <v>36.299999999999997</v>
      </c>
      <c r="AE322" s="6">
        <v>24.2</v>
      </c>
      <c r="AF322" s="6">
        <v>37</v>
      </c>
      <c r="AG322" s="6">
        <v>49</v>
      </c>
      <c r="AH322" s="6">
        <v>63</v>
      </c>
      <c r="AI322" s="6">
        <v>63</v>
      </c>
      <c r="AJ322" s="6">
        <v>40.700000000000003</v>
      </c>
      <c r="AK322" s="6">
        <v>46</v>
      </c>
      <c r="AL322" s="6">
        <v>78</v>
      </c>
    </row>
    <row r="323" spans="2:38" x14ac:dyDescent="0.2">
      <c r="B323" s="14">
        <v>2006</v>
      </c>
      <c r="C323" s="14" t="s">
        <v>298</v>
      </c>
      <c r="D323" s="6">
        <v>107</v>
      </c>
      <c r="E323" s="6">
        <v>50</v>
      </c>
      <c r="F323" s="6">
        <v>114.3</v>
      </c>
      <c r="G323" s="6">
        <v>165</v>
      </c>
      <c r="H323" s="6">
        <v>196</v>
      </c>
      <c r="I323" s="6">
        <v>166</v>
      </c>
      <c r="J323" s="6">
        <v>83</v>
      </c>
      <c r="K323" s="6">
        <v>153</v>
      </c>
      <c r="L323" s="6">
        <v>153</v>
      </c>
      <c r="M323" s="6">
        <v>57</v>
      </c>
      <c r="N323" s="6">
        <v>265</v>
      </c>
      <c r="O323" s="6">
        <v>60</v>
      </c>
      <c r="P323" s="6">
        <v>55</v>
      </c>
      <c r="Q323" s="6">
        <v>103</v>
      </c>
      <c r="R323" s="258" t="s">
        <v>300</v>
      </c>
      <c r="S323" s="6">
        <v>67.099999999999994</v>
      </c>
      <c r="T323" s="6">
        <v>129.9</v>
      </c>
      <c r="U323" s="6">
        <v>119</v>
      </c>
      <c r="V323" s="6">
        <v>88</v>
      </c>
      <c r="W323" s="6">
        <v>184.5</v>
      </c>
      <c r="X323" s="6">
        <v>120</v>
      </c>
      <c r="Y323" s="6">
        <v>92.7</v>
      </c>
      <c r="Z323" s="6">
        <v>159</v>
      </c>
      <c r="AA323" s="14">
        <v>120</v>
      </c>
      <c r="AB323" s="6">
        <v>57</v>
      </c>
      <c r="AC323" s="6">
        <v>103.3</v>
      </c>
      <c r="AD323" s="6">
        <v>107.8</v>
      </c>
      <c r="AE323" s="6">
        <v>230.6</v>
      </c>
      <c r="AF323" s="6">
        <v>189</v>
      </c>
      <c r="AG323" s="6">
        <v>77.7</v>
      </c>
      <c r="AH323" s="6">
        <v>149</v>
      </c>
      <c r="AI323" s="6">
        <v>76</v>
      </c>
      <c r="AJ323" s="6">
        <v>90.7</v>
      </c>
      <c r="AK323" s="6">
        <v>152</v>
      </c>
      <c r="AL323" s="6">
        <v>87</v>
      </c>
    </row>
    <row r="324" spans="2:38" x14ac:dyDescent="0.2">
      <c r="B324" s="14">
        <v>2006</v>
      </c>
      <c r="C324" s="14" t="s">
        <v>299</v>
      </c>
      <c r="D324" s="6">
        <v>71</v>
      </c>
      <c r="E324" s="6">
        <v>27</v>
      </c>
      <c r="F324" s="6">
        <v>252.3</v>
      </c>
      <c r="G324" s="6">
        <v>88</v>
      </c>
      <c r="H324" s="6">
        <v>163</v>
      </c>
      <c r="I324" s="6">
        <v>87</v>
      </c>
      <c r="J324" s="6">
        <v>102</v>
      </c>
      <c r="K324" s="6">
        <v>40</v>
      </c>
      <c r="L324" s="6">
        <v>80</v>
      </c>
      <c r="M324" s="6">
        <v>46</v>
      </c>
      <c r="N324" s="6">
        <v>170</v>
      </c>
      <c r="O324" s="6">
        <v>35</v>
      </c>
      <c r="P324" s="6">
        <v>69</v>
      </c>
      <c r="Q324" s="6">
        <v>63</v>
      </c>
      <c r="R324" s="258" t="s">
        <v>300</v>
      </c>
      <c r="S324" s="6">
        <v>122.7</v>
      </c>
      <c r="T324" s="6">
        <v>140.9</v>
      </c>
      <c r="U324" s="6">
        <v>117</v>
      </c>
      <c r="V324" s="6">
        <v>85.6</v>
      </c>
      <c r="W324" s="6">
        <v>118</v>
      </c>
      <c r="X324" s="6">
        <v>84</v>
      </c>
      <c r="Y324" s="6">
        <v>90.4</v>
      </c>
      <c r="Z324" s="6">
        <v>101</v>
      </c>
      <c r="AA324" s="14">
        <v>101</v>
      </c>
      <c r="AB324" s="6">
        <v>64</v>
      </c>
      <c r="AC324" s="6">
        <v>171</v>
      </c>
      <c r="AD324" s="6">
        <v>100.4</v>
      </c>
      <c r="AE324" s="6">
        <v>81.8</v>
      </c>
      <c r="AF324" s="6">
        <v>96</v>
      </c>
      <c r="AG324" s="6">
        <v>112</v>
      </c>
      <c r="AH324" s="6">
        <v>185</v>
      </c>
      <c r="AI324" s="6">
        <v>140</v>
      </c>
      <c r="AJ324" s="6">
        <v>57.6</v>
      </c>
      <c r="AK324" s="6">
        <v>77</v>
      </c>
      <c r="AL324" s="6">
        <v>78</v>
      </c>
    </row>
    <row r="325" spans="2:38" x14ac:dyDescent="0.2">
      <c r="B325" s="14">
        <v>2006</v>
      </c>
      <c r="C325" s="14" t="s">
        <v>301</v>
      </c>
      <c r="D325" s="6">
        <v>28</v>
      </c>
      <c r="E325" s="6">
        <v>88</v>
      </c>
      <c r="F325" s="6">
        <v>173.5</v>
      </c>
      <c r="G325" s="6">
        <v>60</v>
      </c>
      <c r="H325" s="6">
        <v>282</v>
      </c>
      <c r="I325" s="6">
        <v>65</v>
      </c>
      <c r="J325" s="6">
        <v>90</v>
      </c>
      <c r="K325" s="6">
        <v>187</v>
      </c>
      <c r="L325" s="6">
        <v>162</v>
      </c>
      <c r="M325" s="6">
        <v>98</v>
      </c>
      <c r="N325" s="6">
        <v>172</v>
      </c>
      <c r="O325" s="6">
        <v>86</v>
      </c>
      <c r="P325" s="6">
        <v>157</v>
      </c>
      <c r="Q325" s="6">
        <v>52</v>
      </c>
      <c r="R325" s="258" t="s">
        <v>300</v>
      </c>
      <c r="S325" s="6">
        <v>111.4</v>
      </c>
      <c r="T325" s="6">
        <v>132.30000000000001</v>
      </c>
      <c r="U325" s="6">
        <v>99.5</v>
      </c>
      <c r="V325" s="6">
        <v>140</v>
      </c>
      <c r="W325" s="6">
        <v>222.3</v>
      </c>
      <c r="X325" s="6">
        <v>121</v>
      </c>
      <c r="Y325" s="6">
        <v>143.80000000000001</v>
      </c>
      <c r="Z325" s="6">
        <v>75</v>
      </c>
      <c r="AA325" s="14">
        <v>336</v>
      </c>
      <c r="AB325" s="6">
        <v>18</v>
      </c>
      <c r="AC325" s="6">
        <v>136.9</v>
      </c>
      <c r="AD325" s="6">
        <v>100.2</v>
      </c>
      <c r="AE325" s="6">
        <v>227.4</v>
      </c>
      <c r="AF325" s="6">
        <v>155</v>
      </c>
      <c r="AG325" s="6">
        <v>174.3</v>
      </c>
      <c r="AH325" s="6">
        <v>273</v>
      </c>
      <c r="AI325" s="6">
        <v>175</v>
      </c>
      <c r="AJ325" s="6">
        <v>98.7</v>
      </c>
      <c r="AK325" s="6">
        <v>226</v>
      </c>
      <c r="AL325" s="6">
        <v>178</v>
      </c>
    </row>
    <row r="326" spans="2:38" x14ac:dyDescent="0.2">
      <c r="B326" s="14">
        <v>2007</v>
      </c>
      <c r="C326" s="14" t="s">
        <v>289</v>
      </c>
      <c r="D326" s="6">
        <v>9</v>
      </c>
      <c r="E326" s="6">
        <v>17</v>
      </c>
      <c r="F326" s="6">
        <v>50.1</v>
      </c>
      <c r="G326" s="6">
        <v>11</v>
      </c>
      <c r="H326" s="6">
        <v>52</v>
      </c>
      <c r="I326" s="6">
        <v>28</v>
      </c>
      <c r="J326" s="6">
        <v>77</v>
      </c>
      <c r="K326" s="6">
        <v>78</v>
      </c>
      <c r="L326" s="6">
        <v>112</v>
      </c>
      <c r="M326" s="6">
        <v>44</v>
      </c>
      <c r="N326" s="6">
        <v>16</v>
      </c>
      <c r="O326" s="258" t="s">
        <v>300</v>
      </c>
      <c r="P326" s="6">
        <v>49</v>
      </c>
      <c r="Q326" s="6">
        <v>25</v>
      </c>
      <c r="R326" s="14">
        <v>55.5</v>
      </c>
      <c r="S326" s="6">
        <v>53.9</v>
      </c>
      <c r="T326" s="6">
        <v>56.4</v>
      </c>
      <c r="U326" s="6">
        <v>35.5</v>
      </c>
      <c r="V326" s="6">
        <v>204</v>
      </c>
      <c r="W326" s="6">
        <v>102</v>
      </c>
      <c r="X326" s="6">
        <v>48</v>
      </c>
      <c r="Y326" s="6">
        <v>42.2</v>
      </c>
      <c r="Z326" s="6">
        <v>82</v>
      </c>
      <c r="AA326" s="14">
        <v>142</v>
      </c>
      <c r="AB326" s="6">
        <v>18</v>
      </c>
      <c r="AC326" s="6">
        <v>133</v>
      </c>
      <c r="AD326" s="6">
        <v>4.3</v>
      </c>
      <c r="AE326" s="6">
        <v>86.6</v>
      </c>
      <c r="AF326" s="6">
        <v>103</v>
      </c>
      <c r="AG326" s="6">
        <v>44.1</v>
      </c>
      <c r="AH326" s="6">
        <v>96</v>
      </c>
      <c r="AI326" s="6">
        <v>82</v>
      </c>
      <c r="AJ326" s="6">
        <v>29.8</v>
      </c>
      <c r="AK326" s="6">
        <v>83</v>
      </c>
      <c r="AL326" s="6">
        <v>68</v>
      </c>
    </row>
    <row r="327" spans="2:38" x14ac:dyDescent="0.2">
      <c r="B327" s="14">
        <v>2007</v>
      </c>
      <c r="C327" s="14" t="s">
        <v>290</v>
      </c>
      <c r="D327" s="6">
        <v>76</v>
      </c>
      <c r="E327" s="6">
        <v>55</v>
      </c>
      <c r="F327" s="6">
        <v>213.5</v>
      </c>
      <c r="G327" s="6">
        <v>98</v>
      </c>
      <c r="H327" s="6">
        <v>232</v>
      </c>
      <c r="I327" s="6">
        <v>83</v>
      </c>
      <c r="J327" s="6">
        <v>85.5</v>
      </c>
      <c r="K327" s="6">
        <v>203</v>
      </c>
      <c r="L327" s="6">
        <v>194</v>
      </c>
      <c r="M327" s="6">
        <v>41.5</v>
      </c>
      <c r="N327" s="6">
        <v>151</v>
      </c>
      <c r="O327" s="6">
        <v>160</v>
      </c>
      <c r="P327" s="6">
        <v>118</v>
      </c>
      <c r="Q327" s="6">
        <v>165</v>
      </c>
      <c r="R327" s="6">
        <v>155.80000000000001</v>
      </c>
      <c r="S327" s="6">
        <v>141.80000000000001</v>
      </c>
      <c r="T327" s="6">
        <v>113.8</v>
      </c>
      <c r="U327" s="6">
        <v>174.5</v>
      </c>
      <c r="V327" s="6">
        <v>165</v>
      </c>
      <c r="W327" s="6">
        <v>190.5</v>
      </c>
      <c r="X327" s="6">
        <v>107</v>
      </c>
      <c r="Y327" s="6">
        <v>142.6</v>
      </c>
      <c r="Z327" s="6">
        <v>162</v>
      </c>
      <c r="AA327" s="14">
        <v>181</v>
      </c>
      <c r="AB327" s="6">
        <v>91</v>
      </c>
      <c r="AC327" s="6">
        <v>220.7</v>
      </c>
      <c r="AD327" s="6">
        <v>144.4</v>
      </c>
      <c r="AE327" s="6">
        <v>220.8</v>
      </c>
      <c r="AF327" s="6">
        <v>182</v>
      </c>
      <c r="AG327" s="6">
        <v>185.1</v>
      </c>
      <c r="AH327" s="6">
        <v>162.5</v>
      </c>
      <c r="AI327" s="6">
        <v>118</v>
      </c>
      <c r="AJ327" s="6">
        <v>151</v>
      </c>
      <c r="AK327" s="6">
        <v>186</v>
      </c>
      <c r="AL327" s="6">
        <v>125</v>
      </c>
    </row>
    <row r="328" spans="2:38" x14ac:dyDescent="0.2">
      <c r="B328" s="14">
        <v>2007</v>
      </c>
      <c r="C328" s="14" t="s">
        <v>291</v>
      </c>
      <c r="D328" s="6">
        <v>139</v>
      </c>
      <c r="E328" s="6">
        <v>174</v>
      </c>
      <c r="F328" s="6">
        <v>277.7</v>
      </c>
      <c r="G328" s="6">
        <v>273</v>
      </c>
      <c r="H328" s="6">
        <v>312</v>
      </c>
      <c r="I328" s="6">
        <v>420</v>
      </c>
      <c r="J328" s="6">
        <v>323</v>
      </c>
      <c r="K328" s="6">
        <v>656</v>
      </c>
      <c r="L328" s="6">
        <v>402</v>
      </c>
      <c r="M328" s="6">
        <v>236</v>
      </c>
      <c r="N328" s="6">
        <v>699</v>
      </c>
      <c r="O328" s="6">
        <v>279</v>
      </c>
      <c r="P328" s="6">
        <v>218</v>
      </c>
      <c r="Q328" s="6">
        <v>330</v>
      </c>
      <c r="R328" s="6">
        <v>419</v>
      </c>
      <c r="S328" s="6">
        <v>225.1</v>
      </c>
      <c r="T328" s="6">
        <v>605.79999999999995</v>
      </c>
      <c r="U328" s="6">
        <v>415.5</v>
      </c>
      <c r="V328" s="6">
        <v>230</v>
      </c>
      <c r="W328" s="6">
        <v>336.5</v>
      </c>
      <c r="X328" s="6">
        <v>602</v>
      </c>
      <c r="Y328" s="6">
        <v>231.1</v>
      </c>
      <c r="Z328" s="6">
        <v>421</v>
      </c>
      <c r="AA328" s="14">
        <v>364</v>
      </c>
      <c r="AB328" s="6">
        <v>138</v>
      </c>
      <c r="AC328" s="6">
        <v>377.9</v>
      </c>
      <c r="AD328" s="6">
        <v>224.5</v>
      </c>
      <c r="AE328" s="6">
        <v>417.9</v>
      </c>
      <c r="AF328" s="6">
        <v>380</v>
      </c>
      <c r="AG328" s="6">
        <v>329.1</v>
      </c>
      <c r="AH328" s="6">
        <v>184</v>
      </c>
      <c r="AI328" s="6">
        <v>315.5</v>
      </c>
      <c r="AJ328" s="6">
        <v>304.2</v>
      </c>
      <c r="AK328" s="6">
        <v>306</v>
      </c>
      <c r="AL328" s="6">
        <v>234</v>
      </c>
    </row>
    <row r="329" spans="2:38" x14ac:dyDescent="0.2">
      <c r="B329" s="14">
        <v>2007</v>
      </c>
      <c r="C329" s="14" t="s">
        <v>292</v>
      </c>
      <c r="D329" s="6">
        <v>165</v>
      </c>
      <c r="E329" s="6">
        <v>106</v>
      </c>
      <c r="F329" s="6">
        <v>116.2</v>
      </c>
      <c r="G329" s="6">
        <v>146</v>
      </c>
      <c r="H329" s="6">
        <v>136</v>
      </c>
      <c r="I329" s="6">
        <v>138</v>
      </c>
      <c r="J329" s="6">
        <v>151</v>
      </c>
      <c r="K329" s="6">
        <v>174</v>
      </c>
      <c r="L329" s="6">
        <v>126</v>
      </c>
      <c r="M329" s="6">
        <v>162</v>
      </c>
      <c r="N329" s="6">
        <v>86</v>
      </c>
      <c r="O329" s="6">
        <v>45</v>
      </c>
      <c r="P329" s="6">
        <v>149</v>
      </c>
      <c r="Q329" s="6">
        <v>381</v>
      </c>
      <c r="R329" s="6">
        <v>237</v>
      </c>
      <c r="S329" s="6">
        <v>146</v>
      </c>
      <c r="T329" s="6">
        <v>81.7</v>
      </c>
      <c r="U329" s="6">
        <v>128</v>
      </c>
      <c r="V329" s="6">
        <v>112</v>
      </c>
      <c r="W329" s="6">
        <v>128.9</v>
      </c>
      <c r="X329" s="6">
        <v>191</v>
      </c>
      <c r="Y329" s="6">
        <v>162</v>
      </c>
      <c r="Z329" s="6">
        <v>100</v>
      </c>
      <c r="AA329" s="14">
        <v>149</v>
      </c>
      <c r="AB329" s="6">
        <v>95</v>
      </c>
      <c r="AC329" s="6">
        <v>140</v>
      </c>
      <c r="AD329" s="6">
        <v>151.6</v>
      </c>
      <c r="AE329" s="6">
        <v>241.7</v>
      </c>
      <c r="AF329" s="6">
        <v>123</v>
      </c>
      <c r="AG329" s="6">
        <v>150.80000000000001</v>
      </c>
      <c r="AH329" s="6">
        <v>178</v>
      </c>
      <c r="AI329" s="6">
        <v>71</v>
      </c>
      <c r="AJ329" s="6">
        <v>151</v>
      </c>
      <c r="AK329" s="6">
        <v>176</v>
      </c>
      <c r="AL329" s="6">
        <v>195</v>
      </c>
    </row>
    <row r="330" spans="2:38" x14ac:dyDescent="0.2">
      <c r="B330" s="14">
        <v>2007</v>
      </c>
      <c r="C330" s="14" t="s">
        <v>293</v>
      </c>
      <c r="D330" s="6">
        <v>29</v>
      </c>
      <c r="E330" s="6">
        <v>244</v>
      </c>
      <c r="F330" s="6">
        <v>24.2</v>
      </c>
      <c r="G330" s="6">
        <v>163</v>
      </c>
      <c r="H330" s="6">
        <v>41</v>
      </c>
      <c r="I330" s="6">
        <v>164</v>
      </c>
      <c r="J330" s="6">
        <v>258</v>
      </c>
      <c r="K330" s="6">
        <v>88</v>
      </c>
      <c r="L330" s="6">
        <v>169</v>
      </c>
      <c r="M330" s="6">
        <v>281</v>
      </c>
      <c r="N330" s="6">
        <v>236</v>
      </c>
      <c r="O330" s="6">
        <v>152</v>
      </c>
      <c r="P330" s="6">
        <v>259</v>
      </c>
      <c r="Q330" s="6">
        <v>319</v>
      </c>
      <c r="R330" s="6">
        <v>78.400000000000006</v>
      </c>
      <c r="S330" s="6">
        <v>226.7</v>
      </c>
      <c r="T330" s="6">
        <v>148.4</v>
      </c>
      <c r="U330" s="6">
        <v>320.5</v>
      </c>
      <c r="V330" s="6">
        <v>71</v>
      </c>
      <c r="W330" s="6">
        <v>136.6</v>
      </c>
      <c r="X330" s="6">
        <v>159</v>
      </c>
      <c r="Y330" s="6">
        <v>85.2</v>
      </c>
      <c r="Z330" s="6">
        <v>184</v>
      </c>
      <c r="AA330" s="14">
        <v>66</v>
      </c>
      <c r="AB330" s="6">
        <v>32</v>
      </c>
      <c r="AC330" s="6">
        <v>78.8</v>
      </c>
      <c r="AD330" s="6">
        <v>119.4</v>
      </c>
      <c r="AE330" s="6">
        <v>34.700000000000003</v>
      </c>
      <c r="AF330" s="6">
        <v>47</v>
      </c>
      <c r="AG330" s="6">
        <v>41.8</v>
      </c>
      <c r="AH330" s="6">
        <v>24</v>
      </c>
      <c r="AI330" s="6">
        <v>69</v>
      </c>
      <c r="AJ330" s="6">
        <v>341.7</v>
      </c>
      <c r="AK330" s="6">
        <v>54</v>
      </c>
      <c r="AL330" s="6">
        <v>85</v>
      </c>
    </row>
    <row r="331" spans="2:38" x14ac:dyDescent="0.2">
      <c r="B331" s="14">
        <v>2007</v>
      </c>
      <c r="C331" s="14" t="s">
        <v>294</v>
      </c>
      <c r="D331" s="6">
        <v>54</v>
      </c>
      <c r="E331" s="6">
        <v>115</v>
      </c>
      <c r="F331" s="6">
        <v>67.599999999999994</v>
      </c>
      <c r="G331" s="6">
        <v>103</v>
      </c>
      <c r="H331" s="6">
        <v>42</v>
      </c>
      <c r="I331" s="6">
        <v>40</v>
      </c>
      <c r="J331" s="6">
        <v>86</v>
      </c>
      <c r="K331" s="6">
        <v>35</v>
      </c>
      <c r="L331" s="6">
        <v>57</v>
      </c>
      <c r="M331" s="6">
        <v>95</v>
      </c>
      <c r="N331" s="6">
        <v>15</v>
      </c>
      <c r="O331" s="6">
        <v>103</v>
      </c>
      <c r="P331" s="6">
        <v>139</v>
      </c>
      <c r="Q331" s="6">
        <v>83</v>
      </c>
      <c r="R331" s="6">
        <v>45.6</v>
      </c>
      <c r="S331" s="6">
        <v>180.7</v>
      </c>
      <c r="T331" s="6">
        <v>13.9</v>
      </c>
      <c r="U331" s="6">
        <v>60</v>
      </c>
      <c r="V331" s="6">
        <v>141</v>
      </c>
      <c r="W331" s="6">
        <v>37.700000000000003</v>
      </c>
      <c r="X331" s="6">
        <v>40</v>
      </c>
      <c r="Y331" s="6">
        <v>46.7</v>
      </c>
      <c r="Z331" s="6">
        <v>38</v>
      </c>
      <c r="AA331" s="14">
        <v>76</v>
      </c>
      <c r="AB331" s="6">
        <v>8</v>
      </c>
      <c r="AC331" s="6">
        <v>101.7</v>
      </c>
      <c r="AD331" s="6">
        <v>86.9</v>
      </c>
      <c r="AE331" s="6">
        <v>31.4</v>
      </c>
      <c r="AF331" s="6">
        <v>87</v>
      </c>
      <c r="AG331" s="6">
        <v>144.80000000000001</v>
      </c>
      <c r="AH331" s="6">
        <v>44.5</v>
      </c>
      <c r="AI331" s="6">
        <v>84</v>
      </c>
      <c r="AJ331" s="6">
        <v>108.8</v>
      </c>
      <c r="AK331" s="6">
        <v>120</v>
      </c>
      <c r="AL331" s="6">
        <v>135</v>
      </c>
    </row>
    <row r="332" spans="2:38" x14ac:dyDescent="0.2">
      <c r="B332" s="14">
        <v>2007</v>
      </c>
      <c r="C332" s="14" t="s">
        <v>295</v>
      </c>
      <c r="D332" s="6">
        <v>8</v>
      </c>
      <c r="E332" s="6">
        <v>34</v>
      </c>
      <c r="F332" s="6">
        <v>40.6</v>
      </c>
      <c r="G332" s="6">
        <v>8</v>
      </c>
      <c r="H332" s="6">
        <v>36</v>
      </c>
      <c r="I332" s="6">
        <v>9</v>
      </c>
      <c r="J332" s="6">
        <v>15</v>
      </c>
      <c r="K332" s="6">
        <v>10</v>
      </c>
      <c r="L332" s="6">
        <v>10</v>
      </c>
      <c r="M332" s="6">
        <v>8</v>
      </c>
      <c r="N332" s="6">
        <v>4</v>
      </c>
      <c r="O332" s="6">
        <v>15</v>
      </c>
      <c r="P332" s="6">
        <v>9</v>
      </c>
      <c r="Q332" s="6">
        <v>36</v>
      </c>
      <c r="R332" s="6">
        <v>10.7</v>
      </c>
      <c r="S332" s="6">
        <v>31.2</v>
      </c>
      <c r="T332" s="6">
        <v>5</v>
      </c>
      <c r="U332" s="6">
        <v>6</v>
      </c>
      <c r="V332" s="6">
        <v>23</v>
      </c>
      <c r="W332" s="6">
        <v>7.8</v>
      </c>
      <c r="X332" s="6">
        <v>11</v>
      </c>
      <c r="Y332" s="6">
        <v>16.399999999999999</v>
      </c>
      <c r="Z332" s="6">
        <v>9</v>
      </c>
      <c r="AA332" s="14">
        <v>4</v>
      </c>
      <c r="AB332" s="258" t="s">
        <v>300</v>
      </c>
      <c r="AC332" s="6">
        <v>47.8</v>
      </c>
      <c r="AD332" s="6">
        <v>16</v>
      </c>
      <c r="AE332" s="6">
        <v>6.8</v>
      </c>
      <c r="AF332" s="6">
        <v>16</v>
      </c>
      <c r="AG332" s="6">
        <v>10.199999999999999</v>
      </c>
      <c r="AH332" s="6">
        <v>7</v>
      </c>
      <c r="AI332" s="6">
        <v>23</v>
      </c>
      <c r="AJ332" s="6">
        <v>23</v>
      </c>
      <c r="AK332" s="6">
        <v>6</v>
      </c>
      <c r="AL332" s="6">
        <v>32</v>
      </c>
    </row>
    <row r="333" spans="2:38" x14ac:dyDescent="0.2">
      <c r="B333" s="14">
        <v>2007</v>
      </c>
      <c r="C333" s="14" t="s">
        <v>296</v>
      </c>
      <c r="D333" s="6">
        <v>53</v>
      </c>
      <c r="E333" s="6">
        <v>161</v>
      </c>
      <c r="F333" s="6">
        <v>109.3</v>
      </c>
      <c r="G333" s="6">
        <v>103</v>
      </c>
      <c r="H333" s="6">
        <v>124</v>
      </c>
      <c r="I333" s="6">
        <v>98</v>
      </c>
      <c r="J333" s="6">
        <v>69.5</v>
      </c>
      <c r="K333" s="6">
        <v>87</v>
      </c>
      <c r="L333" s="6">
        <v>78</v>
      </c>
      <c r="M333" s="6">
        <v>124</v>
      </c>
      <c r="N333" s="6">
        <v>93</v>
      </c>
      <c r="O333" s="6">
        <v>110</v>
      </c>
      <c r="P333" s="6">
        <v>173</v>
      </c>
      <c r="Q333" s="6">
        <v>136</v>
      </c>
      <c r="R333" s="6">
        <v>95.4</v>
      </c>
      <c r="S333" s="6">
        <v>151.30000000000001</v>
      </c>
      <c r="T333" s="6">
        <v>62.6</v>
      </c>
      <c r="U333" s="6">
        <v>69.5</v>
      </c>
      <c r="V333" s="6">
        <v>168.5</v>
      </c>
      <c r="W333" s="6">
        <v>30.7</v>
      </c>
      <c r="X333" s="6">
        <v>98.5</v>
      </c>
      <c r="Y333" s="6">
        <v>83.4</v>
      </c>
      <c r="Z333" s="6">
        <v>78</v>
      </c>
      <c r="AA333" s="14">
        <v>47.5</v>
      </c>
      <c r="AB333" s="6">
        <v>3</v>
      </c>
      <c r="AC333" s="6">
        <v>174.8</v>
      </c>
      <c r="AD333" s="6">
        <v>111.9</v>
      </c>
      <c r="AE333" s="6">
        <v>35.5</v>
      </c>
      <c r="AF333" s="6">
        <v>89</v>
      </c>
      <c r="AG333" s="6">
        <v>164.31</v>
      </c>
      <c r="AH333" s="6">
        <v>106</v>
      </c>
      <c r="AI333" s="6">
        <v>177</v>
      </c>
      <c r="AJ333" s="6">
        <v>152.4</v>
      </c>
      <c r="AK333" s="6">
        <v>81</v>
      </c>
      <c r="AL333" s="6">
        <v>196</v>
      </c>
    </row>
    <row r="334" spans="2:38" x14ac:dyDescent="0.2">
      <c r="B334" s="14">
        <v>2007</v>
      </c>
      <c r="C334" s="14" t="s">
        <v>297</v>
      </c>
      <c r="D334" s="6">
        <v>185.5</v>
      </c>
      <c r="E334" s="6">
        <v>42</v>
      </c>
      <c r="F334" s="6">
        <v>116.6</v>
      </c>
      <c r="G334" s="6">
        <v>152</v>
      </c>
      <c r="H334" s="6">
        <v>113</v>
      </c>
      <c r="I334" s="6">
        <v>125</v>
      </c>
      <c r="J334" s="6">
        <v>54</v>
      </c>
      <c r="K334" s="6">
        <v>119</v>
      </c>
      <c r="L334" s="6">
        <v>110</v>
      </c>
      <c r="M334" s="6">
        <v>66</v>
      </c>
      <c r="N334" s="6">
        <v>133</v>
      </c>
      <c r="O334" s="6">
        <v>38</v>
      </c>
      <c r="P334" s="6">
        <v>46</v>
      </c>
      <c r="Q334" s="6">
        <v>116</v>
      </c>
      <c r="R334" s="6">
        <v>131</v>
      </c>
      <c r="S334" s="6">
        <v>39.799999999999997</v>
      </c>
      <c r="T334" s="6">
        <v>131.69999999999999</v>
      </c>
      <c r="U334" s="6">
        <v>93.5</v>
      </c>
      <c r="V334" s="6">
        <v>88</v>
      </c>
      <c r="W334" s="6">
        <v>93.1</v>
      </c>
      <c r="X334" s="6">
        <v>122.5</v>
      </c>
      <c r="Y334" s="6">
        <v>131.9</v>
      </c>
      <c r="Z334" s="6">
        <v>89</v>
      </c>
      <c r="AA334" s="14">
        <v>94</v>
      </c>
      <c r="AB334" s="6">
        <v>21</v>
      </c>
      <c r="AC334" s="6">
        <v>101.8</v>
      </c>
      <c r="AD334" s="6">
        <v>126.7</v>
      </c>
      <c r="AE334" s="6">
        <v>97.8</v>
      </c>
      <c r="AF334" s="6">
        <v>73</v>
      </c>
      <c r="AG334" s="6">
        <v>56</v>
      </c>
      <c r="AH334" s="6">
        <v>100</v>
      </c>
      <c r="AI334" s="6">
        <v>79.5</v>
      </c>
      <c r="AJ334" s="6">
        <v>93.5</v>
      </c>
      <c r="AK334" s="6">
        <v>62</v>
      </c>
      <c r="AL334" s="6">
        <v>69</v>
      </c>
    </row>
    <row r="335" spans="2:38" x14ac:dyDescent="0.2">
      <c r="B335" s="14">
        <v>2007</v>
      </c>
      <c r="C335" s="14" t="s">
        <v>298</v>
      </c>
      <c r="D335" s="6">
        <v>186</v>
      </c>
      <c r="E335" s="6">
        <v>153</v>
      </c>
      <c r="F335" s="6">
        <v>238.6</v>
      </c>
      <c r="G335" s="6">
        <v>221</v>
      </c>
      <c r="H335" s="6">
        <v>365</v>
      </c>
      <c r="I335" s="6">
        <v>151</v>
      </c>
      <c r="J335" s="6">
        <v>278</v>
      </c>
      <c r="K335" s="6">
        <v>167</v>
      </c>
      <c r="L335" s="6">
        <v>221</v>
      </c>
      <c r="M335" s="6">
        <v>149</v>
      </c>
      <c r="N335" s="6">
        <v>188.5</v>
      </c>
      <c r="O335" s="6">
        <v>182</v>
      </c>
      <c r="P335" s="6">
        <v>269</v>
      </c>
      <c r="Q335" s="6">
        <v>275</v>
      </c>
      <c r="R335" s="6">
        <v>184.5</v>
      </c>
      <c r="S335" s="6">
        <v>189.5</v>
      </c>
      <c r="T335" s="6">
        <v>219.3</v>
      </c>
      <c r="U335" s="6">
        <v>244</v>
      </c>
      <c r="V335" s="6">
        <v>139</v>
      </c>
      <c r="W335" s="6">
        <v>249.9</v>
      </c>
      <c r="X335" s="6">
        <v>220</v>
      </c>
      <c r="Y335" s="6">
        <v>156.6</v>
      </c>
      <c r="Z335" s="6">
        <v>207</v>
      </c>
      <c r="AA335" s="14">
        <v>200</v>
      </c>
      <c r="AB335" s="6">
        <v>117</v>
      </c>
      <c r="AC335" s="6">
        <v>227.84</v>
      </c>
      <c r="AD335" s="6">
        <v>243.4</v>
      </c>
      <c r="AE335" s="6">
        <v>294.8</v>
      </c>
      <c r="AF335" s="6">
        <v>238</v>
      </c>
      <c r="AG335" s="6">
        <v>274.8</v>
      </c>
      <c r="AH335" s="6">
        <v>220</v>
      </c>
      <c r="AI335" s="6">
        <v>180</v>
      </c>
      <c r="AJ335" s="6">
        <v>173.51</v>
      </c>
      <c r="AK335" s="6">
        <v>189</v>
      </c>
      <c r="AL335" s="6">
        <v>183</v>
      </c>
    </row>
    <row r="336" spans="2:38" x14ac:dyDescent="0.2">
      <c r="B336" s="14">
        <v>2007</v>
      </c>
      <c r="C336" s="14" t="s">
        <v>299</v>
      </c>
      <c r="D336" s="6">
        <v>47</v>
      </c>
      <c r="E336" s="6">
        <v>54</v>
      </c>
      <c r="F336" s="6">
        <v>29.7</v>
      </c>
      <c r="G336" s="6">
        <v>50</v>
      </c>
      <c r="H336" s="6">
        <v>61</v>
      </c>
      <c r="I336" s="6">
        <v>22</v>
      </c>
      <c r="J336" s="6">
        <v>42</v>
      </c>
      <c r="K336" s="6">
        <v>17</v>
      </c>
      <c r="L336" s="6">
        <v>37</v>
      </c>
      <c r="M336" s="6">
        <v>27</v>
      </c>
      <c r="N336" s="6">
        <v>19</v>
      </c>
      <c r="O336" s="6">
        <v>22</v>
      </c>
      <c r="P336" s="6">
        <v>67</v>
      </c>
      <c r="Q336" s="6">
        <v>72</v>
      </c>
      <c r="R336" s="6">
        <v>30.5</v>
      </c>
      <c r="S336" s="6">
        <v>67.5</v>
      </c>
      <c r="T336" s="6">
        <v>14.5</v>
      </c>
      <c r="U336" s="6">
        <v>6</v>
      </c>
      <c r="V336" s="6">
        <v>23</v>
      </c>
      <c r="W336" s="6">
        <v>35.200000000000003</v>
      </c>
      <c r="X336" s="6">
        <v>38</v>
      </c>
      <c r="Y336" s="6">
        <v>65.900000000000006</v>
      </c>
      <c r="Z336" s="258" t="s">
        <v>300</v>
      </c>
      <c r="AA336" s="14">
        <v>66</v>
      </c>
      <c r="AB336" s="258" t="s">
        <v>300</v>
      </c>
      <c r="AC336" s="6">
        <v>45.2</v>
      </c>
      <c r="AD336" s="6">
        <v>30.4</v>
      </c>
      <c r="AE336" s="6">
        <v>45.9</v>
      </c>
      <c r="AF336" s="6">
        <v>42</v>
      </c>
      <c r="AG336" s="6">
        <v>37</v>
      </c>
      <c r="AH336" s="6">
        <v>36</v>
      </c>
      <c r="AI336" s="6">
        <v>29</v>
      </c>
      <c r="AJ336" s="6">
        <v>74.099999999999994</v>
      </c>
      <c r="AK336" s="6">
        <v>42</v>
      </c>
      <c r="AL336" s="6">
        <v>61</v>
      </c>
    </row>
    <row r="337" spans="2:38" x14ac:dyDescent="0.2">
      <c r="B337" s="14">
        <v>2007</v>
      </c>
      <c r="C337" s="14" t="s">
        <v>301</v>
      </c>
      <c r="D337" s="6">
        <v>10</v>
      </c>
      <c r="E337" s="6">
        <v>98</v>
      </c>
      <c r="F337" s="6">
        <v>68.8</v>
      </c>
      <c r="G337" s="6">
        <v>76</v>
      </c>
      <c r="H337" s="6">
        <v>83</v>
      </c>
      <c r="I337" s="6">
        <v>33</v>
      </c>
      <c r="J337" s="6">
        <v>51</v>
      </c>
      <c r="K337" s="6">
        <v>64</v>
      </c>
      <c r="L337" s="6">
        <v>49</v>
      </c>
      <c r="M337" s="6">
        <v>98</v>
      </c>
      <c r="N337" s="6">
        <v>37.5</v>
      </c>
      <c r="O337" s="6">
        <v>65</v>
      </c>
      <c r="P337" s="6">
        <v>166</v>
      </c>
      <c r="Q337" s="6">
        <v>149</v>
      </c>
      <c r="R337" s="6">
        <v>24.5</v>
      </c>
      <c r="S337" s="6">
        <v>104.3</v>
      </c>
      <c r="T337" s="6">
        <v>97.2</v>
      </c>
      <c r="U337" s="6">
        <v>23</v>
      </c>
      <c r="V337" s="6">
        <v>86</v>
      </c>
      <c r="W337" s="6">
        <v>64</v>
      </c>
      <c r="X337" s="6">
        <v>67</v>
      </c>
      <c r="Y337" s="6">
        <v>19.7</v>
      </c>
      <c r="Z337" s="6">
        <v>35</v>
      </c>
      <c r="AA337" s="14">
        <v>93</v>
      </c>
      <c r="AB337" s="258" t="s">
        <v>300</v>
      </c>
      <c r="AC337" s="6">
        <v>73.2</v>
      </c>
      <c r="AD337" s="6">
        <v>60.1</v>
      </c>
      <c r="AE337" s="6">
        <v>46.6</v>
      </c>
      <c r="AF337" s="6">
        <v>38</v>
      </c>
      <c r="AG337" s="6">
        <v>66.900000000000006</v>
      </c>
      <c r="AH337" s="6">
        <v>32</v>
      </c>
      <c r="AI337" s="6">
        <v>23</v>
      </c>
      <c r="AJ337" s="6">
        <v>130.69999999999999</v>
      </c>
      <c r="AK337" s="6">
        <v>21</v>
      </c>
      <c r="AL337" s="6">
        <v>66</v>
      </c>
    </row>
    <row r="338" spans="2:38" x14ac:dyDescent="0.2">
      <c r="B338" s="14">
        <v>2008</v>
      </c>
      <c r="C338" s="14" t="s">
        <v>289</v>
      </c>
      <c r="D338" s="6">
        <v>45</v>
      </c>
      <c r="E338" s="6">
        <v>53</v>
      </c>
      <c r="F338" s="6">
        <v>61.8</v>
      </c>
      <c r="G338" s="6">
        <v>80</v>
      </c>
      <c r="H338" s="6">
        <v>152</v>
      </c>
      <c r="I338" s="6">
        <v>91</v>
      </c>
      <c r="J338" s="6">
        <v>76</v>
      </c>
      <c r="K338" s="6">
        <v>96</v>
      </c>
      <c r="L338" s="6">
        <v>83</v>
      </c>
      <c r="M338" s="6">
        <v>60</v>
      </c>
      <c r="N338" s="6">
        <v>106</v>
      </c>
      <c r="O338" s="6">
        <v>22.5</v>
      </c>
      <c r="P338" s="6">
        <v>28</v>
      </c>
      <c r="Q338" s="6">
        <v>87</v>
      </c>
      <c r="R338" s="6">
        <v>92.6</v>
      </c>
      <c r="S338" s="6">
        <v>46</v>
      </c>
      <c r="T338" s="6">
        <v>83.5</v>
      </c>
      <c r="U338" s="6">
        <v>66.5</v>
      </c>
      <c r="V338" s="6">
        <v>89</v>
      </c>
      <c r="W338" s="6">
        <v>60.3</v>
      </c>
      <c r="X338" s="6">
        <v>89.5</v>
      </c>
      <c r="Y338" s="6">
        <v>60.1</v>
      </c>
      <c r="Z338" s="6">
        <v>75</v>
      </c>
      <c r="AA338" s="14">
        <v>68</v>
      </c>
      <c r="AB338" s="6">
        <v>15</v>
      </c>
      <c r="AC338" s="6">
        <v>61.1</v>
      </c>
      <c r="AD338" s="6">
        <v>19.600000000000001</v>
      </c>
      <c r="AE338" s="6">
        <v>104</v>
      </c>
      <c r="AF338" s="6">
        <v>73</v>
      </c>
      <c r="AG338" s="6">
        <v>72.7</v>
      </c>
      <c r="AH338" s="6">
        <v>159</v>
      </c>
      <c r="AI338" s="6">
        <v>70.5</v>
      </c>
      <c r="AJ338" s="6">
        <v>46.3</v>
      </c>
      <c r="AK338" s="6">
        <v>71</v>
      </c>
      <c r="AL338" s="6">
        <v>113</v>
      </c>
    </row>
    <row r="339" spans="2:38" x14ac:dyDescent="0.2">
      <c r="B339" s="14">
        <v>2008</v>
      </c>
      <c r="C339" s="14" t="s">
        <v>290</v>
      </c>
      <c r="D339" s="6">
        <v>158</v>
      </c>
      <c r="E339" s="6">
        <v>112</v>
      </c>
      <c r="F339" s="6">
        <v>82.8</v>
      </c>
      <c r="G339" s="6">
        <v>226</v>
      </c>
      <c r="H339" s="6">
        <v>62</v>
      </c>
      <c r="I339" s="6">
        <v>211</v>
      </c>
      <c r="J339" s="6">
        <v>159</v>
      </c>
      <c r="K339" s="6">
        <v>87</v>
      </c>
      <c r="L339" s="6">
        <v>77</v>
      </c>
      <c r="M339" s="6">
        <v>118</v>
      </c>
      <c r="N339" s="6">
        <v>121</v>
      </c>
      <c r="O339" s="6">
        <v>36</v>
      </c>
      <c r="P339" s="6">
        <v>118</v>
      </c>
      <c r="Q339" s="6">
        <v>262</v>
      </c>
      <c r="R339" s="6">
        <v>113.7</v>
      </c>
      <c r="S339" s="6">
        <v>215.3</v>
      </c>
      <c r="T339" s="6">
        <v>63.3</v>
      </c>
      <c r="U339" s="6">
        <v>98</v>
      </c>
      <c r="V339" s="6">
        <v>107</v>
      </c>
      <c r="W339" s="6">
        <v>221.9</v>
      </c>
      <c r="X339" s="6">
        <v>56</v>
      </c>
      <c r="Y339" s="6">
        <v>120.4</v>
      </c>
      <c r="Z339" s="6">
        <v>117</v>
      </c>
      <c r="AA339" s="14">
        <v>170</v>
      </c>
      <c r="AB339" s="6">
        <v>90</v>
      </c>
      <c r="AC339" s="6">
        <v>121.1</v>
      </c>
      <c r="AD339" s="6">
        <v>133.19999999999999</v>
      </c>
      <c r="AE339" s="6">
        <v>90</v>
      </c>
      <c r="AF339" s="6">
        <v>53</v>
      </c>
      <c r="AG339" s="6">
        <v>56.8</v>
      </c>
      <c r="AH339" s="6">
        <v>84</v>
      </c>
      <c r="AI339" s="6">
        <v>85</v>
      </c>
      <c r="AJ339" s="6">
        <v>206.1</v>
      </c>
      <c r="AK339" s="6">
        <v>98.5</v>
      </c>
      <c r="AL339" s="6">
        <v>99</v>
      </c>
    </row>
    <row r="340" spans="2:38" x14ac:dyDescent="0.2">
      <c r="B340" s="14">
        <v>2008</v>
      </c>
      <c r="C340" s="14" t="s">
        <v>291</v>
      </c>
      <c r="D340" s="258" t="s">
        <v>300</v>
      </c>
      <c r="E340" s="6">
        <v>56</v>
      </c>
      <c r="F340" s="6">
        <v>75.3</v>
      </c>
      <c r="G340" s="6">
        <v>104</v>
      </c>
      <c r="H340" s="6">
        <v>63</v>
      </c>
      <c r="I340" s="6">
        <v>69</v>
      </c>
      <c r="J340" s="6">
        <v>109</v>
      </c>
      <c r="K340" s="6">
        <v>49</v>
      </c>
      <c r="L340" s="6">
        <v>42</v>
      </c>
      <c r="M340" s="6">
        <v>76</v>
      </c>
      <c r="N340" s="6">
        <v>59</v>
      </c>
      <c r="O340" s="6">
        <v>27</v>
      </c>
      <c r="P340" s="6">
        <v>22</v>
      </c>
      <c r="Q340" s="6">
        <v>97</v>
      </c>
      <c r="R340" s="6">
        <v>101.7</v>
      </c>
      <c r="S340" s="6">
        <v>16.399999999999999</v>
      </c>
      <c r="T340" s="6">
        <v>39.9</v>
      </c>
      <c r="U340" s="6">
        <v>70</v>
      </c>
      <c r="V340" s="6">
        <v>25</v>
      </c>
      <c r="W340" s="6">
        <v>66.7</v>
      </c>
      <c r="X340" s="6">
        <v>58</v>
      </c>
      <c r="Y340" s="6">
        <v>80.599999999999994</v>
      </c>
      <c r="Z340" s="6">
        <v>39</v>
      </c>
      <c r="AA340" s="14">
        <v>128</v>
      </c>
      <c r="AB340" s="258" t="s">
        <v>300</v>
      </c>
      <c r="AC340" s="6">
        <v>24.5</v>
      </c>
      <c r="AD340" s="6">
        <v>59.7</v>
      </c>
      <c r="AE340" s="6">
        <v>59.7</v>
      </c>
      <c r="AF340" s="6">
        <v>48</v>
      </c>
      <c r="AG340" s="6">
        <v>31.8</v>
      </c>
      <c r="AH340" s="6">
        <v>43</v>
      </c>
      <c r="AI340" s="6">
        <v>97</v>
      </c>
      <c r="AJ340" s="6">
        <v>79</v>
      </c>
      <c r="AK340" s="6">
        <v>83</v>
      </c>
      <c r="AL340" s="6">
        <v>53</v>
      </c>
    </row>
    <row r="341" spans="2:38" x14ac:dyDescent="0.2">
      <c r="B341" s="14">
        <v>2008</v>
      </c>
      <c r="C341" s="14" t="s">
        <v>292</v>
      </c>
      <c r="D341" s="6">
        <v>12</v>
      </c>
      <c r="E341" s="6">
        <v>9</v>
      </c>
      <c r="F341" s="6">
        <v>128.1</v>
      </c>
      <c r="G341" s="6">
        <v>15</v>
      </c>
      <c r="H341" s="6">
        <v>72</v>
      </c>
      <c r="I341" s="6">
        <v>14</v>
      </c>
      <c r="J341" s="6">
        <v>4</v>
      </c>
      <c r="K341" s="6">
        <v>6</v>
      </c>
      <c r="L341" s="6">
        <v>11</v>
      </c>
      <c r="M341" s="258" t="s">
        <v>300</v>
      </c>
      <c r="N341" s="6">
        <v>16</v>
      </c>
      <c r="O341" s="258" t="s">
        <v>300</v>
      </c>
      <c r="P341" s="6">
        <v>20</v>
      </c>
      <c r="Q341" s="6">
        <v>29</v>
      </c>
      <c r="R341" s="6">
        <v>18.600000000000001</v>
      </c>
      <c r="S341" s="6">
        <v>15.9</v>
      </c>
      <c r="T341" s="6">
        <v>12</v>
      </c>
      <c r="U341" s="6">
        <v>16</v>
      </c>
      <c r="V341" s="6">
        <v>26</v>
      </c>
      <c r="W341" s="6">
        <v>49.5</v>
      </c>
      <c r="X341" s="6">
        <v>22</v>
      </c>
      <c r="Y341" s="6">
        <v>14.2</v>
      </c>
      <c r="Z341" s="6">
        <v>21</v>
      </c>
      <c r="AA341" s="14">
        <v>24</v>
      </c>
      <c r="AB341" s="6">
        <v>22</v>
      </c>
      <c r="AC341" s="6">
        <v>75</v>
      </c>
      <c r="AD341" s="6">
        <v>28.6</v>
      </c>
      <c r="AE341" s="6">
        <v>60.9</v>
      </c>
      <c r="AF341" s="6">
        <v>69</v>
      </c>
      <c r="AG341" s="6">
        <v>26.4</v>
      </c>
      <c r="AH341" s="6">
        <v>85</v>
      </c>
      <c r="AI341" s="6">
        <v>61</v>
      </c>
      <c r="AJ341" s="6">
        <v>16.3</v>
      </c>
      <c r="AK341" s="258" t="s">
        <v>300</v>
      </c>
      <c r="AL341" s="6">
        <v>27</v>
      </c>
    </row>
    <row r="342" spans="2:38" x14ac:dyDescent="0.2">
      <c r="B342" s="14">
        <v>2008</v>
      </c>
      <c r="C342" s="14" t="s">
        <v>293</v>
      </c>
      <c r="D342" s="6">
        <v>47</v>
      </c>
      <c r="E342" s="6">
        <v>148</v>
      </c>
      <c r="F342" s="6">
        <v>52.5</v>
      </c>
      <c r="G342" s="6">
        <v>79</v>
      </c>
      <c r="H342" s="6">
        <v>68</v>
      </c>
      <c r="I342" s="6">
        <v>82</v>
      </c>
      <c r="J342" s="6">
        <v>157</v>
      </c>
      <c r="K342" s="6">
        <v>21</v>
      </c>
      <c r="L342" s="6">
        <v>52</v>
      </c>
      <c r="M342" s="6">
        <v>84</v>
      </c>
      <c r="N342" s="258" t="s">
        <v>300</v>
      </c>
      <c r="O342" s="6">
        <v>66</v>
      </c>
      <c r="P342" s="6">
        <v>132</v>
      </c>
      <c r="Q342" s="6">
        <v>186</v>
      </c>
      <c r="R342" s="6">
        <v>65.3</v>
      </c>
      <c r="S342" s="6">
        <v>184.3</v>
      </c>
      <c r="T342" s="6">
        <v>22.6</v>
      </c>
      <c r="U342" s="6">
        <v>53</v>
      </c>
      <c r="V342" s="6">
        <v>159</v>
      </c>
      <c r="W342" s="6">
        <v>10</v>
      </c>
      <c r="X342" s="258" t="s">
        <v>300</v>
      </c>
      <c r="Y342" s="6">
        <v>26.7</v>
      </c>
      <c r="Z342" s="6">
        <v>34</v>
      </c>
      <c r="AA342" s="14">
        <v>115</v>
      </c>
      <c r="AB342" s="258" t="s">
        <v>300</v>
      </c>
      <c r="AC342" s="6">
        <v>88.3</v>
      </c>
      <c r="AD342" s="6">
        <v>132.5</v>
      </c>
      <c r="AE342" s="6">
        <v>75.8</v>
      </c>
      <c r="AF342" s="6">
        <v>98</v>
      </c>
      <c r="AG342" s="6">
        <v>148.9</v>
      </c>
      <c r="AH342" s="6">
        <v>106</v>
      </c>
      <c r="AI342" s="6">
        <v>153</v>
      </c>
      <c r="AJ342" s="6">
        <v>168.9</v>
      </c>
      <c r="AK342" s="6">
        <v>160</v>
      </c>
      <c r="AL342" s="6">
        <v>147</v>
      </c>
    </row>
    <row r="343" spans="2:38" x14ac:dyDescent="0.2">
      <c r="B343" s="14">
        <v>2008</v>
      </c>
      <c r="C343" s="14" t="s">
        <v>294</v>
      </c>
      <c r="D343" s="6">
        <v>88</v>
      </c>
      <c r="E343" s="6">
        <v>56</v>
      </c>
      <c r="F343" s="6">
        <v>107.1</v>
      </c>
      <c r="G343" s="6">
        <v>105</v>
      </c>
      <c r="H343" s="6">
        <v>80</v>
      </c>
      <c r="I343" s="6">
        <v>64</v>
      </c>
      <c r="J343" s="6">
        <v>50.2</v>
      </c>
      <c r="K343" s="6">
        <v>29</v>
      </c>
      <c r="L343" s="6">
        <v>23</v>
      </c>
      <c r="M343" s="6">
        <v>64</v>
      </c>
      <c r="N343" s="6">
        <v>28</v>
      </c>
      <c r="O343" s="6">
        <v>25</v>
      </c>
      <c r="P343" s="6">
        <v>59</v>
      </c>
      <c r="Q343" s="6">
        <v>70</v>
      </c>
      <c r="R343" s="6">
        <v>45.9</v>
      </c>
      <c r="S343" s="6">
        <v>65.8</v>
      </c>
      <c r="T343" s="6">
        <v>18.100000000000001</v>
      </c>
      <c r="U343" s="6">
        <v>27</v>
      </c>
      <c r="V343" s="6">
        <v>85</v>
      </c>
      <c r="W343" s="6">
        <v>16.5</v>
      </c>
      <c r="X343" s="6">
        <v>71</v>
      </c>
      <c r="Y343" s="6">
        <v>115.5</v>
      </c>
      <c r="Z343" s="6">
        <v>48</v>
      </c>
      <c r="AA343" s="14">
        <v>25</v>
      </c>
      <c r="AB343" s="258" t="s">
        <v>300</v>
      </c>
      <c r="AC343" s="6">
        <v>117.1</v>
      </c>
      <c r="AD343" s="6">
        <v>86.2</v>
      </c>
      <c r="AE343" s="6">
        <v>50.2</v>
      </c>
      <c r="AF343" s="6">
        <v>59</v>
      </c>
      <c r="AG343" s="6">
        <v>91</v>
      </c>
      <c r="AH343" s="6">
        <v>74</v>
      </c>
      <c r="AI343" s="6">
        <v>69.5</v>
      </c>
      <c r="AJ343" s="6">
        <v>68.099999999999994</v>
      </c>
      <c r="AK343" s="6">
        <v>57</v>
      </c>
      <c r="AL343" s="6">
        <v>102</v>
      </c>
    </row>
    <row r="344" spans="2:38" x14ac:dyDescent="0.2">
      <c r="B344" s="14">
        <v>2008</v>
      </c>
      <c r="C344" s="14" t="s">
        <v>295</v>
      </c>
      <c r="D344" s="6">
        <v>70</v>
      </c>
      <c r="E344" s="6">
        <v>108</v>
      </c>
      <c r="F344" s="6">
        <v>127.3</v>
      </c>
      <c r="G344" s="6">
        <v>66</v>
      </c>
      <c r="H344" s="6">
        <v>112</v>
      </c>
      <c r="I344" s="6">
        <v>102</v>
      </c>
      <c r="J344" s="6">
        <v>88</v>
      </c>
      <c r="K344" s="6">
        <v>41</v>
      </c>
      <c r="L344" s="6">
        <v>101</v>
      </c>
      <c r="M344" s="6">
        <v>74</v>
      </c>
      <c r="N344" s="6">
        <v>52</v>
      </c>
      <c r="O344" s="6">
        <v>33</v>
      </c>
      <c r="P344" s="6">
        <v>123</v>
      </c>
      <c r="Q344" s="6">
        <v>108</v>
      </c>
      <c r="R344" s="6">
        <v>35.200000000000003</v>
      </c>
      <c r="S344" s="6">
        <v>97.4</v>
      </c>
      <c r="T344" s="6">
        <v>80.099999999999994</v>
      </c>
      <c r="U344" s="6">
        <v>63</v>
      </c>
      <c r="V344" s="6">
        <v>101.5</v>
      </c>
      <c r="W344" s="6">
        <v>74.3</v>
      </c>
      <c r="X344" s="6">
        <v>56</v>
      </c>
      <c r="Y344" s="6">
        <v>63.3</v>
      </c>
      <c r="Z344" s="6">
        <v>79</v>
      </c>
      <c r="AA344" s="14">
        <v>113</v>
      </c>
      <c r="AB344" s="6">
        <v>35</v>
      </c>
      <c r="AC344" s="6">
        <v>117.6</v>
      </c>
      <c r="AD344" s="6">
        <v>109.2</v>
      </c>
      <c r="AE344" s="6">
        <v>47.7</v>
      </c>
      <c r="AF344" s="6">
        <v>98</v>
      </c>
      <c r="AG344" s="6">
        <v>80.599999999999994</v>
      </c>
      <c r="AH344" s="6">
        <v>113</v>
      </c>
      <c r="AI344" s="6">
        <v>128</v>
      </c>
      <c r="AJ344" s="6">
        <v>66.400000000000006</v>
      </c>
      <c r="AK344" s="6">
        <v>46</v>
      </c>
      <c r="AL344" s="6">
        <v>119</v>
      </c>
    </row>
    <row r="345" spans="2:38" x14ac:dyDescent="0.2">
      <c r="B345" s="14">
        <v>2008</v>
      </c>
      <c r="C345" s="14" t="s">
        <v>296</v>
      </c>
      <c r="D345" s="6">
        <v>86</v>
      </c>
      <c r="E345" s="6">
        <v>86</v>
      </c>
      <c r="F345" s="6">
        <v>83.8</v>
      </c>
      <c r="G345" s="6">
        <v>95</v>
      </c>
      <c r="H345" s="6">
        <v>87</v>
      </c>
      <c r="I345" s="6">
        <v>90</v>
      </c>
      <c r="J345" s="6">
        <v>78</v>
      </c>
      <c r="K345" s="6">
        <v>18</v>
      </c>
      <c r="L345" s="6">
        <v>99</v>
      </c>
      <c r="M345" s="6">
        <v>92</v>
      </c>
      <c r="N345" s="6">
        <v>29.5</v>
      </c>
      <c r="O345" s="6">
        <v>123</v>
      </c>
      <c r="P345" s="6">
        <v>160</v>
      </c>
      <c r="Q345" s="6">
        <v>113</v>
      </c>
      <c r="R345" s="6">
        <v>19.8</v>
      </c>
      <c r="S345" s="6">
        <v>204.1</v>
      </c>
      <c r="T345" s="6">
        <v>22.4</v>
      </c>
      <c r="U345" s="6">
        <v>75.5</v>
      </c>
      <c r="V345" s="6">
        <v>146.5</v>
      </c>
      <c r="W345" s="6">
        <v>86</v>
      </c>
      <c r="X345" s="6">
        <v>72</v>
      </c>
      <c r="Y345" s="6">
        <v>66.599999999999994</v>
      </c>
      <c r="Z345" s="6">
        <v>66</v>
      </c>
      <c r="AA345" s="14">
        <v>121</v>
      </c>
      <c r="AB345" s="258" t="s">
        <v>300</v>
      </c>
      <c r="AC345" s="6">
        <v>137.30000000000001</v>
      </c>
      <c r="AD345" s="6">
        <v>92.3</v>
      </c>
      <c r="AE345" s="6">
        <v>37.200000000000003</v>
      </c>
      <c r="AF345" s="6">
        <v>70</v>
      </c>
      <c r="AG345" s="6">
        <v>92.9</v>
      </c>
      <c r="AH345" s="6">
        <v>62</v>
      </c>
      <c r="AI345" s="6">
        <v>99</v>
      </c>
      <c r="AJ345" s="6">
        <v>109.7</v>
      </c>
      <c r="AK345" s="6">
        <v>48</v>
      </c>
      <c r="AL345" s="6">
        <v>109</v>
      </c>
    </row>
    <row r="346" spans="2:38" x14ac:dyDescent="0.2">
      <c r="B346" s="14">
        <v>2008</v>
      </c>
      <c r="C346" s="14" t="s">
        <v>297</v>
      </c>
      <c r="D346" s="6">
        <v>26</v>
      </c>
      <c r="E346" s="6">
        <v>51</v>
      </c>
      <c r="F346" s="6">
        <v>70.7</v>
      </c>
      <c r="G346" s="6">
        <v>27</v>
      </c>
      <c r="H346" s="6">
        <v>73</v>
      </c>
      <c r="I346" s="6">
        <v>37</v>
      </c>
      <c r="J346" s="6">
        <v>45.9</v>
      </c>
      <c r="K346" s="6">
        <v>19</v>
      </c>
      <c r="L346" s="6">
        <v>32</v>
      </c>
      <c r="M346" s="6">
        <v>49</v>
      </c>
      <c r="N346" s="6">
        <v>27</v>
      </c>
      <c r="O346" s="6">
        <v>25</v>
      </c>
      <c r="P346" s="6">
        <v>50</v>
      </c>
      <c r="Q346" s="6">
        <v>49</v>
      </c>
      <c r="R346" s="6">
        <v>23.8</v>
      </c>
      <c r="S346" s="6">
        <v>69.599999999999994</v>
      </c>
      <c r="T346" s="6">
        <v>18.8</v>
      </c>
      <c r="U346" s="6">
        <v>35.5</v>
      </c>
      <c r="V346" s="6">
        <v>51</v>
      </c>
      <c r="W346" s="6">
        <v>21.4</v>
      </c>
      <c r="X346" s="6">
        <v>40</v>
      </c>
      <c r="Y346" s="6">
        <v>30.2</v>
      </c>
      <c r="Z346" s="6">
        <v>33</v>
      </c>
      <c r="AA346" s="14">
        <v>20</v>
      </c>
      <c r="AB346" s="258" t="s">
        <v>300</v>
      </c>
      <c r="AC346" s="6">
        <v>71.2</v>
      </c>
      <c r="AD346" s="6">
        <v>27.7</v>
      </c>
      <c r="AE346" s="6">
        <v>71.8</v>
      </c>
      <c r="AF346" s="6">
        <v>54</v>
      </c>
      <c r="AG346" s="6">
        <v>44.1</v>
      </c>
      <c r="AH346" s="6">
        <v>61</v>
      </c>
      <c r="AI346" s="6">
        <v>49</v>
      </c>
      <c r="AJ346" s="6">
        <v>58.2</v>
      </c>
      <c r="AK346" s="6">
        <v>41</v>
      </c>
      <c r="AL346" s="6">
        <v>56</v>
      </c>
    </row>
    <row r="347" spans="2:38" x14ac:dyDescent="0.2">
      <c r="B347" s="14">
        <v>2008</v>
      </c>
      <c r="C347" s="14" t="s">
        <v>298</v>
      </c>
      <c r="D347" s="6">
        <v>17</v>
      </c>
      <c r="E347" s="6">
        <v>18</v>
      </c>
      <c r="F347" s="6">
        <v>205.2</v>
      </c>
      <c r="G347" s="6">
        <v>23</v>
      </c>
      <c r="H347" s="6">
        <v>234</v>
      </c>
      <c r="I347" s="6">
        <v>19</v>
      </c>
      <c r="J347" s="6">
        <v>34</v>
      </c>
      <c r="K347" s="6">
        <v>49</v>
      </c>
      <c r="L347" s="6">
        <v>68</v>
      </c>
      <c r="M347" s="6">
        <v>27</v>
      </c>
      <c r="N347" s="6">
        <v>41</v>
      </c>
      <c r="O347" s="6">
        <v>8</v>
      </c>
      <c r="P347" s="6">
        <v>29</v>
      </c>
      <c r="Q347" s="6">
        <v>41</v>
      </c>
      <c r="R347" s="6">
        <v>66.599999999999994</v>
      </c>
      <c r="S347" s="6">
        <v>50</v>
      </c>
      <c r="T347" s="6">
        <v>53.5</v>
      </c>
      <c r="U347" s="6">
        <v>45</v>
      </c>
      <c r="V347" s="6">
        <v>82</v>
      </c>
      <c r="W347" s="6">
        <v>76.900000000000006</v>
      </c>
      <c r="X347" s="6">
        <v>32</v>
      </c>
      <c r="Y347" s="6">
        <v>27.9</v>
      </c>
      <c r="Z347" s="6">
        <v>24</v>
      </c>
      <c r="AA347" s="14">
        <v>66</v>
      </c>
      <c r="AB347" s="6">
        <v>43</v>
      </c>
      <c r="AC347" s="6">
        <v>178.7</v>
      </c>
      <c r="AD347" s="6">
        <v>47.7</v>
      </c>
      <c r="AE347" s="6">
        <v>97.6</v>
      </c>
      <c r="AF347" s="6">
        <v>187</v>
      </c>
      <c r="AG347" s="6">
        <v>108.5</v>
      </c>
      <c r="AH347" s="6">
        <v>275</v>
      </c>
      <c r="AI347" s="6">
        <v>111</v>
      </c>
      <c r="AJ347" s="6">
        <v>35.9</v>
      </c>
      <c r="AK347" s="6">
        <v>133</v>
      </c>
      <c r="AL347" s="6">
        <v>75</v>
      </c>
    </row>
    <row r="348" spans="2:38" x14ac:dyDescent="0.2">
      <c r="B348" s="14">
        <v>2008</v>
      </c>
      <c r="C348" s="14" t="s">
        <v>299</v>
      </c>
      <c r="D348" s="6">
        <v>20</v>
      </c>
      <c r="E348" s="6">
        <v>64</v>
      </c>
      <c r="F348" s="6">
        <v>18</v>
      </c>
      <c r="G348" s="6">
        <v>18</v>
      </c>
      <c r="H348" s="6">
        <v>14</v>
      </c>
      <c r="I348" s="6">
        <v>27</v>
      </c>
      <c r="J348" s="6">
        <v>65</v>
      </c>
      <c r="K348" s="6">
        <v>59</v>
      </c>
      <c r="L348" s="6">
        <v>131</v>
      </c>
      <c r="M348" s="6">
        <v>72</v>
      </c>
      <c r="N348" s="6">
        <v>38</v>
      </c>
      <c r="O348" s="6">
        <v>97</v>
      </c>
      <c r="P348" s="6">
        <v>59</v>
      </c>
      <c r="Q348" s="6">
        <v>53</v>
      </c>
      <c r="R348" s="6">
        <v>39.299999999999997</v>
      </c>
      <c r="S348" s="6">
        <v>16.5</v>
      </c>
      <c r="T348" s="6">
        <v>43.5</v>
      </c>
      <c r="U348" s="6">
        <v>42</v>
      </c>
      <c r="V348" s="6">
        <v>44.5</v>
      </c>
      <c r="W348" s="6">
        <v>34.9</v>
      </c>
      <c r="X348" s="6">
        <v>30</v>
      </c>
      <c r="Y348" s="6">
        <v>7.3</v>
      </c>
      <c r="Z348" s="6">
        <v>41</v>
      </c>
      <c r="AA348" s="14">
        <v>17</v>
      </c>
      <c r="AB348" s="258" t="s">
        <v>300</v>
      </c>
      <c r="AC348" s="6">
        <v>47.6</v>
      </c>
      <c r="AD348" s="6">
        <v>68.7</v>
      </c>
      <c r="AE348" s="6">
        <v>32.700000000000003</v>
      </c>
      <c r="AF348" s="6">
        <v>9</v>
      </c>
      <c r="AG348" s="6">
        <v>21.4</v>
      </c>
      <c r="AH348" s="6">
        <v>8</v>
      </c>
      <c r="AI348" s="6">
        <v>47</v>
      </c>
      <c r="AJ348" s="6">
        <v>61.1</v>
      </c>
      <c r="AK348" s="6">
        <v>28</v>
      </c>
      <c r="AL348" s="6">
        <v>68</v>
      </c>
    </row>
    <row r="349" spans="2:38" x14ac:dyDescent="0.2">
      <c r="B349" s="14">
        <v>2008</v>
      </c>
      <c r="C349" s="14" t="s">
        <v>301</v>
      </c>
      <c r="D349" s="258" t="s">
        <v>300</v>
      </c>
      <c r="E349" s="6">
        <v>36</v>
      </c>
      <c r="F349" s="6">
        <v>65.2</v>
      </c>
      <c r="G349" s="6">
        <v>18</v>
      </c>
      <c r="H349" s="6">
        <v>52</v>
      </c>
      <c r="I349" s="6">
        <v>2</v>
      </c>
      <c r="J349" s="6">
        <v>14</v>
      </c>
      <c r="K349" s="6">
        <v>80</v>
      </c>
      <c r="L349" s="6">
        <v>19</v>
      </c>
      <c r="M349" s="6">
        <v>42</v>
      </c>
      <c r="N349" s="6">
        <v>48</v>
      </c>
      <c r="O349" s="6">
        <v>7</v>
      </c>
      <c r="P349" s="6">
        <v>48</v>
      </c>
      <c r="Q349" s="6">
        <v>66</v>
      </c>
      <c r="R349" s="6">
        <v>45.6</v>
      </c>
      <c r="S349" s="6">
        <v>31.2</v>
      </c>
      <c r="T349" s="6">
        <v>20.2</v>
      </c>
      <c r="U349" s="6">
        <v>23</v>
      </c>
      <c r="V349" s="6">
        <v>22</v>
      </c>
      <c r="W349" s="6">
        <v>24.3</v>
      </c>
      <c r="X349" s="6">
        <v>21</v>
      </c>
      <c r="Y349" s="6">
        <v>19.8</v>
      </c>
      <c r="Z349" s="6">
        <v>18</v>
      </c>
      <c r="AA349" s="14">
        <v>4</v>
      </c>
      <c r="AB349" s="258" t="s">
        <v>300</v>
      </c>
      <c r="AC349" s="6">
        <v>28.2</v>
      </c>
      <c r="AD349" s="6">
        <v>3.7</v>
      </c>
      <c r="AE349" s="6">
        <v>16.5</v>
      </c>
      <c r="AF349" s="6">
        <v>25</v>
      </c>
      <c r="AG349" s="6">
        <v>29.7</v>
      </c>
      <c r="AH349" s="6">
        <v>88.5</v>
      </c>
      <c r="AI349" s="6">
        <v>265</v>
      </c>
      <c r="AJ349" s="6">
        <v>109.4</v>
      </c>
      <c r="AK349" s="6">
        <v>5</v>
      </c>
      <c r="AL349" s="6">
        <v>41</v>
      </c>
    </row>
    <row r="350" spans="2:38" x14ac:dyDescent="0.2">
      <c r="B350" s="14">
        <v>2009</v>
      </c>
      <c r="C350" s="14" t="s">
        <v>289</v>
      </c>
      <c r="D350" s="6">
        <v>48</v>
      </c>
      <c r="E350" s="6">
        <v>79</v>
      </c>
      <c r="F350" s="6">
        <v>54.9</v>
      </c>
      <c r="G350" s="6">
        <v>120</v>
      </c>
      <c r="H350" s="6">
        <v>107</v>
      </c>
      <c r="I350" s="6">
        <v>97.5</v>
      </c>
      <c r="J350" s="6">
        <v>95</v>
      </c>
      <c r="K350" s="6">
        <v>27</v>
      </c>
      <c r="L350" s="6">
        <v>191</v>
      </c>
      <c r="M350" s="6">
        <v>44</v>
      </c>
      <c r="N350" s="6">
        <v>98.5</v>
      </c>
      <c r="O350" s="6">
        <v>135</v>
      </c>
      <c r="P350" s="6">
        <v>52</v>
      </c>
      <c r="Q350" s="6">
        <v>148</v>
      </c>
      <c r="R350" s="6">
        <v>24.2</v>
      </c>
      <c r="S350" s="6">
        <v>71.5</v>
      </c>
      <c r="T350" s="6">
        <v>135.69999999999999</v>
      </c>
      <c r="U350" s="6">
        <v>121.5</v>
      </c>
      <c r="V350" s="6">
        <v>172</v>
      </c>
      <c r="W350" s="6">
        <v>100.2</v>
      </c>
      <c r="X350" s="6">
        <v>57</v>
      </c>
      <c r="Y350" s="6">
        <v>80.2</v>
      </c>
      <c r="Z350" s="6">
        <v>103</v>
      </c>
      <c r="AA350" s="14">
        <v>110</v>
      </c>
      <c r="AB350" s="6">
        <v>83</v>
      </c>
      <c r="AC350" s="6">
        <v>50.6</v>
      </c>
      <c r="AD350" s="6">
        <v>165.4</v>
      </c>
      <c r="AE350" s="6">
        <v>84.4</v>
      </c>
      <c r="AF350" s="6">
        <v>71</v>
      </c>
      <c r="AG350" s="6">
        <v>83</v>
      </c>
      <c r="AH350" s="6">
        <v>118</v>
      </c>
      <c r="AI350" s="6">
        <v>48</v>
      </c>
      <c r="AJ350" s="6">
        <v>148.69999999999999</v>
      </c>
      <c r="AK350" s="6">
        <v>52</v>
      </c>
      <c r="AL350" s="6">
        <v>119</v>
      </c>
    </row>
    <row r="351" spans="2:38" x14ac:dyDescent="0.2">
      <c r="B351" s="14">
        <v>2009</v>
      </c>
      <c r="C351" s="14" t="s">
        <v>290</v>
      </c>
      <c r="D351" s="6">
        <v>51</v>
      </c>
      <c r="E351" s="6">
        <v>91</v>
      </c>
      <c r="F351" s="6">
        <v>262.60000000000002</v>
      </c>
      <c r="G351" s="6">
        <v>107</v>
      </c>
      <c r="H351" s="6">
        <v>91</v>
      </c>
      <c r="I351" s="6">
        <v>118</v>
      </c>
      <c r="J351" s="6">
        <v>43.6</v>
      </c>
      <c r="K351" s="6">
        <v>217</v>
      </c>
      <c r="L351" s="6">
        <v>114</v>
      </c>
      <c r="M351" s="6">
        <v>73</v>
      </c>
      <c r="N351" s="6">
        <v>150</v>
      </c>
      <c r="O351" s="6">
        <v>58</v>
      </c>
      <c r="P351" s="6">
        <v>97</v>
      </c>
      <c r="Q351" s="6">
        <v>63</v>
      </c>
      <c r="R351" s="6">
        <v>213.7</v>
      </c>
      <c r="S351" s="6">
        <v>86</v>
      </c>
      <c r="T351" s="6">
        <v>176.3</v>
      </c>
      <c r="U351" s="6">
        <v>126</v>
      </c>
      <c r="V351" s="6">
        <v>79</v>
      </c>
      <c r="W351" s="6">
        <v>150.6</v>
      </c>
      <c r="X351" s="6">
        <v>144</v>
      </c>
      <c r="Y351" s="6">
        <v>137.30000000000001</v>
      </c>
      <c r="Z351" s="6">
        <v>240</v>
      </c>
      <c r="AA351" s="14">
        <v>104</v>
      </c>
      <c r="AB351" s="258" t="s">
        <v>300</v>
      </c>
      <c r="AC351" s="6">
        <v>273.5</v>
      </c>
      <c r="AD351" s="6">
        <v>110.5</v>
      </c>
      <c r="AE351" s="6">
        <v>161</v>
      </c>
      <c r="AF351" s="6">
        <v>88</v>
      </c>
      <c r="AG351" s="6">
        <v>120.8</v>
      </c>
      <c r="AH351" s="6">
        <v>72</v>
      </c>
      <c r="AI351" s="6">
        <v>143</v>
      </c>
      <c r="AJ351" s="6">
        <v>107.2</v>
      </c>
      <c r="AK351" s="6">
        <v>117</v>
      </c>
      <c r="AL351" s="6">
        <v>130</v>
      </c>
    </row>
    <row r="352" spans="2:38" x14ac:dyDescent="0.2">
      <c r="B352" s="14">
        <v>2009</v>
      </c>
      <c r="C352" s="14" t="s">
        <v>291</v>
      </c>
      <c r="D352" s="6">
        <v>223</v>
      </c>
      <c r="E352" s="6">
        <v>82</v>
      </c>
      <c r="F352" s="6">
        <v>43.7</v>
      </c>
      <c r="G352" s="6">
        <v>218</v>
      </c>
      <c r="H352" s="6">
        <v>40</v>
      </c>
      <c r="I352" s="6">
        <v>121</v>
      </c>
      <c r="J352" s="6">
        <v>142.4</v>
      </c>
      <c r="K352" s="6">
        <v>186</v>
      </c>
      <c r="L352" s="6">
        <v>182</v>
      </c>
      <c r="M352" s="6">
        <v>129</v>
      </c>
      <c r="N352" s="6">
        <v>128</v>
      </c>
      <c r="O352" s="6">
        <v>190</v>
      </c>
      <c r="P352" s="6">
        <v>107</v>
      </c>
      <c r="Q352" s="6">
        <v>447</v>
      </c>
      <c r="R352" s="6">
        <v>125.2</v>
      </c>
      <c r="S352" s="6">
        <v>94.2</v>
      </c>
      <c r="T352" s="6">
        <v>145.9</v>
      </c>
      <c r="U352" s="6">
        <v>90</v>
      </c>
      <c r="V352" s="6">
        <v>61</v>
      </c>
      <c r="W352" s="6">
        <v>195.9</v>
      </c>
      <c r="X352" s="6">
        <v>154.5</v>
      </c>
      <c r="Y352" s="6">
        <v>114</v>
      </c>
      <c r="Z352" s="6">
        <v>113</v>
      </c>
      <c r="AA352" s="14">
        <v>131</v>
      </c>
      <c r="AB352" s="258" t="s">
        <v>300</v>
      </c>
      <c r="AC352" s="6">
        <v>68.5</v>
      </c>
      <c r="AD352" s="6">
        <v>365.3</v>
      </c>
      <c r="AE352" s="6">
        <v>76.2</v>
      </c>
      <c r="AF352" s="6">
        <v>56</v>
      </c>
      <c r="AG352" s="6">
        <v>47.1</v>
      </c>
      <c r="AH352" s="6">
        <v>18</v>
      </c>
      <c r="AI352" s="6">
        <v>92.5</v>
      </c>
      <c r="AJ352" s="6">
        <v>170.9</v>
      </c>
      <c r="AK352" s="6">
        <v>86</v>
      </c>
      <c r="AL352" s="6">
        <v>52</v>
      </c>
    </row>
    <row r="353" spans="2:38" x14ac:dyDescent="0.2">
      <c r="B353" s="14">
        <v>2009</v>
      </c>
      <c r="C353" s="14" t="s">
        <v>292</v>
      </c>
      <c r="D353" s="6">
        <v>20</v>
      </c>
      <c r="E353" s="258" t="s">
        <v>300</v>
      </c>
      <c r="F353" s="6">
        <v>17.5</v>
      </c>
      <c r="G353" s="6">
        <v>30</v>
      </c>
      <c r="H353" s="6">
        <v>30</v>
      </c>
      <c r="I353" s="6">
        <v>16</v>
      </c>
      <c r="J353" s="6">
        <v>9.5</v>
      </c>
      <c r="K353" s="6">
        <v>20</v>
      </c>
      <c r="L353" s="6">
        <v>17</v>
      </c>
      <c r="M353" s="258" t="s">
        <v>300</v>
      </c>
      <c r="N353" s="6">
        <v>21</v>
      </c>
      <c r="O353" s="6">
        <v>5</v>
      </c>
      <c r="P353" s="258" t="s">
        <v>300</v>
      </c>
      <c r="Q353" s="6">
        <v>21</v>
      </c>
      <c r="R353" s="6">
        <v>25.7</v>
      </c>
      <c r="S353" s="6">
        <v>0.8</v>
      </c>
      <c r="T353" s="6">
        <v>35.9</v>
      </c>
      <c r="U353" s="6">
        <v>23.5</v>
      </c>
      <c r="V353" s="258" t="s">
        <v>300</v>
      </c>
      <c r="W353" s="6">
        <v>29.6</v>
      </c>
      <c r="X353" s="6">
        <v>21</v>
      </c>
      <c r="Y353" s="6">
        <v>14</v>
      </c>
      <c r="Z353" s="6">
        <v>26</v>
      </c>
      <c r="AA353" s="14">
        <v>59</v>
      </c>
      <c r="AB353" s="258" t="s">
        <v>300</v>
      </c>
      <c r="AC353" s="6">
        <v>8.8000000000000007</v>
      </c>
      <c r="AD353" s="6">
        <v>10.8</v>
      </c>
      <c r="AE353" s="6">
        <v>62</v>
      </c>
      <c r="AF353" s="6">
        <v>21</v>
      </c>
      <c r="AG353" s="6">
        <v>6.5</v>
      </c>
      <c r="AH353" s="6">
        <v>33</v>
      </c>
      <c r="AI353" s="6">
        <v>13</v>
      </c>
      <c r="AJ353" s="6">
        <v>5.6</v>
      </c>
      <c r="AK353" s="6">
        <v>16</v>
      </c>
      <c r="AL353" s="258" t="s">
        <v>300</v>
      </c>
    </row>
    <row r="354" spans="2:38" x14ac:dyDescent="0.2">
      <c r="B354" s="14">
        <v>2009</v>
      </c>
      <c r="C354" s="14" t="s">
        <v>293</v>
      </c>
      <c r="D354" s="6">
        <v>74</v>
      </c>
      <c r="E354" s="6">
        <v>59</v>
      </c>
      <c r="F354" s="6">
        <v>146</v>
      </c>
      <c r="G354" s="6">
        <v>82</v>
      </c>
      <c r="H354" s="6">
        <v>140</v>
      </c>
      <c r="I354" s="6">
        <v>87</v>
      </c>
      <c r="J354" s="6">
        <v>78</v>
      </c>
      <c r="K354" s="6">
        <v>49</v>
      </c>
      <c r="L354" s="6">
        <v>71</v>
      </c>
      <c r="M354" s="6">
        <v>61</v>
      </c>
      <c r="N354" s="6">
        <v>77</v>
      </c>
      <c r="O354" s="6">
        <v>41</v>
      </c>
      <c r="P354" s="6">
        <v>75</v>
      </c>
      <c r="Q354" s="6">
        <v>93</v>
      </c>
      <c r="R354" s="6">
        <v>41.6</v>
      </c>
      <c r="S354" s="6">
        <v>77.099999999999994</v>
      </c>
      <c r="T354" s="6">
        <v>50.1</v>
      </c>
      <c r="U354" s="6">
        <v>44</v>
      </c>
      <c r="V354" s="6">
        <v>66.5</v>
      </c>
      <c r="W354" s="6">
        <v>77</v>
      </c>
      <c r="X354" s="6">
        <v>96</v>
      </c>
      <c r="Y354" s="6">
        <v>92.2</v>
      </c>
      <c r="Z354" s="6">
        <v>83</v>
      </c>
      <c r="AA354" s="14">
        <v>88</v>
      </c>
      <c r="AB354" s="258" t="s">
        <v>300</v>
      </c>
      <c r="AC354" s="6">
        <v>121.6</v>
      </c>
      <c r="AD354" s="6">
        <v>154.80000000000001</v>
      </c>
      <c r="AE354" s="6">
        <v>41</v>
      </c>
      <c r="AF354" s="6">
        <v>105</v>
      </c>
      <c r="AG354" s="6">
        <v>73.5</v>
      </c>
      <c r="AH354" s="6">
        <v>150</v>
      </c>
      <c r="AI354" s="6">
        <v>43</v>
      </c>
      <c r="AJ354" s="6">
        <v>88.8</v>
      </c>
      <c r="AK354" s="6">
        <v>37</v>
      </c>
      <c r="AL354" s="6">
        <v>72</v>
      </c>
    </row>
    <row r="355" spans="2:38" x14ac:dyDescent="0.2">
      <c r="B355" s="14">
        <v>2009</v>
      </c>
      <c r="C355" s="14" t="s">
        <v>294</v>
      </c>
      <c r="D355" s="6">
        <v>63</v>
      </c>
      <c r="E355" s="6">
        <v>104</v>
      </c>
      <c r="F355" s="6">
        <v>14</v>
      </c>
      <c r="G355" s="6">
        <v>116</v>
      </c>
      <c r="H355" s="6">
        <v>24</v>
      </c>
      <c r="I355" s="6">
        <v>100</v>
      </c>
      <c r="J355" s="6">
        <v>62</v>
      </c>
      <c r="K355" s="6">
        <v>11</v>
      </c>
      <c r="L355" s="6">
        <v>55.5</v>
      </c>
      <c r="M355" s="6">
        <v>75</v>
      </c>
      <c r="N355" s="6">
        <v>64</v>
      </c>
      <c r="O355" s="6">
        <v>43</v>
      </c>
      <c r="P355" s="6">
        <v>73</v>
      </c>
      <c r="Q355" s="6">
        <v>104</v>
      </c>
      <c r="R355" s="6">
        <v>33.700000000000003</v>
      </c>
      <c r="S355" s="6">
        <v>104.9</v>
      </c>
      <c r="T355" s="6">
        <v>25.3</v>
      </c>
      <c r="U355" s="6">
        <v>69</v>
      </c>
      <c r="V355" s="6">
        <v>56.5</v>
      </c>
      <c r="W355" s="6">
        <v>20.5</v>
      </c>
      <c r="X355" s="6">
        <v>62</v>
      </c>
      <c r="Y355" s="6">
        <v>119.3</v>
      </c>
      <c r="Z355" s="6">
        <v>61</v>
      </c>
      <c r="AA355" s="14">
        <v>30</v>
      </c>
      <c r="AB355" s="6">
        <v>15</v>
      </c>
      <c r="AC355" s="6">
        <v>24.2</v>
      </c>
      <c r="AD355" s="6">
        <v>83.5</v>
      </c>
      <c r="AE355" s="6">
        <v>74.2</v>
      </c>
      <c r="AF355" s="6">
        <v>41.5</v>
      </c>
      <c r="AG355" s="6">
        <v>77.400000000000006</v>
      </c>
      <c r="AH355" s="6">
        <v>35</v>
      </c>
      <c r="AI355" s="6">
        <v>36.5</v>
      </c>
      <c r="AJ355" s="6">
        <v>79.400000000000006</v>
      </c>
      <c r="AK355" s="6">
        <v>68</v>
      </c>
      <c r="AL355" s="6">
        <v>106</v>
      </c>
    </row>
    <row r="356" spans="2:38" x14ac:dyDescent="0.2">
      <c r="B356" s="14">
        <v>2009</v>
      </c>
      <c r="C356" s="14" t="s">
        <v>295</v>
      </c>
      <c r="D356" s="6">
        <v>130</v>
      </c>
      <c r="E356" s="258" t="s">
        <v>300</v>
      </c>
      <c r="F356" s="6">
        <v>21.2</v>
      </c>
      <c r="G356" s="6">
        <v>134</v>
      </c>
      <c r="H356" s="6">
        <v>20</v>
      </c>
      <c r="I356" s="6">
        <v>120</v>
      </c>
      <c r="J356" s="6">
        <v>72</v>
      </c>
      <c r="K356" s="6">
        <v>129</v>
      </c>
      <c r="L356" s="6">
        <v>35</v>
      </c>
      <c r="M356" s="6">
        <v>32</v>
      </c>
      <c r="N356" s="6">
        <v>101</v>
      </c>
      <c r="O356" s="6">
        <v>34.5</v>
      </c>
      <c r="P356" s="6">
        <v>59</v>
      </c>
      <c r="Q356" s="6">
        <v>62</v>
      </c>
      <c r="R356" s="6">
        <v>142</v>
      </c>
      <c r="S356" s="6">
        <v>46</v>
      </c>
      <c r="T356" s="6">
        <v>101.4</v>
      </c>
      <c r="U356" s="6">
        <v>80</v>
      </c>
      <c r="V356" s="6">
        <v>62</v>
      </c>
      <c r="W356" s="6">
        <v>46.5</v>
      </c>
      <c r="X356" s="6">
        <v>127</v>
      </c>
      <c r="Y356" s="6">
        <v>101.1</v>
      </c>
      <c r="Z356" s="6">
        <v>109</v>
      </c>
      <c r="AA356" s="14">
        <v>39</v>
      </c>
      <c r="AB356" s="258" t="s">
        <v>300</v>
      </c>
      <c r="AC356" s="6">
        <v>48.1</v>
      </c>
      <c r="AD356" s="6">
        <v>66.5</v>
      </c>
      <c r="AE356" s="6">
        <v>40.1</v>
      </c>
      <c r="AF356" s="6">
        <v>14</v>
      </c>
      <c r="AG356" s="6">
        <v>46.1</v>
      </c>
      <c r="AH356" s="6">
        <v>22</v>
      </c>
      <c r="AI356" s="6">
        <v>35</v>
      </c>
      <c r="AJ356" s="6">
        <v>61.3</v>
      </c>
      <c r="AK356" s="6">
        <v>10</v>
      </c>
      <c r="AL356" s="6">
        <v>44</v>
      </c>
    </row>
    <row r="357" spans="2:38" x14ac:dyDescent="0.2">
      <c r="B357" s="14">
        <v>2009</v>
      </c>
      <c r="C357" s="14" t="s">
        <v>296</v>
      </c>
      <c r="D357" s="6">
        <v>58</v>
      </c>
      <c r="E357" s="6">
        <v>86</v>
      </c>
      <c r="F357" s="6">
        <v>21.8</v>
      </c>
      <c r="G357" s="6">
        <v>73</v>
      </c>
      <c r="H357" s="6">
        <v>20</v>
      </c>
      <c r="I357" s="6">
        <v>77</v>
      </c>
      <c r="J357" s="6">
        <v>102</v>
      </c>
      <c r="K357" s="6">
        <v>43</v>
      </c>
      <c r="L357" s="6">
        <v>112</v>
      </c>
      <c r="M357" s="6">
        <v>101</v>
      </c>
      <c r="N357" s="6">
        <v>63</v>
      </c>
      <c r="O357" s="6">
        <v>100</v>
      </c>
      <c r="P357" s="6">
        <v>98</v>
      </c>
      <c r="Q357" s="6">
        <v>158</v>
      </c>
      <c r="R357" s="6">
        <v>40.799999999999997</v>
      </c>
      <c r="S357" s="6">
        <v>121.9</v>
      </c>
      <c r="T357" s="6">
        <v>46.4</v>
      </c>
      <c r="U357" s="6">
        <v>80.5</v>
      </c>
      <c r="V357" s="6">
        <v>103</v>
      </c>
      <c r="W357" s="6">
        <v>37.200000000000003</v>
      </c>
      <c r="X357" s="6">
        <v>62</v>
      </c>
      <c r="Y357" s="6">
        <v>58.2</v>
      </c>
      <c r="Z357" s="6">
        <v>107</v>
      </c>
      <c r="AA357" s="14">
        <v>109</v>
      </c>
      <c r="AB357" s="6">
        <v>48</v>
      </c>
      <c r="AC357" s="6">
        <v>76.3</v>
      </c>
      <c r="AD357" s="6">
        <v>53.1</v>
      </c>
      <c r="AE357" s="6">
        <v>44.7</v>
      </c>
      <c r="AF357" s="6">
        <v>66.599999999999994</v>
      </c>
      <c r="AG357" s="6">
        <v>96.9</v>
      </c>
      <c r="AH357" s="6">
        <v>18</v>
      </c>
      <c r="AI357" s="6">
        <v>91</v>
      </c>
      <c r="AJ357" s="6">
        <v>131.9</v>
      </c>
      <c r="AK357" s="6">
        <v>35</v>
      </c>
      <c r="AL357" s="6">
        <v>149</v>
      </c>
    </row>
    <row r="358" spans="2:38" x14ac:dyDescent="0.2">
      <c r="B358" s="14">
        <v>2009</v>
      </c>
      <c r="C358" s="14" t="s">
        <v>297</v>
      </c>
      <c r="D358" s="6">
        <v>156</v>
      </c>
      <c r="E358" s="6">
        <v>74</v>
      </c>
      <c r="F358" s="6">
        <v>195.7</v>
      </c>
      <c r="G358" s="6">
        <v>83</v>
      </c>
      <c r="H358" s="6">
        <v>174</v>
      </c>
      <c r="I358" s="6">
        <v>89</v>
      </c>
      <c r="J358" s="6">
        <v>63.5</v>
      </c>
      <c r="K358" s="6">
        <v>57</v>
      </c>
      <c r="L358" s="6">
        <v>44</v>
      </c>
      <c r="M358" s="6">
        <v>64</v>
      </c>
      <c r="N358" s="6">
        <v>91</v>
      </c>
      <c r="O358" s="6">
        <v>76</v>
      </c>
      <c r="P358" s="6">
        <v>55</v>
      </c>
      <c r="Q358" s="6">
        <v>110</v>
      </c>
      <c r="R358" s="6">
        <v>76.8</v>
      </c>
      <c r="S358" s="6">
        <v>123.5</v>
      </c>
      <c r="T358" s="6">
        <v>93.3</v>
      </c>
      <c r="U358" s="6">
        <v>69</v>
      </c>
      <c r="V358" s="6">
        <v>169.5</v>
      </c>
      <c r="W358" s="6">
        <v>93.1</v>
      </c>
      <c r="X358" s="6">
        <v>63</v>
      </c>
      <c r="Y358" s="6">
        <v>103</v>
      </c>
      <c r="Z358" s="6">
        <v>80</v>
      </c>
      <c r="AA358" s="14">
        <v>83</v>
      </c>
      <c r="AB358" s="6">
        <v>31</v>
      </c>
      <c r="AC358" s="6">
        <v>228.4</v>
      </c>
      <c r="AD358" s="6">
        <v>82.4</v>
      </c>
      <c r="AE358" s="6">
        <v>136.19999999999999</v>
      </c>
      <c r="AF358" s="6">
        <v>198</v>
      </c>
      <c r="AG358" s="6">
        <v>125.4</v>
      </c>
      <c r="AH358" s="6">
        <v>197.7</v>
      </c>
      <c r="AI358" s="6">
        <v>193</v>
      </c>
      <c r="AJ358" s="6">
        <v>78.400000000000006</v>
      </c>
      <c r="AK358" s="6">
        <v>102</v>
      </c>
      <c r="AL358" s="6">
        <v>138.5</v>
      </c>
    </row>
    <row r="359" spans="2:38" x14ac:dyDescent="0.2">
      <c r="B359" s="14">
        <v>2009</v>
      </c>
      <c r="C359" s="14" t="s">
        <v>298</v>
      </c>
      <c r="D359" s="6">
        <v>131</v>
      </c>
      <c r="E359" s="6">
        <v>144</v>
      </c>
      <c r="F359" s="6">
        <v>81.099999999999994</v>
      </c>
      <c r="G359" s="6">
        <v>172</v>
      </c>
      <c r="H359" s="6">
        <v>99</v>
      </c>
      <c r="I359" s="6">
        <v>235</v>
      </c>
      <c r="J359" s="6">
        <v>198</v>
      </c>
      <c r="K359" s="6">
        <v>198</v>
      </c>
      <c r="L359" s="6">
        <v>106</v>
      </c>
      <c r="M359" s="6">
        <v>136</v>
      </c>
      <c r="N359" s="6">
        <v>189</v>
      </c>
      <c r="O359" s="6">
        <v>172</v>
      </c>
      <c r="P359" s="6">
        <v>150</v>
      </c>
      <c r="Q359" s="6">
        <v>174</v>
      </c>
      <c r="R359" s="6">
        <v>208.1</v>
      </c>
      <c r="S359" s="6">
        <v>141.19999999999999</v>
      </c>
      <c r="T359" s="6">
        <v>126.4</v>
      </c>
      <c r="U359" s="6">
        <v>239.5</v>
      </c>
      <c r="V359" s="6">
        <v>139</v>
      </c>
      <c r="W359" s="6">
        <v>76.2</v>
      </c>
      <c r="X359" s="6">
        <v>291.5</v>
      </c>
      <c r="Y359" s="6">
        <v>180</v>
      </c>
      <c r="Z359" s="6">
        <v>258</v>
      </c>
      <c r="AA359" s="14">
        <v>175</v>
      </c>
      <c r="AB359" s="6">
        <v>32</v>
      </c>
      <c r="AC359" s="6">
        <v>132.9</v>
      </c>
      <c r="AD359" s="6">
        <v>185.9</v>
      </c>
      <c r="AE359" s="6">
        <v>113.3</v>
      </c>
      <c r="AF359" s="6">
        <v>89</v>
      </c>
      <c r="AG359" s="6">
        <v>137.69999999999999</v>
      </c>
      <c r="AH359" s="6">
        <v>84</v>
      </c>
      <c r="AI359" s="6">
        <v>75</v>
      </c>
      <c r="AJ359" s="6">
        <v>136.30000000000001</v>
      </c>
      <c r="AK359" s="258" t="s">
        <v>300</v>
      </c>
      <c r="AL359" s="6">
        <v>176</v>
      </c>
    </row>
    <row r="360" spans="2:38" x14ac:dyDescent="0.2">
      <c r="B360" s="14">
        <v>2009</v>
      </c>
      <c r="C360" s="14" t="s">
        <v>299</v>
      </c>
      <c r="D360" s="6">
        <v>155.5</v>
      </c>
      <c r="E360" s="6">
        <v>252</v>
      </c>
      <c r="F360" s="6">
        <v>613.29999999999995</v>
      </c>
      <c r="G360" s="6">
        <v>221</v>
      </c>
      <c r="H360" s="6">
        <v>654</v>
      </c>
      <c r="I360" s="6">
        <v>173.5</v>
      </c>
      <c r="J360" s="6">
        <v>288</v>
      </c>
      <c r="K360" s="6">
        <v>164</v>
      </c>
      <c r="L360" s="6">
        <v>223</v>
      </c>
      <c r="M360" s="6">
        <v>315</v>
      </c>
      <c r="N360" s="6">
        <v>374.5</v>
      </c>
      <c r="O360" s="6">
        <v>139</v>
      </c>
      <c r="P360" s="6">
        <v>351</v>
      </c>
      <c r="Q360" s="6">
        <v>353</v>
      </c>
      <c r="R360" s="6">
        <v>157.80000000000001</v>
      </c>
      <c r="S360" s="6">
        <v>385.4</v>
      </c>
      <c r="T360" s="6">
        <v>200</v>
      </c>
      <c r="U360" s="6">
        <v>242</v>
      </c>
      <c r="V360" s="6">
        <v>763</v>
      </c>
      <c r="W360" s="6">
        <v>250</v>
      </c>
      <c r="X360" s="6">
        <v>332</v>
      </c>
      <c r="Y360" s="6">
        <v>164.2</v>
      </c>
      <c r="Z360" s="6">
        <v>232</v>
      </c>
      <c r="AA360" s="14">
        <v>420</v>
      </c>
      <c r="AB360" s="6">
        <v>320</v>
      </c>
      <c r="AC360" s="6">
        <v>540.1</v>
      </c>
      <c r="AD360" s="6">
        <v>105.6</v>
      </c>
      <c r="AE360" s="6">
        <v>379.6</v>
      </c>
      <c r="AF360" s="6">
        <v>539</v>
      </c>
      <c r="AG360" s="6">
        <v>462.1</v>
      </c>
      <c r="AH360" s="6">
        <v>607</v>
      </c>
      <c r="AI360" s="6">
        <v>496</v>
      </c>
      <c r="AJ360" s="6">
        <v>222.1</v>
      </c>
      <c r="AK360" s="6">
        <v>294</v>
      </c>
      <c r="AL360" s="6">
        <v>625</v>
      </c>
    </row>
    <row r="361" spans="2:38" x14ac:dyDescent="0.2">
      <c r="B361" s="14">
        <v>2009</v>
      </c>
      <c r="C361" s="14" t="s">
        <v>301</v>
      </c>
      <c r="D361" s="6">
        <v>72</v>
      </c>
      <c r="E361" s="6">
        <v>57</v>
      </c>
      <c r="F361" s="6">
        <v>272.39999999999998</v>
      </c>
      <c r="G361" s="6">
        <v>92</v>
      </c>
      <c r="H361" s="6">
        <v>248</v>
      </c>
      <c r="I361" s="6">
        <v>124</v>
      </c>
      <c r="J361" s="6">
        <v>135</v>
      </c>
      <c r="K361" s="6">
        <v>150</v>
      </c>
      <c r="L361" s="6">
        <v>354</v>
      </c>
      <c r="M361" s="6">
        <v>134</v>
      </c>
      <c r="N361" s="6">
        <v>260</v>
      </c>
      <c r="O361" s="6">
        <v>214</v>
      </c>
      <c r="P361" s="6">
        <v>113</v>
      </c>
      <c r="Q361" s="6">
        <v>167</v>
      </c>
      <c r="R361" s="6">
        <v>107.7</v>
      </c>
      <c r="S361" s="6">
        <v>118.9</v>
      </c>
      <c r="T361" s="6">
        <v>314.5</v>
      </c>
      <c r="U361" s="6">
        <v>251</v>
      </c>
      <c r="V361" s="6">
        <v>144</v>
      </c>
      <c r="W361" s="6">
        <v>203.2</v>
      </c>
      <c r="X361" s="6">
        <v>194</v>
      </c>
      <c r="Y361" s="6">
        <v>34.799999999999997</v>
      </c>
      <c r="Z361" s="6">
        <v>173</v>
      </c>
      <c r="AA361" s="14">
        <v>355</v>
      </c>
      <c r="AB361" s="6">
        <v>164</v>
      </c>
      <c r="AC361" s="6">
        <v>276.60000000000002</v>
      </c>
      <c r="AD361" s="6">
        <v>75</v>
      </c>
      <c r="AE361" s="6">
        <v>350.7</v>
      </c>
      <c r="AF361" s="6">
        <v>128</v>
      </c>
      <c r="AG361" s="6">
        <v>221.2</v>
      </c>
      <c r="AH361" s="6">
        <v>207</v>
      </c>
      <c r="AI361" s="6">
        <v>177</v>
      </c>
      <c r="AJ361" s="6">
        <v>151.1</v>
      </c>
      <c r="AK361" s="6">
        <v>99</v>
      </c>
      <c r="AL361" s="6">
        <v>219</v>
      </c>
    </row>
    <row r="362" spans="2:38" x14ac:dyDescent="0.2">
      <c r="B362" s="14">
        <v>2010</v>
      </c>
      <c r="C362" s="14" t="s">
        <v>289</v>
      </c>
      <c r="D362" s="6">
        <v>134</v>
      </c>
      <c r="E362" s="6">
        <v>67</v>
      </c>
      <c r="F362" s="6">
        <v>357.5</v>
      </c>
      <c r="G362" s="6">
        <v>134</v>
      </c>
      <c r="H362" s="6">
        <v>418</v>
      </c>
      <c r="I362" s="6">
        <v>109</v>
      </c>
      <c r="J362" s="6">
        <v>103</v>
      </c>
      <c r="K362" s="6">
        <v>133</v>
      </c>
      <c r="L362" s="6">
        <v>103</v>
      </c>
      <c r="M362" s="6">
        <v>57</v>
      </c>
      <c r="N362" s="6">
        <v>100.5</v>
      </c>
      <c r="O362" s="6">
        <v>32</v>
      </c>
      <c r="P362" s="6">
        <v>13</v>
      </c>
      <c r="Q362" s="6">
        <v>79</v>
      </c>
      <c r="R362" s="6">
        <v>103.6</v>
      </c>
      <c r="S362" s="6">
        <v>30.2</v>
      </c>
      <c r="T362" s="6">
        <v>126.6</v>
      </c>
      <c r="U362" s="6">
        <v>76.5</v>
      </c>
      <c r="V362" s="6">
        <v>86.5</v>
      </c>
      <c r="W362" s="6">
        <v>211.7</v>
      </c>
      <c r="X362" s="6">
        <v>276</v>
      </c>
      <c r="Y362" s="6">
        <v>102.1</v>
      </c>
      <c r="Z362" s="6">
        <v>62</v>
      </c>
      <c r="AA362" s="14">
        <v>182</v>
      </c>
      <c r="AB362" s="258" t="s">
        <v>300</v>
      </c>
      <c r="AC362" s="6">
        <v>241.5</v>
      </c>
      <c r="AD362" s="6">
        <v>75.900000000000006</v>
      </c>
      <c r="AE362" s="6">
        <v>122.7</v>
      </c>
      <c r="AF362" s="6">
        <v>152</v>
      </c>
      <c r="AG362" s="6">
        <v>190.8</v>
      </c>
      <c r="AH362" s="6">
        <v>350</v>
      </c>
      <c r="AI362" s="6">
        <v>56</v>
      </c>
      <c r="AJ362" s="6">
        <v>136.9</v>
      </c>
      <c r="AK362" s="6">
        <v>94</v>
      </c>
      <c r="AL362" s="6">
        <v>106</v>
      </c>
    </row>
    <row r="363" spans="2:38" x14ac:dyDescent="0.2">
      <c r="B363" s="14">
        <v>2010</v>
      </c>
      <c r="C363" s="14" t="s">
        <v>290</v>
      </c>
      <c r="D363" s="6">
        <v>314</v>
      </c>
      <c r="E363" s="6">
        <v>378</v>
      </c>
      <c r="F363" s="6">
        <v>166.2</v>
      </c>
      <c r="G363" s="6">
        <v>369</v>
      </c>
      <c r="H363" s="6">
        <v>320</v>
      </c>
      <c r="I363" s="6">
        <v>329</v>
      </c>
      <c r="J363" s="6">
        <v>256</v>
      </c>
      <c r="K363" s="6">
        <v>346</v>
      </c>
      <c r="L363" s="6">
        <v>497</v>
      </c>
      <c r="M363" s="6">
        <v>234.5</v>
      </c>
      <c r="N363" s="6">
        <v>335</v>
      </c>
      <c r="O363" s="6">
        <v>351</v>
      </c>
      <c r="P363" s="6">
        <v>411</v>
      </c>
      <c r="Q363" s="6">
        <v>507</v>
      </c>
      <c r="R363" s="6">
        <v>351.9</v>
      </c>
      <c r="S363" s="6">
        <v>496.3</v>
      </c>
      <c r="T363" s="6">
        <v>453</v>
      </c>
      <c r="U363" s="6">
        <v>531.5</v>
      </c>
      <c r="V363" s="6">
        <v>362.5</v>
      </c>
      <c r="W363" s="6">
        <v>523.70000000000005</v>
      </c>
      <c r="X363" s="6">
        <v>323</v>
      </c>
      <c r="Y363" s="6">
        <v>183.4</v>
      </c>
      <c r="Z363" s="6">
        <v>493</v>
      </c>
      <c r="AA363" s="14">
        <v>532</v>
      </c>
      <c r="AB363" s="258" t="s">
        <v>300</v>
      </c>
      <c r="AC363" s="6">
        <v>298.10000000000002</v>
      </c>
      <c r="AD363" s="6">
        <v>231.4</v>
      </c>
      <c r="AE363" s="6">
        <v>428.3</v>
      </c>
      <c r="AF363" s="6">
        <v>485</v>
      </c>
      <c r="AG363" s="6">
        <v>509.8</v>
      </c>
      <c r="AH363" s="6">
        <v>208</v>
      </c>
      <c r="AI363" s="6">
        <v>333</v>
      </c>
      <c r="AJ363" s="6">
        <v>259.89999999999998</v>
      </c>
      <c r="AK363" s="6">
        <v>325.5</v>
      </c>
      <c r="AL363" s="6">
        <v>313</v>
      </c>
    </row>
    <row r="364" spans="2:38" x14ac:dyDescent="0.2">
      <c r="B364" s="14">
        <v>2010</v>
      </c>
      <c r="C364" s="14" t="s">
        <v>291</v>
      </c>
      <c r="D364" s="6">
        <v>116</v>
      </c>
      <c r="E364" s="6">
        <v>60</v>
      </c>
      <c r="F364" s="6">
        <v>46.7</v>
      </c>
      <c r="G364" s="6">
        <v>83</v>
      </c>
      <c r="H364" s="6">
        <v>84</v>
      </c>
      <c r="I364" s="6">
        <v>89</v>
      </c>
      <c r="J364" s="6">
        <v>119</v>
      </c>
      <c r="K364" s="6">
        <v>95</v>
      </c>
      <c r="L364" s="6">
        <v>56</v>
      </c>
      <c r="M364" s="6">
        <v>37</v>
      </c>
      <c r="N364" s="6">
        <v>64</v>
      </c>
      <c r="O364" s="6">
        <v>35</v>
      </c>
      <c r="P364" s="6">
        <v>50</v>
      </c>
      <c r="Q364" s="6">
        <v>116</v>
      </c>
      <c r="R364" s="6">
        <v>54.5</v>
      </c>
      <c r="S364" s="6">
        <v>31.6</v>
      </c>
      <c r="T364" s="6">
        <v>112.4</v>
      </c>
      <c r="U364" s="6">
        <v>47</v>
      </c>
      <c r="V364" s="6">
        <v>59</v>
      </c>
      <c r="W364" s="6">
        <v>150.4</v>
      </c>
      <c r="X364" s="6">
        <v>25</v>
      </c>
      <c r="Y364" s="6">
        <v>42.3</v>
      </c>
      <c r="Z364" s="6">
        <v>58</v>
      </c>
      <c r="AA364" s="14">
        <v>133</v>
      </c>
      <c r="AB364" s="258" t="s">
        <v>300</v>
      </c>
      <c r="AC364" s="6">
        <v>53.7</v>
      </c>
      <c r="AD364" s="6">
        <v>71.900000000000006</v>
      </c>
      <c r="AE364" s="6">
        <v>109</v>
      </c>
      <c r="AF364" s="6">
        <v>75</v>
      </c>
      <c r="AG364" s="6">
        <v>41</v>
      </c>
      <c r="AH364" s="6">
        <v>148</v>
      </c>
      <c r="AI364" s="6">
        <v>25</v>
      </c>
      <c r="AJ364" s="6">
        <v>89.1</v>
      </c>
      <c r="AK364" s="6">
        <v>110</v>
      </c>
      <c r="AL364" s="6">
        <v>57</v>
      </c>
    </row>
    <row r="365" spans="2:38" x14ac:dyDescent="0.2">
      <c r="B365" s="14">
        <v>2010</v>
      </c>
      <c r="C365" s="14" t="s">
        <v>292</v>
      </c>
      <c r="D365" s="6">
        <v>65</v>
      </c>
      <c r="E365" s="258" t="s">
        <v>300</v>
      </c>
      <c r="F365" s="6">
        <v>62.9</v>
      </c>
      <c r="G365" s="6">
        <v>103</v>
      </c>
      <c r="H365" s="6">
        <v>106</v>
      </c>
      <c r="I365" s="6">
        <v>97</v>
      </c>
      <c r="J365" s="6">
        <v>28</v>
      </c>
      <c r="K365" s="6">
        <v>61</v>
      </c>
      <c r="L365" s="6">
        <v>34</v>
      </c>
      <c r="M365" s="6">
        <v>27</v>
      </c>
      <c r="N365" s="6">
        <v>62.5</v>
      </c>
      <c r="O365" s="258" t="s">
        <v>300</v>
      </c>
      <c r="P365" s="6">
        <v>25</v>
      </c>
      <c r="Q365" s="6">
        <v>120</v>
      </c>
      <c r="R365" s="6">
        <v>77.900000000000006</v>
      </c>
      <c r="S365" s="6">
        <v>39.1</v>
      </c>
      <c r="T365" s="6">
        <v>61.4</v>
      </c>
      <c r="U365" s="6">
        <v>35</v>
      </c>
      <c r="V365" s="6">
        <v>41</v>
      </c>
      <c r="W365" s="6">
        <v>54.3</v>
      </c>
      <c r="X365" s="6">
        <v>79</v>
      </c>
      <c r="Y365" s="6">
        <v>103.8</v>
      </c>
      <c r="Z365" s="6">
        <v>43</v>
      </c>
      <c r="AA365" s="14">
        <v>28</v>
      </c>
      <c r="AB365" s="6">
        <v>12</v>
      </c>
      <c r="AC365" s="6">
        <v>91</v>
      </c>
      <c r="AD365" s="6">
        <v>68.8</v>
      </c>
      <c r="AE365" s="6">
        <v>23.1</v>
      </c>
      <c r="AF365" s="6">
        <v>53</v>
      </c>
      <c r="AG365" s="6">
        <v>40.9</v>
      </c>
      <c r="AH365" s="6">
        <v>25</v>
      </c>
      <c r="AI365" s="6">
        <v>25.9</v>
      </c>
      <c r="AJ365" s="6">
        <v>70.599999999999994</v>
      </c>
      <c r="AK365" s="6">
        <v>20</v>
      </c>
      <c r="AL365" s="6">
        <v>50</v>
      </c>
    </row>
    <row r="366" spans="2:38" x14ac:dyDescent="0.2">
      <c r="B366" s="14">
        <v>2010</v>
      </c>
      <c r="C366" s="14" t="s">
        <v>293</v>
      </c>
      <c r="D366" s="6">
        <v>95</v>
      </c>
      <c r="E366" s="6">
        <v>49</v>
      </c>
      <c r="F366" s="6">
        <v>126.8</v>
      </c>
      <c r="G366" s="6">
        <v>135</v>
      </c>
      <c r="H366" s="6">
        <v>157</v>
      </c>
      <c r="I366" s="6">
        <v>65</v>
      </c>
      <c r="J366" s="6">
        <v>108</v>
      </c>
      <c r="K366" s="6">
        <v>84</v>
      </c>
      <c r="L366" s="6">
        <v>84</v>
      </c>
      <c r="M366" s="6">
        <v>85</v>
      </c>
      <c r="N366" s="6">
        <v>72</v>
      </c>
      <c r="O366" s="6">
        <v>47</v>
      </c>
      <c r="P366" s="6">
        <v>86</v>
      </c>
      <c r="Q366" s="6">
        <v>61</v>
      </c>
      <c r="R366" s="6">
        <v>86.8</v>
      </c>
      <c r="S366" s="6">
        <v>92.9</v>
      </c>
      <c r="T366" s="6">
        <v>147</v>
      </c>
      <c r="U366" s="6">
        <v>80</v>
      </c>
      <c r="V366" s="6">
        <v>75.5</v>
      </c>
      <c r="W366" s="6">
        <v>82.6</v>
      </c>
      <c r="X366" s="6">
        <v>92</v>
      </c>
      <c r="Y366" s="6">
        <v>86.4</v>
      </c>
      <c r="Z366" s="6">
        <v>71</v>
      </c>
      <c r="AA366" s="14">
        <v>155</v>
      </c>
      <c r="AB366" s="6">
        <v>13</v>
      </c>
      <c r="AC366" s="6">
        <v>108.5</v>
      </c>
      <c r="AD366" s="6">
        <v>93.9</v>
      </c>
      <c r="AE366" s="6">
        <v>86.7</v>
      </c>
      <c r="AF366" s="6">
        <v>115</v>
      </c>
      <c r="AG366" s="6">
        <v>163.41</v>
      </c>
      <c r="AH366" s="6">
        <v>143</v>
      </c>
      <c r="AI366" s="6">
        <v>114</v>
      </c>
      <c r="AJ366" s="6">
        <v>55.9</v>
      </c>
      <c r="AK366" s="6">
        <v>142</v>
      </c>
      <c r="AL366" s="6">
        <v>88</v>
      </c>
    </row>
    <row r="367" spans="2:38" x14ac:dyDescent="0.2">
      <c r="B367" s="14">
        <v>2010</v>
      </c>
      <c r="C367" s="14" t="s">
        <v>294</v>
      </c>
      <c r="D367" s="6">
        <v>99</v>
      </c>
      <c r="E367" s="6">
        <v>33</v>
      </c>
      <c r="F367" s="6">
        <v>22.4</v>
      </c>
      <c r="G367" s="6">
        <v>135</v>
      </c>
      <c r="H367" s="6">
        <v>5</v>
      </c>
      <c r="I367" s="6">
        <v>110</v>
      </c>
      <c r="J367" s="6">
        <v>76</v>
      </c>
      <c r="K367" s="6">
        <v>69</v>
      </c>
      <c r="L367" s="6">
        <v>85</v>
      </c>
      <c r="M367" s="6">
        <v>40</v>
      </c>
      <c r="N367" s="6">
        <v>63</v>
      </c>
      <c r="O367" s="6">
        <v>44</v>
      </c>
      <c r="P367" s="6">
        <v>29</v>
      </c>
      <c r="Q367" s="6">
        <v>112</v>
      </c>
      <c r="R367" s="6">
        <v>54.9</v>
      </c>
      <c r="S367" s="6">
        <v>57.3</v>
      </c>
      <c r="T367" s="6">
        <v>84</v>
      </c>
      <c r="U367" s="6">
        <v>103</v>
      </c>
      <c r="V367" s="6">
        <v>100</v>
      </c>
      <c r="W367" s="6">
        <v>45.6</v>
      </c>
      <c r="X367" s="6">
        <v>116</v>
      </c>
      <c r="Y367" s="6">
        <v>69.5</v>
      </c>
      <c r="Z367" s="6">
        <v>60</v>
      </c>
      <c r="AA367" s="14">
        <v>73</v>
      </c>
      <c r="AB367" s="6">
        <v>57</v>
      </c>
      <c r="AC367" s="6">
        <v>30.1</v>
      </c>
      <c r="AD367" s="6">
        <v>72.2</v>
      </c>
      <c r="AE367" s="6">
        <v>46.7</v>
      </c>
      <c r="AF367" s="6">
        <v>48</v>
      </c>
      <c r="AG367" s="6">
        <v>59.2</v>
      </c>
      <c r="AH367" s="6">
        <v>16</v>
      </c>
      <c r="AI367" s="6">
        <v>33</v>
      </c>
      <c r="AJ367" s="6">
        <v>67.099999999999994</v>
      </c>
      <c r="AK367" s="6">
        <v>52</v>
      </c>
      <c r="AL367" s="6">
        <v>62</v>
      </c>
    </row>
    <row r="368" spans="2:38" x14ac:dyDescent="0.2">
      <c r="B368" s="14">
        <v>2010</v>
      </c>
      <c r="C368" s="14" t="s">
        <v>295</v>
      </c>
      <c r="D368" s="6">
        <v>184</v>
      </c>
      <c r="E368" s="6">
        <v>205</v>
      </c>
      <c r="F368" s="6">
        <v>168.5</v>
      </c>
      <c r="G368" s="6">
        <v>154</v>
      </c>
      <c r="H368" s="6">
        <v>149</v>
      </c>
      <c r="I368" s="6">
        <v>173</v>
      </c>
      <c r="J368" s="6">
        <v>163</v>
      </c>
      <c r="K368" s="6">
        <v>102</v>
      </c>
      <c r="L368" s="6">
        <v>127</v>
      </c>
      <c r="M368" s="6">
        <v>186</v>
      </c>
      <c r="N368" s="6">
        <v>117</v>
      </c>
      <c r="O368" s="6">
        <v>161</v>
      </c>
      <c r="P368" s="6">
        <v>168</v>
      </c>
      <c r="Q368" s="6">
        <v>234</v>
      </c>
      <c r="R368" s="6">
        <v>124.6</v>
      </c>
      <c r="S368" s="6">
        <v>288.8</v>
      </c>
      <c r="T368" s="6">
        <v>66.2</v>
      </c>
      <c r="U368" s="6">
        <v>143</v>
      </c>
      <c r="V368" s="6">
        <v>229</v>
      </c>
      <c r="W368" s="6">
        <v>109.1</v>
      </c>
      <c r="X368" s="6">
        <v>145</v>
      </c>
      <c r="Y368" s="6">
        <v>173.2</v>
      </c>
      <c r="Z368" s="6">
        <v>89</v>
      </c>
      <c r="AA368" s="14">
        <v>108</v>
      </c>
      <c r="AB368" s="6">
        <v>20</v>
      </c>
      <c r="AC368" s="6">
        <v>276.8</v>
      </c>
      <c r="AD368" s="6">
        <v>193.4</v>
      </c>
      <c r="AE368" s="6">
        <v>91.6</v>
      </c>
      <c r="AF368" s="6">
        <v>107</v>
      </c>
      <c r="AG368" s="6">
        <v>144.30000000000001</v>
      </c>
      <c r="AH368" s="6">
        <v>95</v>
      </c>
      <c r="AI368" s="6">
        <v>135</v>
      </c>
      <c r="AJ368" s="6">
        <v>174.3</v>
      </c>
      <c r="AK368" s="6">
        <v>90</v>
      </c>
      <c r="AL368" s="6">
        <v>241</v>
      </c>
    </row>
    <row r="369" spans="1:38" x14ac:dyDescent="0.2">
      <c r="B369" s="14">
        <v>2010</v>
      </c>
      <c r="C369" s="14" t="s">
        <v>296</v>
      </c>
      <c r="D369" s="6">
        <v>151</v>
      </c>
      <c r="E369" s="6">
        <v>55</v>
      </c>
      <c r="F369" s="6">
        <v>13.6</v>
      </c>
      <c r="G369" s="6">
        <v>124</v>
      </c>
      <c r="H369" s="6">
        <v>30</v>
      </c>
      <c r="I369" s="6">
        <v>178</v>
      </c>
      <c r="J369" s="6">
        <v>71</v>
      </c>
      <c r="K369" s="6">
        <v>26</v>
      </c>
      <c r="L369" s="6">
        <v>59</v>
      </c>
      <c r="M369" s="6">
        <v>81</v>
      </c>
      <c r="N369" s="6">
        <v>98</v>
      </c>
      <c r="O369" s="6">
        <v>60</v>
      </c>
      <c r="P369" s="6">
        <v>82</v>
      </c>
      <c r="Q369" s="6">
        <v>93</v>
      </c>
      <c r="R369" s="6">
        <v>29.9</v>
      </c>
      <c r="S369" s="6">
        <v>101.8</v>
      </c>
      <c r="T369" s="6">
        <v>61.5</v>
      </c>
      <c r="U369" s="6">
        <v>115</v>
      </c>
      <c r="V369" s="6">
        <v>19</v>
      </c>
      <c r="W369" s="6">
        <v>91.4</v>
      </c>
      <c r="X369" s="6">
        <v>120</v>
      </c>
      <c r="Y369" s="6">
        <v>99.7</v>
      </c>
      <c r="Z369" s="6">
        <v>130</v>
      </c>
      <c r="AA369" s="14">
        <v>96</v>
      </c>
      <c r="AB369" s="258" t="s">
        <v>300</v>
      </c>
      <c r="AC369" s="6">
        <v>80.5</v>
      </c>
      <c r="AD369" s="6">
        <v>120.8</v>
      </c>
      <c r="AE369" s="6">
        <v>76.5</v>
      </c>
      <c r="AF369" s="6">
        <v>46</v>
      </c>
      <c r="AG369" s="6">
        <v>85.8</v>
      </c>
      <c r="AH369" s="6">
        <v>25</v>
      </c>
      <c r="AI369" s="6">
        <v>33</v>
      </c>
      <c r="AJ369" s="6">
        <v>66.2</v>
      </c>
      <c r="AK369" s="6">
        <v>65</v>
      </c>
      <c r="AL369" s="6">
        <v>27</v>
      </c>
    </row>
    <row r="370" spans="1:38" x14ac:dyDescent="0.2">
      <c r="B370" s="14">
        <v>2010</v>
      </c>
      <c r="C370" s="14" t="s">
        <v>297</v>
      </c>
      <c r="D370" s="6">
        <v>99</v>
      </c>
      <c r="E370" s="6">
        <v>126</v>
      </c>
      <c r="F370" s="6">
        <v>143.9</v>
      </c>
      <c r="G370" s="6">
        <v>99</v>
      </c>
      <c r="H370" s="6">
        <v>139</v>
      </c>
      <c r="I370" s="6">
        <v>146</v>
      </c>
      <c r="J370" s="6">
        <v>128</v>
      </c>
      <c r="K370" s="6">
        <v>146</v>
      </c>
      <c r="L370" s="6">
        <v>33</v>
      </c>
      <c r="M370" s="6">
        <v>81</v>
      </c>
      <c r="N370" s="6">
        <v>80</v>
      </c>
      <c r="O370" s="6">
        <v>150</v>
      </c>
      <c r="P370" s="6">
        <v>125</v>
      </c>
      <c r="Q370" s="6">
        <v>135</v>
      </c>
      <c r="R370" s="6">
        <v>98.8</v>
      </c>
      <c r="S370" s="6">
        <v>159.69999999999999</v>
      </c>
      <c r="T370" s="6">
        <v>87.7</v>
      </c>
      <c r="U370" s="6">
        <v>64</v>
      </c>
      <c r="V370" s="6">
        <v>119</v>
      </c>
      <c r="W370" s="6">
        <v>86.5</v>
      </c>
      <c r="X370" s="6">
        <v>137</v>
      </c>
      <c r="Y370" s="6">
        <v>162.1</v>
      </c>
      <c r="Z370" s="6">
        <v>63</v>
      </c>
      <c r="AA370" s="14">
        <v>97</v>
      </c>
      <c r="AB370" s="6">
        <v>43</v>
      </c>
      <c r="AC370" s="6">
        <v>121.1</v>
      </c>
      <c r="AD370" s="6">
        <v>116.8</v>
      </c>
      <c r="AE370" s="6">
        <v>56.4</v>
      </c>
      <c r="AF370" s="6">
        <v>74</v>
      </c>
      <c r="AG370" s="6">
        <v>145.19999999999999</v>
      </c>
      <c r="AH370" s="6">
        <v>51</v>
      </c>
      <c r="AI370" s="6">
        <v>83</v>
      </c>
      <c r="AJ370" s="6">
        <v>120.1</v>
      </c>
      <c r="AK370" s="6">
        <v>37</v>
      </c>
      <c r="AL370" s="6">
        <v>116</v>
      </c>
    </row>
    <row r="371" spans="1:38" x14ac:dyDescent="0.2">
      <c r="B371" s="14">
        <v>2010</v>
      </c>
      <c r="C371" s="14" t="s">
        <v>298</v>
      </c>
      <c r="D371" s="6">
        <v>33</v>
      </c>
      <c r="E371" s="258" t="s">
        <v>300</v>
      </c>
      <c r="F371" s="6">
        <v>24.4</v>
      </c>
      <c r="G371" s="6">
        <v>26</v>
      </c>
      <c r="H371" s="6">
        <v>27</v>
      </c>
      <c r="I371" s="6">
        <v>24</v>
      </c>
      <c r="J371" s="6">
        <v>17</v>
      </c>
      <c r="K371" s="6">
        <v>27</v>
      </c>
      <c r="L371" s="6">
        <v>27</v>
      </c>
      <c r="M371" s="258" t="s">
        <v>300</v>
      </c>
      <c r="N371" s="6">
        <v>41</v>
      </c>
      <c r="O371" s="258" t="s">
        <v>300</v>
      </c>
      <c r="P371" s="258" t="s">
        <v>300</v>
      </c>
      <c r="Q371" s="6">
        <v>40</v>
      </c>
      <c r="R371" s="6">
        <v>44.5</v>
      </c>
      <c r="S371" s="6">
        <v>18.600000000000001</v>
      </c>
      <c r="T371" s="6">
        <v>71.099999999999994</v>
      </c>
      <c r="U371" s="6">
        <v>26</v>
      </c>
      <c r="V371" s="6">
        <v>9</v>
      </c>
      <c r="W371" s="6">
        <v>40.4</v>
      </c>
      <c r="X371" s="6">
        <v>46</v>
      </c>
      <c r="Y371" s="6">
        <v>45.1</v>
      </c>
      <c r="Z371" s="6">
        <v>38</v>
      </c>
      <c r="AA371" s="14">
        <v>33</v>
      </c>
      <c r="AB371" s="6">
        <v>18</v>
      </c>
      <c r="AC371" s="6">
        <v>20.5</v>
      </c>
      <c r="AD371" s="6">
        <v>18.899999999999999</v>
      </c>
      <c r="AE371" s="6">
        <v>42.7</v>
      </c>
      <c r="AF371" s="6">
        <v>35</v>
      </c>
      <c r="AG371" s="6">
        <v>22.3</v>
      </c>
      <c r="AH371" s="6">
        <v>27</v>
      </c>
      <c r="AI371" s="6">
        <v>24</v>
      </c>
      <c r="AJ371" s="6">
        <v>18.100000000000001</v>
      </c>
      <c r="AK371" s="6">
        <v>28</v>
      </c>
      <c r="AL371" s="6">
        <v>16</v>
      </c>
    </row>
    <row r="372" spans="1:38" x14ac:dyDescent="0.2">
      <c r="B372" s="14">
        <v>2010</v>
      </c>
      <c r="C372" s="14" t="s">
        <v>299</v>
      </c>
      <c r="D372" s="6">
        <v>58</v>
      </c>
      <c r="E372" s="6">
        <v>47</v>
      </c>
      <c r="F372" s="6">
        <v>32.700000000000003</v>
      </c>
      <c r="G372" s="6">
        <v>62</v>
      </c>
      <c r="H372" s="6">
        <v>27</v>
      </c>
      <c r="I372" s="6">
        <v>58</v>
      </c>
      <c r="J372" s="6">
        <v>36</v>
      </c>
      <c r="K372" s="6">
        <v>24</v>
      </c>
      <c r="L372" s="6">
        <v>35</v>
      </c>
      <c r="M372" s="6">
        <v>41</v>
      </c>
      <c r="N372" s="6">
        <v>28</v>
      </c>
      <c r="O372" s="6">
        <v>102</v>
      </c>
      <c r="P372" s="6">
        <v>89</v>
      </c>
      <c r="Q372" s="6">
        <v>87</v>
      </c>
      <c r="R372" s="6">
        <v>35.799999999999997</v>
      </c>
      <c r="S372" s="6">
        <v>111.1</v>
      </c>
      <c r="T372" s="6">
        <v>30</v>
      </c>
      <c r="U372" s="6">
        <v>47.5</v>
      </c>
      <c r="V372" s="6">
        <v>45</v>
      </c>
      <c r="W372" s="6">
        <v>30.8</v>
      </c>
      <c r="X372" s="6">
        <v>118</v>
      </c>
      <c r="Y372" s="6">
        <v>22.2</v>
      </c>
      <c r="Z372" s="6">
        <v>52</v>
      </c>
      <c r="AA372" s="14">
        <v>90</v>
      </c>
      <c r="AB372" s="6">
        <v>29</v>
      </c>
      <c r="AC372" s="6">
        <v>21.8</v>
      </c>
      <c r="AD372" s="6">
        <v>65.900000000000006</v>
      </c>
      <c r="AE372" s="6">
        <v>46.1</v>
      </c>
      <c r="AF372" s="6">
        <v>44</v>
      </c>
      <c r="AG372" s="6">
        <v>37</v>
      </c>
      <c r="AH372" s="6">
        <v>46.5</v>
      </c>
      <c r="AI372" s="6">
        <v>45</v>
      </c>
      <c r="AJ372" s="6">
        <v>87</v>
      </c>
      <c r="AK372" s="6">
        <v>40</v>
      </c>
      <c r="AL372" s="6">
        <v>117</v>
      </c>
    </row>
    <row r="373" spans="1:38" x14ac:dyDescent="0.2">
      <c r="B373" s="14">
        <v>2010</v>
      </c>
      <c r="C373" s="14" t="s">
        <v>301</v>
      </c>
      <c r="D373" s="6">
        <v>53</v>
      </c>
      <c r="E373" s="6">
        <v>12</v>
      </c>
      <c r="F373" s="6">
        <v>78.5</v>
      </c>
      <c r="G373" s="6">
        <v>85</v>
      </c>
      <c r="H373" s="6">
        <v>65</v>
      </c>
      <c r="I373" s="6">
        <v>66</v>
      </c>
      <c r="J373" s="6">
        <v>41</v>
      </c>
      <c r="K373" s="6">
        <v>15</v>
      </c>
      <c r="L373" s="6">
        <v>56</v>
      </c>
      <c r="M373" s="6">
        <v>21</v>
      </c>
      <c r="N373" s="6">
        <v>26.5</v>
      </c>
      <c r="O373" s="258" t="s">
        <v>300</v>
      </c>
      <c r="P373" s="6">
        <v>73</v>
      </c>
      <c r="Q373" s="6">
        <v>32</v>
      </c>
      <c r="R373" s="6">
        <v>25.7</v>
      </c>
      <c r="S373" s="6">
        <v>55.3</v>
      </c>
      <c r="T373" s="6">
        <v>53</v>
      </c>
      <c r="U373" s="6">
        <v>53</v>
      </c>
      <c r="V373" s="6">
        <v>64</v>
      </c>
      <c r="W373" s="6">
        <v>84.6</v>
      </c>
      <c r="X373" s="6">
        <v>51</v>
      </c>
      <c r="Y373" s="6">
        <v>22.2</v>
      </c>
      <c r="Z373" s="6">
        <v>39</v>
      </c>
      <c r="AA373" s="14">
        <v>70</v>
      </c>
      <c r="AB373" s="258" t="s">
        <v>300</v>
      </c>
      <c r="AC373" s="6">
        <v>76.7</v>
      </c>
      <c r="AD373" s="6">
        <v>36.9</v>
      </c>
      <c r="AE373" s="6">
        <v>88.4</v>
      </c>
      <c r="AF373" s="6">
        <v>59</v>
      </c>
      <c r="AG373" s="6">
        <v>65.7</v>
      </c>
      <c r="AH373" s="6">
        <v>42</v>
      </c>
      <c r="AI373" s="6">
        <v>73.5</v>
      </c>
      <c r="AJ373" s="6">
        <v>55.5</v>
      </c>
      <c r="AK373" s="6">
        <v>81</v>
      </c>
      <c r="AL373" s="6">
        <v>27</v>
      </c>
    </row>
    <row r="374" spans="1:38" s="579" customFormat="1" x14ac:dyDescent="0.2">
      <c r="A374" s="578"/>
      <c r="B374" s="583">
        <v>2011</v>
      </c>
      <c r="C374" s="580" t="s">
        <v>289</v>
      </c>
      <c r="D374" s="578">
        <v>50</v>
      </c>
      <c r="E374" s="578">
        <v>52</v>
      </c>
      <c r="F374" s="578">
        <v>78</v>
      </c>
      <c r="G374" s="578">
        <v>64</v>
      </c>
      <c r="H374" s="578">
        <v>165</v>
      </c>
      <c r="I374" s="581">
        <v>22</v>
      </c>
      <c r="J374" s="578">
        <v>49.5</v>
      </c>
      <c r="K374" s="578">
        <v>83</v>
      </c>
      <c r="L374" s="578">
        <v>72</v>
      </c>
      <c r="M374" s="578">
        <v>69.5</v>
      </c>
      <c r="N374" s="578">
        <v>137</v>
      </c>
      <c r="O374" s="578">
        <v>43</v>
      </c>
      <c r="P374" s="578">
        <v>59</v>
      </c>
      <c r="Q374" s="578">
        <v>47</v>
      </c>
      <c r="R374" s="578">
        <v>115.4</v>
      </c>
      <c r="S374" s="578">
        <v>76.099999999999994</v>
      </c>
      <c r="T374" s="578">
        <v>69.8</v>
      </c>
      <c r="U374" s="578">
        <v>74</v>
      </c>
      <c r="V374" s="578">
        <v>81</v>
      </c>
      <c r="W374" s="578">
        <v>149.30000000000001</v>
      </c>
      <c r="X374" s="578">
        <v>64</v>
      </c>
      <c r="Y374" s="578">
        <v>32.799999999999997</v>
      </c>
      <c r="Z374" s="578">
        <v>48</v>
      </c>
      <c r="AA374" s="578">
        <v>133</v>
      </c>
      <c r="AB374" s="578">
        <v>21</v>
      </c>
      <c r="AC374" s="578">
        <v>105.9</v>
      </c>
      <c r="AD374" s="578">
        <v>61.4</v>
      </c>
      <c r="AE374" s="578">
        <v>59.9</v>
      </c>
      <c r="AF374" s="578">
        <v>45</v>
      </c>
      <c r="AG374" s="578">
        <v>137.30000000000001</v>
      </c>
      <c r="AH374" s="578">
        <v>53</v>
      </c>
      <c r="AI374" s="578">
        <v>106</v>
      </c>
      <c r="AJ374" s="578">
        <v>92.9</v>
      </c>
      <c r="AK374" s="578">
        <v>103</v>
      </c>
      <c r="AL374" s="578">
        <v>123</v>
      </c>
    </row>
    <row r="375" spans="1:38" s="579" customFormat="1" x14ac:dyDescent="0.2">
      <c r="A375" s="578"/>
      <c r="B375" s="583">
        <v>2011</v>
      </c>
      <c r="C375" s="580" t="s">
        <v>290</v>
      </c>
      <c r="D375" s="578">
        <v>59</v>
      </c>
      <c r="E375" s="578">
        <v>36</v>
      </c>
      <c r="F375" s="578">
        <v>124</v>
      </c>
      <c r="G375" s="578">
        <v>70</v>
      </c>
      <c r="H375" s="578">
        <v>131</v>
      </c>
      <c r="I375" s="581">
        <v>90</v>
      </c>
      <c r="J375" s="578">
        <v>153</v>
      </c>
      <c r="K375" s="578">
        <v>33</v>
      </c>
      <c r="L375" s="578">
        <v>107</v>
      </c>
      <c r="M375" s="578">
        <v>133</v>
      </c>
      <c r="N375" s="578">
        <v>93</v>
      </c>
      <c r="O375" s="578">
        <v>84</v>
      </c>
      <c r="P375" s="578">
        <v>28</v>
      </c>
      <c r="Q375" s="578">
        <v>106</v>
      </c>
      <c r="R375" s="578">
        <v>23.3</v>
      </c>
      <c r="S375" s="578">
        <v>34.5</v>
      </c>
      <c r="T375" s="578">
        <v>140.5</v>
      </c>
      <c r="U375" s="578">
        <v>139</v>
      </c>
      <c r="V375" s="578">
        <v>107</v>
      </c>
      <c r="W375" s="578">
        <v>143.5</v>
      </c>
      <c r="X375" s="578">
        <v>105</v>
      </c>
      <c r="Y375" s="578">
        <v>73.599999999999994</v>
      </c>
      <c r="Z375" s="578">
        <v>113</v>
      </c>
      <c r="AA375" s="578">
        <v>130</v>
      </c>
      <c r="AB375" s="578">
        <v>37</v>
      </c>
      <c r="AC375" s="578">
        <v>66.2</v>
      </c>
      <c r="AD375" s="578">
        <v>112.3</v>
      </c>
      <c r="AE375" s="578">
        <v>139.69999999999999</v>
      </c>
      <c r="AF375" s="578">
        <v>91</v>
      </c>
      <c r="AG375" s="578">
        <v>135.4</v>
      </c>
      <c r="AH375" s="578">
        <v>156</v>
      </c>
      <c r="AI375" s="578">
        <v>72</v>
      </c>
      <c r="AJ375" s="578">
        <v>53.3</v>
      </c>
      <c r="AK375" s="578">
        <v>93</v>
      </c>
      <c r="AL375" s="578">
        <v>107</v>
      </c>
    </row>
    <row r="376" spans="1:38" s="579" customFormat="1" x14ac:dyDescent="0.2">
      <c r="A376" s="578"/>
      <c r="B376" s="583">
        <v>2011</v>
      </c>
      <c r="C376" s="580" t="s">
        <v>291</v>
      </c>
      <c r="D376" s="578">
        <v>188</v>
      </c>
      <c r="E376" s="578">
        <v>70</v>
      </c>
      <c r="F376" s="578">
        <v>44.1</v>
      </c>
      <c r="G376" s="578">
        <v>55</v>
      </c>
      <c r="H376" s="578">
        <v>85</v>
      </c>
      <c r="I376" s="581">
        <v>95</v>
      </c>
      <c r="J376" s="578">
        <v>19</v>
      </c>
      <c r="K376" s="578">
        <v>42</v>
      </c>
      <c r="L376" s="578">
        <v>6</v>
      </c>
      <c r="M376" s="578">
        <v>39</v>
      </c>
      <c r="N376" s="578">
        <v>55</v>
      </c>
      <c r="O376" s="578">
        <v>5</v>
      </c>
      <c r="P376" s="578">
        <v>61</v>
      </c>
      <c r="Q376" s="578">
        <v>36</v>
      </c>
      <c r="R376" s="578">
        <v>58.8</v>
      </c>
      <c r="S376" s="578">
        <v>79</v>
      </c>
      <c r="T376" s="578">
        <v>56.5</v>
      </c>
      <c r="U376" s="578">
        <v>24.5</v>
      </c>
      <c r="V376" s="578">
        <v>68</v>
      </c>
      <c r="W376" s="578">
        <v>38.1</v>
      </c>
      <c r="X376" s="578">
        <v>110</v>
      </c>
      <c r="Y376" s="578">
        <v>54.6</v>
      </c>
      <c r="Z376" s="578">
        <v>68</v>
      </c>
      <c r="AA376" s="578">
        <v>52</v>
      </c>
      <c r="AB376" s="578" t="s">
        <v>48</v>
      </c>
      <c r="AC376" s="578">
        <v>48.4</v>
      </c>
      <c r="AD376" s="578">
        <v>134.4</v>
      </c>
      <c r="AE376" s="578">
        <v>92.2</v>
      </c>
      <c r="AF376" s="578">
        <v>52</v>
      </c>
      <c r="AG376" s="578">
        <v>75.400000000000006</v>
      </c>
      <c r="AH376" s="578">
        <v>46</v>
      </c>
      <c r="AI376" s="578">
        <v>55.5</v>
      </c>
      <c r="AJ376" s="578">
        <v>27.7</v>
      </c>
      <c r="AK376" s="578">
        <v>44.2</v>
      </c>
      <c r="AL376" s="578">
        <v>71</v>
      </c>
    </row>
    <row r="377" spans="1:38" s="579" customFormat="1" x14ac:dyDescent="0.2">
      <c r="A377" s="578"/>
      <c r="B377" s="583">
        <v>2011</v>
      </c>
      <c r="C377" s="580" t="s">
        <v>292</v>
      </c>
      <c r="D377" s="578">
        <v>106</v>
      </c>
      <c r="E377" s="578">
        <v>146</v>
      </c>
      <c r="F377" s="578">
        <v>95.4</v>
      </c>
      <c r="G377" s="578">
        <v>96</v>
      </c>
      <c r="H377" s="578">
        <v>103</v>
      </c>
      <c r="I377" s="581">
        <v>94</v>
      </c>
      <c r="J377" s="578">
        <v>71</v>
      </c>
      <c r="K377" s="578">
        <v>96</v>
      </c>
      <c r="L377" s="578">
        <v>123</v>
      </c>
      <c r="M377" s="578">
        <v>95</v>
      </c>
      <c r="N377" s="578">
        <v>117</v>
      </c>
      <c r="O377" s="578">
        <v>47</v>
      </c>
      <c r="P377" s="578">
        <v>75</v>
      </c>
      <c r="Q377" s="578">
        <v>135</v>
      </c>
      <c r="R377" s="578">
        <v>82.6</v>
      </c>
      <c r="S377" s="578">
        <v>116.5</v>
      </c>
      <c r="T377" s="578">
        <v>168.2</v>
      </c>
      <c r="U377" s="578">
        <v>118</v>
      </c>
      <c r="V377" s="578">
        <v>41</v>
      </c>
      <c r="W377" s="578">
        <v>116</v>
      </c>
      <c r="X377" s="578">
        <v>155</v>
      </c>
      <c r="Y377" s="578">
        <v>74.400000000000006</v>
      </c>
      <c r="Z377" s="578">
        <v>56</v>
      </c>
      <c r="AA377" s="578">
        <v>153</v>
      </c>
      <c r="AB377" s="578" t="s">
        <v>48</v>
      </c>
      <c r="AC377" s="578">
        <v>83.2</v>
      </c>
      <c r="AD377" s="578">
        <v>76.900000000000006</v>
      </c>
      <c r="AE377" s="578">
        <v>123.3</v>
      </c>
      <c r="AF377" s="578">
        <v>96.5</v>
      </c>
      <c r="AG377" s="578">
        <v>84.3</v>
      </c>
      <c r="AH377" s="578">
        <v>82.5</v>
      </c>
      <c r="AI377" s="578">
        <v>77</v>
      </c>
      <c r="AJ377" s="578">
        <v>133.19999999999999</v>
      </c>
      <c r="AK377" s="578">
        <v>115</v>
      </c>
      <c r="AL377" s="578">
        <v>76</v>
      </c>
    </row>
    <row r="378" spans="1:38" s="579" customFormat="1" x14ac:dyDescent="0.2">
      <c r="A378" s="578"/>
      <c r="B378" s="583">
        <v>2011</v>
      </c>
      <c r="C378" s="580" t="s">
        <v>293</v>
      </c>
      <c r="D378" s="578">
        <v>77</v>
      </c>
      <c r="E378" s="578">
        <v>128</v>
      </c>
      <c r="F378" s="578">
        <v>115</v>
      </c>
      <c r="G378" s="578">
        <v>88</v>
      </c>
      <c r="H378" s="578">
        <v>90</v>
      </c>
      <c r="I378" s="581">
        <v>84</v>
      </c>
      <c r="J378" s="578">
        <v>187</v>
      </c>
      <c r="K378" s="578">
        <v>33</v>
      </c>
      <c r="L378" s="578">
        <v>179</v>
      </c>
      <c r="M378" s="578">
        <v>125</v>
      </c>
      <c r="N378" s="578">
        <v>63</v>
      </c>
      <c r="O378" s="578">
        <v>103</v>
      </c>
      <c r="P378" s="578">
        <v>120</v>
      </c>
      <c r="Q378" s="578">
        <v>154</v>
      </c>
      <c r="R378" s="578">
        <v>50.6</v>
      </c>
      <c r="S378" s="578">
        <v>130</v>
      </c>
      <c r="T378" s="578">
        <v>90</v>
      </c>
      <c r="U378" s="578">
        <v>125</v>
      </c>
      <c r="V378" s="578">
        <v>69</v>
      </c>
      <c r="W378" s="578">
        <v>102.7</v>
      </c>
      <c r="X378" s="578">
        <v>103</v>
      </c>
      <c r="Y378" s="578">
        <v>39.9</v>
      </c>
      <c r="Z378" s="578">
        <v>107</v>
      </c>
      <c r="AA378" s="578">
        <v>98</v>
      </c>
      <c r="AB378" s="578">
        <v>136</v>
      </c>
      <c r="AC378" s="578">
        <v>37.299999999999997</v>
      </c>
      <c r="AD378" s="578">
        <v>61.4</v>
      </c>
      <c r="AE378" s="578">
        <v>104.6</v>
      </c>
      <c r="AF378" s="578">
        <v>74</v>
      </c>
      <c r="AG378" s="578">
        <v>111</v>
      </c>
      <c r="AH378" s="578">
        <v>106</v>
      </c>
      <c r="AI378" s="578">
        <v>46</v>
      </c>
      <c r="AJ378" s="578">
        <v>141.80000000000001</v>
      </c>
      <c r="AK378" s="578">
        <v>126</v>
      </c>
      <c r="AL378" s="578">
        <v>86</v>
      </c>
    </row>
    <row r="379" spans="1:38" s="579" customFormat="1" x14ac:dyDescent="0.2">
      <c r="A379" s="578"/>
      <c r="B379" s="583">
        <v>2011</v>
      </c>
      <c r="C379" s="580" t="s">
        <v>294</v>
      </c>
      <c r="D379" s="578">
        <v>170</v>
      </c>
      <c r="E379" s="578">
        <v>70</v>
      </c>
      <c r="F379" s="578">
        <v>58.5</v>
      </c>
      <c r="G379" s="578">
        <v>161</v>
      </c>
      <c r="H379" s="578">
        <v>72</v>
      </c>
      <c r="I379" s="581">
        <v>153</v>
      </c>
      <c r="J379" s="578">
        <v>152</v>
      </c>
      <c r="K379" s="578">
        <v>82</v>
      </c>
      <c r="L379" s="578">
        <v>99</v>
      </c>
      <c r="M379" s="578">
        <v>119</v>
      </c>
      <c r="N379" s="578">
        <v>79</v>
      </c>
      <c r="O379" s="578">
        <v>95</v>
      </c>
      <c r="P379" s="578">
        <v>135</v>
      </c>
      <c r="Q379" s="578">
        <v>142</v>
      </c>
      <c r="R379" s="578">
        <v>122.5</v>
      </c>
      <c r="S379" s="578">
        <v>141.30000000000001</v>
      </c>
      <c r="T379" s="578">
        <v>47.5</v>
      </c>
      <c r="U379" s="578">
        <v>121</v>
      </c>
      <c r="V379" s="578">
        <v>74.5</v>
      </c>
      <c r="W379" s="578">
        <v>64.400000000000006</v>
      </c>
      <c r="X379" s="578">
        <v>77</v>
      </c>
      <c r="Y379" s="578">
        <v>170.6</v>
      </c>
      <c r="Z379" s="578">
        <v>129</v>
      </c>
      <c r="AA379" s="578">
        <v>80</v>
      </c>
      <c r="AB379" s="578">
        <v>25</v>
      </c>
      <c r="AC379" s="578">
        <v>139.6</v>
      </c>
      <c r="AD379" s="578">
        <v>140.5</v>
      </c>
      <c r="AE379" s="578">
        <v>44.3</v>
      </c>
      <c r="AF379" s="578">
        <v>78.5</v>
      </c>
      <c r="AG379" s="578">
        <v>59.2</v>
      </c>
      <c r="AH379" s="578">
        <v>91</v>
      </c>
      <c r="AI379" s="578">
        <v>82</v>
      </c>
      <c r="AJ379" s="578">
        <v>120.9</v>
      </c>
      <c r="AK379" s="578">
        <v>53</v>
      </c>
      <c r="AL379" s="578">
        <v>96</v>
      </c>
    </row>
    <row r="380" spans="1:38" s="579" customFormat="1" x14ac:dyDescent="0.2">
      <c r="A380" s="578"/>
      <c r="B380" s="583">
        <v>2011</v>
      </c>
      <c r="C380" s="580" t="s">
        <v>295</v>
      </c>
      <c r="D380" s="578">
        <v>183</v>
      </c>
      <c r="E380" s="578">
        <v>40</v>
      </c>
      <c r="F380" s="578">
        <v>54.2</v>
      </c>
      <c r="G380" s="578">
        <v>147</v>
      </c>
      <c r="H380" s="578">
        <v>46</v>
      </c>
      <c r="I380" s="581">
        <v>146</v>
      </c>
      <c r="J380" s="578">
        <v>119</v>
      </c>
      <c r="K380" s="578">
        <v>50</v>
      </c>
      <c r="L380" s="578">
        <v>138</v>
      </c>
      <c r="M380" s="578">
        <v>96</v>
      </c>
      <c r="N380" s="578">
        <v>111</v>
      </c>
      <c r="O380" s="578">
        <v>165</v>
      </c>
      <c r="P380" s="578">
        <v>60</v>
      </c>
      <c r="Q380" s="578">
        <v>212</v>
      </c>
      <c r="R380" s="578">
        <v>77.2</v>
      </c>
      <c r="S380" s="578">
        <v>76.8</v>
      </c>
      <c r="T380" s="578">
        <v>101.5</v>
      </c>
      <c r="U380" s="578">
        <v>115</v>
      </c>
      <c r="V380" s="578">
        <v>77</v>
      </c>
      <c r="W380" s="578">
        <v>69.5</v>
      </c>
      <c r="X380" s="578">
        <v>98</v>
      </c>
      <c r="Y380" s="578">
        <v>116.8</v>
      </c>
      <c r="Z380" s="578">
        <v>93</v>
      </c>
      <c r="AA380" s="578">
        <v>74</v>
      </c>
      <c r="AB380" s="578">
        <v>64</v>
      </c>
      <c r="AC380" s="578">
        <v>122.7</v>
      </c>
      <c r="AD380" s="578">
        <v>134.5</v>
      </c>
      <c r="AE380" s="578">
        <v>73.2</v>
      </c>
      <c r="AF380" s="578">
        <v>67</v>
      </c>
      <c r="AG380" s="578">
        <v>74.3</v>
      </c>
      <c r="AH380" s="578">
        <v>74</v>
      </c>
      <c r="AI380" s="578">
        <v>93</v>
      </c>
      <c r="AJ380" s="578">
        <v>131.69999999999999</v>
      </c>
      <c r="AK380" s="578">
        <v>24</v>
      </c>
      <c r="AL380" s="578">
        <v>84</v>
      </c>
    </row>
    <row r="381" spans="1:38" s="579" customFormat="1" x14ac:dyDescent="0.2">
      <c r="A381" s="578"/>
      <c r="B381" s="583">
        <v>2011</v>
      </c>
      <c r="C381" s="580" t="s">
        <v>296</v>
      </c>
      <c r="D381" s="578">
        <v>123</v>
      </c>
      <c r="E381" s="578">
        <v>147</v>
      </c>
      <c r="F381" s="578">
        <v>37.9</v>
      </c>
      <c r="G381" s="578">
        <v>118</v>
      </c>
      <c r="H381" s="578">
        <v>57</v>
      </c>
      <c r="I381" s="581">
        <v>109</v>
      </c>
      <c r="J381" s="578">
        <v>120</v>
      </c>
      <c r="K381" s="578">
        <v>15</v>
      </c>
      <c r="L381" s="578">
        <v>139</v>
      </c>
      <c r="M381" s="578">
        <v>145</v>
      </c>
      <c r="N381" s="578">
        <v>69</v>
      </c>
      <c r="O381" s="578">
        <v>126</v>
      </c>
      <c r="P381" s="578">
        <v>70</v>
      </c>
      <c r="Q381" s="578">
        <v>189</v>
      </c>
      <c r="R381" s="578">
        <v>20.9</v>
      </c>
      <c r="S381" s="578">
        <v>181.1</v>
      </c>
      <c r="T381" s="578">
        <v>49.7</v>
      </c>
      <c r="U381" s="578">
        <v>143.5</v>
      </c>
      <c r="V381" s="578">
        <v>90.5</v>
      </c>
      <c r="W381" s="578">
        <v>156.1</v>
      </c>
      <c r="X381" s="578">
        <v>88</v>
      </c>
      <c r="Y381" s="578">
        <v>68.2</v>
      </c>
      <c r="Z381" s="578">
        <v>66</v>
      </c>
      <c r="AA381" s="578">
        <v>128</v>
      </c>
      <c r="AB381" s="578">
        <v>43</v>
      </c>
      <c r="AC381" s="578">
        <v>69.400000000000006</v>
      </c>
      <c r="AD381" s="578">
        <v>127.9</v>
      </c>
      <c r="AE381" s="578">
        <v>64.900000000000006</v>
      </c>
      <c r="AF381" s="578">
        <v>58</v>
      </c>
      <c r="AG381" s="578">
        <v>86.9</v>
      </c>
      <c r="AH381" s="578">
        <v>72</v>
      </c>
      <c r="AI381" s="578">
        <v>71.5</v>
      </c>
      <c r="AJ381" s="578">
        <v>194.1</v>
      </c>
      <c r="AK381" s="578">
        <v>70</v>
      </c>
      <c r="AL381" s="578">
        <v>97</v>
      </c>
    </row>
    <row r="382" spans="1:38" s="579" customFormat="1" x14ac:dyDescent="0.2">
      <c r="A382" s="578"/>
      <c r="B382" s="583">
        <v>2011</v>
      </c>
      <c r="C382" s="580" t="s">
        <v>297</v>
      </c>
      <c r="D382" s="578">
        <v>20</v>
      </c>
      <c r="E382" s="578">
        <v>84</v>
      </c>
      <c r="F382" s="578">
        <v>89.8</v>
      </c>
      <c r="G382" s="578">
        <v>32</v>
      </c>
      <c r="H382" s="578">
        <v>94</v>
      </c>
      <c r="I382" s="581">
        <v>45</v>
      </c>
      <c r="J382" s="578">
        <v>25</v>
      </c>
      <c r="K382" s="578">
        <v>8</v>
      </c>
      <c r="L382" s="578">
        <v>28</v>
      </c>
      <c r="M382" s="578">
        <v>54</v>
      </c>
      <c r="N382" s="578">
        <v>23</v>
      </c>
      <c r="O382" s="578">
        <v>9</v>
      </c>
      <c r="P382" s="578">
        <v>71</v>
      </c>
      <c r="Q382" s="578">
        <v>64</v>
      </c>
      <c r="R382" s="578">
        <v>2.7</v>
      </c>
      <c r="S382" s="578">
        <v>117.7</v>
      </c>
      <c r="T382" s="578">
        <v>6.9</v>
      </c>
      <c r="U382" s="578">
        <v>15</v>
      </c>
      <c r="V382" s="578">
        <v>130</v>
      </c>
      <c r="W382" s="578">
        <v>35.799999999999997</v>
      </c>
      <c r="X382" s="578">
        <v>33</v>
      </c>
      <c r="Y382" s="578">
        <v>25.9</v>
      </c>
      <c r="Z382" s="578">
        <v>35</v>
      </c>
      <c r="AA382" s="578">
        <v>51</v>
      </c>
      <c r="AB382" s="578" t="s">
        <v>48</v>
      </c>
      <c r="AC382" s="578">
        <v>219.9</v>
      </c>
      <c r="AD382" s="578">
        <v>32.9</v>
      </c>
      <c r="AE382" s="578">
        <v>123.8</v>
      </c>
      <c r="AF382" s="578">
        <v>117</v>
      </c>
      <c r="AG382" s="578">
        <v>120.3</v>
      </c>
      <c r="AH382" s="578">
        <v>80.5</v>
      </c>
      <c r="AI382" s="578">
        <v>150</v>
      </c>
      <c r="AJ382" s="578">
        <v>36.799999999999997</v>
      </c>
      <c r="AK382" s="578">
        <v>71</v>
      </c>
      <c r="AL382" s="578">
        <v>162</v>
      </c>
    </row>
    <row r="383" spans="1:38" s="579" customFormat="1" x14ac:dyDescent="0.2">
      <c r="A383" s="578"/>
      <c r="B383" s="583">
        <v>2011</v>
      </c>
      <c r="C383" s="580" t="s">
        <v>298</v>
      </c>
      <c r="D383" s="578">
        <v>57</v>
      </c>
      <c r="E383" s="578">
        <v>95</v>
      </c>
      <c r="F383" s="578">
        <v>121.4</v>
      </c>
      <c r="G383" s="578">
        <v>62</v>
      </c>
      <c r="H383" s="578">
        <v>162</v>
      </c>
      <c r="I383" s="581">
        <v>62</v>
      </c>
      <c r="J383" s="578">
        <v>95</v>
      </c>
      <c r="K383" s="578">
        <v>150</v>
      </c>
      <c r="L383" s="578">
        <v>101</v>
      </c>
      <c r="M383" s="578">
        <v>79</v>
      </c>
      <c r="N383" s="578">
        <v>85</v>
      </c>
      <c r="O383" s="578">
        <v>158</v>
      </c>
      <c r="P383" s="578">
        <v>96</v>
      </c>
      <c r="Q383" s="578">
        <v>122</v>
      </c>
      <c r="R383" s="578">
        <v>89.8</v>
      </c>
      <c r="S383" s="578">
        <v>169.8</v>
      </c>
      <c r="T383" s="578">
        <v>99.7</v>
      </c>
      <c r="U383" s="578">
        <v>135</v>
      </c>
      <c r="V383" s="578">
        <v>99</v>
      </c>
      <c r="W383" s="578">
        <v>174.4</v>
      </c>
      <c r="X383" s="578">
        <v>73</v>
      </c>
      <c r="Y383" s="578">
        <v>46.6</v>
      </c>
      <c r="Z383" s="578">
        <v>80</v>
      </c>
      <c r="AA383" s="578">
        <v>177</v>
      </c>
      <c r="AB383" s="578">
        <v>38</v>
      </c>
      <c r="AC383" s="578">
        <v>103.8</v>
      </c>
      <c r="AD383" s="578">
        <v>69.5</v>
      </c>
      <c r="AE383" s="578">
        <v>184.6</v>
      </c>
      <c r="AF383" s="578">
        <v>180</v>
      </c>
      <c r="AG383" s="578">
        <v>122.2</v>
      </c>
      <c r="AH383" s="578">
        <v>196.5</v>
      </c>
      <c r="AI383" s="578">
        <v>103</v>
      </c>
      <c r="AJ383" s="578">
        <v>157.9</v>
      </c>
      <c r="AK383" s="578">
        <v>138</v>
      </c>
      <c r="AL383" s="578">
        <v>93</v>
      </c>
    </row>
    <row r="384" spans="1:38" s="579" customFormat="1" x14ac:dyDescent="0.2">
      <c r="A384" s="578"/>
      <c r="B384" s="583">
        <v>2011</v>
      </c>
      <c r="C384" s="580" t="s">
        <v>299</v>
      </c>
      <c r="D384" s="581">
        <v>38</v>
      </c>
      <c r="E384" s="581">
        <v>15</v>
      </c>
      <c r="F384" s="581">
        <v>100.9</v>
      </c>
      <c r="G384" s="581">
        <v>69</v>
      </c>
      <c r="H384" s="581">
        <v>80</v>
      </c>
      <c r="I384" s="581">
        <v>56</v>
      </c>
      <c r="J384" s="581">
        <v>31</v>
      </c>
      <c r="K384" s="581">
        <v>63</v>
      </c>
      <c r="L384" s="581">
        <v>62</v>
      </c>
      <c r="M384" s="581">
        <v>27</v>
      </c>
      <c r="N384" s="581">
        <v>88</v>
      </c>
      <c r="O384" s="581">
        <v>8</v>
      </c>
      <c r="P384" s="581">
        <v>18</v>
      </c>
      <c r="Q384" s="581">
        <v>71</v>
      </c>
      <c r="R384" s="578">
        <v>92.9</v>
      </c>
      <c r="S384" s="578">
        <v>23.5</v>
      </c>
      <c r="T384" s="581">
        <v>79.7</v>
      </c>
      <c r="U384" s="581">
        <v>43</v>
      </c>
      <c r="V384" s="581">
        <v>66</v>
      </c>
      <c r="W384" s="581">
        <v>114.2</v>
      </c>
      <c r="X384" s="581">
        <v>53</v>
      </c>
      <c r="Y384" s="581">
        <v>107</v>
      </c>
      <c r="Z384" s="581">
        <v>59</v>
      </c>
      <c r="AA384" s="581">
        <v>70</v>
      </c>
      <c r="AB384" s="581">
        <v>5</v>
      </c>
      <c r="AC384" s="581">
        <v>45.6</v>
      </c>
      <c r="AD384" s="581">
        <v>46.4</v>
      </c>
      <c r="AE384" s="581">
        <v>87.4</v>
      </c>
      <c r="AF384" s="581">
        <v>74</v>
      </c>
      <c r="AG384" s="581">
        <v>144.30000000000001</v>
      </c>
      <c r="AH384" s="581">
        <v>99</v>
      </c>
      <c r="AI384" s="578">
        <v>52</v>
      </c>
      <c r="AJ384" s="581">
        <v>90.2</v>
      </c>
      <c r="AK384" s="581">
        <v>92</v>
      </c>
      <c r="AL384" s="578">
        <v>43</v>
      </c>
    </row>
    <row r="385" spans="1:38" s="579" customFormat="1" x14ac:dyDescent="0.2">
      <c r="A385" s="578"/>
      <c r="B385" s="583">
        <v>2011</v>
      </c>
      <c r="C385" s="580" t="s">
        <v>301</v>
      </c>
      <c r="D385" s="581">
        <v>82</v>
      </c>
      <c r="E385" s="581">
        <v>40</v>
      </c>
      <c r="F385" s="581">
        <v>130.5</v>
      </c>
      <c r="G385" s="581">
        <v>123</v>
      </c>
      <c r="H385" s="581">
        <v>172</v>
      </c>
      <c r="I385" s="581">
        <v>91</v>
      </c>
      <c r="J385" s="581">
        <v>52</v>
      </c>
      <c r="K385" s="581">
        <v>61</v>
      </c>
      <c r="L385" s="581">
        <v>24</v>
      </c>
      <c r="M385" s="581">
        <v>67</v>
      </c>
      <c r="N385" s="581">
        <v>39</v>
      </c>
      <c r="O385" s="581">
        <v>49</v>
      </c>
      <c r="P385" s="581">
        <v>42</v>
      </c>
      <c r="Q385" s="581">
        <v>51</v>
      </c>
      <c r="R385" s="578">
        <v>62.6</v>
      </c>
      <c r="S385" s="578">
        <v>52.1</v>
      </c>
      <c r="T385" s="581">
        <v>34.5</v>
      </c>
      <c r="U385" s="581">
        <v>59.5</v>
      </c>
      <c r="V385" s="581">
        <v>55</v>
      </c>
      <c r="W385" s="581">
        <v>51.6</v>
      </c>
      <c r="X385" s="581">
        <v>83</v>
      </c>
      <c r="Y385" s="581">
        <v>77.400000000000006</v>
      </c>
      <c r="Z385" s="581">
        <v>51</v>
      </c>
      <c r="AA385" s="581" t="s">
        <v>48</v>
      </c>
      <c r="AB385" s="581">
        <v>6</v>
      </c>
      <c r="AC385" s="581">
        <v>69.5</v>
      </c>
      <c r="AD385" s="581">
        <v>50.7</v>
      </c>
      <c r="AE385" s="581">
        <v>48.6</v>
      </c>
      <c r="AF385" s="581">
        <v>54</v>
      </c>
      <c r="AG385" s="581">
        <v>28.7</v>
      </c>
      <c r="AH385" s="581">
        <v>169</v>
      </c>
      <c r="AI385" s="578">
        <v>41</v>
      </c>
      <c r="AJ385" s="581">
        <v>58.5</v>
      </c>
      <c r="AK385" s="581">
        <v>56</v>
      </c>
      <c r="AL385" s="578">
        <v>35</v>
      </c>
    </row>
    <row r="386" spans="1:38" x14ac:dyDescent="0.2">
      <c r="A386" s="6"/>
      <c r="B386" s="6">
        <v>2012</v>
      </c>
      <c r="C386" s="14" t="s">
        <v>289</v>
      </c>
      <c r="D386" s="6">
        <v>30</v>
      </c>
      <c r="E386" s="6">
        <v>0</v>
      </c>
      <c r="F386" s="6">
        <v>41.6</v>
      </c>
      <c r="G386" s="6">
        <v>67</v>
      </c>
      <c r="H386" s="6">
        <v>28</v>
      </c>
      <c r="I386" s="6">
        <v>48</v>
      </c>
      <c r="J386" s="6">
        <v>5</v>
      </c>
      <c r="K386" s="6">
        <v>29</v>
      </c>
      <c r="L386" s="6">
        <v>31</v>
      </c>
      <c r="M386" s="6">
        <v>6</v>
      </c>
      <c r="N386" s="6">
        <v>20.5</v>
      </c>
      <c r="O386" s="6">
        <v>5</v>
      </c>
      <c r="P386" s="6">
        <v>0</v>
      </c>
      <c r="Q386" s="6">
        <v>5</v>
      </c>
      <c r="R386" s="6">
        <v>57.599999999999994</v>
      </c>
      <c r="S386" s="6">
        <v>17.3</v>
      </c>
      <c r="T386" s="6">
        <v>40</v>
      </c>
      <c r="U386" s="6">
        <v>30</v>
      </c>
      <c r="V386" s="6">
        <v>35</v>
      </c>
      <c r="W386" s="6">
        <v>72.2</v>
      </c>
      <c r="X386" s="6">
        <v>36</v>
      </c>
      <c r="Y386" s="6">
        <v>57.1</v>
      </c>
      <c r="Z386" s="6">
        <v>39</v>
      </c>
      <c r="AA386" s="6">
        <v>62</v>
      </c>
      <c r="AB386" s="6">
        <v>0</v>
      </c>
      <c r="AC386" s="6">
        <v>20</v>
      </c>
      <c r="AD386" s="6">
        <v>85</v>
      </c>
      <c r="AE386" s="6">
        <v>71.7</v>
      </c>
      <c r="AF386" s="6">
        <v>24</v>
      </c>
      <c r="AG386" s="6">
        <v>26.3</v>
      </c>
      <c r="AH386" s="6">
        <v>43</v>
      </c>
      <c r="AI386" s="6">
        <v>18</v>
      </c>
      <c r="AJ386" s="6">
        <v>24.1</v>
      </c>
      <c r="AK386" s="6">
        <v>20</v>
      </c>
      <c r="AL386" s="6">
        <v>46</v>
      </c>
    </row>
    <row r="387" spans="1:38" x14ac:dyDescent="0.2">
      <c r="A387" s="6"/>
      <c r="B387" s="6">
        <v>2012</v>
      </c>
      <c r="C387" s="14" t="s">
        <v>290</v>
      </c>
      <c r="D387" s="6">
        <v>63.5</v>
      </c>
      <c r="E387" s="6">
        <v>259</v>
      </c>
      <c r="F387" s="6">
        <v>125.2</v>
      </c>
      <c r="G387" s="6">
        <v>89</v>
      </c>
      <c r="H387" s="6">
        <v>115</v>
      </c>
      <c r="I387" s="6">
        <v>110</v>
      </c>
      <c r="J387" s="6">
        <v>119</v>
      </c>
      <c r="K387" s="6">
        <v>179</v>
      </c>
      <c r="L387" s="6">
        <v>307</v>
      </c>
      <c r="M387" s="6">
        <v>220</v>
      </c>
      <c r="N387" s="6">
        <v>151</v>
      </c>
      <c r="O387" s="6">
        <v>157</v>
      </c>
      <c r="P387" s="6">
        <v>168</v>
      </c>
      <c r="Q387" s="6">
        <v>132</v>
      </c>
      <c r="R387" s="6">
        <v>181.8</v>
      </c>
      <c r="S387" s="6">
        <v>226.1</v>
      </c>
      <c r="T387" s="6">
        <v>260</v>
      </c>
      <c r="U387" s="6">
        <v>179</v>
      </c>
      <c r="V387" s="6">
        <v>212.5</v>
      </c>
      <c r="W387" s="6">
        <v>371.1</v>
      </c>
      <c r="X387" s="6">
        <v>142</v>
      </c>
      <c r="Y387" s="6">
        <v>84.2</v>
      </c>
      <c r="Z387" s="6">
        <v>94</v>
      </c>
      <c r="AA387" s="6">
        <v>435</v>
      </c>
      <c r="AB387" s="6">
        <v>149</v>
      </c>
      <c r="AC387" s="6">
        <v>235.2</v>
      </c>
      <c r="AD387" s="6">
        <v>97.7</v>
      </c>
      <c r="AE387" s="6">
        <v>305.7</v>
      </c>
      <c r="AF387" s="6">
        <v>192.5</v>
      </c>
      <c r="AG387" s="6">
        <v>334.5</v>
      </c>
      <c r="AH387" s="6">
        <v>234.5</v>
      </c>
      <c r="AI387" s="6">
        <v>275</v>
      </c>
      <c r="AJ387" s="6">
        <v>177.9</v>
      </c>
      <c r="AK387" s="6">
        <v>253</v>
      </c>
      <c r="AL387" s="6">
        <v>296</v>
      </c>
    </row>
    <row r="388" spans="1:38" x14ac:dyDescent="0.2">
      <c r="A388" s="6"/>
      <c r="B388" s="6">
        <v>2012</v>
      </c>
      <c r="C388" s="14" t="s">
        <v>291</v>
      </c>
      <c r="D388" s="6">
        <v>108</v>
      </c>
      <c r="E388" s="6">
        <v>132</v>
      </c>
      <c r="F388" s="6">
        <v>50</v>
      </c>
      <c r="G388" s="6">
        <v>113</v>
      </c>
      <c r="H388" s="6">
        <v>46</v>
      </c>
      <c r="I388" s="6">
        <v>97</v>
      </c>
      <c r="J388" s="6">
        <v>35.1</v>
      </c>
      <c r="K388" s="6">
        <v>115</v>
      </c>
      <c r="L388" s="6">
        <v>89</v>
      </c>
      <c r="M388" s="6">
        <v>88</v>
      </c>
      <c r="N388" s="6">
        <v>127</v>
      </c>
      <c r="O388" s="6">
        <v>107.5</v>
      </c>
      <c r="P388" s="6">
        <v>106</v>
      </c>
      <c r="Q388" s="6">
        <v>52</v>
      </c>
      <c r="R388" s="6">
        <v>99</v>
      </c>
      <c r="S388" s="6">
        <v>190.7</v>
      </c>
      <c r="T388" s="6">
        <v>139.69999999999999</v>
      </c>
      <c r="U388" s="6">
        <v>79.599999999999994</v>
      </c>
      <c r="V388" s="6">
        <v>12</v>
      </c>
      <c r="W388" s="6">
        <v>119.2</v>
      </c>
      <c r="X388" s="6">
        <v>85</v>
      </c>
      <c r="Y388" s="6">
        <v>105.1</v>
      </c>
      <c r="Z388" s="6">
        <v>25</v>
      </c>
      <c r="AA388" s="6">
        <v>75</v>
      </c>
      <c r="AB388" s="6">
        <v>15</v>
      </c>
      <c r="AC388" s="6">
        <v>30.6</v>
      </c>
      <c r="AD388" s="6">
        <v>247.4</v>
      </c>
      <c r="AE388" s="6">
        <v>62</v>
      </c>
      <c r="AF388" s="6">
        <v>31</v>
      </c>
      <c r="AG388" s="6">
        <v>39.200000000000003</v>
      </c>
      <c r="AH388" s="6">
        <v>49</v>
      </c>
      <c r="AI388" s="6">
        <v>7</v>
      </c>
      <c r="AJ388" s="6">
        <v>65.3</v>
      </c>
      <c r="AK388" s="6">
        <v>45</v>
      </c>
      <c r="AL388" s="6">
        <v>12</v>
      </c>
    </row>
    <row r="389" spans="1:38" x14ac:dyDescent="0.2">
      <c r="A389" s="6"/>
      <c r="B389" s="6">
        <v>2012</v>
      </c>
      <c r="C389" s="14" t="s">
        <v>292</v>
      </c>
      <c r="D389" s="6">
        <v>45</v>
      </c>
      <c r="E389" s="6">
        <v>126</v>
      </c>
      <c r="F389" s="6">
        <v>151.1</v>
      </c>
      <c r="G389" s="6">
        <v>93</v>
      </c>
      <c r="H389" s="6">
        <v>149</v>
      </c>
      <c r="I389" s="6">
        <v>60</v>
      </c>
      <c r="J389" s="6">
        <v>78.5</v>
      </c>
      <c r="K389" s="6">
        <v>46</v>
      </c>
      <c r="L389" s="6">
        <v>158</v>
      </c>
      <c r="M389" s="6">
        <v>174</v>
      </c>
      <c r="N389" s="6">
        <v>59</v>
      </c>
      <c r="O389" s="6">
        <v>33</v>
      </c>
      <c r="P389" s="6">
        <v>118</v>
      </c>
      <c r="Q389" s="6">
        <v>73</v>
      </c>
      <c r="R389" s="6">
        <v>40.5</v>
      </c>
      <c r="S389" s="6">
        <v>169.7</v>
      </c>
      <c r="T389" s="6">
        <v>54.9</v>
      </c>
      <c r="U389" s="6">
        <v>82.8</v>
      </c>
      <c r="V389" s="6">
        <v>79</v>
      </c>
      <c r="W389" s="6">
        <v>68.8</v>
      </c>
      <c r="X389" s="6">
        <v>42</v>
      </c>
      <c r="Y389" s="6">
        <v>38.9</v>
      </c>
      <c r="Z389" s="6">
        <v>36</v>
      </c>
      <c r="AA389" s="6">
        <v>33</v>
      </c>
      <c r="AB389" s="6">
        <v>23</v>
      </c>
      <c r="AC389" s="6">
        <v>143.6</v>
      </c>
      <c r="AD389" s="6">
        <v>54.3</v>
      </c>
      <c r="AE389" s="6">
        <v>62.1</v>
      </c>
      <c r="AF389" s="6">
        <v>60</v>
      </c>
      <c r="AG389" s="6">
        <v>57.4</v>
      </c>
      <c r="AH389" s="6">
        <v>148</v>
      </c>
      <c r="AI389" s="6">
        <v>72</v>
      </c>
      <c r="AJ389" s="6">
        <v>88.4</v>
      </c>
      <c r="AK389" s="6">
        <v>68</v>
      </c>
      <c r="AL389" s="6">
        <v>35</v>
      </c>
    </row>
    <row r="390" spans="1:38" x14ac:dyDescent="0.2">
      <c r="A390" s="6"/>
      <c r="B390" s="6">
        <v>2012</v>
      </c>
      <c r="C390" s="14" t="s">
        <v>293</v>
      </c>
      <c r="D390" s="6">
        <v>27</v>
      </c>
      <c r="E390" s="6">
        <v>13</v>
      </c>
      <c r="F390" s="6">
        <v>33.299999999999997</v>
      </c>
      <c r="G390" s="6">
        <v>42</v>
      </c>
      <c r="H390" s="6">
        <v>16</v>
      </c>
      <c r="I390" s="6">
        <v>38</v>
      </c>
      <c r="J390" s="6">
        <v>40</v>
      </c>
      <c r="K390" s="6">
        <v>52</v>
      </c>
      <c r="L390" s="6">
        <v>51</v>
      </c>
      <c r="M390" s="6">
        <v>82</v>
      </c>
      <c r="N390" s="6">
        <v>118</v>
      </c>
      <c r="O390" s="6">
        <v>24.5</v>
      </c>
      <c r="P390" s="6">
        <v>15</v>
      </c>
      <c r="Q390" s="6">
        <v>41</v>
      </c>
      <c r="R390" s="6">
        <v>84.3</v>
      </c>
      <c r="S390" s="6">
        <v>21.1</v>
      </c>
      <c r="T390" s="6">
        <v>106.8</v>
      </c>
      <c r="U390" s="6">
        <v>80.5</v>
      </c>
      <c r="V390" s="6">
        <v>21</v>
      </c>
      <c r="W390" s="6">
        <v>79.3</v>
      </c>
      <c r="X390" s="6">
        <v>33</v>
      </c>
      <c r="Y390" s="6">
        <v>71.7</v>
      </c>
      <c r="Z390" s="6">
        <v>41</v>
      </c>
      <c r="AA390" s="6">
        <v>70</v>
      </c>
      <c r="AB390" s="6">
        <v>27</v>
      </c>
      <c r="AC390" s="6">
        <v>17.5</v>
      </c>
      <c r="AD390" s="6">
        <v>32.9</v>
      </c>
      <c r="AE390" s="6">
        <v>30.5</v>
      </c>
      <c r="AF390" s="6">
        <v>45</v>
      </c>
      <c r="AG390" s="6">
        <v>28.6</v>
      </c>
      <c r="AH390" s="6">
        <v>54</v>
      </c>
      <c r="AI390" s="6">
        <v>19</v>
      </c>
      <c r="AJ390" s="6">
        <v>35.299999999999997</v>
      </c>
      <c r="AK390" s="6">
        <v>36</v>
      </c>
      <c r="AL390" s="6">
        <v>7</v>
      </c>
    </row>
    <row r="391" spans="1:38" x14ac:dyDescent="0.2">
      <c r="A391" s="6"/>
      <c r="B391" s="6">
        <v>2012</v>
      </c>
      <c r="C391" s="14" t="s">
        <v>294</v>
      </c>
      <c r="D391" s="6">
        <v>164</v>
      </c>
      <c r="E391" s="6">
        <v>109</v>
      </c>
      <c r="F391" s="6">
        <v>73.400000000000006</v>
      </c>
      <c r="G391" s="6">
        <v>173</v>
      </c>
      <c r="H391" s="6">
        <v>83</v>
      </c>
      <c r="I391" s="6">
        <v>86</v>
      </c>
      <c r="J391" s="6">
        <v>70</v>
      </c>
      <c r="K391" s="6">
        <v>5</v>
      </c>
      <c r="L391" s="6">
        <v>64.3</v>
      </c>
      <c r="M391" s="6">
        <v>128</v>
      </c>
      <c r="N391" s="6">
        <v>50</v>
      </c>
      <c r="O391" s="6">
        <v>177</v>
      </c>
      <c r="P391" s="6">
        <v>80</v>
      </c>
      <c r="Q391" s="6">
        <v>158</v>
      </c>
      <c r="R391" s="6">
        <v>9.8000000000000007</v>
      </c>
      <c r="S391" s="6">
        <v>92.8</v>
      </c>
      <c r="T391" s="6">
        <v>55.8</v>
      </c>
      <c r="U391" s="6">
        <v>135</v>
      </c>
      <c r="V391" s="6">
        <v>226.5</v>
      </c>
      <c r="W391" s="6">
        <v>20.7</v>
      </c>
      <c r="X391" s="6">
        <v>86</v>
      </c>
      <c r="Y391" s="6">
        <v>80.2</v>
      </c>
      <c r="Z391" s="6">
        <v>111</v>
      </c>
      <c r="AA391" s="6">
        <v>70</v>
      </c>
      <c r="AB391" s="6">
        <v>45</v>
      </c>
      <c r="AC391" s="6">
        <v>72.400000000000006</v>
      </c>
      <c r="AD391" s="6">
        <v>105</v>
      </c>
      <c r="AE391" s="6">
        <v>27.8</v>
      </c>
      <c r="AF391" s="6">
        <v>19</v>
      </c>
      <c r="AG391" s="6">
        <v>114.6</v>
      </c>
      <c r="AH391" s="6">
        <v>49.5</v>
      </c>
      <c r="AI391" s="6">
        <v>62.5</v>
      </c>
      <c r="AJ391" s="6">
        <v>150</v>
      </c>
      <c r="AK391" s="6">
        <v>28</v>
      </c>
      <c r="AL391" s="6">
        <v>179</v>
      </c>
    </row>
    <row r="392" spans="1:38" x14ac:dyDescent="0.2">
      <c r="A392" s="6"/>
      <c r="B392" s="6">
        <v>2012</v>
      </c>
      <c r="C392" s="14" t="s">
        <v>295</v>
      </c>
      <c r="D392" s="6">
        <v>45</v>
      </c>
      <c r="E392" s="6">
        <v>157</v>
      </c>
      <c r="F392" s="6">
        <v>14.9</v>
      </c>
      <c r="G392" s="6">
        <v>50</v>
      </c>
      <c r="H392" s="6">
        <v>14.4</v>
      </c>
      <c r="I392" s="6">
        <v>48</v>
      </c>
      <c r="J392" s="6">
        <v>57</v>
      </c>
      <c r="K392" s="6">
        <v>13</v>
      </c>
      <c r="L392" s="6">
        <v>12.2</v>
      </c>
      <c r="M392" s="6">
        <v>119</v>
      </c>
      <c r="N392" s="6">
        <v>9.5</v>
      </c>
      <c r="O392" s="6">
        <v>90.5</v>
      </c>
      <c r="P392" s="6">
        <v>74</v>
      </c>
      <c r="Q392" s="6">
        <v>98</v>
      </c>
      <c r="R392" s="6">
        <v>24.2</v>
      </c>
      <c r="S392" s="6">
        <v>118.2</v>
      </c>
      <c r="T392" s="6">
        <v>17</v>
      </c>
      <c r="U392" s="6">
        <v>22</v>
      </c>
      <c r="V392" s="6">
        <v>62</v>
      </c>
      <c r="W392" s="6">
        <v>15.5</v>
      </c>
      <c r="X392" s="6">
        <v>14</v>
      </c>
      <c r="Y392" s="6">
        <v>51.4</v>
      </c>
      <c r="Z392" s="6">
        <v>28</v>
      </c>
      <c r="AA392" s="6">
        <v>6</v>
      </c>
      <c r="AB392" s="6">
        <v>37</v>
      </c>
      <c r="AC392" s="6">
        <v>54.9</v>
      </c>
      <c r="AD392" s="6">
        <v>73.599999999999994</v>
      </c>
      <c r="AE392" s="6">
        <v>8.1999999999999993</v>
      </c>
      <c r="AF392" s="6">
        <v>26</v>
      </c>
      <c r="AG392" s="6">
        <v>71.5</v>
      </c>
      <c r="AH392" s="6">
        <v>3</v>
      </c>
      <c r="AI392" s="6">
        <v>51</v>
      </c>
      <c r="AJ392" s="6">
        <v>73.900000000000006</v>
      </c>
      <c r="AK392" s="6">
        <v>51</v>
      </c>
      <c r="AL392" s="6">
        <v>70</v>
      </c>
    </row>
    <row r="393" spans="1:38" x14ac:dyDescent="0.2">
      <c r="A393" s="6"/>
      <c r="B393" s="6">
        <v>2012</v>
      </c>
      <c r="C393" s="14" t="s">
        <v>296</v>
      </c>
      <c r="D393" s="6">
        <v>123</v>
      </c>
      <c r="E393" s="6">
        <v>28</v>
      </c>
      <c r="F393" s="6">
        <v>114.4</v>
      </c>
      <c r="G393" s="6">
        <v>172</v>
      </c>
      <c r="H393" s="6">
        <v>138</v>
      </c>
      <c r="I393" s="6">
        <v>132</v>
      </c>
      <c r="J393" s="6">
        <v>118</v>
      </c>
      <c r="K393" s="6">
        <v>137</v>
      </c>
      <c r="L393" s="6">
        <v>207</v>
      </c>
      <c r="M393" s="6">
        <v>159</v>
      </c>
      <c r="N393" s="6">
        <v>259</v>
      </c>
      <c r="O393" s="6">
        <v>121</v>
      </c>
      <c r="P393" s="6">
        <v>95</v>
      </c>
      <c r="Q393" s="6">
        <v>183</v>
      </c>
      <c r="R393" s="6">
        <v>181.5</v>
      </c>
      <c r="S393" s="6">
        <v>78.099999999999994</v>
      </c>
      <c r="T393" s="6">
        <v>276</v>
      </c>
      <c r="U393" s="6">
        <v>234.5</v>
      </c>
      <c r="V393" s="6">
        <v>127.5</v>
      </c>
      <c r="W393" s="6">
        <v>244.6</v>
      </c>
      <c r="X393" s="6">
        <v>309</v>
      </c>
      <c r="Y393" s="6">
        <v>217.8</v>
      </c>
      <c r="Z393" s="6">
        <v>158</v>
      </c>
      <c r="AA393" s="6">
        <v>232</v>
      </c>
      <c r="AB393" s="6">
        <v>27</v>
      </c>
      <c r="AC393" s="6">
        <v>122.4</v>
      </c>
      <c r="AD393" s="6">
        <v>111.9</v>
      </c>
      <c r="AE393" s="6">
        <v>203.1</v>
      </c>
      <c r="AF393" s="6">
        <v>131</v>
      </c>
      <c r="AG393" s="6">
        <v>153.80000000000001</v>
      </c>
      <c r="AH393" s="6">
        <v>132</v>
      </c>
      <c r="AI393" s="6">
        <v>108</v>
      </c>
      <c r="AJ393" s="6">
        <v>120.2</v>
      </c>
      <c r="AK393" s="6">
        <v>207</v>
      </c>
      <c r="AL393" s="6">
        <v>110</v>
      </c>
    </row>
    <row r="394" spans="1:38" x14ac:dyDescent="0.2">
      <c r="A394" s="6"/>
      <c r="B394" s="6">
        <v>2012</v>
      </c>
      <c r="C394" s="14" t="s">
        <v>297</v>
      </c>
      <c r="D394" s="6">
        <v>44</v>
      </c>
      <c r="E394" s="6">
        <v>28</v>
      </c>
      <c r="F394" s="6">
        <v>95.9</v>
      </c>
      <c r="G394" s="6">
        <v>39</v>
      </c>
      <c r="H394" s="6">
        <v>102</v>
      </c>
      <c r="I394" s="6">
        <v>58</v>
      </c>
      <c r="J394" s="6">
        <v>36</v>
      </c>
      <c r="K394" s="6">
        <v>125</v>
      </c>
      <c r="L394" s="6">
        <v>78</v>
      </c>
      <c r="M394" s="6">
        <v>63</v>
      </c>
      <c r="N394" s="6">
        <v>123</v>
      </c>
      <c r="O394" s="6">
        <v>111</v>
      </c>
      <c r="P394" s="6">
        <v>64</v>
      </c>
      <c r="Q394" s="6">
        <v>85</v>
      </c>
      <c r="R394" s="6">
        <v>146</v>
      </c>
      <c r="S394" s="6">
        <v>81</v>
      </c>
      <c r="T394" s="6">
        <v>120.5</v>
      </c>
      <c r="U394" s="6">
        <v>80</v>
      </c>
      <c r="V394" s="6">
        <v>91.5</v>
      </c>
      <c r="W394" s="6">
        <v>121</v>
      </c>
      <c r="X394" s="6">
        <v>132</v>
      </c>
      <c r="Y394" s="6">
        <v>152.80000000000001</v>
      </c>
      <c r="Z394" s="6">
        <v>65</v>
      </c>
      <c r="AA394" s="6">
        <v>96</v>
      </c>
      <c r="AB394" s="6">
        <v>0</v>
      </c>
      <c r="AC394" s="6">
        <v>141.1</v>
      </c>
      <c r="AD394" s="6">
        <v>85.9</v>
      </c>
      <c r="AE394" s="6">
        <v>92.9</v>
      </c>
      <c r="AF394" s="6">
        <v>26</v>
      </c>
      <c r="AG394" s="6">
        <v>69</v>
      </c>
      <c r="AH394" s="6">
        <v>101</v>
      </c>
      <c r="AI394" s="6">
        <v>94</v>
      </c>
      <c r="AJ394" s="6">
        <v>58</v>
      </c>
      <c r="AK394" s="6">
        <v>63</v>
      </c>
      <c r="AL394" s="6">
        <v>102</v>
      </c>
    </row>
    <row r="395" spans="1:38" x14ac:dyDescent="0.2">
      <c r="A395" s="6"/>
      <c r="B395" s="6">
        <v>2012</v>
      </c>
      <c r="C395" s="14" t="s">
        <v>298</v>
      </c>
      <c r="D395" s="6">
        <v>238</v>
      </c>
      <c r="E395" s="6">
        <v>87</v>
      </c>
      <c r="F395" s="6">
        <v>369.1</v>
      </c>
      <c r="G395" s="6">
        <v>257</v>
      </c>
      <c r="H395" s="6">
        <v>338</v>
      </c>
      <c r="I395" s="6">
        <v>327</v>
      </c>
      <c r="J395" s="6">
        <v>137</v>
      </c>
      <c r="K395" s="6">
        <v>180</v>
      </c>
      <c r="L395" s="6">
        <v>300</v>
      </c>
      <c r="M395" s="6">
        <v>170</v>
      </c>
      <c r="N395" s="6">
        <v>366.5</v>
      </c>
      <c r="O395" s="6">
        <v>134</v>
      </c>
      <c r="P395" s="6">
        <v>113</v>
      </c>
      <c r="Q395" s="6">
        <v>148</v>
      </c>
      <c r="R395" s="6">
        <v>336.4</v>
      </c>
      <c r="S395" s="6">
        <v>121.2</v>
      </c>
      <c r="T395" s="6">
        <v>270.89999999999998</v>
      </c>
      <c r="U395" s="6">
        <v>276</v>
      </c>
      <c r="V395" s="6">
        <v>217</v>
      </c>
      <c r="W395" s="6">
        <v>317.8</v>
      </c>
      <c r="X395" s="6">
        <v>351</v>
      </c>
      <c r="Y395" s="6">
        <v>220.9</v>
      </c>
      <c r="Z395" s="6">
        <v>317</v>
      </c>
      <c r="AA395" s="6">
        <v>350</v>
      </c>
      <c r="AB395" s="6">
        <v>172</v>
      </c>
      <c r="AC395" s="6">
        <v>272</v>
      </c>
      <c r="AD395" s="6">
        <v>168.3</v>
      </c>
      <c r="AE395" s="6">
        <v>359.1</v>
      </c>
      <c r="AF395" s="6">
        <v>342</v>
      </c>
      <c r="AG395" s="6">
        <v>315.60000000000002</v>
      </c>
      <c r="AH395" s="6">
        <v>384</v>
      </c>
      <c r="AI395" s="6">
        <v>324.5</v>
      </c>
      <c r="AJ395" s="6">
        <v>173.8</v>
      </c>
      <c r="AK395" s="6">
        <v>249</v>
      </c>
      <c r="AL395" s="6">
        <v>190</v>
      </c>
    </row>
    <row r="396" spans="1:38" x14ac:dyDescent="0.2">
      <c r="A396" s="6"/>
      <c r="B396" s="6">
        <v>2012</v>
      </c>
      <c r="C396" s="14" t="s">
        <v>299</v>
      </c>
      <c r="D396" s="6">
        <v>75</v>
      </c>
      <c r="E396" s="6">
        <v>0</v>
      </c>
      <c r="F396" s="6">
        <v>24.7</v>
      </c>
      <c r="G396" s="6">
        <v>70</v>
      </c>
      <c r="H396" s="6">
        <v>13</v>
      </c>
      <c r="I396" s="6">
        <v>62</v>
      </c>
      <c r="J396" s="6">
        <v>0</v>
      </c>
      <c r="K396" s="6">
        <v>71</v>
      </c>
      <c r="L396" s="6">
        <v>24</v>
      </c>
      <c r="M396" s="6">
        <v>21</v>
      </c>
      <c r="N396" s="6">
        <v>32</v>
      </c>
      <c r="O396" s="6">
        <v>104</v>
      </c>
      <c r="P396" s="6">
        <v>18</v>
      </c>
      <c r="Q396" s="6">
        <v>38</v>
      </c>
      <c r="R396" s="6">
        <v>86.800000000000026</v>
      </c>
      <c r="S396" s="6">
        <v>16.600000000000001</v>
      </c>
      <c r="T396" s="6">
        <v>85.4</v>
      </c>
      <c r="U396" s="6">
        <v>11</v>
      </c>
      <c r="V396" s="6">
        <v>9.5</v>
      </c>
      <c r="W396" s="6">
        <v>34.4</v>
      </c>
      <c r="X396" s="6">
        <v>97</v>
      </c>
      <c r="Y396" s="6">
        <v>32.4</v>
      </c>
      <c r="Z396" s="6">
        <v>33</v>
      </c>
      <c r="AA396" s="6">
        <v>50</v>
      </c>
      <c r="AC396" s="6">
        <v>67.400000000000006</v>
      </c>
      <c r="AD396" s="6">
        <v>91.2</v>
      </c>
      <c r="AE396" s="6">
        <v>83.1</v>
      </c>
      <c r="AF396" s="6">
        <v>37.5</v>
      </c>
      <c r="AG396" s="6">
        <v>62.5</v>
      </c>
      <c r="AH396" s="6">
        <v>33</v>
      </c>
      <c r="AI396" s="6">
        <v>113</v>
      </c>
      <c r="AJ396" s="6">
        <v>30.4</v>
      </c>
      <c r="AK396" s="6">
        <v>41</v>
      </c>
      <c r="AL396" s="6">
        <v>52</v>
      </c>
    </row>
    <row r="397" spans="1:38" x14ac:dyDescent="0.2">
      <c r="A397" s="6"/>
      <c r="B397" s="6">
        <v>2012</v>
      </c>
      <c r="C397" s="14" t="s">
        <v>301</v>
      </c>
      <c r="D397" s="6">
        <v>280</v>
      </c>
      <c r="E397" s="6">
        <v>0</v>
      </c>
      <c r="F397" s="6">
        <v>299</v>
      </c>
      <c r="G397" s="6">
        <v>221</v>
      </c>
      <c r="H397" s="6">
        <v>343</v>
      </c>
      <c r="I397" s="6">
        <v>282</v>
      </c>
      <c r="J397" s="6">
        <v>136</v>
      </c>
      <c r="K397" s="6">
        <v>241</v>
      </c>
      <c r="L397" s="6">
        <v>250</v>
      </c>
      <c r="M397" s="6">
        <v>193</v>
      </c>
      <c r="N397" s="6">
        <v>354</v>
      </c>
      <c r="O397" s="6">
        <v>97</v>
      </c>
      <c r="P397" s="6">
        <v>152</v>
      </c>
      <c r="Q397" s="6">
        <v>216</v>
      </c>
      <c r="R397" s="6">
        <v>353.20000000000005</v>
      </c>
      <c r="S397" s="6">
        <v>154.9</v>
      </c>
      <c r="T397" s="6">
        <v>242.4</v>
      </c>
      <c r="U397" s="6">
        <v>245</v>
      </c>
      <c r="V397" s="6">
        <v>216</v>
      </c>
      <c r="W397" s="6">
        <v>395.4</v>
      </c>
      <c r="X397" s="6">
        <v>362.5</v>
      </c>
      <c r="Y397" s="6">
        <v>162.4</v>
      </c>
      <c r="Z397" s="6">
        <v>218</v>
      </c>
      <c r="AA397" s="6">
        <v>275</v>
      </c>
      <c r="AB397" s="6">
        <v>213</v>
      </c>
      <c r="AC397" s="6">
        <v>215.2</v>
      </c>
      <c r="AD397" s="6">
        <v>270.10000000000002</v>
      </c>
      <c r="AE397" s="6">
        <v>361.8</v>
      </c>
      <c r="AF397" s="6">
        <v>205</v>
      </c>
      <c r="AG397" s="6">
        <v>275.89999999999998</v>
      </c>
      <c r="AH397" s="6">
        <v>323.5</v>
      </c>
      <c r="AI397" s="6">
        <v>228</v>
      </c>
      <c r="AJ397" s="6">
        <v>232.5</v>
      </c>
      <c r="AK397" s="6">
        <v>163</v>
      </c>
      <c r="AL397" s="6">
        <v>140</v>
      </c>
    </row>
    <row r="398" spans="1:38" x14ac:dyDescent="0.2">
      <c r="B398" s="6">
        <v>2013</v>
      </c>
      <c r="C398" s="14" t="s">
        <v>289</v>
      </c>
    </row>
    <row r="399" spans="1:38" x14ac:dyDescent="0.2">
      <c r="B399" s="6">
        <v>2013</v>
      </c>
      <c r="C399" s="14" t="s">
        <v>290</v>
      </c>
    </row>
    <row r="400" spans="1:38" x14ac:dyDescent="0.2">
      <c r="B400" s="6">
        <v>2013</v>
      </c>
      <c r="C400" s="14" t="s">
        <v>291</v>
      </c>
    </row>
    <row r="401" spans="2:3" x14ac:dyDescent="0.2">
      <c r="B401" s="6">
        <v>2013</v>
      </c>
      <c r="C401" s="14" t="s">
        <v>292</v>
      </c>
    </row>
    <row r="402" spans="2:3" x14ac:dyDescent="0.2">
      <c r="B402" s="6">
        <v>2013</v>
      </c>
      <c r="C402" s="14" t="s">
        <v>293</v>
      </c>
    </row>
    <row r="403" spans="2:3" x14ac:dyDescent="0.2">
      <c r="B403" s="6">
        <v>2013</v>
      </c>
      <c r="C403" s="14" t="s">
        <v>294</v>
      </c>
    </row>
    <row r="404" spans="2:3" x14ac:dyDescent="0.2">
      <c r="B404" s="6">
        <v>2013</v>
      </c>
      <c r="C404" s="14" t="s">
        <v>295</v>
      </c>
    </row>
    <row r="405" spans="2:3" x14ac:dyDescent="0.2">
      <c r="B405" s="6">
        <v>2013</v>
      </c>
      <c r="C405" s="14" t="s">
        <v>296</v>
      </c>
    </row>
    <row r="406" spans="2:3" x14ac:dyDescent="0.2">
      <c r="B406" s="6">
        <v>2013</v>
      </c>
      <c r="C406" s="14" t="s">
        <v>297</v>
      </c>
    </row>
    <row r="407" spans="2:3" x14ac:dyDescent="0.2">
      <c r="B407" s="6">
        <v>2013</v>
      </c>
      <c r="C407" s="14" t="s">
        <v>298</v>
      </c>
    </row>
    <row r="408" spans="2:3" x14ac:dyDescent="0.2">
      <c r="B408" s="6">
        <v>2013</v>
      </c>
      <c r="C408" s="14" t="s">
        <v>299</v>
      </c>
    </row>
    <row r="409" spans="2:3" x14ac:dyDescent="0.2">
      <c r="B409" s="6">
        <v>2013</v>
      </c>
      <c r="C409" s="14" t="s">
        <v>301</v>
      </c>
    </row>
    <row r="410" spans="2:3" x14ac:dyDescent="0.2">
      <c r="B410" s="6">
        <v>2014</v>
      </c>
      <c r="C410" s="14" t="s">
        <v>289</v>
      </c>
    </row>
    <row r="411" spans="2:3" x14ac:dyDescent="0.2">
      <c r="B411" s="6">
        <v>2014</v>
      </c>
      <c r="C411" s="14" t="s">
        <v>290</v>
      </c>
    </row>
    <row r="412" spans="2:3" x14ac:dyDescent="0.2">
      <c r="B412" s="6">
        <v>2014</v>
      </c>
      <c r="C412" s="14" t="s">
        <v>291</v>
      </c>
    </row>
    <row r="413" spans="2:3" x14ac:dyDescent="0.2">
      <c r="B413" s="6">
        <v>2014</v>
      </c>
      <c r="C413" s="14" t="s">
        <v>292</v>
      </c>
    </row>
    <row r="414" spans="2:3" x14ac:dyDescent="0.2">
      <c r="B414" s="6">
        <v>2014</v>
      </c>
      <c r="C414" s="14" t="s">
        <v>293</v>
      </c>
    </row>
    <row r="415" spans="2:3" x14ac:dyDescent="0.2">
      <c r="B415" s="6">
        <v>2014</v>
      </c>
      <c r="C415" s="14" t="s">
        <v>294</v>
      </c>
    </row>
    <row r="416" spans="2:3" x14ac:dyDescent="0.2">
      <c r="B416" s="6">
        <v>2014</v>
      </c>
      <c r="C416" s="14" t="s">
        <v>295</v>
      </c>
    </row>
    <row r="417" spans="2:3" x14ac:dyDescent="0.2">
      <c r="B417" s="6">
        <v>2014</v>
      </c>
      <c r="C417" s="14" t="s">
        <v>296</v>
      </c>
    </row>
    <row r="418" spans="2:3" x14ac:dyDescent="0.2">
      <c r="B418" s="6">
        <v>2014</v>
      </c>
      <c r="C418" s="14" t="s">
        <v>297</v>
      </c>
    </row>
    <row r="419" spans="2:3" x14ac:dyDescent="0.2">
      <c r="B419" s="6">
        <v>2014</v>
      </c>
      <c r="C419" s="14" t="s">
        <v>298</v>
      </c>
    </row>
    <row r="420" spans="2:3" x14ac:dyDescent="0.2">
      <c r="B420" s="6">
        <v>2014</v>
      </c>
      <c r="C420" s="14" t="s">
        <v>299</v>
      </c>
    </row>
    <row r="421" spans="2:3" x14ac:dyDescent="0.2">
      <c r="B421" s="6">
        <v>2014</v>
      </c>
      <c r="C421" s="14" t="s">
        <v>301</v>
      </c>
    </row>
    <row r="422" spans="2:3" x14ac:dyDescent="0.2">
      <c r="B422" s="6">
        <v>2015</v>
      </c>
      <c r="C422" s="14" t="s">
        <v>289</v>
      </c>
    </row>
    <row r="423" spans="2:3" x14ac:dyDescent="0.2">
      <c r="B423" s="6">
        <v>2015</v>
      </c>
      <c r="C423" s="14" t="s">
        <v>290</v>
      </c>
    </row>
    <row r="424" spans="2:3" x14ac:dyDescent="0.2">
      <c r="B424" s="6">
        <v>2015</v>
      </c>
      <c r="C424" s="14" t="s">
        <v>291</v>
      </c>
    </row>
    <row r="425" spans="2:3" x14ac:dyDescent="0.2">
      <c r="B425" s="6">
        <v>2015</v>
      </c>
      <c r="C425" s="14" t="s">
        <v>292</v>
      </c>
    </row>
    <row r="426" spans="2:3" x14ac:dyDescent="0.2">
      <c r="B426" s="6">
        <v>2015</v>
      </c>
      <c r="C426" s="14" t="s">
        <v>293</v>
      </c>
    </row>
    <row r="427" spans="2:3" x14ac:dyDescent="0.2">
      <c r="B427" s="6">
        <v>2015</v>
      </c>
      <c r="C427" s="14" t="s">
        <v>294</v>
      </c>
    </row>
    <row r="428" spans="2:3" x14ac:dyDescent="0.2">
      <c r="B428" s="6">
        <v>2015</v>
      </c>
      <c r="C428" s="14" t="s">
        <v>295</v>
      </c>
    </row>
    <row r="429" spans="2:3" x14ac:dyDescent="0.2">
      <c r="B429" s="6">
        <v>2015</v>
      </c>
      <c r="C429" s="14" t="s">
        <v>296</v>
      </c>
    </row>
    <row r="430" spans="2:3" x14ac:dyDescent="0.2">
      <c r="B430" s="6">
        <v>2015</v>
      </c>
      <c r="C430" s="14" t="s">
        <v>297</v>
      </c>
    </row>
    <row r="431" spans="2:3" x14ac:dyDescent="0.2">
      <c r="B431" s="6">
        <v>2015</v>
      </c>
      <c r="C431" s="14" t="s">
        <v>298</v>
      </c>
    </row>
    <row r="432" spans="2:3" x14ac:dyDescent="0.2">
      <c r="B432" s="6">
        <v>2015</v>
      </c>
      <c r="C432" s="14" t="s">
        <v>299</v>
      </c>
    </row>
    <row r="433" spans="2:3" x14ac:dyDescent="0.2">
      <c r="B433" s="6">
        <v>2015</v>
      </c>
      <c r="C433" s="14" t="s">
        <v>301</v>
      </c>
    </row>
  </sheetData>
  <sheetProtection sheet="1"/>
  <mergeCells count="7">
    <mergeCell ref="E1:L3"/>
    <mergeCell ref="B10:C10"/>
    <mergeCell ref="A2:C3"/>
    <mergeCell ref="B7:B8"/>
    <mergeCell ref="B6:C6"/>
    <mergeCell ref="B5:C5"/>
    <mergeCell ref="B9:C9"/>
  </mergeCells>
  <phoneticPr fontId="15" type="noConversion"/>
  <pageMargins left="0.51" right="0.34" top="0.56000000000000005" bottom="0.44" header="0" footer="0"/>
  <pageSetup paperSize="9" scale="9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indexed="16"/>
    <pageSetUpPr fitToPage="1"/>
  </sheetPr>
  <dimension ref="A1:G52"/>
  <sheetViews>
    <sheetView workbookViewId="0">
      <selection activeCell="A6" sqref="A6"/>
    </sheetView>
  </sheetViews>
  <sheetFormatPr baseColWidth="10" defaultRowHeight="15" x14ac:dyDescent="0.2"/>
  <cols>
    <col min="1" max="1" width="11.42578125" style="41" customWidth="1"/>
    <col min="2" max="2" width="18.85546875" style="41" customWidth="1"/>
    <col min="3" max="8" width="11.42578125" style="41" customWidth="1"/>
    <col min="9" max="9" width="13.85546875" style="41" customWidth="1"/>
    <col min="10" max="10" width="20.140625" style="41" customWidth="1"/>
    <col min="11" max="16384" width="11.42578125" style="41"/>
  </cols>
  <sheetData>
    <row r="1" spans="1:7" ht="15.75" x14ac:dyDescent="0.25">
      <c r="A1" s="47" t="s">
        <v>429</v>
      </c>
      <c r="B1" s="48"/>
      <c r="C1" s="48"/>
      <c r="D1" s="48"/>
      <c r="E1" s="48"/>
      <c r="F1" s="48"/>
      <c r="G1" s="48"/>
    </row>
    <row r="2" spans="1:7" x14ac:dyDescent="0.2">
      <c r="A2" s="49" t="s">
        <v>430</v>
      </c>
      <c r="B2" s="49"/>
      <c r="C2" s="49"/>
      <c r="D2" s="49"/>
      <c r="E2" s="49"/>
      <c r="F2" s="49"/>
      <c r="G2" s="49"/>
    </row>
    <row r="3" spans="1:7" ht="20.25" x14ac:dyDescent="0.3">
      <c r="A3" s="488" t="str">
        <f>+Pasos!A3</f>
        <v>Planilla complementaria al Manual de diseño y construcción de pequeñas presas, Versión 1.04, del 01/04/2013</v>
      </c>
      <c r="B3" s="50"/>
      <c r="C3" s="50"/>
      <c r="D3" s="50"/>
      <c r="E3" s="50"/>
      <c r="F3" s="50"/>
      <c r="G3" s="50"/>
    </row>
    <row r="5" spans="1:7" ht="15.75" x14ac:dyDescent="0.25">
      <c r="B5" s="42" t="s">
        <v>502</v>
      </c>
    </row>
    <row r="6" spans="1:7" ht="15.75" x14ac:dyDescent="0.25">
      <c r="A6" s="202" t="s">
        <v>607</v>
      </c>
      <c r="B6" s="43" t="s">
        <v>599</v>
      </c>
    </row>
    <row r="7" spans="1:7" ht="15" customHeight="1" x14ac:dyDescent="0.25">
      <c r="A7" s="202" t="s">
        <v>608</v>
      </c>
      <c r="B7" s="43" t="s">
        <v>503</v>
      </c>
    </row>
    <row r="8" spans="1:7" ht="15" customHeight="1" x14ac:dyDescent="0.25">
      <c r="A8" s="202" t="s">
        <v>609</v>
      </c>
      <c r="B8" s="43" t="s">
        <v>504</v>
      </c>
    </row>
    <row r="9" spans="1:7" ht="15" customHeight="1" x14ac:dyDescent="0.25">
      <c r="A9" s="202" t="s">
        <v>610</v>
      </c>
      <c r="B9" s="43" t="s">
        <v>600</v>
      </c>
    </row>
    <row r="10" spans="1:7" ht="15" customHeight="1" x14ac:dyDescent="0.25">
      <c r="A10" s="202" t="s">
        <v>611</v>
      </c>
      <c r="B10" s="202" t="s">
        <v>436</v>
      </c>
      <c r="C10" s="111"/>
      <c r="D10" s="43" t="s">
        <v>899</v>
      </c>
    </row>
    <row r="11" spans="1:7" ht="15" customHeight="1" x14ac:dyDescent="0.25">
      <c r="A11" s="202" t="s">
        <v>612</v>
      </c>
      <c r="B11" s="43" t="s">
        <v>83</v>
      </c>
    </row>
    <row r="12" spans="1:7" ht="15" customHeight="1" x14ac:dyDescent="0.25">
      <c r="A12" s="202" t="s">
        <v>154</v>
      </c>
      <c r="B12" s="43" t="s">
        <v>84</v>
      </c>
    </row>
    <row r="13" spans="1:7" ht="15.75" x14ac:dyDescent="0.25">
      <c r="A13" s="202" t="s">
        <v>155</v>
      </c>
      <c r="B13" s="43" t="s">
        <v>964</v>
      </c>
    </row>
    <row r="15" spans="1:7" ht="15.75" x14ac:dyDescent="0.25">
      <c r="A15" s="42" t="s">
        <v>441</v>
      </c>
    </row>
    <row r="16" spans="1:7" ht="15.75" x14ac:dyDescent="0.25">
      <c r="A16" s="42"/>
      <c r="B16" s="116" t="s">
        <v>505</v>
      </c>
      <c r="C16" s="42" t="s">
        <v>506</v>
      </c>
    </row>
    <row r="17" spans="1:3" ht="15.75" x14ac:dyDescent="0.25">
      <c r="A17" s="42"/>
      <c r="B17" s="584" t="s">
        <v>80</v>
      </c>
      <c r="C17" s="40" t="s">
        <v>82</v>
      </c>
    </row>
    <row r="18" spans="1:3" x14ac:dyDescent="0.2">
      <c r="B18" s="585" t="s">
        <v>81</v>
      </c>
      <c r="C18" s="40" t="s">
        <v>85</v>
      </c>
    </row>
    <row r="20" spans="1:3" customFormat="1" x14ac:dyDescent="0.25">
      <c r="B20" s="248" t="s">
        <v>885</v>
      </c>
      <c r="C20" s="40" t="s">
        <v>886</v>
      </c>
    </row>
    <row r="21" spans="1:3" ht="15.75" x14ac:dyDescent="0.25">
      <c r="A21" s="42"/>
      <c r="B21" s="248" t="s">
        <v>156</v>
      </c>
      <c r="C21" s="40" t="s">
        <v>157</v>
      </c>
    </row>
    <row r="22" spans="1:3" customFormat="1" x14ac:dyDescent="0.25"/>
    <row r="23" spans="1:3" ht="15.75" x14ac:dyDescent="0.25">
      <c r="A23"/>
      <c r="B23" s="425" t="s">
        <v>933</v>
      </c>
      <c r="C23" s="40" t="s">
        <v>374</v>
      </c>
    </row>
    <row r="24" spans="1:3" ht="15.75" x14ac:dyDescent="0.25">
      <c r="A24"/>
      <c r="B24" s="425" t="s">
        <v>934</v>
      </c>
      <c r="C24" s="40" t="s">
        <v>935</v>
      </c>
    </row>
    <row r="25" spans="1:3" ht="15.75" x14ac:dyDescent="0.25">
      <c r="A25"/>
      <c r="B25" s="249"/>
      <c r="C25" s="40"/>
    </row>
    <row r="26" spans="1:3" x14ac:dyDescent="0.2">
      <c r="A26" s="44" t="s">
        <v>431</v>
      </c>
      <c r="B26" s="249"/>
    </row>
    <row r="27" spans="1:3" ht="15.75" x14ac:dyDescent="0.25">
      <c r="A27" s="43" t="s">
        <v>568</v>
      </c>
      <c r="B27" s="250"/>
      <c r="C27" s="40"/>
    </row>
    <row r="28" spans="1:3" x14ac:dyDescent="0.2">
      <c r="A28" s="40"/>
      <c r="B28" s="669" t="s">
        <v>937</v>
      </c>
      <c r="C28" s="40" t="s">
        <v>963</v>
      </c>
    </row>
    <row r="29" spans="1:3" x14ac:dyDescent="0.2">
      <c r="A29" s="40"/>
      <c r="B29" s="670"/>
      <c r="C29" s="40" t="s">
        <v>520</v>
      </c>
    </row>
    <row r="30" spans="1:3" x14ac:dyDescent="0.2">
      <c r="A30" s="40"/>
      <c r="B30" s="250"/>
      <c r="C30" s="40"/>
    </row>
    <row r="31" spans="1:3" x14ac:dyDescent="0.2">
      <c r="A31" s="44" t="s">
        <v>435</v>
      </c>
      <c r="B31" s="250"/>
      <c r="C31" s="40"/>
    </row>
    <row r="32" spans="1:3" ht="15.75" x14ac:dyDescent="0.25">
      <c r="A32" s="43" t="s">
        <v>508</v>
      </c>
      <c r="B32" s="250"/>
      <c r="C32" s="40"/>
    </row>
    <row r="33" spans="1:3" x14ac:dyDescent="0.2">
      <c r="A33" s="40"/>
      <c r="B33" s="667" t="s">
        <v>432</v>
      </c>
      <c r="C33" s="40" t="s">
        <v>521</v>
      </c>
    </row>
    <row r="34" spans="1:3" x14ac:dyDescent="0.2">
      <c r="A34" s="40"/>
      <c r="B34" s="668"/>
      <c r="C34" s="40" t="s">
        <v>522</v>
      </c>
    </row>
    <row r="35" spans="1:3" ht="15.75" x14ac:dyDescent="0.25">
      <c r="A35" s="43" t="s">
        <v>507</v>
      </c>
      <c r="B35" s="431" t="s">
        <v>962</v>
      </c>
      <c r="C35" s="40" t="s">
        <v>519</v>
      </c>
    </row>
    <row r="36" spans="1:3" x14ac:dyDescent="0.2">
      <c r="A36" s="40"/>
      <c r="B36" s="249"/>
      <c r="C36" s="40"/>
    </row>
    <row r="37" spans="1:3" x14ac:dyDescent="0.2">
      <c r="A37" s="44" t="s">
        <v>523</v>
      </c>
      <c r="B37" s="249"/>
      <c r="C37" s="40"/>
    </row>
    <row r="38" spans="1:3" ht="15.75" x14ac:dyDescent="0.25">
      <c r="A38" s="43" t="s">
        <v>564</v>
      </c>
      <c r="B38" s="249"/>
      <c r="C38" s="40"/>
    </row>
    <row r="39" spans="1:3" x14ac:dyDescent="0.2">
      <c r="A39" s="40"/>
      <c r="B39" s="251" t="s">
        <v>512</v>
      </c>
      <c r="C39" s="40" t="s">
        <v>875</v>
      </c>
    </row>
    <row r="40" spans="1:3" x14ac:dyDescent="0.2">
      <c r="A40" s="40"/>
      <c r="B40" s="251" t="s">
        <v>513</v>
      </c>
      <c r="C40" s="40" t="s">
        <v>593</v>
      </c>
    </row>
    <row r="41" spans="1:3" x14ac:dyDescent="0.2">
      <c r="A41" s="40"/>
      <c r="B41" s="427" t="s">
        <v>514</v>
      </c>
      <c r="C41" s="40" t="s">
        <v>936</v>
      </c>
    </row>
    <row r="42" spans="1:3" x14ac:dyDescent="0.2">
      <c r="A42" s="40"/>
      <c r="B42" s="252" t="s">
        <v>515</v>
      </c>
      <c r="C42" s="40" t="s">
        <v>594</v>
      </c>
    </row>
    <row r="43" spans="1:3" x14ac:dyDescent="0.2">
      <c r="A43" s="40"/>
      <c r="B43" s="252" t="s">
        <v>516</v>
      </c>
      <c r="C43" s="40" t="s">
        <v>613</v>
      </c>
    </row>
    <row r="44" spans="1:3" x14ac:dyDescent="0.2">
      <c r="A44" s="44"/>
      <c r="B44" s="252" t="s">
        <v>518</v>
      </c>
      <c r="C44" s="40" t="s">
        <v>375</v>
      </c>
    </row>
    <row r="45" spans="1:3" x14ac:dyDescent="0.2">
      <c r="A45" s="40"/>
      <c r="B45" s="253" t="s">
        <v>517</v>
      </c>
      <c r="C45" s="40" t="s">
        <v>592</v>
      </c>
    </row>
    <row r="46" spans="1:3" x14ac:dyDescent="0.2">
      <c r="A46" s="40"/>
      <c r="B46" s="250"/>
      <c r="C46" s="40"/>
    </row>
    <row r="47" spans="1:3" ht="15.75" x14ac:dyDescent="0.25">
      <c r="A47" s="43" t="s">
        <v>433</v>
      </c>
      <c r="B47" s="250"/>
      <c r="C47" s="40"/>
    </row>
    <row r="48" spans="1:3" ht="15.75" x14ac:dyDescent="0.25">
      <c r="A48" s="40"/>
      <c r="B48" s="254" t="s">
        <v>873</v>
      </c>
      <c r="C48" s="40" t="s">
        <v>874</v>
      </c>
    </row>
    <row r="49" spans="1:3" ht="15.75" x14ac:dyDescent="0.25">
      <c r="A49" s="40"/>
      <c r="B49" s="254" t="s">
        <v>434</v>
      </c>
      <c r="C49" s="40" t="s">
        <v>509</v>
      </c>
    </row>
    <row r="50" spans="1:3" ht="15.75" x14ac:dyDescent="0.25">
      <c r="A50" s="40"/>
      <c r="B50" s="254" t="s">
        <v>59</v>
      </c>
      <c r="C50" s="40" t="s">
        <v>442</v>
      </c>
    </row>
    <row r="52" spans="1:3" x14ac:dyDescent="0.2">
      <c r="A52" s="41" t="s">
        <v>401</v>
      </c>
    </row>
  </sheetData>
  <sheetProtection sheet="1"/>
  <mergeCells count="2">
    <mergeCell ref="B33:B34"/>
    <mergeCell ref="B28:B29"/>
  </mergeCells>
  <phoneticPr fontId="15" type="noConversion"/>
  <pageMargins left="0.53" right="0.37" top="0.43307086614173229" bottom="0.33" header="0" footer="0"/>
  <pageSetup paperSize="9" scale="6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indexed="16"/>
  </sheetPr>
  <dimension ref="A1:L81"/>
  <sheetViews>
    <sheetView showGridLines="0" zoomScale="95" zoomScaleNormal="95" workbookViewId="0">
      <pane ySplit="6" topLeftCell="A7" activePane="bottomLeft" state="frozen"/>
      <selection pane="bottomLeft" activeCell="G8" sqref="G8"/>
    </sheetView>
  </sheetViews>
  <sheetFormatPr baseColWidth="10" defaultRowHeight="15" x14ac:dyDescent="0.25"/>
  <cols>
    <col min="1" max="1" width="11.42578125" style="233" customWidth="1"/>
    <col min="2" max="2" width="14" style="279" customWidth="1"/>
    <col min="3" max="3" width="58.140625" style="284" customWidth="1"/>
    <col min="4" max="4" width="6.140625" customWidth="1"/>
    <col min="5" max="5" width="9.140625" customWidth="1"/>
    <col min="6" max="8" width="10.85546875" customWidth="1"/>
    <col min="9" max="9" width="2" customWidth="1"/>
    <col min="10" max="12" width="11.42578125" customWidth="1"/>
  </cols>
  <sheetData>
    <row r="1" spans="1:12" ht="15.75" x14ac:dyDescent="0.25">
      <c r="A1" s="280" t="s">
        <v>429</v>
      </c>
      <c r="B1" s="48"/>
      <c r="C1" s="48"/>
      <c r="F1" s="671" t="s">
        <v>927</v>
      </c>
      <c r="G1" s="671"/>
      <c r="H1" s="671"/>
      <c r="J1" s="671" t="s">
        <v>664</v>
      </c>
      <c r="K1" s="671"/>
      <c r="L1" s="671"/>
    </row>
    <row r="2" spans="1:12" ht="19.5" customHeight="1" x14ac:dyDescent="0.25">
      <c r="A2" s="281" t="s">
        <v>430</v>
      </c>
      <c r="B2" s="49"/>
      <c r="C2" s="49"/>
      <c r="F2" s="671"/>
      <c r="G2" s="671"/>
      <c r="H2" s="671"/>
      <c r="J2" s="671"/>
      <c r="K2" s="671"/>
      <c r="L2" s="671"/>
    </row>
    <row r="3" spans="1:12" ht="20.25" customHeight="1" x14ac:dyDescent="0.3">
      <c r="A3" s="486" t="str">
        <f>+CONCATENATE("Planilla complementaria al Manual de diseño y construcción de pequeñas presas, ",F4)</f>
        <v>Planilla complementaria al Manual de diseño y construcción de pequeñas presas, Versión 1.04, del 01/04/2013</v>
      </c>
      <c r="B3" s="50"/>
      <c r="C3" s="50"/>
      <c r="F3" s="671"/>
      <c r="G3" s="671"/>
      <c r="H3" s="671"/>
      <c r="J3" s="671"/>
      <c r="K3" s="671"/>
      <c r="L3" s="671"/>
    </row>
    <row r="4" spans="1:12" ht="18.75" customHeight="1" x14ac:dyDescent="0.25">
      <c r="B4"/>
      <c r="C4"/>
      <c r="F4" s="672" t="s">
        <v>94</v>
      </c>
      <c r="G4" s="672"/>
      <c r="H4" s="672"/>
      <c r="J4" s="671"/>
      <c r="K4" s="671"/>
      <c r="L4" s="671"/>
    </row>
    <row r="5" spans="1:12" ht="18" x14ac:dyDescent="0.25">
      <c r="A5" s="677" t="s">
        <v>911</v>
      </c>
      <c r="B5" s="677"/>
      <c r="C5" s="677"/>
      <c r="F5" s="673"/>
      <c r="G5" s="673"/>
      <c r="H5" s="673"/>
      <c r="J5" s="671"/>
      <c r="K5" s="671"/>
      <c r="L5" s="671"/>
    </row>
    <row r="6" spans="1:12" ht="15.75" x14ac:dyDescent="0.25">
      <c r="A6" s="676" t="s">
        <v>912</v>
      </c>
      <c r="B6" s="676"/>
      <c r="C6" s="676"/>
      <c r="D6" s="282"/>
      <c r="E6" t="s">
        <v>87</v>
      </c>
      <c r="F6" t="s">
        <v>86</v>
      </c>
      <c r="I6" s="282"/>
    </row>
    <row r="7" spans="1:12" s="282" customFormat="1" ht="18.75" customHeight="1" x14ac:dyDescent="0.3">
      <c r="D7" s="577"/>
      <c r="E7" s="577"/>
      <c r="G7" s="577"/>
      <c r="H7" s="577"/>
    </row>
    <row r="8" spans="1:12" s="282" customFormat="1" ht="15" customHeight="1" x14ac:dyDescent="0.3">
      <c r="A8" s="674" t="s">
        <v>596</v>
      </c>
      <c r="B8" s="675"/>
      <c r="C8" s="675"/>
      <c r="D8" s="577"/>
      <c r="E8" s="577"/>
      <c r="G8" s="577"/>
      <c r="H8" s="577"/>
    </row>
    <row r="9" spans="1:12" s="282" customFormat="1" ht="15" customHeight="1" x14ac:dyDescent="0.25">
      <c r="A9" s="674"/>
      <c r="B9" s="675"/>
      <c r="C9" s="675"/>
    </row>
    <row r="10" spans="1:12" s="282" customFormat="1" ht="15" customHeight="1" x14ac:dyDescent="0.25">
      <c r="A10" s="674"/>
      <c r="B10" s="675"/>
      <c r="C10" s="675"/>
    </row>
    <row r="11" spans="1:12" s="282" customFormat="1" ht="15" customHeight="1" x14ac:dyDescent="0.25">
      <c r="A11" s="674" t="s">
        <v>402</v>
      </c>
      <c r="B11" s="675"/>
      <c r="C11" s="675"/>
    </row>
    <row r="12" spans="1:12" s="282" customFormat="1" ht="15" customHeight="1" x14ac:dyDescent="0.25">
      <c r="A12" s="674"/>
      <c r="B12" s="675"/>
      <c r="C12" s="675"/>
    </row>
    <row r="13" spans="1:12" s="282" customFormat="1" ht="15" customHeight="1" x14ac:dyDescent="0.25">
      <c r="A13" s="674" t="s">
        <v>597</v>
      </c>
      <c r="B13" s="675"/>
      <c r="C13" s="675"/>
    </row>
    <row r="14" spans="1:12" s="282" customFormat="1" x14ac:dyDescent="0.25">
      <c r="A14" s="540"/>
      <c r="B14" s="541"/>
      <c r="C14" s="541"/>
    </row>
    <row r="15" spans="1:12" s="282" customFormat="1" ht="39" customHeight="1" x14ac:dyDescent="0.25">
      <c r="A15" s="678" t="s">
        <v>88</v>
      </c>
      <c r="B15" s="679"/>
      <c r="C15" s="283" t="s">
        <v>913</v>
      </c>
      <c r="D15"/>
      <c r="E15"/>
      <c r="F15"/>
      <c r="G15"/>
      <c r="H15"/>
      <c r="I15"/>
    </row>
    <row r="16" spans="1:12" x14ac:dyDescent="0.25">
      <c r="A16" s="685" t="s">
        <v>885</v>
      </c>
      <c r="B16" s="686"/>
      <c r="C16" s="467"/>
    </row>
    <row r="17" spans="1:3" ht="43.5" customHeight="1" x14ac:dyDescent="0.25">
      <c r="A17" s="285"/>
      <c r="B17" s="687" t="s">
        <v>60</v>
      </c>
      <c r="C17" s="687"/>
    </row>
    <row r="18" spans="1:3" x14ac:dyDescent="0.25">
      <c r="A18" s="685" t="s">
        <v>933</v>
      </c>
      <c r="B18" s="686"/>
      <c r="C18" s="467"/>
    </row>
    <row r="19" spans="1:3" ht="47.25" customHeight="1" x14ac:dyDescent="0.25">
      <c r="A19" s="502"/>
      <c r="B19" s="707" t="s">
        <v>403</v>
      </c>
      <c r="C19" s="708"/>
    </row>
    <row r="20" spans="1:3" ht="45" x14ac:dyDescent="0.25">
      <c r="A20" s="683" t="s">
        <v>914</v>
      </c>
      <c r="B20" s="684"/>
      <c r="C20" s="478" t="s">
        <v>891</v>
      </c>
    </row>
    <row r="21" spans="1:3" ht="68.25" customHeight="1" x14ac:dyDescent="0.25">
      <c r="A21" s="680" t="s">
        <v>890</v>
      </c>
      <c r="B21" s="680" t="s">
        <v>915</v>
      </c>
      <c r="C21" s="503" t="s">
        <v>1024</v>
      </c>
    </row>
    <row r="22" spans="1:3" ht="57.75" customHeight="1" x14ac:dyDescent="0.25">
      <c r="A22" s="681"/>
      <c r="B22" s="681"/>
      <c r="C22" s="290" t="s">
        <v>61</v>
      </c>
    </row>
    <row r="23" spans="1:3" ht="75" x14ac:dyDescent="0.25">
      <c r="A23" s="681"/>
      <c r="B23" s="681"/>
      <c r="C23" s="505" t="s">
        <v>1025</v>
      </c>
    </row>
    <row r="24" spans="1:3" ht="63" customHeight="1" x14ac:dyDescent="0.25">
      <c r="A24" s="681"/>
      <c r="B24" s="682"/>
      <c r="C24" s="478" t="s">
        <v>892</v>
      </c>
    </row>
    <row r="25" spans="1:3" ht="75.75" customHeight="1" x14ac:dyDescent="0.25">
      <c r="A25" s="682"/>
      <c r="B25" s="502" t="s">
        <v>916</v>
      </c>
      <c r="C25" s="478" t="s">
        <v>893</v>
      </c>
    </row>
    <row r="26" spans="1:3" ht="31.5" customHeight="1" x14ac:dyDescent="0.25">
      <c r="A26" s="680" t="s">
        <v>894</v>
      </c>
      <c r="B26" s="688" t="s">
        <v>917</v>
      </c>
      <c r="C26" s="471" t="s">
        <v>1026</v>
      </c>
    </row>
    <row r="27" spans="1:3" ht="53.25" customHeight="1" x14ac:dyDescent="0.25">
      <c r="A27" s="681"/>
      <c r="B27" s="688"/>
      <c r="C27" s="504" t="s">
        <v>1027</v>
      </c>
    </row>
    <row r="28" spans="1:3" ht="29.25" customHeight="1" x14ac:dyDescent="0.25">
      <c r="A28" s="681"/>
      <c r="B28" s="688"/>
      <c r="C28" s="472" t="s">
        <v>1028</v>
      </c>
    </row>
    <row r="29" spans="1:3" ht="48" customHeight="1" x14ac:dyDescent="0.25">
      <c r="A29" s="681"/>
      <c r="B29" s="706" t="s">
        <v>851</v>
      </c>
      <c r="C29" s="706"/>
    </row>
    <row r="30" spans="1:3" ht="33.75" customHeight="1" x14ac:dyDescent="0.25">
      <c r="A30" s="681"/>
      <c r="B30" s="692" t="s">
        <v>404</v>
      </c>
      <c r="C30" s="692"/>
    </row>
    <row r="31" spans="1:3" ht="50.25" customHeight="1" x14ac:dyDescent="0.25">
      <c r="A31" s="681"/>
      <c r="B31" s="691" t="s">
        <v>62</v>
      </c>
      <c r="C31" s="691"/>
    </row>
    <row r="32" spans="1:3" ht="60" customHeight="1" x14ac:dyDescent="0.25">
      <c r="A32" s="681"/>
      <c r="B32" s="688" t="s">
        <v>895</v>
      </c>
      <c r="C32" s="503" t="s">
        <v>896</v>
      </c>
    </row>
    <row r="33" spans="1:9" ht="46.5" customHeight="1" x14ac:dyDescent="0.25">
      <c r="A33" s="682"/>
      <c r="B33" s="688"/>
      <c r="C33" s="505" t="s">
        <v>63</v>
      </c>
    </row>
    <row r="34" spans="1:9" ht="45" x14ac:dyDescent="0.25">
      <c r="A34" s="699" t="s">
        <v>897</v>
      </c>
      <c r="B34" s="688" t="s">
        <v>918</v>
      </c>
      <c r="C34" s="503" t="s">
        <v>0</v>
      </c>
    </row>
    <row r="35" spans="1:9" ht="60" x14ac:dyDescent="0.25">
      <c r="A35" s="700"/>
      <c r="B35" s="688"/>
      <c r="C35" s="506" t="s">
        <v>405</v>
      </c>
    </row>
    <row r="36" spans="1:9" ht="63.75" customHeight="1" x14ac:dyDescent="0.25">
      <c r="A36" s="700"/>
      <c r="B36" s="688"/>
      <c r="C36" s="506" t="s">
        <v>898</v>
      </c>
    </row>
    <row r="37" spans="1:9" ht="20.25" customHeight="1" x14ac:dyDescent="0.25">
      <c r="A37" s="700"/>
      <c r="B37" s="688"/>
      <c r="C37" s="505" t="s">
        <v>1</v>
      </c>
    </row>
    <row r="38" spans="1:9" ht="30" x14ac:dyDescent="0.25">
      <c r="A38" s="701"/>
      <c r="B38" s="688"/>
      <c r="C38" s="467" t="s">
        <v>64</v>
      </c>
    </row>
    <row r="39" spans="1:9" ht="60" x14ac:dyDescent="0.25">
      <c r="A39" s="688" t="s">
        <v>852</v>
      </c>
      <c r="B39" s="703" t="s">
        <v>919</v>
      </c>
      <c r="C39" s="503" t="s">
        <v>95</v>
      </c>
      <c r="D39" s="2"/>
      <c r="E39" s="2"/>
      <c r="F39" s="2"/>
    </row>
    <row r="40" spans="1:9" ht="32.25" x14ac:dyDescent="0.25">
      <c r="A40" s="688"/>
      <c r="B40" s="704"/>
      <c r="C40" s="506" t="s">
        <v>153</v>
      </c>
      <c r="D40" s="2"/>
      <c r="E40" s="2"/>
      <c r="F40" s="2"/>
    </row>
    <row r="41" spans="1:9" ht="18" customHeight="1" x14ac:dyDescent="0.25">
      <c r="A41" s="689" t="s">
        <v>937</v>
      </c>
      <c r="B41" s="690"/>
      <c r="C41" s="705" t="s">
        <v>406</v>
      </c>
      <c r="D41" s="2"/>
      <c r="E41" s="2"/>
      <c r="F41" s="2"/>
    </row>
    <row r="42" spans="1:9" ht="42.75" customHeight="1" x14ac:dyDescent="0.25">
      <c r="A42" s="680" t="s">
        <v>635</v>
      </c>
      <c r="B42" s="680" t="s">
        <v>636</v>
      </c>
      <c r="C42" s="705"/>
      <c r="D42" s="2"/>
      <c r="E42" s="2"/>
      <c r="F42" s="2"/>
    </row>
    <row r="43" spans="1:9" ht="57.75" customHeight="1" x14ac:dyDescent="0.25">
      <c r="A43" s="681"/>
      <c r="B43" s="682"/>
      <c r="C43" s="473" t="s">
        <v>65</v>
      </c>
      <c r="D43" s="2"/>
      <c r="E43" s="2"/>
      <c r="F43" s="2"/>
    </row>
    <row r="44" spans="1:9" s="291" customFormat="1" ht="44.25" customHeight="1" x14ac:dyDescent="0.25">
      <c r="A44" s="681"/>
      <c r="B44" s="697" t="s">
        <v>97</v>
      </c>
      <c r="C44" s="697"/>
      <c r="D44"/>
    </row>
    <row r="45" spans="1:9" s="291" customFormat="1" ht="45" customHeight="1" x14ac:dyDescent="0.25">
      <c r="A45" s="681"/>
      <c r="B45" s="702" t="s">
        <v>98</v>
      </c>
      <c r="C45" s="702"/>
      <c r="D45"/>
    </row>
    <row r="46" spans="1:9" s="291" customFormat="1" ht="31.5" customHeight="1" x14ac:dyDescent="0.25">
      <c r="A46" s="681"/>
      <c r="B46" s="695" t="s">
        <v>407</v>
      </c>
      <c r="C46" s="696"/>
      <c r="D46"/>
      <c r="E46"/>
      <c r="F46"/>
      <c r="G46"/>
      <c r="H46"/>
      <c r="I46"/>
    </row>
    <row r="47" spans="1:9" ht="44.25" customHeight="1" x14ac:dyDescent="0.25">
      <c r="A47" s="681"/>
      <c r="B47" s="693" t="s">
        <v>66</v>
      </c>
      <c r="C47" s="694"/>
    </row>
    <row r="48" spans="1:9" ht="13.5" customHeight="1" x14ac:dyDescent="0.25">
      <c r="A48" s="682"/>
      <c r="B48" s="698" t="s">
        <v>67</v>
      </c>
      <c r="C48" s="698"/>
    </row>
    <row r="49" spans="1:9" x14ac:dyDescent="0.25">
      <c r="A49" s="287" t="s">
        <v>853</v>
      </c>
      <c r="B49" s="288"/>
      <c r="C49" s="289"/>
      <c r="D49" s="2"/>
      <c r="E49" s="2"/>
      <c r="F49" s="2"/>
    </row>
    <row r="50" spans="1:9" ht="45" x14ac:dyDescent="0.25">
      <c r="A50" s="680" t="s">
        <v>637</v>
      </c>
      <c r="B50" s="502" t="s">
        <v>381</v>
      </c>
      <c r="C50" s="286" t="s">
        <v>68</v>
      </c>
    </row>
    <row r="51" spans="1:9" ht="30" x14ac:dyDescent="0.25">
      <c r="A51" s="681"/>
      <c r="B51" s="502" t="s">
        <v>382</v>
      </c>
      <c r="C51" s="478" t="s">
        <v>69</v>
      </c>
    </row>
    <row r="52" spans="1:9" ht="60" x14ac:dyDescent="0.25">
      <c r="A52" s="681"/>
      <c r="B52" s="502" t="s">
        <v>383</v>
      </c>
      <c r="C52" s="478" t="s">
        <v>638</v>
      </c>
    </row>
    <row r="53" spans="1:9" ht="45" x14ac:dyDescent="0.25">
      <c r="A53" s="681"/>
      <c r="B53" s="502" t="s">
        <v>384</v>
      </c>
      <c r="C53" s="478" t="s">
        <v>70</v>
      </c>
    </row>
    <row r="54" spans="1:9" ht="31.5" customHeight="1" x14ac:dyDescent="0.25">
      <c r="A54" s="681"/>
      <c r="B54" s="714" t="s">
        <v>253</v>
      </c>
      <c r="C54" s="715"/>
    </row>
    <row r="55" spans="1:9" ht="52.5" customHeight="1" x14ac:dyDescent="0.25">
      <c r="A55" s="681"/>
      <c r="B55" s="692" t="s">
        <v>639</v>
      </c>
      <c r="C55" s="692"/>
      <c r="D55" s="235"/>
      <c r="E55" s="235"/>
      <c r="F55" s="235"/>
      <c r="G55" s="235"/>
      <c r="H55" s="235"/>
      <c r="I55" s="235"/>
    </row>
    <row r="56" spans="1:9" ht="60" customHeight="1" x14ac:dyDescent="0.25">
      <c r="A56" s="681"/>
      <c r="B56" s="712" t="s">
        <v>408</v>
      </c>
      <c r="C56" s="713"/>
      <c r="D56" s="235"/>
      <c r="E56" s="235"/>
      <c r="F56" s="235"/>
      <c r="G56" s="235"/>
      <c r="H56" s="235"/>
      <c r="I56" s="235"/>
    </row>
    <row r="57" spans="1:9" s="235" customFormat="1" ht="31.5" customHeight="1" x14ac:dyDescent="0.25">
      <c r="A57" s="681"/>
      <c r="B57" s="430" t="s">
        <v>956</v>
      </c>
      <c r="C57" s="292" t="s">
        <v>150</v>
      </c>
    </row>
    <row r="58" spans="1:9" s="235" customFormat="1" ht="31.5" customHeight="1" x14ac:dyDescent="0.25">
      <c r="A58" s="681"/>
      <c r="B58" s="345" t="s">
        <v>957</v>
      </c>
      <c r="C58" s="293" t="s">
        <v>151</v>
      </c>
    </row>
    <row r="59" spans="1:9" s="235" customFormat="1" ht="34.5" customHeight="1" x14ac:dyDescent="0.25">
      <c r="A59" s="681"/>
      <c r="B59" s="92" t="s">
        <v>920</v>
      </c>
      <c r="C59" s="294" t="s">
        <v>152</v>
      </c>
    </row>
    <row r="60" spans="1:9" ht="33.75" customHeight="1" x14ac:dyDescent="0.25">
      <c r="A60" s="682"/>
      <c r="B60" s="687" t="s">
        <v>254</v>
      </c>
      <c r="C60" s="687"/>
    </row>
    <row r="61" spans="1:9" x14ac:dyDescent="0.25">
      <c r="A61" s="709" t="s">
        <v>643</v>
      </c>
      <c r="B61" s="287" t="s">
        <v>958</v>
      </c>
      <c r="C61" s="289"/>
    </row>
    <row r="62" spans="1:9" ht="19.5" customHeight="1" x14ac:dyDescent="0.25">
      <c r="A62" s="710"/>
      <c r="B62" s="470" t="s">
        <v>959</v>
      </c>
      <c r="C62" s="547"/>
    </row>
    <row r="63" spans="1:9" ht="63" customHeight="1" x14ac:dyDescent="0.25">
      <c r="A63" s="710"/>
      <c r="B63" s="680" t="s">
        <v>921</v>
      </c>
      <c r="C63" s="503" t="s">
        <v>72</v>
      </c>
    </row>
    <row r="64" spans="1:9" ht="59.25" customHeight="1" x14ac:dyDescent="0.25">
      <c r="A64" s="710"/>
      <c r="B64" s="682"/>
      <c r="C64" s="505" t="s">
        <v>71</v>
      </c>
    </row>
    <row r="65" spans="1:3" ht="60" x14ac:dyDescent="0.25">
      <c r="A65" s="710"/>
      <c r="B65" s="502" t="s">
        <v>922</v>
      </c>
      <c r="C65" s="503" t="s">
        <v>73</v>
      </c>
    </row>
    <row r="66" spans="1:3" ht="45" customHeight="1" x14ac:dyDescent="0.25">
      <c r="A66" s="710"/>
      <c r="B66" s="699" t="s">
        <v>668</v>
      </c>
      <c r="C66" s="503" t="s">
        <v>409</v>
      </c>
    </row>
    <row r="67" spans="1:3" ht="62.25" customHeight="1" x14ac:dyDescent="0.25">
      <c r="A67" s="710"/>
      <c r="B67" s="700"/>
      <c r="C67" s="506" t="s">
        <v>410</v>
      </c>
    </row>
    <row r="68" spans="1:3" ht="50.25" customHeight="1" x14ac:dyDescent="0.25">
      <c r="A68" s="710"/>
      <c r="B68" s="700"/>
      <c r="C68" s="506" t="s">
        <v>74</v>
      </c>
    </row>
    <row r="69" spans="1:3" ht="51" customHeight="1" x14ac:dyDescent="0.25">
      <c r="A69" s="710"/>
      <c r="B69" s="700"/>
      <c r="C69" s="506" t="s">
        <v>411</v>
      </c>
    </row>
    <row r="70" spans="1:3" ht="60" x14ac:dyDescent="0.25">
      <c r="A70" s="710"/>
      <c r="B70" s="700"/>
      <c r="C70" s="506" t="s">
        <v>663</v>
      </c>
    </row>
    <row r="71" spans="1:3" ht="75.75" customHeight="1" x14ac:dyDescent="0.25">
      <c r="A71" s="710"/>
      <c r="B71" s="700"/>
      <c r="C71" s="506" t="s">
        <v>412</v>
      </c>
    </row>
    <row r="72" spans="1:3" ht="42.75" customHeight="1" x14ac:dyDescent="0.25">
      <c r="A72" s="710"/>
      <c r="B72" s="700"/>
      <c r="C72" s="506" t="s">
        <v>413</v>
      </c>
    </row>
    <row r="73" spans="1:3" ht="76.5" customHeight="1" x14ac:dyDescent="0.25">
      <c r="A73" s="710"/>
      <c r="B73" s="700"/>
      <c r="C73" s="506" t="s">
        <v>414</v>
      </c>
    </row>
    <row r="74" spans="1:3" ht="60.75" customHeight="1" x14ac:dyDescent="0.25">
      <c r="A74" s="710"/>
      <c r="B74" s="700"/>
      <c r="C74" s="506" t="s">
        <v>416</v>
      </c>
    </row>
    <row r="75" spans="1:3" ht="43.5" customHeight="1" x14ac:dyDescent="0.25">
      <c r="A75" s="710"/>
      <c r="B75" s="700"/>
      <c r="C75" s="479" t="s">
        <v>415</v>
      </c>
    </row>
    <row r="76" spans="1:3" ht="46.5" customHeight="1" x14ac:dyDescent="0.25">
      <c r="A76" s="710"/>
      <c r="B76" s="701"/>
      <c r="C76" s="480" t="s">
        <v>669</v>
      </c>
    </row>
    <row r="77" spans="1:3" x14ac:dyDescent="0.25">
      <c r="A77" s="710"/>
      <c r="B77" s="287" t="s">
        <v>960</v>
      </c>
      <c r="C77" s="478"/>
    </row>
    <row r="78" spans="1:3" ht="64.5" customHeight="1" x14ac:dyDescent="0.25">
      <c r="A78" s="710"/>
      <c r="B78" s="501" t="s">
        <v>437</v>
      </c>
      <c r="C78" s="478" t="s">
        <v>667</v>
      </c>
    </row>
    <row r="79" spans="1:3" ht="30" x14ac:dyDescent="0.25">
      <c r="A79" s="710"/>
      <c r="B79" s="501" t="s">
        <v>942</v>
      </c>
      <c r="C79" s="478" t="s">
        <v>961</v>
      </c>
    </row>
    <row r="80" spans="1:3" ht="31.5" customHeight="1" x14ac:dyDescent="0.25">
      <c r="A80" s="711"/>
      <c r="B80" s="687" t="s">
        <v>983</v>
      </c>
      <c r="C80" s="687"/>
    </row>
    <row r="81" customFormat="1" x14ac:dyDescent="0.25"/>
  </sheetData>
  <sheetProtection sheet="1"/>
  <mergeCells count="44">
    <mergeCell ref="A26:A33"/>
    <mergeCell ref="B29:C29"/>
    <mergeCell ref="B19:C19"/>
    <mergeCell ref="B80:C80"/>
    <mergeCell ref="B63:B64"/>
    <mergeCell ref="B66:B76"/>
    <mergeCell ref="A61:A80"/>
    <mergeCell ref="B56:C56"/>
    <mergeCell ref="A50:A60"/>
    <mergeCell ref="B54:C54"/>
    <mergeCell ref="B60:C60"/>
    <mergeCell ref="B55:C55"/>
    <mergeCell ref="B48:C48"/>
    <mergeCell ref="A34:A38"/>
    <mergeCell ref="B34:B38"/>
    <mergeCell ref="B45:C45"/>
    <mergeCell ref="B39:B40"/>
    <mergeCell ref="C41:C42"/>
    <mergeCell ref="A39:A40"/>
    <mergeCell ref="B26:B28"/>
    <mergeCell ref="A41:B41"/>
    <mergeCell ref="A42:A48"/>
    <mergeCell ref="B31:C31"/>
    <mergeCell ref="B30:C30"/>
    <mergeCell ref="B47:C47"/>
    <mergeCell ref="B46:C46"/>
    <mergeCell ref="B42:B43"/>
    <mergeCell ref="B44:C44"/>
    <mergeCell ref="B32:B33"/>
    <mergeCell ref="A11:C12"/>
    <mergeCell ref="A13:C13"/>
    <mergeCell ref="A15:B15"/>
    <mergeCell ref="B21:B24"/>
    <mergeCell ref="A20:B20"/>
    <mergeCell ref="A21:A25"/>
    <mergeCell ref="A16:B16"/>
    <mergeCell ref="A18:B18"/>
    <mergeCell ref="B17:C17"/>
    <mergeCell ref="J1:L5"/>
    <mergeCell ref="F1:H3"/>
    <mergeCell ref="F4:H5"/>
    <mergeCell ref="A8:C10"/>
    <mergeCell ref="A6:C6"/>
    <mergeCell ref="A5:C5"/>
  </mergeCells>
  <phoneticPr fontId="15" type="noConversion"/>
  <pageMargins left="0.78740157480314965" right="0.78740157480314965" top="0.83" bottom="0.98425196850393704"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theme="0"/>
  </sheetPr>
  <dimension ref="A1:T50"/>
  <sheetViews>
    <sheetView zoomScaleNormal="100" workbookViewId="0">
      <selection activeCell="S4" sqref="S4"/>
    </sheetView>
  </sheetViews>
  <sheetFormatPr baseColWidth="10" defaultRowHeight="15" x14ac:dyDescent="0.25"/>
  <cols>
    <col min="1" max="1" width="4" style="19" customWidth="1"/>
    <col min="2" max="2" width="7.85546875" style="20" customWidth="1"/>
    <col min="3" max="3" width="10.140625" style="20" customWidth="1"/>
    <col min="4" max="4" width="2" style="20" customWidth="1"/>
    <col min="5" max="5" width="9.140625" style="20" customWidth="1"/>
    <col min="6" max="6" width="7.85546875" style="20" customWidth="1"/>
    <col min="7" max="7" width="13.85546875" style="330" customWidth="1"/>
    <col min="8" max="8" width="9.42578125" style="330" customWidth="1"/>
    <col min="9" max="9" width="9" style="330" customWidth="1"/>
    <col min="10" max="10" width="9.85546875" style="330" customWidth="1"/>
    <col min="11" max="11" width="10.85546875" style="330" customWidth="1"/>
    <col min="12" max="12" width="6.85546875" style="21" customWidth="1"/>
    <col min="13" max="20" width="11.5703125" customWidth="1"/>
    <col min="21" max="16384" width="11.42578125" style="21"/>
  </cols>
  <sheetData>
    <row r="1" spans="1:19" ht="17.25" customHeight="1" thickBot="1" x14ac:dyDescent="0.3">
      <c r="A1" s="769" t="s">
        <v>930</v>
      </c>
      <c r="B1" s="769"/>
      <c r="C1" s="769"/>
      <c r="D1" s="769"/>
      <c r="E1" s="769"/>
      <c r="F1" s="769"/>
      <c r="G1" s="769"/>
      <c r="H1" s="769"/>
      <c r="I1" s="769"/>
      <c r="J1" s="769"/>
      <c r="K1" s="769"/>
    </row>
    <row r="2" spans="1:19" ht="20.25" customHeight="1" thickBot="1" x14ac:dyDescent="0.3">
      <c r="A2" s="334"/>
      <c r="F2" s="333" t="s">
        <v>546</v>
      </c>
      <c r="G2" s="774" t="s">
        <v>938</v>
      </c>
      <c r="H2" s="775"/>
      <c r="I2" s="775"/>
      <c r="J2" s="775"/>
      <c r="K2" s="776"/>
    </row>
    <row r="3" spans="1:19" ht="15" customHeight="1" thickBot="1" x14ac:dyDescent="0.3">
      <c r="A3" s="69"/>
      <c r="B3" s="317"/>
      <c r="C3" s="317"/>
      <c r="D3" s="317"/>
      <c r="E3" s="487" t="str">
        <f>+Pasos!A3</f>
        <v>Planilla complementaria al Manual de diseño y construcción de pequeñas presas, Versión 1.04, del 01/04/2013</v>
      </c>
      <c r="F3" s="463"/>
      <c r="G3" s="464"/>
      <c r="H3" s="464"/>
      <c r="I3" s="464"/>
      <c r="J3" s="464"/>
      <c r="K3" s="464"/>
    </row>
    <row r="4" spans="1:19" ht="15" customHeight="1" x14ac:dyDescent="0.25">
      <c r="A4" s="777" t="s">
        <v>986</v>
      </c>
      <c r="B4" s="778"/>
      <c r="C4" s="779"/>
      <c r="E4" s="443">
        <v>1</v>
      </c>
      <c r="F4" s="761" t="s">
        <v>499</v>
      </c>
      <c r="G4" s="762"/>
      <c r="H4" s="763"/>
      <c r="I4" s="444" t="s">
        <v>500</v>
      </c>
      <c r="J4" s="445" t="s">
        <v>305</v>
      </c>
      <c r="K4" s="446" t="s">
        <v>306</v>
      </c>
      <c r="S4" s="36"/>
    </row>
    <row r="5" spans="1:19" ht="15" customHeight="1" x14ac:dyDescent="0.25">
      <c r="A5" s="789" t="s">
        <v>220</v>
      </c>
      <c r="B5" s="790"/>
      <c r="C5" s="791"/>
      <c r="E5" s="798" t="s">
        <v>93</v>
      </c>
      <c r="F5" s="799"/>
      <c r="G5" s="799"/>
      <c r="H5" s="800"/>
      <c r="I5" s="22" t="s">
        <v>307</v>
      </c>
      <c r="J5" s="295">
        <v>453500</v>
      </c>
      <c r="K5" s="447" t="s">
        <v>205</v>
      </c>
      <c r="M5" s="441"/>
    </row>
    <row r="6" spans="1:19" ht="16.5" customHeight="1" x14ac:dyDescent="0.25">
      <c r="A6" s="792"/>
      <c r="B6" s="793"/>
      <c r="C6" s="794"/>
      <c r="E6" s="766" t="s">
        <v>96</v>
      </c>
      <c r="F6" s="767"/>
      <c r="G6" s="767"/>
      <c r="H6" s="768"/>
      <c r="I6" s="342" t="s">
        <v>308</v>
      </c>
      <c r="J6" s="295">
        <v>6592350</v>
      </c>
      <c r="K6" s="447" t="s">
        <v>205</v>
      </c>
      <c r="N6" t="s">
        <v>954</v>
      </c>
      <c r="O6">
        <f>+HLOOKUP(+MIN('Precip 1981-2012'!D4:AL4),'Precip 1981-2012'!D4:AL8,4,FALSE)</f>
        <v>431500</v>
      </c>
      <c r="P6">
        <f>+HLOOKUP(+MIN('Precip 1981-2012'!D4:AL4),'Precip 1981-2012'!D4:AL8,5,FALSE)</f>
        <v>6637500</v>
      </c>
    </row>
    <row r="7" spans="1:19" ht="18.75" customHeight="1" thickBot="1" x14ac:dyDescent="0.3">
      <c r="A7" s="795"/>
      <c r="B7" s="796"/>
      <c r="C7" s="797"/>
      <c r="D7" s="336"/>
      <c r="E7" s="781" t="str">
        <f>+IF(+HLOOKUP(I7,'Precip 1981-2012'!$D$5:$AL$12,8,FALSE)&lt;&gt;0,CONCATENATE("Esta Estación aún tiene ",HLOOKUP(I7,'Precip 1981-2012'!$D$5:$AL$12,8,FALSE)," valores 's/dato'. Debe resolver esta situación"),"Estación pluviométrica más cercana (según las coordenadas):")</f>
        <v>Estación pluviométrica más cercana (según las coordenadas):</v>
      </c>
      <c r="F7" s="782"/>
      <c r="G7" s="782"/>
      <c r="H7" s="782"/>
      <c r="I7" s="785" t="str">
        <f>+HLOOKUP(+MIN('Precip 1981-2012'!D4:AL4),'Precip 1981-2012'!D4:AL5,2,FALSE)</f>
        <v>Artigas</v>
      </c>
      <c r="J7" s="786"/>
      <c r="K7" s="780" t="str">
        <f>+IF(+HLOOKUP(I7,'Precip 1981-2012'!D5:AL12,8,FALSE)&lt;&gt;0,"NO se puede calcular el Escurrimiento","")</f>
        <v/>
      </c>
      <c r="N7" t="s">
        <v>955</v>
      </c>
      <c r="O7">
        <f>+VLOOKUP(+MIN('Evap Tanque'!A6:A19),'Evap Tanque'!A6:D19,2,FALSE)</f>
        <v>431803</v>
      </c>
      <c r="P7">
        <f>+VLOOKUP(+MIN('Evap Tanque'!A6:A19),'Evap Tanque'!A6:D19,3,FALSE)</f>
        <v>6637780</v>
      </c>
    </row>
    <row r="8" spans="1:19" ht="18" customHeight="1" x14ac:dyDescent="0.25">
      <c r="A8" s="716">
        <v>3</v>
      </c>
      <c r="B8" s="764" t="s">
        <v>221</v>
      </c>
      <c r="C8" s="764" t="s">
        <v>222</v>
      </c>
      <c r="D8" s="337"/>
      <c r="E8" s="783"/>
      <c r="F8" s="784"/>
      <c r="G8" s="784"/>
      <c r="H8" s="784"/>
      <c r="I8" s="787"/>
      <c r="J8" s="788"/>
      <c r="K8" s="780"/>
    </row>
    <row r="9" spans="1:19" ht="15" customHeight="1" x14ac:dyDescent="0.25">
      <c r="A9" s="717"/>
      <c r="B9" s="765"/>
      <c r="C9" s="765"/>
      <c r="D9" s="336"/>
      <c r="E9" s="448"/>
      <c r="F9" s="343"/>
      <c r="G9" s="343"/>
      <c r="H9" s="344" t="s">
        <v>999</v>
      </c>
      <c r="I9" s="759" t="str">
        <f>+VLOOKUP(+MIN('Evap Tanque'!A6:A19),'Evap Tanque'!A6:D19,4,FALSE)</f>
        <v>ARTIGAS</v>
      </c>
      <c r="J9" s="760"/>
      <c r="K9" s="780"/>
    </row>
    <row r="10" spans="1:19" ht="13.5" customHeight="1" thickBot="1" x14ac:dyDescent="0.3">
      <c r="A10" s="381">
        <v>1</v>
      </c>
      <c r="B10" s="148">
        <v>101.2</v>
      </c>
      <c r="C10" s="382">
        <v>37.700000000000003</v>
      </c>
      <c r="D10" s="317"/>
      <c r="E10" s="449"/>
      <c r="F10" s="450"/>
      <c r="G10" s="450"/>
      <c r="H10" s="451" t="s">
        <v>105</v>
      </c>
      <c r="I10" s="772">
        <v>101.1</v>
      </c>
      <c r="J10" s="773"/>
      <c r="K10" s="452" t="s">
        <v>203</v>
      </c>
    </row>
    <row r="11" spans="1:19" s="23" customFormat="1" ht="15.75" thickBot="1" x14ac:dyDescent="0.3">
      <c r="A11" s="381">
        <v>2</v>
      </c>
      <c r="B11" s="148">
        <v>102.2</v>
      </c>
      <c r="C11" s="382">
        <v>84.4</v>
      </c>
      <c r="D11" s="335"/>
      <c r="J11" s="24"/>
      <c r="K11" s="24"/>
    </row>
    <row r="12" spans="1:19" s="23" customFormat="1" ht="15" customHeight="1" x14ac:dyDescent="0.25">
      <c r="A12" s="381">
        <v>3</v>
      </c>
      <c r="B12" s="148">
        <v>103.2</v>
      </c>
      <c r="C12" s="382">
        <v>135.9</v>
      </c>
      <c r="D12" s="335"/>
      <c r="E12" s="722">
        <v>2</v>
      </c>
      <c r="F12" s="716" t="s">
        <v>889</v>
      </c>
      <c r="G12" s="718"/>
      <c r="H12" s="719"/>
      <c r="I12" s="770" t="s">
        <v>1021</v>
      </c>
      <c r="J12" s="770"/>
      <c r="K12" s="771"/>
    </row>
    <row r="13" spans="1:19" s="24" customFormat="1" ht="15" customHeight="1" x14ac:dyDescent="0.25">
      <c r="A13" s="381">
        <v>4</v>
      </c>
      <c r="B13" s="148">
        <v>104.2</v>
      </c>
      <c r="C13" s="382">
        <v>177</v>
      </c>
      <c r="D13" s="335"/>
      <c r="E13" s="723"/>
      <c r="F13" s="717"/>
      <c r="G13" s="720"/>
      <c r="H13" s="721"/>
      <c r="I13" s="352" t="s">
        <v>1001</v>
      </c>
      <c r="J13" s="745" t="s">
        <v>1000</v>
      </c>
      <c r="K13" s="746"/>
    </row>
    <row r="14" spans="1:19" s="24" customFormat="1" ht="18" customHeight="1" x14ac:dyDescent="0.25">
      <c r="A14" s="381">
        <v>5</v>
      </c>
      <c r="B14" s="148">
        <v>105.2</v>
      </c>
      <c r="C14" s="382">
        <v>224.6</v>
      </c>
      <c r="E14" s="729" t="s">
        <v>992</v>
      </c>
      <c r="F14" s="730"/>
      <c r="G14" s="731"/>
      <c r="H14" s="735" t="s">
        <v>987</v>
      </c>
      <c r="I14" s="758" t="s">
        <v>988</v>
      </c>
      <c r="J14" s="757" t="s">
        <v>990</v>
      </c>
      <c r="K14" s="743" t="s">
        <v>989</v>
      </c>
    </row>
    <row r="15" spans="1:19" s="24" customFormat="1" ht="15" customHeight="1" x14ac:dyDescent="0.25">
      <c r="A15" s="381">
        <v>6</v>
      </c>
      <c r="B15" s="148">
        <v>106.2</v>
      </c>
      <c r="C15" s="382">
        <v>300.89999999999998</v>
      </c>
      <c r="E15" s="732"/>
      <c r="F15" s="733"/>
      <c r="G15" s="734"/>
      <c r="H15" s="736"/>
      <c r="I15" s="736"/>
      <c r="J15" s="734"/>
      <c r="K15" s="744"/>
    </row>
    <row r="16" spans="1:19" ht="15.75" customHeight="1" x14ac:dyDescent="0.25">
      <c r="A16" s="381">
        <v>7</v>
      </c>
      <c r="B16" s="148"/>
      <c r="C16" s="382"/>
      <c r="D16" s="24"/>
      <c r="E16" s="806" t="s">
        <v>311</v>
      </c>
      <c r="F16" s="807"/>
      <c r="G16" s="808"/>
      <c r="H16" s="296">
        <v>2559</v>
      </c>
      <c r="I16" s="220">
        <f>+VLOOKUP('Esc 2'!C7,CRSU_AD_GH,3,FALSE)</f>
        <v>21.5</v>
      </c>
      <c r="J16" s="220" t="str">
        <f>+VLOOKUP(E16,CRSU_AD_GH,4,FALSE)</f>
        <v>D</v>
      </c>
      <c r="K16" s="362">
        <v>80</v>
      </c>
    </row>
    <row r="17" spans="1:20" s="23" customFormat="1" ht="15.75" customHeight="1" x14ac:dyDescent="0.2">
      <c r="A17" s="381">
        <v>8</v>
      </c>
      <c r="B17" s="148"/>
      <c r="C17" s="382"/>
      <c r="D17" s="24"/>
      <c r="E17" s="806" t="s">
        <v>312</v>
      </c>
      <c r="F17" s="807"/>
      <c r="G17" s="808"/>
      <c r="H17" s="296">
        <v>71</v>
      </c>
      <c r="I17" s="220">
        <f>+VLOOKUP('Esc 2'!C8,CRSU_AD_GH,3,FALSE)</f>
        <v>52.1</v>
      </c>
      <c r="J17" s="220" t="str">
        <f>+VLOOKUP(E17,CRSU_AD_GH,4,FALSE)</f>
        <v>C</v>
      </c>
      <c r="K17" s="362">
        <v>74</v>
      </c>
    </row>
    <row r="18" spans="1:20" s="23" customFormat="1" ht="15" customHeight="1" x14ac:dyDescent="0.2">
      <c r="A18" s="381">
        <v>9</v>
      </c>
      <c r="B18" s="148"/>
      <c r="C18" s="382"/>
      <c r="D18" s="24"/>
      <c r="E18" s="806"/>
      <c r="F18" s="807"/>
      <c r="G18" s="808"/>
      <c r="H18" s="332"/>
      <c r="I18" s="220">
        <f>+VLOOKUP('Esc 2'!C9,CRSU_AD_GH,3,FALSE)</f>
        <v>0</v>
      </c>
      <c r="J18" s="220">
        <f>+VLOOKUP(E18,CRSU_AD_GH,4,FALSE)</f>
        <v>0</v>
      </c>
      <c r="K18" s="362"/>
    </row>
    <row r="19" spans="1:20" ht="15" customHeight="1" x14ac:dyDescent="0.25">
      <c r="A19" s="381">
        <v>10</v>
      </c>
      <c r="B19" s="148"/>
      <c r="C19" s="382"/>
      <c r="D19" s="24"/>
      <c r="E19" s="806"/>
      <c r="F19" s="807"/>
      <c r="G19" s="808"/>
      <c r="H19" s="332"/>
      <c r="I19" s="220">
        <f>+VLOOKUP('Esc 2'!C10,CRSU_AD_GH,3,FALSE)</f>
        <v>0</v>
      </c>
      <c r="J19" s="220">
        <f>+VLOOKUP(E19,CRSU_AD_GH,4,FALSE)</f>
        <v>0</v>
      </c>
      <c r="K19" s="362"/>
    </row>
    <row r="20" spans="1:20" ht="15" customHeight="1" thickBot="1" x14ac:dyDescent="0.3">
      <c r="A20" s="381">
        <v>11</v>
      </c>
      <c r="B20" s="148"/>
      <c r="C20" s="382"/>
      <c r="D20" s="24"/>
      <c r="E20" s="747" t="s">
        <v>965</v>
      </c>
      <c r="F20" s="748"/>
      <c r="G20" s="749"/>
      <c r="H20" s="370">
        <f>+H16+H17+H18+H19</f>
        <v>2630</v>
      </c>
      <c r="I20" s="371">
        <f>+($H$16*I16+$H$17*I17+$H$18*I18+$H$19*I19)/Ac</f>
        <v>22.326083650190114</v>
      </c>
      <c r="J20" s="366"/>
      <c r="K20" s="372">
        <f>+($H$16*K16+$H$17*K17+$H$18*K18+$H$19*K19)/Ac</f>
        <v>79.838022813688212</v>
      </c>
    </row>
    <row r="21" spans="1:20" ht="18" customHeight="1" thickBot="1" x14ac:dyDescent="0.3">
      <c r="A21" s="381">
        <v>12</v>
      </c>
      <c r="B21" s="148"/>
      <c r="C21" s="382"/>
      <c r="D21" s="24"/>
      <c r="E21" s="815" t="s">
        <v>939</v>
      </c>
      <c r="F21" s="816"/>
      <c r="G21" s="816"/>
      <c r="H21" s="816"/>
      <c r="I21" s="816"/>
      <c r="J21" s="816"/>
      <c r="K21" s="817"/>
    </row>
    <row r="22" spans="1:20" ht="18" customHeight="1" thickBot="1" x14ac:dyDescent="0.3">
      <c r="A22" s="381">
        <v>13</v>
      </c>
      <c r="B22" s="148"/>
      <c r="C22" s="382"/>
    </row>
    <row r="23" spans="1:20" ht="16.5" customHeight="1" x14ac:dyDescent="0.25">
      <c r="A23" s="381">
        <v>14</v>
      </c>
      <c r="B23" s="148"/>
      <c r="C23" s="382"/>
      <c r="E23" s="750">
        <v>5</v>
      </c>
      <c r="F23" s="753" t="s">
        <v>666</v>
      </c>
      <c r="G23" s="753"/>
      <c r="H23" s="753"/>
      <c r="I23" s="753"/>
      <c r="J23" s="753"/>
      <c r="K23" s="754"/>
      <c r="L23"/>
    </row>
    <row r="24" spans="1:20" ht="18" customHeight="1" x14ac:dyDescent="0.25">
      <c r="A24" s="381">
        <v>15</v>
      </c>
      <c r="B24" s="148"/>
      <c r="C24" s="382"/>
      <c r="E24" s="751"/>
      <c r="F24" s="755"/>
      <c r="G24" s="755"/>
      <c r="H24" s="755"/>
      <c r="I24" s="755"/>
      <c r="J24" s="755"/>
      <c r="K24" s="756"/>
    </row>
    <row r="25" spans="1:20" ht="16.5" customHeight="1" thickBot="1" x14ac:dyDescent="0.3">
      <c r="A25" s="381">
        <v>16</v>
      </c>
      <c r="B25" s="148"/>
      <c r="C25" s="382"/>
      <c r="E25" s="752"/>
      <c r="F25" s="727" t="s">
        <v>399</v>
      </c>
      <c r="G25" s="727"/>
      <c r="H25" s="727"/>
      <c r="I25" s="727"/>
      <c r="J25" s="727"/>
      <c r="K25" s="728"/>
      <c r="L25"/>
      <c r="T25" s="302"/>
    </row>
    <row r="26" spans="1:20" ht="18.75" customHeight="1" thickBot="1" x14ac:dyDescent="0.3">
      <c r="A26" s="381">
        <v>17</v>
      </c>
      <c r="B26" s="148"/>
      <c r="C26" s="382"/>
    </row>
    <row r="27" spans="1:20" ht="16.5" thickBot="1" x14ac:dyDescent="0.3">
      <c r="A27" s="381">
        <v>18</v>
      </c>
      <c r="B27" s="148"/>
      <c r="C27" s="382"/>
      <c r="E27" s="442">
        <v>6</v>
      </c>
      <c r="F27" s="724" t="s">
        <v>640</v>
      </c>
      <c r="G27" s="725"/>
      <c r="H27" s="725"/>
      <c r="I27" s="725"/>
      <c r="J27" s="725"/>
      <c r="K27" s="726"/>
    </row>
    <row r="28" spans="1:20" ht="15" customHeight="1" x14ac:dyDescent="0.25">
      <c r="A28" s="381">
        <v>19</v>
      </c>
      <c r="B28" s="148"/>
      <c r="C28" s="382"/>
      <c r="E28" s="353" t="s">
        <v>634</v>
      </c>
      <c r="F28" s="354"/>
      <c r="G28" s="354"/>
      <c r="H28" s="355"/>
      <c r="I28" s="355"/>
      <c r="J28" s="355"/>
      <c r="K28" s="356"/>
    </row>
    <row r="29" spans="1:20" ht="15.75" thickBot="1" x14ac:dyDescent="0.3">
      <c r="A29" s="383">
        <v>20</v>
      </c>
      <c r="B29" s="384"/>
      <c r="C29" s="385"/>
      <c r="E29" s="357" t="s">
        <v>381</v>
      </c>
      <c r="F29" s="112">
        <v>10.3</v>
      </c>
      <c r="G29" s="79" t="s">
        <v>420</v>
      </c>
      <c r="H29" s="331"/>
      <c r="I29" s="331"/>
      <c r="J29" s="331"/>
      <c r="K29" s="358"/>
    </row>
    <row r="30" spans="1:20" ht="15" customHeight="1" thickBot="1" x14ac:dyDescent="0.35">
      <c r="A30" s="737" t="str">
        <f ca="1">+CONCATENATE("Coef Correlac. R2= ",ROUND('Geom Emb'!B12,4))</f>
        <v>Coef Correlac. R2= 0,9939</v>
      </c>
      <c r="B30" s="738"/>
      <c r="C30" s="739"/>
      <c r="E30" s="359" t="s">
        <v>382</v>
      </c>
      <c r="F30" s="112">
        <v>95</v>
      </c>
      <c r="G30" s="79" t="s">
        <v>419</v>
      </c>
      <c r="H30" s="331"/>
      <c r="I30" s="331"/>
      <c r="J30" s="331"/>
      <c r="K30" s="358"/>
    </row>
    <row r="31" spans="1:20" ht="15.75" customHeight="1" x14ac:dyDescent="0.35">
      <c r="A31" s="716">
        <v>4</v>
      </c>
      <c r="B31" s="740" t="s">
        <v>888</v>
      </c>
      <c r="C31" s="741"/>
      <c r="D31" s="742"/>
      <c r="E31" s="360" t="s">
        <v>383</v>
      </c>
      <c r="F31" s="113">
        <v>97</v>
      </c>
      <c r="G31" s="79" t="s">
        <v>991</v>
      </c>
      <c r="H31" s="331"/>
      <c r="I31" s="331"/>
      <c r="J31" s="331"/>
      <c r="K31" s="358"/>
    </row>
    <row r="32" spans="1:20" ht="15.75" customHeight="1" thickBot="1" x14ac:dyDescent="0.3">
      <c r="A32" s="717"/>
      <c r="B32" s="741"/>
      <c r="C32" s="741"/>
      <c r="D32" s="742"/>
      <c r="E32" s="357" t="s">
        <v>384</v>
      </c>
      <c r="F32" s="474">
        <v>100</v>
      </c>
      <c r="G32" s="79" t="s">
        <v>924</v>
      </c>
      <c r="H32" s="331"/>
      <c r="I32" s="331"/>
      <c r="J32" s="331"/>
      <c r="K32" s="358"/>
    </row>
    <row r="33" spans="2:11" ht="15" customHeight="1" x14ac:dyDescent="0.25">
      <c r="B33" s="453" t="s">
        <v>162</v>
      </c>
      <c r="C33" s="454" t="s">
        <v>905</v>
      </c>
      <c r="E33" s="475"/>
      <c r="F33" s="476" t="str">
        <f>+'Av Proy'!D29</f>
        <v>Corresponde:</v>
      </c>
      <c r="G33" s="477" t="str">
        <f>+'Av Proy'!E29</f>
        <v>Método del NRCS</v>
      </c>
      <c r="H33" s="475"/>
      <c r="I33" s="331"/>
      <c r="J33" s="331"/>
      <c r="K33" s="358"/>
    </row>
    <row r="34" spans="2:11" x14ac:dyDescent="0.25">
      <c r="B34" s="455" t="s">
        <v>164</v>
      </c>
      <c r="C34" s="456">
        <v>318</v>
      </c>
      <c r="E34" s="803" t="s">
        <v>1018</v>
      </c>
      <c r="F34" s="804"/>
      <c r="G34" s="804"/>
      <c r="H34" s="804"/>
      <c r="I34" s="804"/>
      <c r="J34" s="804"/>
      <c r="K34" s="805"/>
    </row>
    <row r="35" spans="2:11" ht="16.5" customHeight="1" x14ac:dyDescent="0.25">
      <c r="B35" s="455" t="s">
        <v>165</v>
      </c>
      <c r="C35" s="456">
        <v>153</v>
      </c>
      <c r="D35" s="24"/>
      <c r="E35" s="361"/>
      <c r="F35" s="70"/>
      <c r="G35" s="331"/>
      <c r="H35" s="331"/>
      <c r="I35" s="351" t="s">
        <v>1015</v>
      </c>
      <c r="J35" s="345" t="s">
        <v>1011</v>
      </c>
      <c r="K35" s="362"/>
    </row>
    <row r="36" spans="2:11" ht="15" customHeight="1" x14ac:dyDescent="0.25">
      <c r="B36" s="455" t="s">
        <v>166</v>
      </c>
      <c r="C36" s="456">
        <v>47</v>
      </c>
      <c r="D36" s="24"/>
      <c r="E36" s="361"/>
      <c r="F36" s="70"/>
      <c r="G36" s="331"/>
      <c r="H36" s="331"/>
      <c r="I36" s="351" t="s">
        <v>1016</v>
      </c>
      <c r="J36" s="345" t="s">
        <v>1012</v>
      </c>
      <c r="K36" s="362"/>
    </row>
    <row r="37" spans="2:11" ht="15.75" customHeight="1" x14ac:dyDescent="0.25">
      <c r="B37" s="455" t="s">
        <v>167</v>
      </c>
      <c r="C37" s="456">
        <v>0</v>
      </c>
      <c r="E37" s="361"/>
      <c r="F37" s="70"/>
      <c r="G37" s="331"/>
      <c r="H37" s="331"/>
      <c r="I37" s="351" t="s">
        <v>1017</v>
      </c>
      <c r="J37" s="345" t="s">
        <v>1013</v>
      </c>
      <c r="K37" s="363">
        <f>10*K35*K36/Ac</f>
        <v>0</v>
      </c>
    </row>
    <row r="38" spans="2:11" ht="15" customHeight="1" thickBot="1" x14ac:dyDescent="0.3">
      <c r="B38" s="455" t="s">
        <v>168</v>
      </c>
      <c r="C38" s="456">
        <v>0</v>
      </c>
      <c r="E38" s="364"/>
      <c r="F38" s="365"/>
      <c r="G38" s="366"/>
      <c r="H38" s="366"/>
      <c r="I38" s="367" t="s">
        <v>925</v>
      </c>
      <c r="J38" s="368" t="s">
        <v>1014</v>
      </c>
      <c r="K38" s="369"/>
    </row>
    <row r="39" spans="2:11" ht="15" customHeight="1" thickBot="1" x14ac:dyDescent="0.3">
      <c r="B39" s="455" t="s">
        <v>169</v>
      </c>
      <c r="C39" s="456">
        <v>0</v>
      </c>
      <c r="E39" s="442">
        <v>7</v>
      </c>
      <c r="F39" s="724" t="s">
        <v>641</v>
      </c>
      <c r="G39" s="725"/>
      <c r="H39" s="725"/>
      <c r="I39" s="725"/>
      <c r="J39" s="725"/>
      <c r="K39" s="726"/>
    </row>
    <row r="40" spans="2:11" ht="15" customHeight="1" x14ac:dyDescent="0.25">
      <c r="B40" s="455" t="s">
        <v>170</v>
      </c>
      <c r="C40" s="456">
        <v>0</v>
      </c>
      <c r="E40" s="353" t="s">
        <v>642</v>
      </c>
      <c r="F40" s="373"/>
      <c r="G40" s="355"/>
      <c r="H40" s="355"/>
      <c r="I40" s="355"/>
      <c r="J40" s="355"/>
      <c r="K40" s="356"/>
    </row>
    <row r="41" spans="2:11" ht="15" customHeight="1" x14ac:dyDescent="0.25">
      <c r="B41" s="455" t="s">
        <v>171</v>
      </c>
      <c r="C41" s="456">
        <v>0</v>
      </c>
      <c r="E41" s="380" t="s">
        <v>426</v>
      </c>
      <c r="F41" s="291"/>
      <c r="G41" s="291"/>
      <c r="H41" s="331"/>
      <c r="I41" s="331"/>
      <c r="J41" s="331"/>
      <c r="K41" s="358"/>
    </row>
    <row r="42" spans="2:11" ht="15.75" x14ac:dyDescent="0.25">
      <c r="B42" s="455" t="s">
        <v>172</v>
      </c>
      <c r="C42" s="456">
        <v>0</v>
      </c>
      <c r="E42" s="374" t="s">
        <v>101</v>
      </c>
      <c r="F42" s="114">
        <v>0.01</v>
      </c>
      <c r="G42" s="375" t="s">
        <v>1019</v>
      </c>
      <c r="H42" s="331"/>
      <c r="I42" s="331"/>
      <c r="J42" s="331"/>
      <c r="K42" s="358"/>
    </row>
    <row r="43" spans="2:11" ht="16.5" thickBot="1" x14ac:dyDescent="0.3">
      <c r="B43" s="455" t="s">
        <v>173</v>
      </c>
      <c r="C43" s="456">
        <v>59</v>
      </c>
      <c r="E43" s="376" t="s">
        <v>102</v>
      </c>
      <c r="F43" s="377">
        <v>3.5000000000000003E-2</v>
      </c>
      <c r="G43" s="378" t="s">
        <v>972</v>
      </c>
      <c r="H43" s="366"/>
      <c r="I43" s="366"/>
      <c r="J43" s="366"/>
      <c r="K43" s="379"/>
    </row>
    <row r="44" spans="2:11" ht="15" customHeight="1" x14ac:dyDescent="0.25">
      <c r="B44" s="455" t="s">
        <v>174</v>
      </c>
      <c r="C44" s="456">
        <v>212</v>
      </c>
      <c r="E44" s="809" t="s">
        <v>665</v>
      </c>
      <c r="F44" s="810"/>
      <c r="G44" s="810"/>
      <c r="H44" s="810"/>
      <c r="I44" s="810"/>
      <c r="J44" s="810"/>
      <c r="K44" s="811"/>
    </row>
    <row r="45" spans="2:11" ht="15.75" thickBot="1" x14ac:dyDescent="0.3">
      <c r="B45" s="457" t="s">
        <v>175</v>
      </c>
      <c r="C45" s="458">
        <v>388</v>
      </c>
      <c r="E45" s="812"/>
      <c r="F45" s="813"/>
      <c r="G45" s="813"/>
      <c r="H45" s="813"/>
      <c r="I45" s="813"/>
      <c r="J45" s="813"/>
      <c r="K45" s="814"/>
    </row>
    <row r="46" spans="2:11" x14ac:dyDescent="0.25">
      <c r="B46" s="801" t="s">
        <v>1023</v>
      </c>
      <c r="C46" s="802"/>
      <c r="D46" s="338"/>
      <c r="E46" s="353" t="s">
        <v>1020</v>
      </c>
      <c r="F46" s="373"/>
      <c r="G46" s="355"/>
      <c r="H46" s="355"/>
      <c r="I46" s="355"/>
      <c r="J46" s="355"/>
      <c r="K46" s="356"/>
    </row>
    <row r="47" spans="2:11" ht="15.75" x14ac:dyDescent="0.25">
      <c r="B47" s="459">
        <f>+SUM(C34:C45)</f>
        <v>1177</v>
      </c>
      <c r="C47" s="460" t="s">
        <v>203</v>
      </c>
      <c r="E47" s="418" t="s">
        <v>440</v>
      </c>
      <c r="F47" s="246">
        <v>0.77</v>
      </c>
      <c r="G47" s="419" t="s">
        <v>472</v>
      </c>
      <c r="H47" s="331"/>
      <c r="I47" s="331"/>
      <c r="J47" s="331"/>
      <c r="K47" s="358"/>
    </row>
    <row r="48" spans="2:11" ht="16.5" thickBot="1" x14ac:dyDescent="0.3">
      <c r="B48" s="461">
        <f>+B47*10</f>
        <v>11770</v>
      </c>
      <c r="C48" s="462" t="s">
        <v>104</v>
      </c>
      <c r="E48" s="420" t="s">
        <v>1003</v>
      </c>
      <c r="F48" s="421">
        <v>98</v>
      </c>
      <c r="G48" s="422" t="s">
        <v>1002</v>
      </c>
      <c r="H48" s="366"/>
      <c r="I48" s="366"/>
      <c r="J48" s="366"/>
      <c r="K48" s="379"/>
    </row>
    <row r="50" spans="4:4" x14ac:dyDescent="0.25">
      <c r="D50" s="24"/>
    </row>
  </sheetData>
  <sheetProtection sheet="1"/>
  <mergeCells count="41">
    <mergeCell ref="B46:C46"/>
    <mergeCell ref="E34:K34"/>
    <mergeCell ref="E16:G16"/>
    <mergeCell ref="E17:G17"/>
    <mergeCell ref="E18:G18"/>
    <mergeCell ref="E19:G19"/>
    <mergeCell ref="E44:K45"/>
    <mergeCell ref="F27:K27"/>
    <mergeCell ref="E21:K21"/>
    <mergeCell ref="K7:K9"/>
    <mergeCell ref="E7:H8"/>
    <mergeCell ref="I7:J8"/>
    <mergeCell ref="A5:C7"/>
    <mergeCell ref="E5:H5"/>
    <mergeCell ref="C8:C9"/>
    <mergeCell ref="I9:J9"/>
    <mergeCell ref="F4:H4"/>
    <mergeCell ref="B8:B9"/>
    <mergeCell ref="E6:H6"/>
    <mergeCell ref="A1:K1"/>
    <mergeCell ref="I12:K12"/>
    <mergeCell ref="I10:J10"/>
    <mergeCell ref="A8:A9"/>
    <mergeCell ref="G2:K2"/>
    <mergeCell ref="A4:C4"/>
    <mergeCell ref="J13:K13"/>
    <mergeCell ref="E20:G20"/>
    <mergeCell ref="E23:E25"/>
    <mergeCell ref="F23:K24"/>
    <mergeCell ref="J14:J15"/>
    <mergeCell ref="I14:I15"/>
    <mergeCell ref="A31:A32"/>
    <mergeCell ref="F12:H13"/>
    <mergeCell ref="E12:E13"/>
    <mergeCell ref="F39:K39"/>
    <mergeCell ref="F25:K25"/>
    <mergeCell ref="E14:G15"/>
    <mergeCell ref="H14:H15"/>
    <mergeCell ref="A30:C30"/>
    <mergeCell ref="B31:D32"/>
    <mergeCell ref="K14:K15"/>
  </mergeCells>
  <phoneticPr fontId="15" type="noConversion"/>
  <conditionalFormatting sqref="E7:H8">
    <cfRule type="containsText" dxfId="6" priority="1" stopIfTrue="1" operator="containsText" text="pluvio">
      <formula>NOT(ISERROR(SEARCH("pluvio",E7)))</formula>
    </cfRule>
  </conditionalFormatting>
  <dataValidations xWindow="423" yWindow="387" count="13">
    <dataValidation allowBlank="1" showInputMessage="1" showErrorMessage="1" prompt="En la hoja &quot;Diseño Aliv-Canal&quot; hay una tabla de valores recomendados de Coeficientes de Manning según la cobertura vegetal del canal del vertedero." sqref="F43"/>
    <dataValidation allowBlank="1" showInputMessage="1" showErrorMessage="1" prompt="Interpole el valor de la Precipitación máxima en el Mapa de la derecha (las isolíneas están cada 2 mm). Es el Mapa 3.1 del Manual." sqref="F31"/>
    <dataValidation allowBlank="1" showInputMessage="1" showErrorMessage="1" prompt="Para presas de más de 5 m de altura adoptar Tr= 100 años. Para presas menores a 5 m, puede adoptar Tr= 50 años. En ambos casos verificar que aguas abajo no haya consecuencias significativas en caso de rotura (daños a terceros o núcleos habitacionales)" sqref="F32"/>
    <dataValidation allowBlank="1" showInputMessage="1" showErrorMessage="1" prompt="Se puede obtener de la carta 1:50.000 con la cuenca dibujada, o mejor con un mapa específico de topografía de la cuenca." sqref="K35"/>
    <dataValidation allowBlank="1" showInputMessage="1" showErrorMessage="1" prompt="En caso de usar las cartas 1:50.000, la equidistancia es 10m. " sqref="K36"/>
    <dataValidation type="list" showInputMessage="1" showErrorMessage="1" error="La sintaxis no coincide con el nombre de ninguna Unidad de Suelos de la lilsta desplegable" prompt="Seleccione de la lista desplegable la Unidad de Suelos que corresponde según la Carta de Reconocimiento de Suelos del Uruguay (Esc 1:1.000.000)" sqref="E16:E19">
      <formula1>CRSU</formula1>
    </dataValidation>
    <dataValidation allowBlank="1" showInputMessage="1" showErrorMessage="1" error="Seleccione de la lista desplegable!" prompt="Interpole el valor de las isolíneas de ETPm en el mapa de la derecha. Ver Mapa 2.3 del Manual." sqref="I10"/>
    <dataValidation allowBlank="1" showInputMessage="1" showErrorMessage="1" prompt="Al finalizar, revisar el ajuste entre las áreas medidas y la curva calculada.  Esto se observa en el gráfico de más abajo y con el Coeficiente de Correlación R2. _x000a_A veces esto se puede mejorar descartando la información de campo de los niveles inferiores." sqref="B10"/>
    <dataValidation allowBlank="1" showInputMessage="1" showErrorMessage="1" prompt="Debe introducir el área parcial de cada Unidad de Suelo presente dentro de la cuenca. " sqref="H16"/>
    <dataValidation allowBlank="1" showInputMessage="1" showErrorMessage="1" prompt="Introduzca el Nombre de la presa, o del Proyecto, o del Titular." sqref="G2:K2"/>
    <dataValidation allowBlank="1" showInputMessage="1" showErrorMessage="1" prompt="Para el cálculo de la Crecida de Proyecto, se debe seleccionar el Número de Curva en la Tabla 3.3 del Manual en función del &quot;Uso de suelo hidrológico y cubierta&quot; de la cuenca, la &quot;Condición hidrológica&quot; de su suelo, y el &quot;Grupo Hidrológico&quot; aquí indicado&quot;" sqref="K16"/>
    <dataValidation type="list" allowBlank="1" showInputMessage="1" showErrorMessage="1" error="La sintaxis del nombre de la Estación introducida debe ser exacta a la que aparece en la hoja &quot;Precip 1981-2010&quot;" prompt="Se selecciona la Estación pluviométrica más cercana a las coordenadas introducidas. Si decide cambiarla, desproteja la hoja y seleccione la Estación de la lista desplegable. Se usará la información pluviométrica mensual entre 1981 y 2012 de esta Estación." sqref="I7:J8">
      <formula1>Precipitaciones</formula1>
    </dataValidation>
    <dataValidation allowBlank="1" showInputMessage="1" prompt="Se selecciona automáticamente la Estación de Tanque &quot;A&quot; más cercana a las coordenadas introducidas. Las estaciones se indican cuadrados verdes en el mapa de la derecha. Ver hoja &quot;Evap Tanque&quot;." sqref="I9:J9"/>
  </dataValidations>
  <pageMargins left="0.47244094488188981" right="0.42" top="0.71" bottom="0.56000000000000005" header="0" footer="0"/>
  <pageSetup paperSize="9" pageOrder="overThenDown"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84" r:id="rId4" name="Button 36">
              <controlPr defaultSize="0" print="0" autoFill="0" autoPict="0" macro="[0]!Borrar_todos_los_datos">
                <anchor moveWithCells="1" sizeWithCells="1">
                  <from>
                    <xdr:col>0</xdr:col>
                    <xdr:colOff>0</xdr:colOff>
                    <xdr:row>1</xdr:row>
                    <xdr:rowOff>0</xdr:rowOff>
                  </from>
                  <to>
                    <xdr:col>3</xdr:col>
                    <xdr:colOff>0</xdr:colOff>
                    <xdr:row>2</xdr:row>
                    <xdr:rowOff>161925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0"/>
  </sheetPr>
  <dimension ref="A1:D34"/>
  <sheetViews>
    <sheetView topLeftCell="A4" workbookViewId="0">
      <selection activeCell="C25" sqref="C25"/>
    </sheetView>
  </sheetViews>
  <sheetFormatPr baseColWidth="10" defaultRowHeight="15.75" x14ac:dyDescent="0.25"/>
  <cols>
    <col min="1" max="1" width="56" style="329" customWidth="1"/>
    <col min="2" max="2" width="11.140625" style="329" bestFit="1" customWidth="1"/>
    <col min="3" max="3" width="10.140625" style="329" customWidth="1"/>
    <col min="4" max="4" width="8" style="329" bestFit="1" customWidth="1"/>
    <col min="11" max="11" width="18.85546875" customWidth="1"/>
  </cols>
  <sheetData>
    <row r="1" spans="1:4" x14ac:dyDescent="0.25">
      <c r="A1" s="769" t="s">
        <v>929</v>
      </c>
      <c r="B1" s="769"/>
      <c r="C1" s="769"/>
      <c r="D1" s="769"/>
    </row>
    <row r="2" spans="1:4" ht="26.25" x14ac:dyDescent="0.25">
      <c r="A2" s="818" t="str">
        <f>+'Ingreso Datos'!G2</f>
        <v>Presa del Ejemplo del Manual</v>
      </c>
      <c r="B2" s="818"/>
      <c r="C2" s="818"/>
      <c r="D2" s="818"/>
    </row>
    <row r="3" spans="1:4" ht="15" x14ac:dyDescent="0.25">
      <c r="A3" s="825" t="str">
        <f>+Intro!A3</f>
        <v>Planilla complementaria al Manual de diseño y construcción de pequeñas presas, Versión 1.04, del 01/04/2013</v>
      </c>
      <c r="B3" s="825"/>
      <c r="C3" s="825"/>
      <c r="D3" s="825"/>
    </row>
    <row r="4" spans="1:4" x14ac:dyDescent="0.25">
      <c r="A4" s="319" t="s">
        <v>499</v>
      </c>
      <c r="B4" s="319" t="s">
        <v>500</v>
      </c>
      <c r="C4" s="319" t="s">
        <v>305</v>
      </c>
      <c r="D4" s="319" t="s">
        <v>306</v>
      </c>
    </row>
    <row r="5" spans="1:4" x14ac:dyDescent="0.25">
      <c r="A5" s="320" t="s">
        <v>948</v>
      </c>
      <c r="B5" s="99"/>
      <c r="C5" s="321"/>
      <c r="D5" s="99"/>
    </row>
    <row r="6" spans="1:4" x14ac:dyDescent="0.25">
      <c r="A6" s="322" t="s">
        <v>945</v>
      </c>
      <c r="B6" s="822">
        <f>+'Ingreso Datos'!J5</f>
        <v>453500</v>
      </c>
      <c r="C6" s="823"/>
      <c r="D6" s="824"/>
    </row>
    <row r="7" spans="1:4" x14ac:dyDescent="0.25">
      <c r="A7" s="322" t="s">
        <v>946</v>
      </c>
      <c r="B7" s="822">
        <f>+'Ingreso Datos'!J6</f>
        <v>6592350</v>
      </c>
      <c r="C7" s="823"/>
      <c r="D7" s="824"/>
    </row>
    <row r="8" spans="1:4" x14ac:dyDescent="0.25">
      <c r="A8" s="322" t="s">
        <v>951</v>
      </c>
      <c r="B8" s="819">
        <f>+COUNTA('Ingreso Datos'!E16:G19)</f>
        <v>2</v>
      </c>
      <c r="C8" s="820"/>
      <c r="D8" s="821"/>
    </row>
    <row r="9" spans="1:4" x14ac:dyDescent="0.25">
      <c r="A9" s="322" t="s">
        <v>949</v>
      </c>
      <c r="B9" s="99" t="s">
        <v>950</v>
      </c>
      <c r="C9" s="428">
        <f>+Ac</f>
        <v>2630</v>
      </c>
      <c r="D9" s="99" t="s">
        <v>206</v>
      </c>
    </row>
    <row r="10" spans="1:4" ht="17.25" customHeight="1" x14ac:dyDescent="0.25">
      <c r="A10" s="320" t="s">
        <v>601</v>
      </c>
      <c r="B10" s="99"/>
      <c r="C10" s="321"/>
      <c r="D10" s="99"/>
    </row>
    <row r="11" spans="1:4" ht="17.25" customHeight="1" x14ac:dyDescent="0.25">
      <c r="A11" s="322" t="s">
        <v>944</v>
      </c>
      <c r="B11" s="819" t="str">
        <f>+'Ingreso Datos'!I7</f>
        <v>Artigas</v>
      </c>
      <c r="C11" s="820"/>
      <c r="D11" s="821"/>
    </row>
    <row r="12" spans="1:4" ht="17.25" customHeight="1" x14ac:dyDescent="0.25">
      <c r="A12" s="322" t="s">
        <v>947</v>
      </c>
      <c r="B12" s="819">
        <f>+HLOOKUP(B11,'Precip 1981-2012'!$D$5:$AL$12,7,FALSE)-HLOOKUP(B11,'Precip 1981-2012'!$D$5:$AL$12,8,FALSE)</f>
        <v>0</v>
      </c>
      <c r="C12" s="820"/>
      <c r="D12" s="821"/>
    </row>
    <row r="13" spans="1:4" ht="17.25" customHeight="1" x14ac:dyDescent="0.25">
      <c r="A13" s="322" t="s">
        <v>1022</v>
      </c>
      <c r="B13" s="99" t="s">
        <v>533</v>
      </c>
      <c r="C13" s="323">
        <f>+'Esc 1'!K9</f>
        <v>22.012479271960899</v>
      </c>
      <c r="D13" s="99" t="s">
        <v>497</v>
      </c>
    </row>
    <row r="14" spans="1:4" ht="17.25" customHeight="1" x14ac:dyDescent="0.25">
      <c r="A14" s="324" t="s">
        <v>558</v>
      </c>
      <c r="B14" s="99"/>
      <c r="C14" s="321"/>
      <c r="D14" s="99"/>
    </row>
    <row r="15" spans="1:4" ht="17.25" customHeight="1" x14ac:dyDescent="0.25">
      <c r="A15" s="322" t="s">
        <v>980</v>
      </c>
      <c r="B15" s="99" t="s">
        <v>979</v>
      </c>
      <c r="C15" s="499">
        <f ca="1">+'Geom Emb'!B12</f>
        <v>0.99394158184244097</v>
      </c>
      <c r="D15" s="99"/>
    </row>
    <row r="16" spans="1:4" ht="17.25" customHeight="1" x14ac:dyDescent="0.25">
      <c r="A16" s="322" t="s">
        <v>496</v>
      </c>
      <c r="B16" s="99" t="s">
        <v>532</v>
      </c>
      <c r="C16" s="325">
        <f ca="1">+(c_*(C19-Hast)^d_)-(c_*(C18-Hast)^d_)</f>
        <v>7.493200510545476</v>
      </c>
      <c r="D16" s="99" t="s">
        <v>495</v>
      </c>
    </row>
    <row r="17" spans="1:4" ht="17.25" customHeight="1" x14ac:dyDescent="0.25">
      <c r="A17" s="322" t="s">
        <v>985</v>
      </c>
      <c r="B17" s="99"/>
      <c r="C17" s="481">
        <f ca="1">+C16/C13*100</f>
        <v>34.040693090351617</v>
      </c>
      <c r="D17" s="99" t="s">
        <v>328</v>
      </c>
    </row>
    <row r="18" spans="1:4" ht="17.25" customHeight="1" x14ac:dyDescent="0.25">
      <c r="A18" s="322" t="s">
        <v>355</v>
      </c>
      <c r="B18" s="99" t="s">
        <v>210</v>
      </c>
      <c r="C18" s="326">
        <f>+'I-Satisfac-Demanda'!G5</f>
        <v>100.5</v>
      </c>
      <c r="D18" s="99" t="s">
        <v>424</v>
      </c>
    </row>
    <row r="19" spans="1:4" ht="17.25" customHeight="1" x14ac:dyDescent="0.25">
      <c r="A19" s="322" t="s">
        <v>378</v>
      </c>
      <c r="B19" s="99" t="s">
        <v>211</v>
      </c>
      <c r="C19" s="326">
        <f>+'I-Satisfac-Demanda'!G7</f>
        <v>106</v>
      </c>
      <c r="D19" s="99" t="s">
        <v>424</v>
      </c>
    </row>
    <row r="20" spans="1:4" ht="17.25" customHeight="1" x14ac:dyDescent="0.25">
      <c r="A20" s="320" t="s">
        <v>559</v>
      </c>
      <c r="B20" s="99"/>
      <c r="C20" s="321"/>
      <c r="D20" s="99"/>
    </row>
    <row r="21" spans="1:4" ht="17.25" customHeight="1" x14ac:dyDescent="0.25">
      <c r="A21" s="322" t="s">
        <v>561</v>
      </c>
      <c r="B21" s="99" t="s">
        <v>562</v>
      </c>
      <c r="C21" s="321">
        <f>+'Ingreso Datos'!F32</f>
        <v>100</v>
      </c>
      <c r="D21" s="99" t="s">
        <v>563</v>
      </c>
    </row>
    <row r="22" spans="1:4" ht="17.25" customHeight="1" x14ac:dyDescent="0.25">
      <c r="A22" s="322" t="s">
        <v>525</v>
      </c>
      <c r="B22" s="99" t="s">
        <v>526</v>
      </c>
      <c r="C22" s="327">
        <f>+'Av Proy'!B52</f>
        <v>229.26047150119342</v>
      </c>
      <c r="D22" s="99" t="s">
        <v>527</v>
      </c>
    </row>
    <row r="23" spans="1:4" ht="17.25" customHeight="1" x14ac:dyDescent="0.25">
      <c r="A23" s="322" t="s">
        <v>524</v>
      </c>
      <c r="B23" s="99" t="s">
        <v>334</v>
      </c>
      <c r="C23" s="327">
        <f>+'Diseño Aliv-Canal'!O7</f>
        <v>100.26082277265616</v>
      </c>
      <c r="D23" s="99" t="s">
        <v>527</v>
      </c>
    </row>
    <row r="24" spans="1:4" ht="17.25" customHeight="1" x14ac:dyDescent="0.25">
      <c r="A24" s="322" t="s">
        <v>498</v>
      </c>
      <c r="B24" s="99"/>
      <c r="C24" s="98">
        <f>+C23/C22*100</f>
        <v>43.732276269062041</v>
      </c>
      <c r="D24" s="99" t="s">
        <v>328</v>
      </c>
    </row>
    <row r="25" spans="1:4" ht="17.25" customHeight="1" x14ac:dyDescent="0.25">
      <c r="A25" s="322" t="s">
        <v>981</v>
      </c>
      <c r="B25" s="99" t="s">
        <v>332</v>
      </c>
      <c r="C25" s="323">
        <f>+'Diseño Aliv-Canal'!G6</f>
        <v>0.45</v>
      </c>
      <c r="D25" s="99" t="s">
        <v>205</v>
      </c>
    </row>
    <row r="26" spans="1:4" ht="17.25" customHeight="1" x14ac:dyDescent="0.25">
      <c r="A26" s="322" t="s">
        <v>379</v>
      </c>
      <c r="B26" s="99" t="s">
        <v>380</v>
      </c>
      <c r="C26" s="323">
        <f>+'Diseño Aliv-Canal'!O5</f>
        <v>1.4242941182203603</v>
      </c>
      <c r="D26" s="99" t="s">
        <v>339</v>
      </c>
    </row>
    <row r="27" spans="1:4" ht="17.25" customHeight="1" x14ac:dyDescent="0.25">
      <c r="A27" s="322" t="s">
        <v>943</v>
      </c>
      <c r="B27" s="819" t="str">
        <f>+'Diseño Aliv-Canal'!G12</f>
        <v>Variable</v>
      </c>
      <c r="C27" s="820"/>
      <c r="D27" s="821"/>
    </row>
    <row r="28" spans="1:4" ht="17.25" customHeight="1" x14ac:dyDescent="0.25">
      <c r="A28" s="322" t="s">
        <v>510</v>
      </c>
      <c r="B28" s="99" t="s">
        <v>336</v>
      </c>
      <c r="C28" s="99">
        <f>+'Diseño Aliv-Canal'!K7</f>
        <v>200</v>
      </c>
      <c r="D28" s="99" t="s">
        <v>205</v>
      </c>
    </row>
    <row r="29" spans="1:4" ht="17.25" customHeight="1" x14ac:dyDescent="0.25">
      <c r="A29" s="320" t="s">
        <v>560</v>
      </c>
      <c r="B29" s="318"/>
      <c r="C29" s="318"/>
      <c r="D29" s="318"/>
    </row>
    <row r="30" spans="1:4" ht="17.25" customHeight="1" x14ac:dyDescent="0.25">
      <c r="A30" s="322" t="s">
        <v>602</v>
      </c>
      <c r="B30" s="429" t="s">
        <v>603</v>
      </c>
      <c r="C30" s="323">
        <f>+'Cota Coron'!D18</f>
        <v>1.35</v>
      </c>
      <c r="D30" s="99" t="s">
        <v>205</v>
      </c>
    </row>
    <row r="31" spans="1:4" ht="17.25" customHeight="1" x14ac:dyDescent="0.25">
      <c r="A31" s="322" t="s">
        <v>529</v>
      </c>
      <c r="B31" s="99" t="s">
        <v>446</v>
      </c>
      <c r="C31" s="323">
        <f>+'Cota Coron'!E19</f>
        <v>107.35</v>
      </c>
      <c r="D31" s="99" t="s">
        <v>424</v>
      </c>
    </row>
    <row r="32" spans="1:4" ht="17.25" customHeight="1" x14ac:dyDescent="0.25">
      <c r="A32" s="322" t="s">
        <v>941</v>
      </c>
      <c r="B32" s="99" t="s">
        <v>942</v>
      </c>
      <c r="C32" s="323">
        <f>+'Ingreso Datos'!F48</f>
        <v>98</v>
      </c>
      <c r="D32" s="99" t="s">
        <v>424</v>
      </c>
    </row>
    <row r="33" spans="1:4" x14ac:dyDescent="0.25">
      <c r="A33" s="322" t="s">
        <v>528</v>
      </c>
      <c r="B33" s="99" t="s">
        <v>530</v>
      </c>
      <c r="C33" s="323">
        <f>+'Cota Coron'!E21</f>
        <v>9.3499999999999943</v>
      </c>
      <c r="D33" s="99" t="s">
        <v>205</v>
      </c>
    </row>
    <row r="34" spans="1:4" x14ac:dyDescent="0.25">
      <c r="A34" s="328"/>
      <c r="B34" s="318"/>
      <c r="C34" s="318"/>
      <c r="D34" s="318"/>
    </row>
  </sheetData>
  <sheetProtection sheet="1"/>
  <mergeCells count="9">
    <mergeCell ref="A1:D1"/>
    <mergeCell ref="A2:D2"/>
    <mergeCell ref="B27:D27"/>
    <mergeCell ref="B11:D11"/>
    <mergeCell ref="B7:D7"/>
    <mergeCell ref="B12:D12"/>
    <mergeCell ref="B6:D6"/>
    <mergeCell ref="B8:D8"/>
    <mergeCell ref="A3:D3"/>
  </mergeCells>
  <phoneticPr fontId="15"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theme="0" tint="-0.249977111117893"/>
  </sheetPr>
  <dimension ref="A1:S45"/>
  <sheetViews>
    <sheetView tabSelected="1" zoomScaleNormal="100" workbookViewId="0">
      <selection activeCell="A4" sqref="A4"/>
    </sheetView>
  </sheetViews>
  <sheetFormatPr baseColWidth="10" defaultRowHeight="15" x14ac:dyDescent="0.25"/>
  <cols>
    <col min="1" max="1" width="4.140625" customWidth="1"/>
    <col min="2" max="2" width="10.140625" style="1" customWidth="1"/>
    <col min="3" max="3" width="10.85546875" style="1" customWidth="1"/>
    <col min="4" max="4" width="8.85546875" style="1" customWidth="1"/>
    <col min="5" max="5" width="11" style="1" customWidth="1"/>
    <col min="8" max="8" width="9.42578125" customWidth="1"/>
    <col min="9" max="9" width="10.140625" customWidth="1"/>
  </cols>
  <sheetData>
    <row r="1" spans="1:19" ht="21" x14ac:dyDescent="0.25">
      <c r="A1" s="826" t="s">
        <v>876</v>
      </c>
      <c r="B1" s="826"/>
      <c r="C1" s="826"/>
      <c r="D1" s="826"/>
      <c r="E1" s="826"/>
      <c r="F1" s="826"/>
      <c r="G1" s="826"/>
      <c r="H1" s="826"/>
      <c r="I1" s="827"/>
    </row>
    <row r="2" spans="1:19" ht="18.75" x14ac:dyDescent="0.3">
      <c r="A2" s="277" t="s">
        <v>501</v>
      </c>
      <c r="I2" s="179" t="str">
        <f>+'Ingreso Datos'!G2</f>
        <v>Presa del Ejemplo del Manual</v>
      </c>
    </row>
    <row r="3" spans="1:19" ht="15.75" thickBot="1" x14ac:dyDescent="0.3">
      <c r="A3" s="234" t="str">
        <f>+Pasos!A3</f>
        <v>Planilla complementaria al Manual de diseño y construcción de pequeñas presas, Versión 1.04, del 01/04/2013</v>
      </c>
    </row>
    <row r="4" spans="1:19" ht="15" customHeight="1" x14ac:dyDescent="0.25">
      <c r="A4" s="424"/>
      <c r="B4" s="424"/>
      <c r="C4" s="424"/>
      <c r="D4" s="424"/>
      <c r="E4" s="424"/>
      <c r="F4" s="424"/>
      <c r="G4" s="424"/>
      <c r="H4" s="424"/>
      <c r="I4" s="424"/>
      <c r="J4" s="832" t="s">
        <v>887</v>
      </c>
      <c r="K4" s="833"/>
      <c r="L4" s="833"/>
      <c r="M4" s="833"/>
      <c r="N4" s="833"/>
      <c r="O4" s="833"/>
      <c r="P4" s="834"/>
      <c r="Q4" s="465"/>
      <c r="R4" s="465"/>
      <c r="S4" s="291"/>
    </row>
    <row r="5" spans="1:19" ht="20.25" customHeight="1" x14ac:dyDescent="0.25">
      <c r="F5" s="97" t="s">
        <v>931</v>
      </c>
      <c r="G5" s="257">
        <v>100.5</v>
      </c>
      <c r="H5" s="102" t="s">
        <v>424</v>
      </c>
      <c r="J5" s="835"/>
      <c r="K5" s="836"/>
      <c r="L5" s="836"/>
      <c r="M5" s="836"/>
      <c r="N5" s="836"/>
      <c r="O5" s="836"/>
      <c r="P5" s="837"/>
      <c r="Q5" s="465"/>
      <c r="R5" s="465"/>
      <c r="S5" s="291"/>
    </row>
    <row r="6" spans="1:19" ht="15.75" customHeight="1" thickBot="1" x14ac:dyDescent="0.3">
      <c r="B6" s="106" t="s">
        <v>932</v>
      </c>
      <c r="J6" s="838"/>
      <c r="K6" s="839"/>
      <c r="L6" s="839"/>
      <c r="M6" s="839"/>
      <c r="N6" s="839"/>
      <c r="O6" s="839"/>
      <c r="P6" s="840"/>
      <c r="Q6" s="466"/>
      <c r="R6" s="466"/>
      <c r="S6" s="291"/>
    </row>
    <row r="7" spans="1:19" ht="15" customHeight="1" x14ac:dyDescent="0.25">
      <c r="F7" s="36" t="s">
        <v>904</v>
      </c>
      <c r="G7" s="257">
        <v>106</v>
      </c>
      <c r="H7" t="s">
        <v>424</v>
      </c>
      <c r="Q7" s="466"/>
      <c r="R7" s="466"/>
      <c r="S7" s="291"/>
    </row>
    <row r="8" spans="1:19" ht="15.75" x14ac:dyDescent="0.25">
      <c r="F8" s="36" t="s">
        <v>906</v>
      </c>
      <c r="G8" s="278">
        <v>1</v>
      </c>
      <c r="H8" t="s">
        <v>907</v>
      </c>
      <c r="J8" s="688" t="s">
        <v>397</v>
      </c>
      <c r="K8" s="688"/>
      <c r="L8" s="688"/>
      <c r="M8" s="688"/>
      <c r="N8" s="688"/>
      <c r="O8" s="688"/>
      <c r="P8" s="688"/>
      <c r="Q8" s="466"/>
      <c r="R8" s="466"/>
      <c r="S8" s="291"/>
    </row>
    <row r="9" spans="1:19" ht="15.75" x14ac:dyDescent="0.25">
      <c r="F9" s="36" t="s">
        <v>398</v>
      </c>
      <c r="G9" s="257">
        <v>1100</v>
      </c>
      <c r="H9" t="s">
        <v>206</v>
      </c>
      <c r="J9" s="688"/>
      <c r="K9" s="688"/>
      <c r="L9" s="688"/>
      <c r="M9" s="688"/>
      <c r="N9" s="688"/>
      <c r="O9" s="688"/>
      <c r="P9" s="688"/>
    </row>
    <row r="10" spans="1:19" ht="15.75" x14ac:dyDescent="0.25">
      <c r="F10" s="36" t="s">
        <v>908</v>
      </c>
      <c r="G10" s="257">
        <v>20</v>
      </c>
      <c r="H10" t="s">
        <v>909</v>
      </c>
      <c r="J10" s="688"/>
      <c r="K10" s="688"/>
      <c r="L10" s="688"/>
      <c r="M10" s="688"/>
      <c r="N10" s="688"/>
      <c r="O10" s="688"/>
      <c r="P10" s="688"/>
    </row>
    <row r="11" spans="1:19" x14ac:dyDescent="0.25">
      <c r="C11" s="423"/>
      <c r="D11" s="845" t="str">
        <f>+IF(H18='I-Satisfac-Demanda'!H17,"","El gráfico responde a otros valores.                                                                    ACTUALICE EL BALANCE HÍDRICO PRESIONANDO EL BOTÓN                     (Debe 'habilitar macros')")</f>
        <v/>
      </c>
      <c r="E11" s="845"/>
      <c r="F11" s="845"/>
      <c r="G11" s="845"/>
      <c r="H11" s="845"/>
      <c r="I11" s="845"/>
    </row>
    <row r="12" spans="1:19" x14ac:dyDescent="0.25">
      <c r="C12" s="423"/>
      <c r="D12" s="845"/>
      <c r="E12" s="845"/>
      <c r="F12" s="845"/>
      <c r="G12" s="845"/>
      <c r="H12" s="845"/>
      <c r="I12" s="845"/>
    </row>
    <row r="13" spans="1:19" ht="15" customHeight="1" x14ac:dyDescent="0.25">
      <c r="C13" s="423"/>
      <c r="D13" s="845"/>
      <c r="E13" s="845"/>
      <c r="F13" s="845"/>
      <c r="G13" s="845"/>
      <c r="H13" s="845"/>
      <c r="I13" s="845"/>
    </row>
    <row r="14" spans="1:19" ht="15.75" customHeight="1" x14ac:dyDescent="0.25"/>
    <row r="16" spans="1:19" ht="15" customHeight="1" x14ac:dyDescent="0.25">
      <c r="A16" s="118"/>
      <c r="C16" s="235"/>
    </row>
    <row r="17" spans="1:9" ht="15" customHeight="1" x14ac:dyDescent="0.25">
      <c r="B17" s="235"/>
      <c r="C17" s="235"/>
      <c r="D17" s="235"/>
      <c r="E17" s="235"/>
      <c r="F17" s="432" t="str">
        <f>+CONCATENATE("Esc. Anual=",ROUND('Esc 1'!K9,2)," Hm3")</f>
        <v>Esc. Anual=22,01 Hm3</v>
      </c>
      <c r="G17" s="234" t="s">
        <v>910</v>
      </c>
      <c r="H17" s="236">
        <f>12*'Esc 1'!K9+2*G5+1234*SUM(B21:B23)+12345*SUM(C25,C26)</f>
        <v>6270240.1497512637</v>
      </c>
    </row>
    <row r="18" spans="1:9" x14ac:dyDescent="0.25">
      <c r="A18" s="274" t="s">
        <v>901</v>
      </c>
      <c r="B18" s="844" t="s">
        <v>900</v>
      </c>
      <c r="C18" s="844"/>
      <c r="D18" s="844"/>
      <c r="E18" s="830" t="s">
        <v>903</v>
      </c>
      <c r="F18">
        <f>+G5</f>
        <v>100.5</v>
      </c>
      <c r="G18" s="234" t="s">
        <v>878</v>
      </c>
      <c r="H18" s="256">
        <v>6270240.1497512637</v>
      </c>
      <c r="I18" s="36" t="str">
        <f>+CONCATENATE("Ar media = ",F24," Hás")</f>
        <v>Ar media = 1100 Hás</v>
      </c>
    </row>
    <row r="19" spans="1:9" x14ac:dyDescent="0.25">
      <c r="A19" s="828"/>
      <c r="B19" s="37">
        <f>+VLOOKUP(A18,$A$21:$C$35,2,FALSE)</f>
        <v>1100</v>
      </c>
      <c r="C19" s="37">
        <f>+VLOOKUP(A18,$A$21:$C$35,3,FALSE)</f>
        <v>106</v>
      </c>
      <c r="D19" s="37">
        <f ca="1">+'Bal Híd'!P3</f>
        <v>93.04</v>
      </c>
      <c r="E19" s="831"/>
      <c r="F19" s="594" t="s">
        <v>883</v>
      </c>
      <c r="G19" s="843" t="s">
        <v>884</v>
      </c>
      <c r="H19" s="843"/>
      <c r="I19" s="843"/>
    </row>
    <row r="20" spans="1:9" ht="15.75" thickBot="1" x14ac:dyDescent="0.3">
      <c r="A20" s="829"/>
      <c r="B20" s="37" t="s">
        <v>881</v>
      </c>
      <c r="C20" s="37" t="s">
        <v>211</v>
      </c>
      <c r="D20" s="37" t="s">
        <v>902</v>
      </c>
      <c r="E20" s="273" t="s">
        <v>902</v>
      </c>
      <c r="F20" s="433" t="str">
        <f>+CONCATENATE("Ht= ",F21)</f>
        <v>Ht= 100,5</v>
      </c>
      <c r="G20" s="596" t="str">
        <f>+CONCATENATE("Hv=",G21," msnm")</f>
        <v>Hv=105 msnm</v>
      </c>
      <c r="H20" s="596" t="str">
        <f>+CONCATENATE("Hv=",H21," msnm")</f>
        <v>Hv=106 msnm</v>
      </c>
      <c r="I20" s="596" t="str">
        <f>+CONCATENATE("Hv=",I21," msnm")</f>
        <v>Hv=107 msnm</v>
      </c>
    </row>
    <row r="21" spans="1:9" x14ac:dyDescent="0.25">
      <c r="A21" s="255"/>
      <c r="B21" s="275">
        <f>+B23*(1-G10/100)</f>
        <v>880</v>
      </c>
      <c r="C21" s="37">
        <f>+G7-G8</f>
        <v>105</v>
      </c>
      <c r="D21" s="45" t="str">
        <f t="shared" ref="D21:D35" si="0">+IF(A21=A$18,D$19,"")</f>
        <v/>
      </c>
      <c r="E21" s="255">
        <v>91.88</v>
      </c>
      <c r="F21" s="595">
        <v>100.5</v>
      </c>
      <c r="G21" s="597">
        <v>105</v>
      </c>
      <c r="H21" s="597">
        <v>106</v>
      </c>
      <c r="I21" s="597">
        <v>107</v>
      </c>
    </row>
    <row r="22" spans="1:9" ht="15" customHeight="1" x14ac:dyDescent="0.25">
      <c r="A22" s="255"/>
      <c r="B22" s="275">
        <f>+B23*(1-G10/200)</f>
        <v>990</v>
      </c>
      <c r="C22" s="37">
        <f>+C21</f>
        <v>105</v>
      </c>
      <c r="D22" s="45" t="str">
        <f t="shared" si="0"/>
        <v/>
      </c>
      <c r="E22" s="255">
        <v>87.21</v>
      </c>
      <c r="F22" s="271">
        <v>880</v>
      </c>
      <c r="G22" s="598">
        <f>+E21</f>
        <v>91.88</v>
      </c>
      <c r="H22" s="598">
        <f>+E26</f>
        <v>98.91</v>
      </c>
      <c r="I22" s="598">
        <f>+E31</f>
        <v>100</v>
      </c>
    </row>
    <row r="23" spans="1:9" x14ac:dyDescent="0.25">
      <c r="A23" s="255"/>
      <c r="B23" s="275">
        <f>+G9</f>
        <v>1100</v>
      </c>
      <c r="C23" s="37">
        <f>+C22</f>
        <v>105</v>
      </c>
      <c r="D23" s="45" t="str">
        <f t="shared" si="0"/>
        <v/>
      </c>
      <c r="E23" s="255">
        <v>82.57</v>
      </c>
      <c r="F23" s="271">
        <v>990</v>
      </c>
      <c r="G23" s="598">
        <f>+E22</f>
        <v>87.21</v>
      </c>
      <c r="H23" s="598">
        <f>+E27</f>
        <v>96.52</v>
      </c>
      <c r="I23" s="598">
        <f>+E32</f>
        <v>99.54</v>
      </c>
    </row>
    <row r="24" spans="1:9" ht="15.75" customHeight="1" x14ac:dyDescent="0.25">
      <c r="A24" s="255"/>
      <c r="B24" s="275">
        <f>+B23*(1+G10/200)</f>
        <v>1210</v>
      </c>
      <c r="C24" s="37">
        <f>+C23</f>
        <v>105</v>
      </c>
      <c r="D24" s="45" t="str">
        <f t="shared" si="0"/>
        <v/>
      </c>
      <c r="E24" s="255">
        <v>77.89</v>
      </c>
      <c r="F24" s="271">
        <v>1100</v>
      </c>
      <c r="G24" s="598">
        <f>+E23</f>
        <v>82.57</v>
      </c>
      <c r="H24" s="598">
        <f>+E28</f>
        <v>93.04</v>
      </c>
      <c r="I24" s="598">
        <f>+E33</f>
        <v>98.24</v>
      </c>
    </row>
    <row r="25" spans="1:9" ht="21.75" customHeight="1" x14ac:dyDescent="0.25">
      <c r="A25" s="255"/>
      <c r="B25" s="275">
        <f>+B23*(1+G10/100)</f>
        <v>1320</v>
      </c>
      <c r="C25" s="37">
        <f>+C24</f>
        <v>105</v>
      </c>
      <c r="D25" s="45" t="str">
        <f t="shared" si="0"/>
        <v/>
      </c>
      <c r="E25" s="255">
        <v>73.680000000000007</v>
      </c>
      <c r="F25" s="271">
        <v>1210</v>
      </c>
      <c r="G25" s="598">
        <f>+E24</f>
        <v>77.89</v>
      </c>
      <c r="H25" s="598">
        <f>+E29</f>
        <v>88.76</v>
      </c>
      <c r="I25" s="598">
        <f>+E34</f>
        <v>95.93</v>
      </c>
    </row>
    <row r="26" spans="1:9" ht="15.75" thickBot="1" x14ac:dyDescent="0.3">
      <c r="A26" s="255"/>
      <c r="B26" s="37">
        <f>+B21</f>
        <v>880</v>
      </c>
      <c r="C26" s="37">
        <f>+G7</f>
        <v>106</v>
      </c>
      <c r="D26" s="45" t="str">
        <f t="shared" si="0"/>
        <v/>
      </c>
      <c r="E26" s="255">
        <v>98.91</v>
      </c>
      <c r="F26" s="272">
        <v>1320</v>
      </c>
      <c r="G26" s="598">
        <f>+E25</f>
        <v>73.680000000000007</v>
      </c>
      <c r="H26" s="598">
        <f>+E30</f>
        <v>84.86</v>
      </c>
      <c r="I26" s="598">
        <f>+E35</f>
        <v>92.73</v>
      </c>
    </row>
    <row r="27" spans="1:9" x14ac:dyDescent="0.25">
      <c r="A27" s="255"/>
      <c r="B27" s="37">
        <f t="shared" ref="B27:B35" si="1">+B22</f>
        <v>990</v>
      </c>
      <c r="C27" s="37">
        <f>+C26</f>
        <v>106</v>
      </c>
      <c r="D27" s="45" t="str">
        <f t="shared" si="0"/>
        <v/>
      </c>
      <c r="E27" s="255">
        <v>96.52</v>
      </c>
      <c r="F27" s="841" t="s">
        <v>877</v>
      </c>
      <c r="G27" s="842"/>
      <c r="H27" s="842"/>
      <c r="I27" s="842"/>
    </row>
    <row r="28" spans="1:9" x14ac:dyDescent="0.25">
      <c r="A28" s="255" t="s">
        <v>901</v>
      </c>
      <c r="B28" s="37">
        <f t="shared" si="1"/>
        <v>1100</v>
      </c>
      <c r="C28" s="37">
        <f>+C27</f>
        <v>106</v>
      </c>
      <c r="D28" s="45">
        <f t="shared" ca="1" si="0"/>
        <v>93.04</v>
      </c>
      <c r="E28" s="255">
        <v>93.04</v>
      </c>
      <c r="F28" s="841"/>
      <c r="G28" s="842"/>
      <c r="H28" s="842"/>
      <c r="I28" s="842"/>
    </row>
    <row r="29" spans="1:9" x14ac:dyDescent="0.25">
      <c r="A29" s="255" t="s">
        <v>901</v>
      </c>
      <c r="B29" s="37">
        <f t="shared" si="1"/>
        <v>1210</v>
      </c>
      <c r="C29" s="37">
        <f>+C28</f>
        <v>106</v>
      </c>
      <c r="D29" s="45">
        <f t="shared" ca="1" si="0"/>
        <v>93.04</v>
      </c>
      <c r="E29" s="255">
        <v>88.76</v>
      </c>
      <c r="F29" s="1" t="s">
        <v>103</v>
      </c>
      <c r="G29" s="599">
        <f ca="1">+c_*(G21-Hast)^d_-VolHt</f>
        <v>4.8932844906909603</v>
      </c>
      <c r="H29" s="599">
        <f ca="1">+c_*(H21-Hast)^d_-VolHt</f>
        <v>7.493200510545476</v>
      </c>
      <c r="I29" s="599">
        <f ca="1">+c_*(I21-Hast)^d_-VolHt</f>
        <v>10.829486356429118</v>
      </c>
    </row>
    <row r="30" spans="1:9" x14ac:dyDescent="0.25">
      <c r="A30" s="255" t="s">
        <v>901</v>
      </c>
      <c r="B30" s="37">
        <f t="shared" si="1"/>
        <v>1320</v>
      </c>
      <c r="C30" s="37">
        <f>+C29</f>
        <v>106</v>
      </c>
      <c r="D30" s="45">
        <f t="shared" ca="1" si="0"/>
        <v>93.04</v>
      </c>
      <c r="E30" s="255">
        <v>84.86</v>
      </c>
      <c r="F30" s="1" t="s">
        <v>107</v>
      </c>
      <c r="G30" s="1" t="s">
        <v>884</v>
      </c>
      <c r="H30" s="1"/>
      <c r="I30" s="1"/>
    </row>
    <row r="31" spans="1:9" x14ac:dyDescent="0.25">
      <c r="A31" s="255" t="s">
        <v>901</v>
      </c>
      <c r="B31" s="37">
        <f t="shared" si="1"/>
        <v>880</v>
      </c>
      <c r="C31" s="37">
        <f>+G7+G8</f>
        <v>107</v>
      </c>
      <c r="D31" s="45">
        <f t="shared" ca="1" si="0"/>
        <v>93.04</v>
      </c>
      <c r="E31" s="255">
        <v>100</v>
      </c>
      <c r="F31" s="599">
        <f>+F22/$F$24</f>
        <v>0.8</v>
      </c>
      <c r="G31" s="1">
        <f t="shared" ref="G31:I35" si="2">+G22</f>
        <v>91.88</v>
      </c>
      <c r="H31" s="1">
        <f t="shared" si="2"/>
        <v>98.91</v>
      </c>
      <c r="I31" s="1">
        <f t="shared" si="2"/>
        <v>100</v>
      </c>
    </row>
    <row r="32" spans="1:9" x14ac:dyDescent="0.25">
      <c r="A32" s="255" t="s">
        <v>901</v>
      </c>
      <c r="B32" s="37">
        <f t="shared" si="1"/>
        <v>990</v>
      </c>
      <c r="C32" s="37">
        <f>+C31</f>
        <v>107</v>
      </c>
      <c r="D32" s="45">
        <f t="shared" ca="1" si="0"/>
        <v>93.04</v>
      </c>
      <c r="E32" s="255">
        <v>99.54</v>
      </c>
      <c r="F32" s="599">
        <f>+F23/$F$24</f>
        <v>0.9</v>
      </c>
      <c r="G32" s="1">
        <f t="shared" si="2"/>
        <v>87.21</v>
      </c>
      <c r="H32" s="1">
        <f t="shared" si="2"/>
        <v>96.52</v>
      </c>
      <c r="I32" s="1">
        <f t="shared" si="2"/>
        <v>99.54</v>
      </c>
    </row>
    <row r="33" spans="1:9" x14ac:dyDescent="0.25">
      <c r="A33" s="255" t="s">
        <v>901</v>
      </c>
      <c r="B33" s="37">
        <f t="shared" si="1"/>
        <v>1100</v>
      </c>
      <c r="C33" s="37">
        <f>+C32</f>
        <v>107</v>
      </c>
      <c r="D33" s="45">
        <f t="shared" ca="1" si="0"/>
        <v>93.04</v>
      </c>
      <c r="E33" s="255">
        <v>98.24</v>
      </c>
      <c r="F33" s="599">
        <f>+F24/$F$24</f>
        <v>1</v>
      </c>
      <c r="G33" s="1">
        <f t="shared" si="2"/>
        <v>82.57</v>
      </c>
      <c r="H33" s="1">
        <f t="shared" si="2"/>
        <v>93.04</v>
      </c>
      <c r="I33" s="1">
        <f t="shared" si="2"/>
        <v>98.24</v>
      </c>
    </row>
    <row r="34" spans="1:9" x14ac:dyDescent="0.25">
      <c r="A34" s="255" t="s">
        <v>901</v>
      </c>
      <c r="B34" s="37">
        <f t="shared" si="1"/>
        <v>1210</v>
      </c>
      <c r="C34" s="37">
        <f>+C33</f>
        <v>107</v>
      </c>
      <c r="D34" s="45">
        <f t="shared" ca="1" si="0"/>
        <v>93.04</v>
      </c>
      <c r="E34" s="255">
        <v>95.93</v>
      </c>
      <c r="F34" s="599">
        <f>+F25/$F$24</f>
        <v>1.1000000000000001</v>
      </c>
      <c r="G34" s="1">
        <f t="shared" si="2"/>
        <v>77.89</v>
      </c>
      <c r="H34" s="1">
        <f t="shared" si="2"/>
        <v>88.76</v>
      </c>
      <c r="I34" s="1">
        <f t="shared" si="2"/>
        <v>95.93</v>
      </c>
    </row>
    <row r="35" spans="1:9" x14ac:dyDescent="0.25">
      <c r="A35" s="255" t="s">
        <v>901</v>
      </c>
      <c r="B35" s="37">
        <f t="shared" si="1"/>
        <v>1320</v>
      </c>
      <c r="C35" s="37">
        <f>+C34</f>
        <v>107</v>
      </c>
      <c r="D35" s="45">
        <f t="shared" ca="1" si="0"/>
        <v>93.04</v>
      </c>
      <c r="E35" s="255">
        <v>92.73</v>
      </c>
      <c r="F35" s="599">
        <f>+F26/$F$24</f>
        <v>1.2</v>
      </c>
      <c r="G35" s="1">
        <f t="shared" si="2"/>
        <v>73.680000000000007</v>
      </c>
      <c r="H35" s="1">
        <f t="shared" si="2"/>
        <v>84.86</v>
      </c>
      <c r="I35" s="1">
        <f t="shared" si="2"/>
        <v>92.73</v>
      </c>
    </row>
    <row r="36" spans="1:9" x14ac:dyDescent="0.25">
      <c r="F36" s="96"/>
    </row>
    <row r="37" spans="1:9" x14ac:dyDescent="0.25">
      <c r="F37" s="96"/>
    </row>
    <row r="38" spans="1:9" ht="15" customHeight="1" x14ac:dyDescent="0.25">
      <c r="F38" s="96"/>
    </row>
    <row r="39" spans="1:9" x14ac:dyDescent="0.25">
      <c r="F39" s="96"/>
    </row>
    <row r="40" spans="1:9" x14ac:dyDescent="0.25">
      <c r="F40" s="96"/>
    </row>
    <row r="41" spans="1:9" x14ac:dyDescent="0.25">
      <c r="F41" s="96"/>
    </row>
    <row r="42" spans="1:9" x14ac:dyDescent="0.25">
      <c r="F42" s="96"/>
    </row>
    <row r="43" spans="1:9" x14ac:dyDescent="0.25">
      <c r="F43" s="96"/>
    </row>
    <row r="44" spans="1:9" x14ac:dyDescent="0.25">
      <c r="F44" s="96"/>
    </row>
    <row r="45" spans="1:9" x14ac:dyDescent="0.25">
      <c r="F45" s="96"/>
    </row>
  </sheetData>
  <sheetProtection sheet="1"/>
  <mergeCells count="9">
    <mergeCell ref="A1:I1"/>
    <mergeCell ref="A19:A20"/>
    <mergeCell ref="E18:E19"/>
    <mergeCell ref="J8:P10"/>
    <mergeCell ref="J4:P6"/>
    <mergeCell ref="F27:I28"/>
    <mergeCell ref="G19:I19"/>
    <mergeCell ref="B18:D18"/>
    <mergeCell ref="D11:I13"/>
  </mergeCells>
  <phoneticPr fontId="15" type="noConversion"/>
  <pageMargins left="0.7" right="0.7" top="0.75" bottom="0.75" header="0.3" footer="0.3"/>
  <pageSetup paperSize="9" orientation="portrait" r:id="rId1"/>
  <ignoredErrors>
    <ignoredError sqref="D21:D3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67" r:id="rId4" name="Button 23">
              <controlPr defaultSize="0" print="0" autoFill="0" autoPict="0" macro="[0]!Actualizar_Tabla_ISD">
                <anchor moveWithCells="1" sizeWithCells="1">
                  <from>
                    <xdr:col>4</xdr:col>
                    <xdr:colOff>161925</xdr:colOff>
                    <xdr:row>13</xdr:row>
                    <xdr:rowOff>9525</xdr:rowOff>
                  </from>
                  <to>
                    <xdr:col>8</xdr:col>
                    <xdr:colOff>381000</xdr:colOff>
                    <xdr:row>14</xdr:row>
                    <xdr:rowOff>161925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A1:P74"/>
  <sheetViews>
    <sheetView zoomScale="98" zoomScaleNormal="98" workbookViewId="0">
      <selection sqref="A1:G1"/>
    </sheetView>
  </sheetViews>
  <sheetFormatPr baseColWidth="10" defaultRowHeight="15" x14ac:dyDescent="0.25"/>
  <cols>
    <col min="1" max="1" width="11.85546875" customWidth="1"/>
    <col min="2" max="3" width="9.140625" customWidth="1"/>
    <col min="4" max="5" width="10" customWidth="1"/>
    <col min="6" max="6" width="11.140625" customWidth="1"/>
    <col min="7" max="7" width="10.42578125" customWidth="1"/>
    <col min="8" max="9" width="7.85546875" customWidth="1"/>
    <col min="10" max="10" width="19.85546875" customWidth="1"/>
    <col min="11" max="11" width="9.85546875" customWidth="1"/>
    <col min="12" max="12" width="20.140625" customWidth="1"/>
    <col min="13" max="13" width="9" customWidth="1"/>
    <col min="14" max="14" width="13.85546875" customWidth="1"/>
    <col min="15" max="15" width="8.42578125" customWidth="1"/>
    <col min="16" max="16" width="7" customWidth="1"/>
  </cols>
  <sheetData>
    <row r="1" spans="1:16" s="61" customFormat="1" ht="21" x14ac:dyDescent="0.35">
      <c r="A1" s="854" t="s">
        <v>435</v>
      </c>
      <c r="B1" s="855"/>
      <c r="C1" s="855"/>
      <c r="D1" s="855"/>
      <c r="E1" s="855"/>
      <c r="F1" s="855"/>
      <c r="G1" s="855"/>
      <c r="H1" s="435"/>
      <c r="I1" s="435"/>
      <c r="J1" s="849" t="s">
        <v>926</v>
      </c>
      <c r="K1" s="849"/>
      <c r="L1" s="849"/>
      <c r="M1" s="849"/>
      <c r="N1" s="849"/>
      <c r="O1" s="849"/>
      <c r="P1" s="849"/>
    </row>
    <row r="2" spans="1:16" ht="21" x14ac:dyDescent="0.35">
      <c r="A2" s="849" t="s">
        <v>425</v>
      </c>
      <c r="B2" s="849"/>
      <c r="C2" s="849"/>
      <c r="D2" s="849"/>
      <c r="E2" s="849"/>
      <c r="F2" s="849"/>
      <c r="G2" s="849"/>
      <c r="H2" s="435"/>
      <c r="I2" s="435"/>
    </row>
    <row r="3" spans="1:16" ht="18.75" x14ac:dyDescent="0.3">
      <c r="A3" t="s">
        <v>482</v>
      </c>
      <c r="G3" s="179" t="str">
        <f>+'Ingreso Datos'!G2</f>
        <v>Presa del Ejemplo del Manual</v>
      </c>
      <c r="H3" s="179"/>
      <c r="I3" s="179"/>
      <c r="N3" s="36" t="s">
        <v>654</v>
      </c>
      <c r="O3" s="396">
        <f>+G6-O5^2/2/9.81</f>
        <v>0.34660480452614101</v>
      </c>
      <c r="P3" t="s">
        <v>205</v>
      </c>
    </row>
    <row r="4" spans="1:16" ht="15.75" x14ac:dyDescent="0.25">
      <c r="A4" s="234" t="str">
        <f>+Pasos!A3</f>
        <v>Planilla complementaria al Manual de diseño y construcción de pequeñas presas, Versión 1.04, del 01/04/2013</v>
      </c>
      <c r="N4" s="593" t="s">
        <v>4</v>
      </c>
      <c r="O4" s="303">
        <f>+$D$59^0.5*(2/3*G6)^(1/6)/9.81^0.5</f>
        <v>0.74636453423198279</v>
      </c>
    </row>
    <row r="5" spans="1:16" ht="15.75" x14ac:dyDescent="0.25">
      <c r="G5" s="36" t="s">
        <v>652</v>
      </c>
      <c r="H5" s="106">
        <f ca="1">ROUND((Hast+e_*(VolHv+'Av Proy'!$B$53)^f_-Hv),2)</f>
        <v>0.75</v>
      </c>
      <c r="I5" s="106"/>
      <c r="N5" s="36" t="s">
        <v>646</v>
      </c>
      <c r="O5" s="303">
        <f>+O4*(3/(2+O4^2))^(2/3)*(2/3*9.81*G6)^0.5</f>
        <v>1.4242941182203603</v>
      </c>
      <c r="P5" t="s">
        <v>339</v>
      </c>
    </row>
    <row r="6" spans="1:16" ht="15.75" x14ac:dyDescent="0.25">
      <c r="A6" s="36"/>
      <c r="D6" s="106"/>
      <c r="F6" s="36" t="s">
        <v>656</v>
      </c>
      <c r="G6" s="507">
        <v>0.45</v>
      </c>
      <c r="H6" t="s">
        <v>205</v>
      </c>
      <c r="N6" s="243" t="s">
        <v>655</v>
      </c>
      <c r="O6" s="484">
        <f ca="1">+(1-(c_*(Hv+G6-Hast)^d_-VolHv)/'Av Proy'!$B$53)*'Av Proy'!$B$52/(+(+$D$59^0.5*(2/3*G6)^(1/6)/9.81^0.5)*(3/(2+(+$D$59^0.5*(2/3*G6)^(1/6)/9.81^0.5)^2))^(5/3)*(2/3*G6)^(3/2)*9.81^0.5)</f>
        <v>194.27147137204383</v>
      </c>
      <c r="P6" t="s">
        <v>205</v>
      </c>
    </row>
    <row r="7" spans="1:16" ht="15.75" x14ac:dyDescent="0.25">
      <c r="F7" s="36" t="s">
        <v>653</v>
      </c>
      <c r="G7" s="539">
        <f ca="1">+MAX(0,(1-(+c_*(Hv+G6-Hast)^d_-VolHv)/'Av Proy'!$B$53)*'Av Proy'!$B$52)</f>
        <v>97.389087805078148</v>
      </c>
      <c r="H7" t="s">
        <v>527</v>
      </c>
      <c r="J7" s="36" t="s">
        <v>598</v>
      </c>
      <c r="K7" s="570">
        <v>200</v>
      </c>
      <c r="L7" t="s">
        <v>647</v>
      </c>
      <c r="N7" s="485"/>
      <c r="O7" s="539">
        <f>+K7*D61</f>
        <v>100.26082277265616</v>
      </c>
      <c r="P7" t="s">
        <v>527</v>
      </c>
    </row>
    <row r="8" spans="1:16" ht="15.75" x14ac:dyDescent="0.25">
      <c r="J8" s="508" t="str">
        <f ca="1">+IF(K7&lt;O6,"EL VERTEDERO NECESITA MÁS ANCHO O MÁS CARGA PARA EVACUAR LA CRECIDA DE DISEÑO","EL VERTEDERO TIENE ANCHO SUFICIENTE")</f>
        <v>EL VERTEDERO TIENE ANCHO SUFICIENTE</v>
      </c>
      <c r="N8" s="485"/>
      <c r="O8" s="484"/>
    </row>
    <row r="9" spans="1:16" ht="15" customHeight="1" x14ac:dyDescent="0.25">
      <c r="A9" s="528" t="s">
        <v>659</v>
      </c>
      <c r="J9" s="106"/>
    </row>
    <row r="10" spans="1:16" ht="18" customHeight="1" x14ac:dyDescent="0.25">
      <c r="D10" t="str">
        <f>+CONCATENATE("Condición mínima de pastura: ",G12)</f>
        <v>Condición mínima de pastura: Variable</v>
      </c>
      <c r="F10" s="36"/>
      <c r="J10" s="36"/>
      <c r="L10" s="509" t="s">
        <v>400</v>
      </c>
      <c r="M10" s="500">
        <v>5</v>
      </c>
    </row>
    <row r="11" spans="1:16" ht="15.75" x14ac:dyDescent="0.25">
      <c r="D11" t="str">
        <f>+CONCATENATE("Velocidad del flujo, v= ",ROUND(O5,1)," m/s")</f>
        <v>Velocidad del flujo, v= 1,4 m/s</v>
      </c>
      <c r="F11" s="36"/>
      <c r="K11" s="527" t="s">
        <v>657</v>
      </c>
      <c r="M11" s="243"/>
      <c r="N11" s="245"/>
    </row>
    <row r="12" spans="1:16" x14ac:dyDescent="0.25">
      <c r="D12" s="510" t="str">
        <f>+IF(O4&lt;1,"El régimen de flujo es ACEPTABLE (Subcrítico)","EL RÉGIMEN DE FLUJO ES SUPERCRÍTICO (EROSIVO)")</f>
        <v>El régimen de flujo es ACEPTABLE (Subcrítico)</v>
      </c>
      <c r="G12" t="str">
        <f>+IF($O$5&lt;1,"Vegetación escasa",+HLOOKUP($O$5,$C$27:$G$28,2,TRUE))</f>
        <v>Variable</v>
      </c>
      <c r="J12" s="291"/>
    </row>
    <row r="13" spans="1:16" x14ac:dyDescent="0.25">
      <c r="A13" s="523" t="s">
        <v>199</v>
      </c>
      <c r="B13" s="524" t="s">
        <v>644</v>
      </c>
      <c r="C13" s="525" t="s">
        <v>199</v>
      </c>
      <c r="D13" s="524" t="s">
        <v>211</v>
      </c>
      <c r="E13" s="525" t="s">
        <v>199</v>
      </c>
      <c r="F13" s="526" t="str">
        <f>+CONCATENATE("Pendiente canal, S= ",'Ingreso Datos'!F42)</f>
        <v>Pendiente canal, S= 0,01</v>
      </c>
      <c r="G13" s="525" t="s">
        <v>199</v>
      </c>
      <c r="H13" s="524" t="s">
        <v>645</v>
      </c>
      <c r="J13" s="509" t="s">
        <v>658</v>
      </c>
      <c r="K13" s="509" t="s">
        <v>648</v>
      </c>
      <c r="L13" s="291"/>
      <c r="M13" s="509" t="s">
        <v>649</v>
      </c>
      <c r="N13" s="291"/>
      <c r="O13" s="509" t="s">
        <v>650</v>
      </c>
    </row>
    <row r="14" spans="1:16" ht="18.75" x14ac:dyDescent="0.3">
      <c r="A14" s="512">
        <f>-5*'Cota Coron'!$D$18</f>
        <v>-6.75</v>
      </c>
      <c r="B14" s="513">
        <f>+'Cota Coron'!D18</f>
        <v>1.35</v>
      </c>
      <c r="C14" s="514">
        <v>0</v>
      </c>
      <c r="D14" s="515">
        <v>0</v>
      </c>
      <c r="E14" s="514">
        <f>+C15</f>
        <v>7</v>
      </c>
      <c r="F14" s="291">
        <v>0</v>
      </c>
      <c r="G14" s="512">
        <f>+C14-5*$G$6</f>
        <v>-2.25</v>
      </c>
      <c r="H14" s="513">
        <f>+$G$6</f>
        <v>0.45</v>
      </c>
      <c r="J14" s="529">
        <f>-K14</f>
        <v>-1.35</v>
      </c>
      <c r="K14" s="529">
        <f>+'Cota Coron'!$D$18</f>
        <v>1.35</v>
      </c>
      <c r="L14" s="291">
        <f>+J14</f>
        <v>-1.35</v>
      </c>
      <c r="M14" s="529">
        <f>+K14</f>
        <v>1.35</v>
      </c>
      <c r="N14" s="529">
        <f>-$O$3</f>
        <v>-0.34660480452614101</v>
      </c>
      <c r="O14" s="529">
        <f>$O$3</f>
        <v>0.34660480452614101</v>
      </c>
      <c r="P14" s="54"/>
    </row>
    <row r="15" spans="1:16" ht="15.75" customHeight="1" x14ac:dyDescent="0.25">
      <c r="A15" s="514">
        <f>+C14+5</f>
        <v>5</v>
      </c>
      <c r="B15" s="515">
        <v>-1</v>
      </c>
      <c r="C15" s="516">
        <f>+A16+1</f>
        <v>7</v>
      </c>
      <c r="D15" s="517">
        <v>0</v>
      </c>
      <c r="E15" s="514">
        <f>+A18+'Cota Coron'!D18</f>
        <v>10.7</v>
      </c>
      <c r="F15" s="291">
        <v>0</v>
      </c>
      <c r="G15" s="514">
        <f>+C15+$G$6</f>
        <v>7.45</v>
      </c>
      <c r="H15" s="513">
        <f>+H14</f>
        <v>0.45</v>
      </c>
      <c r="J15" s="291">
        <v>0</v>
      </c>
      <c r="K15" s="291">
        <v>0</v>
      </c>
      <c r="L15" s="291">
        <f>+J15</f>
        <v>0</v>
      </c>
      <c r="M15" s="291">
        <v>0</v>
      </c>
      <c r="N15" s="529">
        <f ca="1">+MAX(L16,J16)+$O$3</f>
        <v>200.34660480452615</v>
      </c>
      <c r="O15" s="529">
        <f>+O14</f>
        <v>0.34660480452614101</v>
      </c>
    </row>
    <row r="16" spans="1:16" x14ac:dyDescent="0.25">
      <c r="A16" s="514">
        <f>+A15+1</f>
        <v>6</v>
      </c>
      <c r="B16" s="515">
        <f>+B15</f>
        <v>-1</v>
      </c>
      <c r="E16" s="516">
        <f>+E15+5</f>
        <v>15.7</v>
      </c>
      <c r="F16" s="520">
        <f>-30*'Ingreso Datos'!$F$42</f>
        <v>-0.3</v>
      </c>
      <c r="G16" s="514">
        <f>+E15</f>
        <v>10.7</v>
      </c>
      <c r="H16" s="513">
        <f>+$O$3</f>
        <v>0.34660480452614101</v>
      </c>
      <c r="J16" s="546">
        <f ca="1">+$O$6</f>
        <v>194.27147137204383</v>
      </c>
      <c r="K16" s="291">
        <v>0</v>
      </c>
      <c r="L16" s="291">
        <f>+K7</f>
        <v>200</v>
      </c>
      <c r="M16" s="291">
        <v>0</v>
      </c>
      <c r="N16" s="291"/>
      <c r="O16" s="291"/>
    </row>
    <row r="17" spans="1:15" x14ac:dyDescent="0.25">
      <c r="A17" s="514">
        <f>+C15+'Cota Coron'!D18</f>
        <v>8.35</v>
      </c>
      <c r="B17" s="513">
        <f>+B14</f>
        <v>1.35</v>
      </c>
      <c r="G17" s="521">
        <f>+E16</f>
        <v>15.7</v>
      </c>
      <c r="H17" s="522">
        <f>+F16+$O$3</f>
        <v>4.6604804526141019E-2</v>
      </c>
      <c r="J17" s="546">
        <f ca="1">+J16+1</f>
        <v>195.27147137204383</v>
      </c>
      <c r="K17" s="529">
        <f>+K14</f>
        <v>1.35</v>
      </c>
      <c r="L17" s="546">
        <f>+L16+1</f>
        <v>201</v>
      </c>
      <c r="M17" s="529">
        <f>+K14</f>
        <v>1.35</v>
      </c>
      <c r="N17" s="291"/>
      <c r="O17" s="291"/>
    </row>
    <row r="18" spans="1:15" x14ac:dyDescent="0.25">
      <c r="A18" s="514">
        <f>+A17+1</f>
        <v>9.35</v>
      </c>
      <c r="B18" s="513">
        <f>+B17</f>
        <v>1.35</v>
      </c>
    </row>
    <row r="19" spans="1:15" ht="15.75" customHeight="1" x14ac:dyDescent="0.25">
      <c r="A19" s="516">
        <f>+E15+1</f>
        <v>11.7</v>
      </c>
      <c r="B19" s="517">
        <f>+B15</f>
        <v>-1</v>
      </c>
    </row>
    <row r="20" spans="1:15" ht="15.75" customHeight="1" x14ac:dyDescent="0.25"/>
    <row r="21" spans="1:15" ht="15.75" customHeight="1" x14ac:dyDescent="0.25"/>
    <row r="22" spans="1:15" ht="14.25" customHeight="1" x14ac:dyDescent="0.25"/>
    <row r="24" spans="1:15" ht="15.75" x14ac:dyDescent="0.25">
      <c r="A24" s="395"/>
      <c r="H24" s="436"/>
      <c r="I24" s="436"/>
    </row>
    <row r="25" spans="1:15" ht="15.75" x14ac:dyDescent="0.25">
      <c r="B25" t="s">
        <v>428</v>
      </c>
      <c r="I25" s="436"/>
      <c r="N25" s="97"/>
      <c r="O25" s="304"/>
    </row>
    <row r="26" spans="1:15" ht="15.75" x14ac:dyDescent="0.25">
      <c r="A26" s="850" t="s">
        <v>427</v>
      </c>
      <c r="B26" s="850"/>
      <c r="C26" s="850"/>
      <c r="D26" s="850"/>
      <c r="E26" s="850"/>
      <c r="F26" s="850"/>
      <c r="G26" s="850"/>
      <c r="I26" s="436"/>
      <c r="N26" s="97"/>
      <c r="O26" s="304"/>
    </row>
    <row r="27" spans="1:15" ht="15.75" x14ac:dyDescent="0.25">
      <c r="A27" s="688" t="s">
        <v>661</v>
      </c>
      <c r="B27" s="38" t="s">
        <v>99</v>
      </c>
      <c r="C27" s="37">
        <v>1</v>
      </c>
      <c r="D27" s="37">
        <v>1.2</v>
      </c>
      <c r="E27" s="37">
        <v>1.5</v>
      </c>
      <c r="F27" s="37">
        <v>1.8</v>
      </c>
      <c r="G27" s="37">
        <v>2.1</v>
      </c>
      <c r="H27" s="423"/>
      <c r="I27" s="436"/>
      <c r="J27" s="2"/>
    </row>
    <row r="28" spans="1:15" ht="15.75" x14ac:dyDescent="0.25">
      <c r="A28" s="688"/>
      <c r="B28" s="688" t="s">
        <v>969</v>
      </c>
      <c r="C28" s="688" t="s">
        <v>967</v>
      </c>
      <c r="D28" s="688" t="s">
        <v>347</v>
      </c>
      <c r="E28" s="688" t="s">
        <v>968</v>
      </c>
      <c r="F28" s="688" t="s">
        <v>351</v>
      </c>
      <c r="G28" s="688" t="s">
        <v>100</v>
      </c>
      <c r="H28" s="397"/>
      <c r="I28" s="436"/>
    </row>
    <row r="29" spans="1:15" ht="15" customHeight="1" x14ac:dyDescent="0.25">
      <c r="A29" s="688"/>
      <c r="B29" s="688"/>
      <c r="C29" s="688"/>
      <c r="D29" s="688"/>
      <c r="E29" s="688"/>
      <c r="F29" s="688"/>
      <c r="G29" s="688"/>
      <c r="I29" s="436"/>
    </row>
    <row r="30" spans="1:15" ht="15.75" x14ac:dyDescent="0.25">
      <c r="A30" s="688"/>
      <c r="B30" s="688"/>
      <c r="C30" s="688"/>
      <c r="D30" s="688"/>
      <c r="E30" s="688"/>
      <c r="F30" s="688"/>
      <c r="G30" s="688"/>
      <c r="I30" s="436"/>
    </row>
    <row r="31" spans="1:15" ht="15.75" x14ac:dyDescent="0.25">
      <c r="A31" s="287">
        <v>0</v>
      </c>
      <c r="B31" s="287">
        <v>0</v>
      </c>
      <c r="C31" s="287">
        <f>+C27</f>
        <v>1</v>
      </c>
      <c r="D31" s="287">
        <f>+D27</f>
        <v>1.2</v>
      </c>
      <c r="E31" s="287">
        <f>+E27</f>
        <v>1.5</v>
      </c>
      <c r="F31" s="287">
        <f>+F27</f>
        <v>1.8</v>
      </c>
      <c r="G31" s="287">
        <f>+G27</f>
        <v>2.1</v>
      </c>
      <c r="I31" s="436"/>
    </row>
    <row r="32" spans="1:15" ht="15.75" x14ac:dyDescent="0.25">
      <c r="A32" s="538">
        <f ca="1">+MAX(P40:P45)</f>
        <v>927.48616417870096</v>
      </c>
      <c r="B32" s="287">
        <v>0</v>
      </c>
      <c r="C32" s="287">
        <f>+C31</f>
        <v>1</v>
      </c>
      <c r="D32" s="287">
        <f>+D31</f>
        <v>1.2</v>
      </c>
      <c r="E32" s="287">
        <f>+E31</f>
        <v>1.5</v>
      </c>
      <c r="F32" s="287">
        <f>+F31</f>
        <v>1.8</v>
      </c>
      <c r="G32" s="287">
        <f>+G31</f>
        <v>2.1</v>
      </c>
      <c r="I32" s="436"/>
    </row>
    <row r="33" spans="1:16" ht="15.75" x14ac:dyDescent="0.25">
      <c r="I33" s="436"/>
    </row>
    <row r="34" spans="1:16" ht="15.75" x14ac:dyDescent="0.25">
      <c r="I34" s="436"/>
    </row>
    <row r="35" spans="1:16" ht="15.75" customHeight="1" x14ac:dyDescent="0.25">
      <c r="B35" s="518" t="s">
        <v>336</v>
      </c>
      <c r="C35" s="519" t="s">
        <v>332</v>
      </c>
      <c r="D35" s="511" t="s">
        <v>184</v>
      </c>
      <c r="I35" s="436"/>
    </row>
    <row r="36" spans="1:16" ht="15" customHeight="1" x14ac:dyDescent="0.25">
      <c r="B36" s="512">
        <v>0</v>
      </c>
      <c r="C36" s="291"/>
      <c r="D36" s="513">
        <f>+D37</f>
        <v>1.4242941182203603</v>
      </c>
      <c r="I36" s="436"/>
    </row>
    <row r="37" spans="1:16" ht="15.75" x14ac:dyDescent="0.25">
      <c r="B37" s="512">
        <f>+B38</f>
        <v>200</v>
      </c>
      <c r="C37" s="291">
        <v>0</v>
      </c>
      <c r="D37" s="513">
        <f>+O5</f>
        <v>1.4242941182203603</v>
      </c>
      <c r="I37" s="436"/>
    </row>
    <row r="38" spans="1:16" ht="15.75" x14ac:dyDescent="0.25">
      <c r="B38" s="512">
        <f>+K7</f>
        <v>200</v>
      </c>
      <c r="C38" s="529">
        <f>+G6</f>
        <v>0.45</v>
      </c>
      <c r="D38" s="513">
        <v>0</v>
      </c>
      <c r="I38" s="436"/>
      <c r="J38" s="108" t="s">
        <v>332</v>
      </c>
      <c r="K38" s="109" t="s">
        <v>333</v>
      </c>
      <c r="L38" s="109" t="s">
        <v>334</v>
      </c>
      <c r="M38" s="109" t="s">
        <v>335</v>
      </c>
      <c r="N38" s="109" t="s">
        <v>313</v>
      </c>
      <c r="O38" s="109" t="s">
        <v>314</v>
      </c>
      <c r="P38" s="110" t="s">
        <v>336</v>
      </c>
    </row>
    <row r="39" spans="1:16" ht="15.75" x14ac:dyDescent="0.25">
      <c r="B39" s="537">
        <f ca="1">+A32</f>
        <v>927.48616417870096</v>
      </c>
      <c r="C39" s="530">
        <f>+C38</f>
        <v>0.45</v>
      </c>
      <c r="D39" s="522"/>
      <c r="I39" s="436"/>
      <c r="J39" s="107" t="s">
        <v>337</v>
      </c>
      <c r="K39" s="107" t="s">
        <v>207</v>
      </c>
      <c r="L39" s="107" t="s">
        <v>338</v>
      </c>
      <c r="M39" s="107"/>
      <c r="N39" s="107" t="s">
        <v>340</v>
      </c>
      <c r="O39" s="107" t="s">
        <v>339</v>
      </c>
      <c r="P39" s="107" t="s">
        <v>337</v>
      </c>
    </row>
    <row r="40" spans="1:16" ht="15" customHeight="1" x14ac:dyDescent="0.25">
      <c r="I40" s="436"/>
      <c r="J40" s="437">
        <f ca="1">+ROUND(0.3*J$45/0.8,2)</f>
        <v>0.23</v>
      </c>
      <c r="K40" s="16">
        <f t="shared" ref="K40:K45" ca="1" si="0">+c_*(Hv+J40-Hast)^d_-VolHv</f>
        <v>0.69915555577433608</v>
      </c>
      <c r="L40" s="18">
        <f ca="1">+(1-K40/'Av Proy'!$B$53)*'Av Proy'!$B$52</f>
        <v>163.65234703516123</v>
      </c>
      <c r="M40" s="16">
        <f t="shared" ref="M40:M45" ca="1" si="1">+$D$59^0.5*(2/3*J40)^(1/6)/9.81^0.5</f>
        <v>0.66737543168763913</v>
      </c>
      <c r="N40" s="16">
        <f t="shared" ref="N40:N45" ca="1" si="2">+M40*(3/(2+M40^2))^(5/3)*(2/3*J40)^(3/2)*9.81^0.5</f>
        <v>0.17644721113449402</v>
      </c>
      <c r="O40" s="16">
        <f t="shared" ref="O40:O45" ca="1" si="3">+M40*(3/(2+M40^2))^(2/3)*(2/3*9.81*J40)^0.5</f>
        <v>0.93800486909066993</v>
      </c>
      <c r="P40" s="17">
        <f t="shared" ref="P40:P45" ca="1" si="4">+L40/N40</f>
        <v>927.48616417870096</v>
      </c>
    </row>
    <row r="41" spans="1:16" ht="15.75" x14ac:dyDescent="0.25">
      <c r="I41" s="436"/>
      <c r="J41" s="437">
        <f ca="1">+ROUND(0.4*J$45/0.8,2)</f>
        <v>0.3</v>
      </c>
      <c r="K41" s="16">
        <f ca="1">+c_*(Hv+J41-Hast)^d_-VolHv</f>
        <v>0.91982807495855923</v>
      </c>
      <c r="L41" s="18">
        <f ca="1">+(1-K41/'Av Proy'!$B$53)*'Av Proy'!$B$52</f>
        <v>142.94463759153587</v>
      </c>
      <c r="M41" s="16">
        <f t="shared" ca="1" si="1"/>
        <v>0.69759354166657661</v>
      </c>
      <c r="N41" s="16">
        <f t="shared" ca="1" si="2"/>
        <v>0.26719610733953525</v>
      </c>
      <c r="O41" s="16">
        <f t="shared" ca="1" si="3"/>
        <v>1.1073660996673558</v>
      </c>
      <c r="P41" s="17">
        <f t="shared" ca="1" si="4"/>
        <v>534.98023985016823</v>
      </c>
    </row>
    <row r="42" spans="1:16" ht="15.75" x14ac:dyDescent="0.25">
      <c r="I42" s="436"/>
      <c r="J42" s="437">
        <f ca="1">+ROUND(0.5*J$45/0.8,2)</f>
        <v>0.38</v>
      </c>
      <c r="K42" s="16">
        <f t="shared" ca="1" si="0"/>
        <v>1.1765937495063135</v>
      </c>
      <c r="L42" s="18">
        <f ca="1">+(1-K42/'Av Proy'!$B$53)*'Av Proy'!$B$52</f>
        <v>118.84997912075191</v>
      </c>
      <c r="M42" s="16">
        <f t="shared" ca="1" si="1"/>
        <v>0.72562600995826321</v>
      </c>
      <c r="N42" s="16">
        <f ca="1">+M42*(3/(2+M42^2))^(5/3)*(2/3*J42)^(3/2)*9.81^0.5</f>
        <v>0.38584506844916916</v>
      </c>
      <c r="O42" s="16">
        <f t="shared" ca="1" si="3"/>
        <v>1.2826978149344737</v>
      </c>
      <c r="P42" s="17">
        <f t="shared" ca="1" si="4"/>
        <v>308.02513454026194</v>
      </c>
    </row>
    <row r="43" spans="1:16" ht="15.75" x14ac:dyDescent="0.25">
      <c r="I43" s="436"/>
      <c r="J43" s="437">
        <f ca="1">+ROUND(0.6*J$45/0.8,2)</f>
        <v>0.45</v>
      </c>
      <c r="K43" s="16">
        <f t="shared" ca="1" si="0"/>
        <v>1.4052925808986192</v>
      </c>
      <c r="L43" s="18">
        <f ca="1">+(1-K43/'Av Proy'!$B$53)*'Av Proy'!$B$52</f>
        <v>97.389087805078148</v>
      </c>
      <c r="M43" s="16">
        <f t="shared" ca="1" si="1"/>
        <v>0.74636453423198279</v>
      </c>
      <c r="N43" s="16">
        <f t="shared" ca="1" si="2"/>
        <v>0.50130411386328078</v>
      </c>
      <c r="O43" s="16">
        <f t="shared" ca="1" si="3"/>
        <v>1.4242941182203603</v>
      </c>
      <c r="P43" s="17">
        <f t="shared" ca="1" si="4"/>
        <v>194.27147137204383</v>
      </c>
    </row>
    <row r="44" spans="1:16" ht="15.75" customHeight="1" x14ac:dyDescent="0.25">
      <c r="I44" s="436"/>
      <c r="J44" s="437">
        <f ca="1">+ROUND(0.7*J$45/0.8,2)</f>
        <v>0.53</v>
      </c>
      <c r="K44" s="16">
        <f t="shared" ca="1" si="0"/>
        <v>1.6713045643308799</v>
      </c>
      <c r="L44" s="18">
        <f ca="1">+(1-K44/'Av Proy'!$B$53)*'Av Proy'!$B$52</f>
        <v>72.426764078492553</v>
      </c>
      <c r="M44" s="16">
        <f t="shared" ca="1" si="1"/>
        <v>0.76699915775845284</v>
      </c>
      <c r="N44" s="16">
        <f t="shared" ca="1" si="2"/>
        <v>0.64528883078326615</v>
      </c>
      <c r="O44" s="16">
        <f t="shared" ca="1" si="3"/>
        <v>1.5756539139881358</v>
      </c>
      <c r="P44" s="17">
        <f t="shared" ca="1" si="4"/>
        <v>112.23929599181085</v>
      </c>
    </row>
    <row r="45" spans="1:16" ht="15.75" x14ac:dyDescent="0.25">
      <c r="A45" s="395"/>
      <c r="B45" s="303"/>
      <c r="C45" s="303"/>
      <c r="D45" s="303"/>
      <c r="E45" s="303"/>
      <c r="F45" s="303"/>
      <c r="G45" s="303"/>
      <c r="I45" s="436"/>
      <c r="J45" s="437">
        <f ca="1">ROUND(0.8*(Hast+e_*(VolHv+'Av Proy'!$B$53)^f_-Hv),2)</f>
        <v>0.6</v>
      </c>
      <c r="K45" s="16">
        <f t="shared" ca="1" si="0"/>
        <v>1.9081580092534605</v>
      </c>
      <c r="L45" s="18">
        <f ca="1">+(1-K45/'Av Proy'!$B$53)*'Av Proy'!$B$52</f>
        <v>50.200651210836561</v>
      </c>
      <c r="M45" s="16">
        <f t="shared" ca="1" si="1"/>
        <v>0.78302227566645555</v>
      </c>
      <c r="N45" s="16">
        <f t="shared" ca="1" si="2"/>
        <v>0.78096942816102899</v>
      </c>
      <c r="O45" s="16">
        <f t="shared" ca="1" si="3"/>
        <v>1.7006415546247449</v>
      </c>
      <c r="P45" s="17">
        <f t="shared" ca="1" si="4"/>
        <v>64.279918522605257</v>
      </c>
    </row>
    <row r="46" spans="1:16" ht="15" customHeight="1" x14ac:dyDescent="0.25">
      <c r="A46" s="395"/>
      <c r="B46" s="303"/>
      <c r="C46" s="303"/>
      <c r="D46" s="303"/>
      <c r="E46" s="303"/>
      <c r="F46" s="303"/>
      <c r="G46" s="303"/>
      <c r="H46" s="436"/>
      <c r="I46" s="436"/>
    </row>
    <row r="47" spans="1:16" ht="15" customHeight="1" x14ac:dyDescent="0.25">
      <c r="A47" s="395"/>
      <c r="B47" s="303"/>
      <c r="C47" s="303"/>
      <c r="D47" s="303"/>
      <c r="E47" s="303"/>
      <c r="F47" s="303"/>
      <c r="G47" s="303"/>
      <c r="H47" s="436"/>
      <c r="I47" s="436"/>
    </row>
    <row r="48" spans="1:16" ht="15.75" x14ac:dyDescent="0.25">
      <c r="H48" s="436"/>
      <c r="I48" s="436"/>
    </row>
    <row r="49" spans="1:16" x14ac:dyDescent="0.25">
      <c r="N49" s="36" t="s">
        <v>966</v>
      </c>
      <c r="O49" s="304">
        <f>+'Av Proy'!B52</f>
        <v>229.26047150119342</v>
      </c>
      <c r="P49" t="s">
        <v>527</v>
      </c>
    </row>
    <row r="50" spans="1:16" x14ac:dyDescent="0.25">
      <c r="N50" s="36" t="s">
        <v>971</v>
      </c>
      <c r="O50" s="426">
        <f>+O7</f>
        <v>100.26082277265616</v>
      </c>
      <c r="P50" t="s">
        <v>527</v>
      </c>
    </row>
    <row r="51" spans="1:16" x14ac:dyDescent="0.25">
      <c r="I51" s="423"/>
      <c r="N51" s="97" t="s">
        <v>970</v>
      </c>
      <c r="O51" s="304">
        <f>+O50/O49*100</f>
        <v>43.732276269062041</v>
      </c>
      <c r="P51" t="s">
        <v>328</v>
      </c>
    </row>
    <row r="52" spans="1:16" x14ac:dyDescent="0.25">
      <c r="I52" s="397"/>
    </row>
    <row r="53" spans="1:16" ht="18.75" x14ac:dyDescent="0.3">
      <c r="J53" s="856" t="s">
        <v>631</v>
      </c>
      <c r="K53" s="857"/>
      <c r="L53" s="857"/>
      <c r="M53" s="857"/>
      <c r="N53" s="857"/>
      <c r="O53" s="857"/>
    </row>
    <row r="54" spans="1:16" ht="15.75" thickBot="1" x14ac:dyDescent="0.3"/>
    <row r="55" spans="1:16" x14ac:dyDescent="0.25">
      <c r="J55" s="207" t="s">
        <v>341</v>
      </c>
      <c r="K55" s="299"/>
      <c r="L55" s="299"/>
      <c r="M55" s="866" t="s">
        <v>342</v>
      </c>
      <c r="N55" s="867"/>
    </row>
    <row r="56" spans="1:16" x14ac:dyDescent="0.25">
      <c r="B56" t="s">
        <v>662</v>
      </c>
      <c r="J56" s="208" t="s">
        <v>343</v>
      </c>
      <c r="K56" s="300"/>
      <c r="L56" s="300"/>
      <c r="M56" s="846" t="s">
        <v>344</v>
      </c>
      <c r="N56" s="847"/>
    </row>
    <row r="57" spans="1:16" x14ac:dyDescent="0.25">
      <c r="J57" s="208" t="s">
        <v>345</v>
      </c>
      <c r="K57" s="300"/>
      <c r="L57" s="300"/>
      <c r="M57" s="848" t="s">
        <v>346</v>
      </c>
      <c r="N57" s="847"/>
    </row>
    <row r="58" spans="1:16" x14ac:dyDescent="0.25">
      <c r="C58" t="s">
        <v>545</v>
      </c>
      <c r="J58" s="208" t="s">
        <v>347</v>
      </c>
      <c r="K58" s="300"/>
      <c r="L58" s="300"/>
      <c r="M58" s="846" t="s">
        <v>348</v>
      </c>
      <c r="N58" s="847"/>
    </row>
    <row r="59" spans="1:16" ht="15.75" x14ac:dyDescent="0.25">
      <c r="C59" s="518" t="s">
        <v>660</v>
      </c>
      <c r="D59" s="531">
        <f>+'Ingreso Datos'!F42/'Ingreso Datos'!F43^2</f>
        <v>8.1632653061224474</v>
      </c>
      <c r="E59" s="532"/>
      <c r="J59" s="208" t="s">
        <v>349</v>
      </c>
      <c r="K59" s="300"/>
      <c r="L59" s="300"/>
      <c r="M59" s="848" t="s">
        <v>350</v>
      </c>
      <c r="N59" s="847"/>
    </row>
    <row r="60" spans="1:16" ht="15.75" thickBot="1" x14ac:dyDescent="0.3">
      <c r="C60" s="533" t="s">
        <v>439</v>
      </c>
      <c r="D60" s="534">
        <f>+G6</f>
        <v>0.45</v>
      </c>
      <c r="E60" s="515" t="s">
        <v>205</v>
      </c>
      <c r="J60" s="209" t="s">
        <v>351</v>
      </c>
      <c r="K60" s="301"/>
      <c r="L60" s="301"/>
      <c r="M60" s="868" t="s">
        <v>352</v>
      </c>
      <c r="N60" s="869"/>
    </row>
    <row r="61" spans="1:16" x14ac:dyDescent="0.25">
      <c r="C61" s="535" t="s">
        <v>651</v>
      </c>
      <c r="D61" s="536">
        <f>+O4*(3/(2+O4^2))^(5/3)*(2/3*G6)^(3/2)*9.81^0.5</f>
        <v>0.50130411386328078</v>
      </c>
      <c r="E61" s="517" t="s">
        <v>340</v>
      </c>
      <c r="J61" s="210" t="s">
        <v>353</v>
      </c>
      <c r="K61" s="210"/>
      <c r="L61" s="210"/>
      <c r="N61" s="33"/>
    </row>
    <row r="62" spans="1:16" x14ac:dyDescent="0.25">
      <c r="A62" s="2"/>
      <c r="J62" s="438" t="s">
        <v>354</v>
      </c>
      <c r="K62" s="35"/>
      <c r="L62" s="35"/>
      <c r="M62" s="34"/>
      <c r="N62" s="34"/>
    </row>
    <row r="63" spans="1:16" ht="15.75" thickBot="1" x14ac:dyDescent="0.3"/>
    <row r="64" spans="1:16" ht="19.5" thickBot="1" x14ac:dyDescent="0.35">
      <c r="J64" s="860" t="s">
        <v>615</v>
      </c>
      <c r="K64" s="861"/>
      <c r="L64" s="862"/>
      <c r="M64" s="858" t="s">
        <v>616</v>
      </c>
      <c r="N64" s="858"/>
      <c r="O64" s="859"/>
    </row>
    <row r="65" spans="1:15" ht="18.75" x14ac:dyDescent="0.3">
      <c r="A65" s="2"/>
      <c r="J65" s="863"/>
      <c r="K65" s="864"/>
      <c r="L65" s="865"/>
      <c r="M65" s="212" t="s">
        <v>617</v>
      </c>
      <c r="N65" s="212" t="s">
        <v>618</v>
      </c>
      <c r="O65" s="213" t="s">
        <v>619</v>
      </c>
    </row>
    <row r="66" spans="1:15" x14ac:dyDescent="0.25">
      <c r="A66" s="2"/>
      <c r="J66" s="851" t="s">
        <v>620</v>
      </c>
      <c r="K66" s="852"/>
      <c r="L66" s="853"/>
      <c r="M66" s="203">
        <v>0.02</v>
      </c>
      <c r="N66" s="203">
        <v>2.2499999999999999E-2</v>
      </c>
      <c r="O66" s="204" t="s">
        <v>621</v>
      </c>
    </row>
    <row r="67" spans="1:15" x14ac:dyDescent="0.25">
      <c r="J67" s="851" t="s">
        <v>622</v>
      </c>
      <c r="K67" s="852"/>
      <c r="L67" s="853"/>
      <c r="M67" s="203">
        <v>0.03</v>
      </c>
      <c r="N67" s="203" t="s">
        <v>623</v>
      </c>
      <c r="O67" s="204">
        <v>3.5000000000000003E-2</v>
      </c>
    </row>
    <row r="68" spans="1:15" x14ac:dyDescent="0.25">
      <c r="J68" s="851" t="s">
        <v>624</v>
      </c>
      <c r="K68" s="852"/>
      <c r="L68" s="853"/>
      <c r="M68" s="203">
        <v>0.04</v>
      </c>
      <c r="N68" s="203">
        <v>4.4999999999999998E-2</v>
      </c>
      <c r="O68" s="204"/>
    </row>
    <row r="69" spans="1:15" x14ac:dyDescent="0.25">
      <c r="J69" s="851" t="s">
        <v>625</v>
      </c>
      <c r="K69" s="852"/>
      <c r="L69" s="853"/>
      <c r="M69" s="203" t="s">
        <v>621</v>
      </c>
      <c r="N69" s="203">
        <v>2.75E-2</v>
      </c>
      <c r="O69" s="204">
        <v>0.03</v>
      </c>
    </row>
    <row r="70" spans="1:15" x14ac:dyDescent="0.25">
      <c r="J70" s="851" t="s">
        <v>626</v>
      </c>
      <c r="K70" s="852"/>
      <c r="L70" s="853"/>
      <c r="M70" s="203" t="s">
        <v>627</v>
      </c>
      <c r="N70" s="203">
        <v>0.03</v>
      </c>
      <c r="O70" s="204">
        <v>3.3000000000000002E-2</v>
      </c>
    </row>
    <row r="71" spans="1:15" x14ac:dyDescent="0.25">
      <c r="J71" s="851" t="s">
        <v>632</v>
      </c>
      <c r="K71" s="852"/>
      <c r="L71" s="853"/>
      <c r="M71" s="203">
        <v>0.03</v>
      </c>
      <c r="N71" s="203" t="s">
        <v>628</v>
      </c>
      <c r="O71" s="204">
        <v>0.04</v>
      </c>
    </row>
    <row r="72" spans="1:15" ht="15.75" thickBot="1" x14ac:dyDescent="0.3">
      <c r="J72" s="851" t="s">
        <v>629</v>
      </c>
      <c r="K72" s="852"/>
      <c r="L72" s="853"/>
      <c r="M72" s="205">
        <v>0.03</v>
      </c>
      <c r="N72" s="205" t="s">
        <v>623</v>
      </c>
      <c r="O72" s="206">
        <v>3.5000000000000003E-2</v>
      </c>
    </row>
    <row r="73" spans="1:15" x14ac:dyDescent="0.25">
      <c r="J73" s="106" t="s">
        <v>630</v>
      </c>
      <c r="K73" s="106"/>
      <c r="L73" s="106"/>
    </row>
    <row r="74" spans="1:15" x14ac:dyDescent="0.25">
      <c r="J74" s="211" t="s">
        <v>614</v>
      </c>
      <c r="K74" s="211"/>
      <c r="L74" s="211"/>
    </row>
  </sheetData>
  <sheetProtection sheet="1"/>
  <mergeCells count="27">
    <mergeCell ref="J72:L72"/>
    <mergeCell ref="J71:L71"/>
    <mergeCell ref="A1:G1"/>
    <mergeCell ref="A2:G2"/>
    <mergeCell ref="J53:O53"/>
    <mergeCell ref="M64:O64"/>
    <mergeCell ref="J64:L65"/>
    <mergeCell ref="M55:N55"/>
    <mergeCell ref="M60:N60"/>
    <mergeCell ref="J66:L66"/>
    <mergeCell ref="J1:P1"/>
    <mergeCell ref="A26:G26"/>
    <mergeCell ref="A27:A30"/>
    <mergeCell ref="J70:L70"/>
    <mergeCell ref="J67:L67"/>
    <mergeCell ref="J68:L68"/>
    <mergeCell ref="J69:L69"/>
    <mergeCell ref="M59:N59"/>
    <mergeCell ref="F28:F30"/>
    <mergeCell ref="G28:G30"/>
    <mergeCell ref="M56:N56"/>
    <mergeCell ref="M57:N57"/>
    <mergeCell ref="M58:N58"/>
    <mergeCell ref="B28:B30"/>
    <mergeCell ref="C28:C30"/>
    <mergeCell ref="D28:D30"/>
    <mergeCell ref="E28:E30"/>
  </mergeCells>
  <phoneticPr fontId="15" type="noConversion"/>
  <conditionalFormatting sqref="O5">
    <cfRule type="cellIs" dxfId="5" priority="2" stopIfTrue="1" operator="greaterThan">
      <formula>1.5</formula>
    </cfRule>
  </conditionalFormatting>
  <conditionalFormatting sqref="M40:M45">
    <cfRule type="cellIs" dxfId="4" priority="10" stopIfTrue="1" operator="greaterThanOrEqual">
      <formula>1</formula>
    </cfRule>
  </conditionalFormatting>
  <conditionalFormatting sqref="C6">
    <cfRule type="expression" dxfId="3" priority="35" stopIfTrue="1">
      <formula>$G$6&gt;=$J$45/0.8</formula>
    </cfRule>
  </conditionalFormatting>
  <conditionalFormatting sqref="D12">
    <cfRule type="expression" dxfId="2" priority="78" stopIfTrue="1">
      <formula>$O$4&gt;1</formula>
    </cfRule>
  </conditionalFormatting>
  <conditionalFormatting sqref="N11 P14">
    <cfRule type="expression" dxfId="1" priority="79" stopIfTrue="1">
      <formula>$O$5&gt;=1.5</formula>
    </cfRule>
  </conditionalFormatting>
  <conditionalFormatting sqref="J8">
    <cfRule type="expression" dxfId="0" priority="90" stopIfTrue="1">
      <formula>$K$7&lt;$M$10</formula>
    </cfRule>
  </conditionalFormatting>
  <dataValidations count="2">
    <dataValidation type="decimal" allowBlank="1" showInputMessage="1" showErrorMessage="1" error="Debe introducir un valor menor que &quot;Emax&quot;. La existencia de un vertedero no permitirá que la sobreelevación en el embalse alcance ni siquiera el &quot;Emax&quot;" prompt="Mayor &quot;E&quot; implica mayor revancha, por lo tanto una presa más alta._x000a_Menor &quot;E&quot; implica mayor ancho necesario de vertedero." sqref="G6">
      <formula1>0</formula1>
      <formula2>H5</formula2>
    </dataValidation>
    <dataValidation type="decimal" operator="greaterThanOrEqual" allowBlank="1" showInputMessage="1" showErrorMessage="1" error="Se debe diseñar un vertedero con ancho mínimo = 5 m para evitar obstrucciones accidentales" prompt="B &gt;=5m" sqref="K7">
      <formula1>5</formula1>
    </dataValidation>
  </dataValidations>
  <pageMargins left="0.74803149606299213" right="0.47244094488188981" top="0.78740157480314965" bottom="0.62992125984251968" header="0" footer="0"/>
  <pageSetup paperSize="9" pageOrder="overThenDown"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B13"/>
  <sheetViews>
    <sheetView workbookViewId="0"/>
  </sheetViews>
  <sheetFormatPr baseColWidth="10" defaultRowHeight="15" x14ac:dyDescent="0.25"/>
  <sheetData>
    <row r="13" spans="2:2" ht="26.25" x14ac:dyDescent="0.4">
      <c r="B13" s="542" t="s">
        <v>511</v>
      </c>
    </row>
  </sheetData>
  <sheetProtection sheet="1" objects="1" scenarios="1"/>
  <phoneticPr fontId="15" type="noConversion"/>
  <pageMargins left="0.75" right="0.75" top="1" bottom="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21</vt:i4>
      </vt:variant>
      <vt:variant>
        <vt:lpstr>Gráficos</vt:lpstr>
      </vt:variant>
      <vt:variant>
        <vt:i4>1</vt:i4>
      </vt:variant>
      <vt:variant>
        <vt:lpstr>Rangos con nombre</vt:lpstr>
      </vt:variant>
      <vt:variant>
        <vt:i4>33</vt:i4>
      </vt:variant>
    </vt:vector>
  </HeadingPairs>
  <TitlesOfParts>
    <vt:vector size="55" baseType="lpstr">
      <vt:lpstr>Portada</vt:lpstr>
      <vt:lpstr>Notas de la versión</vt:lpstr>
      <vt:lpstr>Intro</vt:lpstr>
      <vt:lpstr>Pasos</vt:lpstr>
      <vt:lpstr>Ingreso Datos</vt:lpstr>
      <vt:lpstr>Resultados</vt:lpstr>
      <vt:lpstr>I-Satisfac-Demanda</vt:lpstr>
      <vt:lpstr>Diseño Aliv-Canal</vt:lpstr>
      <vt:lpstr>ANEXOS</vt:lpstr>
      <vt:lpstr>Esc 1</vt:lpstr>
      <vt:lpstr>Esc 2</vt:lpstr>
      <vt:lpstr>Datos reordenados</vt:lpstr>
      <vt:lpstr>Datos Gr q E sn2</vt:lpstr>
      <vt:lpstr>Av Proy</vt:lpstr>
      <vt:lpstr>Geom Emb</vt:lpstr>
      <vt:lpstr>Bal Híd</vt:lpstr>
      <vt:lpstr>Cota Coron</vt:lpstr>
      <vt:lpstr>CRSU-AD-GH</vt:lpstr>
      <vt:lpstr>Evap Tanque</vt:lpstr>
      <vt:lpstr>UbiPluvio</vt:lpstr>
      <vt:lpstr>Precip 1981-2012</vt:lpstr>
      <vt:lpstr>Gr Vol Emb</vt:lpstr>
      <vt:lpstr>a_</vt:lpstr>
      <vt:lpstr>Ac</vt:lpstr>
      <vt:lpstr>AD</vt:lpstr>
      <vt:lpstr>Ar</vt:lpstr>
      <vt:lpstr>'Bal Híd'!Área_de_impresión</vt:lpstr>
      <vt:lpstr>'Esc 2'!Área_de_impresión</vt:lpstr>
      <vt:lpstr>b_</vt:lpstr>
      <vt:lpstr>c_</vt:lpstr>
      <vt:lpstr>CAD</vt:lpstr>
      <vt:lpstr>CP.o</vt:lpstr>
      <vt:lpstr>CRSU</vt:lpstr>
      <vt:lpstr>CRSU_AD_GH</vt:lpstr>
      <vt:lpstr>d_</vt:lpstr>
      <vt:lpstr>e_</vt:lpstr>
      <vt:lpstr>ETPm</vt:lpstr>
      <vt:lpstr>Evaporacion</vt:lpstr>
      <vt:lpstr>f_</vt:lpstr>
      <vt:lpstr>g_</vt:lpstr>
      <vt:lpstr>h_</vt:lpstr>
      <vt:lpstr>Hast</vt:lpstr>
      <vt:lpstr>Hmáx</vt:lpstr>
      <vt:lpstr>Ht</vt:lpstr>
      <vt:lpstr>Hv</vt:lpstr>
      <vt:lpstr>Imax</vt:lpstr>
      <vt:lpstr>Precipitaciones</vt:lpstr>
      <vt:lpstr>'Bal Híd'!Títulos_a_imprimir</vt:lpstr>
      <vt:lpstr>'CRSU-AD-GH'!Títulos_a_imprimir</vt:lpstr>
      <vt:lpstr>'Esc 2'!Títulos_a_imprimir</vt:lpstr>
      <vt:lpstr>Pasos!Títulos_a_imprimir</vt:lpstr>
      <vt:lpstr>'Precip 1981-2012'!Títulos_a_imprimir</vt:lpstr>
      <vt:lpstr>VolHt</vt:lpstr>
      <vt:lpstr>VolHv</vt:lpstr>
      <vt:lpstr>α</vt:lpstr>
    </vt:vector>
  </TitlesOfParts>
  <Company>DINAGUA / MVOTMA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Planilla Complementaria</dc:title>
  <dc:subject>Manual de Diseño y Construcción de Pequeñas Presas</dc:subject>
  <dc:creator>Ing. Javier Algorta</dc:creator>
  <cp:keywords>Diseño de Presas, Volumen de almacenamiento, Vertedero canal</cp:keywords>
  <dc:description>Esta planilla es complementaria del Manual de Diseño y Construcción de Pequeñas Presas Vol1. Presenta métodos hidráulico-hidrológicos calibrados para pequeñas cuencas del Uruguay, y con las limitaciones establecidas en el Manual</dc:description>
  <cp:lastModifiedBy>Natalia Jara</cp:lastModifiedBy>
  <cp:lastPrinted>2023-11-20T15:07:45Z</cp:lastPrinted>
  <dcterms:created xsi:type="dcterms:W3CDTF">2010-12-03T14:18:31Z</dcterms:created>
  <dcterms:modified xsi:type="dcterms:W3CDTF">2024-08-08T13:35:37Z</dcterms:modified>
</cp:coreProperties>
</file>