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carpetas\MEF\DGS\Comap\Coordinación\Leonardo Mangado\"/>
    </mc:Choice>
  </mc:AlternateContent>
  <xr:revisionPtr revIDLastSave="0" documentId="8_{7586F5E6-650D-4034-BFFB-B33B2DF1480B}" xr6:coauthVersionLast="36" xr6:coauthVersionMax="36" xr10:uidLastSave="{00000000-0000-0000-0000-000000000000}"/>
  <workbookProtection workbookAlgorithmName="SHA-512" workbookHashValue="ESSWsS1HkL3re+OVLtWumhRNsnOLNwKTbgX+v1QtFfXjoiwp1rc9Hr7TAqCIaWTP4C7QTR/gbT8W8ePETuPX0g==" workbookSaltValue="eLiUTJd4HGf8ckOk9G6BOQ==" workbookSpinCount="100000" lockStructure="1"/>
  <bookViews>
    <workbookView xWindow="0" yWindow="0" windowWidth="28800" windowHeight="10125" xr2:uid="{6A89CF76-32EF-4387-83D3-07BAEA840FBE}"/>
  </bookViews>
  <sheets>
    <sheet name="SIMULADOR" sheetId="1" r:id="rId1"/>
    <sheet name="PARAMETROS" sheetId="2" state="hidden" r:id="rId2"/>
    <sheet name="Industria nacional" sheetId="3" r:id="rId3"/>
    <sheet name="Riego" sheetId="4" r:id="rId4"/>
    <sheet name="Producción ganadera" sheetId="5" r:id="rId5"/>
    <sheet name="Campo natural" sheetId="6" r:id="rId6"/>
    <sheet name="Pesca y acuicultura" sheetId="7" r:id="rId7"/>
    <sheet name="Bioinsumos" sheetId="8" r:id="rId8"/>
    <sheet name="Turismo" sheetId="9" r:id="rId9"/>
    <sheet name="Eficiencia y desfosilización" sheetId="10" r:id="rId10"/>
    <sheet name="Hidrógeno verde" sheetId="11" r:id="rId11"/>
    <sheet name="Industrialización minerales" sheetId="12" r:id="rId12"/>
    <sheet name="Residuos y reciclaje" sheetId="13" r:id="rId13"/>
    <sheet name="Farma y ciencias vida" sheetId="14" r:id="rId14"/>
    <sheet name="Industria aeroespacial" sheetId="15" r:id="rId15"/>
  </sheets>
  <definedNames>
    <definedName name="ListaMinerales">"$$=SI(SUMAPRODUCTO(--(C107:C111=""Industrialización a partir de minerales naturales""))&gt;0; ""Industrialización a partir de minerales naturales""; $G$108)$$"</definedName>
    <definedName name="MGAP">PARAMETROS!$E$43:$E$46</definedName>
    <definedName name="MIEM">PARAMETROS!$C$43:$C$49</definedName>
    <definedName name="MINTUR">PARAMETROS!$D$43:$D$43</definedName>
    <definedName name="TRANSFORMACION">PARAMETROS!$J$12:$J$14</definedName>
    <definedName name="ZONATURISMO">PARAMETROS!$J$17:$J$18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8" i="1" l="1"/>
  <c r="I16" i="1" l="1"/>
  <c r="B128" i="1" l="1"/>
  <c r="C15" i="5"/>
  <c r="C7" i="5"/>
  <c r="D99" i="1" l="1"/>
  <c r="D98" i="1"/>
  <c r="D97" i="1"/>
  <c r="D96" i="1"/>
  <c r="D95" i="1"/>
  <c r="D94" i="1"/>
  <c r="D93" i="1"/>
  <c r="D92" i="1"/>
  <c r="D91" i="1"/>
  <c r="D90" i="1"/>
  <c r="D89" i="1"/>
  <c r="D88" i="1"/>
  <c r="E63" i="1"/>
  <c r="E64" i="1"/>
  <c r="E65" i="1"/>
  <c r="E66" i="1"/>
  <c r="E67" i="1"/>
  <c r="E68" i="1"/>
  <c r="E69" i="1"/>
  <c r="E70" i="1"/>
  <c r="C26" i="1" l="1"/>
  <c r="D139" i="1" s="1"/>
  <c r="C23" i="5"/>
  <c r="E62" i="1"/>
  <c r="G62" i="1" s="1"/>
  <c r="E61" i="1"/>
  <c r="F61" i="1" s="1"/>
  <c r="F69" i="1"/>
  <c r="F70" i="1"/>
  <c r="E60" i="1"/>
  <c r="F60" i="1" s="1"/>
  <c r="F76" i="1"/>
  <c r="F68" i="1"/>
  <c r="D72" i="2"/>
  <c r="D76" i="2" s="1"/>
  <c r="D71" i="2"/>
  <c r="B76" i="2"/>
  <c r="B75" i="2"/>
  <c r="B74" i="2"/>
  <c r="B73" i="2"/>
  <c r="B72" i="2"/>
  <c r="B71" i="2"/>
  <c r="G76" i="1"/>
  <c r="G68" i="1"/>
  <c r="D85" i="1"/>
  <c r="C149" i="1"/>
  <c r="E149" i="1" l="1"/>
  <c r="D149" i="1"/>
  <c r="F98" i="1"/>
  <c r="F90" i="1"/>
  <c r="F97" i="1"/>
  <c r="F89" i="1"/>
  <c r="F96" i="1"/>
  <c r="F95" i="1"/>
  <c r="F94" i="1"/>
  <c r="F93" i="1"/>
  <c r="F92" i="1"/>
  <c r="F99" i="1"/>
  <c r="F91" i="1"/>
  <c r="F62" i="1"/>
  <c r="F71" i="1" s="1"/>
  <c r="D124" i="1"/>
  <c r="D125" i="1"/>
  <c r="D126" i="1"/>
  <c r="C7" i="13" l="1"/>
  <c r="C7" i="12"/>
  <c r="C5" i="9"/>
  <c r="C4" i="6"/>
  <c r="D57" i="2" s="1"/>
  <c r="C9" i="3"/>
  <c r="C10" i="3" s="1"/>
  <c r="C4" i="3"/>
  <c r="C5" i="3" s="1"/>
  <c r="C12" i="3"/>
  <c r="C39" i="2"/>
  <c r="B119" i="1" s="1" a="1"/>
  <c r="B119" i="1" l="1"/>
  <c r="D119" i="1" s="1"/>
  <c r="C25" i="5"/>
  <c r="D56" i="2" s="1"/>
  <c r="C13" i="3"/>
  <c r="D54" i="2" s="1"/>
  <c r="E46" i="1"/>
  <c r="G70" i="1"/>
  <c r="G69" i="1"/>
  <c r="G61" i="1"/>
  <c r="G60" i="1"/>
  <c r="E161" i="1"/>
  <c r="G154" i="1"/>
  <c r="H154" i="1" s="1"/>
  <c r="D71" i="1"/>
  <c r="C71" i="1"/>
  <c r="E55" i="1"/>
  <c r="D47" i="1"/>
  <c r="C47" i="1"/>
  <c r="E45" i="1"/>
  <c r="E44" i="1"/>
  <c r="E43" i="1"/>
  <c r="C147" i="1"/>
  <c r="H114" i="1" l="1"/>
  <c r="C150" i="1"/>
  <c r="E150" i="1" s="1"/>
  <c r="E119" i="1"/>
  <c r="E147" i="1"/>
  <c r="D147" i="1"/>
  <c r="D3" i="12"/>
  <c r="F88" i="1"/>
  <c r="C4" i="10"/>
  <c r="D61" i="2" s="1"/>
  <c r="D3" i="13"/>
  <c r="C4" i="11"/>
  <c r="D62" i="2" s="1"/>
  <c r="D5" i="13"/>
  <c r="C4" i="14"/>
  <c r="D65" i="2" s="1"/>
  <c r="C4" i="15"/>
  <c r="D66" i="2" s="1"/>
  <c r="C4" i="8"/>
  <c r="D59" i="2" s="1"/>
  <c r="C4" i="4"/>
  <c r="D55" i="2" s="1"/>
  <c r="C4" i="7"/>
  <c r="D58" i="2" s="1"/>
  <c r="D4" i="13"/>
  <c r="C146" i="1"/>
  <c r="D5" i="12"/>
  <c r="D4" i="12"/>
  <c r="C6" i="9"/>
  <c r="D60" i="2" s="1"/>
  <c r="E47" i="1"/>
  <c r="D135" i="1" s="1"/>
  <c r="C148" i="1" s="1"/>
  <c r="C28" i="1"/>
  <c r="G71" i="1"/>
  <c r="D137" i="1" l="1"/>
  <c r="H55" i="1" s="1"/>
  <c r="H39" i="1"/>
  <c r="E146" i="1"/>
  <c r="D146" i="1"/>
  <c r="F138" i="1"/>
  <c r="H108" i="1"/>
  <c r="C8" i="13"/>
  <c r="D64" i="2" s="1"/>
  <c r="C8" i="12"/>
  <c r="D63" i="2" s="1"/>
  <c r="F139" i="1"/>
  <c r="F100" i="1"/>
  <c r="D136" i="1" s="1"/>
  <c r="D148" i="1" l="1"/>
  <c r="F135" i="1"/>
  <c r="F136" i="1"/>
  <c r="H82" i="1"/>
  <c r="F137" i="1"/>
  <c r="B126" i="1" l="1"/>
  <c r="E126" i="1" s="1"/>
  <c r="B125" i="1"/>
  <c r="E125" i="1" s="1"/>
  <c r="B124" i="1"/>
  <c r="E124" i="1" s="1"/>
  <c r="B123" i="1"/>
  <c r="B122" i="1"/>
  <c r="E122" i="1" s="1"/>
  <c r="B121" i="1"/>
  <c r="E121" i="1" s="1"/>
  <c r="B120" i="1"/>
  <c r="E120" i="1" s="1"/>
  <c r="D122" i="1" l="1"/>
  <c r="E123" i="1"/>
  <c r="E127" i="1" s="1"/>
  <c r="D140" i="1" s="1"/>
  <c r="D123" i="1"/>
  <c r="D121" i="1"/>
  <c r="D120" i="1" s="1"/>
  <c r="H120" i="1" l="1"/>
  <c r="D141" i="1" l="1"/>
  <c r="F140" i="1"/>
  <c r="C144" i="1" s="1"/>
  <c r="D157" i="1" l="1" a="1"/>
  <c r="D157" i="1" s="1"/>
  <c r="G140" i="1"/>
  <c r="F141" i="1"/>
  <c r="D158" i="1" l="1"/>
  <c r="D152" i="1"/>
  <c r="E148" i="1"/>
  <c r="D153" i="1" l="1"/>
  <c r="D155" i="1" s="1"/>
  <c r="D15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lreyna</author>
  </authors>
  <commentList>
    <comment ref="C10" authorId="0" shapeId="0" xr:uid="{2ED3D959-4F8B-4033-A059-59B208EC626B}">
      <text>
        <r>
          <rPr>
            <sz val="10"/>
            <color rgb="FF000000"/>
            <rFont val="Tahoma"/>
            <family val="2"/>
          </rPr>
          <t>Completar en todos los casos</t>
        </r>
      </text>
    </comment>
    <comment ref="I16" authorId="0" shapeId="0" xr:uid="{C711E034-287C-4E95-814B-9CCDCBEDD6B0}">
      <text>
        <r>
          <rPr>
            <sz val="10"/>
            <color rgb="FF000000"/>
            <rFont val="Tahoma"/>
            <family val="2"/>
          </rPr>
          <t>Adicionalmente la empresa debe contemplar que no se considerarán como micro o pequeñas empresas a aquellas que, cumpliendo las condiciones establecidas de personal ocupado y ventas, estén controladas por otra empresa que supere los límites establecidos anteriormente o pertenezcan a un grupo económico que, en su conjunto, supere dichos límites.</t>
        </r>
      </text>
    </comment>
  </commentList>
</comments>
</file>

<file path=xl/metadata.xml><?xml version="1.0" encoding="utf-8"?>
<metadata xmlns="http://schemas.openxmlformats.org/spreadsheetml/2006/main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xmlns:xda="http://schemas.microsoft.com/office/spreadsheetml/2017/dynamicarray"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<sst xmlns="http://schemas.openxmlformats.org/spreadsheetml/2006/main" count="349" uniqueCount="252">
  <si>
    <t>PARÁMETROS</t>
  </si>
  <si>
    <t>MINISTERIO EVALUADOR</t>
  </si>
  <si>
    <t>Opción de lista desplegable</t>
  </si>
  <si>
    <t>Ministerio</t>
  </si>
  <si>
    <t>Sector de Actvidad de la empresa</t>
  </si>
  <si>
    <t>MEF</t>
  </si>
  <si>
    <t>Ministerio de Economía y Finanzas</t>
  </si>
  <si>
    <t>Comercio / Servicio</t>
  </si>
  <si>
    <t>MIEM</t>
  </si>
  <si>
    <t>Ministerio de Industria, Energía y Minería</t>
  </si>
  <si>
    <t>Industria / Energía / Minería</t>
  </si>
  <si>
    <t>MINTUR</t>
  </si>
  <si>
    <t>Ministerio de Turismo</t>
  </si>
  <si>
    <t>Turismo</t>
  </si>
  <si>
    <t>MGAP</t>
  </si>
  <si>
    <t>Ministerio de Ganadería, Agricultura y Pesca</t>
  </si>
  <si>
    <t>Ganadería / Agricultura / Pesca</t>
  </si>
  <si>
    <t>COMERCIO Y SERVICIOS</t>
  </si>
  <si>
    <t>AGROPECUARIO</t>
  </si>
  <si>
    <t>INDUSTRIA</t>
  </si>
  <si>
    <t>TURISMO</t>
  </si>
  <si>
    <t>Actividades industriales</t>
  </si>
  <si>
    <t>SECCIÓN 1 - CARACTERÍSTICAS DE LA EMPRESA</t>
  </si>
  <si>
    <t>Actividades de valorización y aprovechamiento de residuos</t>
  </si>
  <si>
    <t>FECHA EN LA QUE SE PRESENTARÁ LA SOLICITUD (dd/mm/aaaa)</t>
  </si>
  <si>
    <t>EMPRESA NUEVA</t>
  </si>
  <si>
    <t>SI</t>
  </si>
  <si>
    <t>FACTURACIÓN ANUAL (en UI)</t>
  </si>
  <si>
    <t>NÚMERO DE EMPLEADOS</t>
  </si>
  <si>
    <t>TIPO EMPRESA</t>
  </si>
  <si>
    <t>USUARIA DE PARQUE INDUSTRIAL ó PARQUE CIENTÍFICO-TECNOLÓGICO</t>
  </si>
  <si>
    <t>DESARROLLA ALGUNA DE LAS SIGUIENTES ACTIVIDADES DENTRO DEL PARQUE</t>
  </si>
  <si>
    <t>NO</t>
  </si>
  <si>
    <t>SECCIÓN 2 - MONTO DEL PROYECTO DE INVERSIÓN</t>
  </si>
  <si>
    <t>INVERSIONES ELEGIBLES EN UI</t>
  </si>
  <si>
    <t>UI</t>
  </si>
  <si>
    <t>TIPO DE CAMBIO ($/US$)</t>
  </si>
  <si>
    <t>El valor corresponde al del último día del mes anterior al momento en que se presente el proyecto ante la COMAP.</t>
  </si>
  <si>
    <t>INVERSIÓN DENTRO DE PARQUE INDUSTRIAL EN UI</t>
  </si>
  <si>
    <t>SECCIÓN 3 - INDICADORES</t>
  </si>
  <si>
    <t>3.1 - GENERACIÓN DE EMPLEO</t>
  </si>
  <si>
    <t>Situación inicial</t>
  </si>
  <si>
    <t xml:space="preserve"> Total Incremento Promedio</t>
  </si>
  <si>
    <t>Total</t>
  </si>
  <si>
    <t>Situación Inicial</t>
  </si>
  <si>
    <t>Incremento por Categoría</t>
  </si>
  <si>
    <t>TOTAL</t>
  </si>
  <si>
    <t>Mujeres</t>
  </si>
  <si>
    <t>Jóvenes (15-29 años)</t>
  </si>
  <si>
    <t>Personas con Discapacidad</t>
  </si>
  <si>
    <t>3.2 - AUMENTO DE EXPORTACIONES</t>
  </si>
  <si>
    <t>Situación inicial U$S</t>
  </si>
  <si>
    <t>Incremento Promedio U$S</t>
  </si>
  <si>
    <t>Selección de producto</t>
  </si>
  <si>
    <t>Coeficiente Expor. Indirectas</t>
  </si>
  <si>
    <t>Incremento aplicando coeficiente U$S</t>
  </si>
  <si>
    <t>Productos lácteos</t>
  </si>
  <si>
    <t>3.3 - DESCENTRALIZACIÓN</t>
  </si>
  <si>
    <t>El proyecto tiene una única localización?</t>
  </si>
  <si>
    <t>Departamento</t>
  </si>
  <si>
    <t>PUNTAJE</t>
  </si>
  <si>
    <t>Localización del proyecto (Única Ubicación)</t>
  </si>
  <si>
    <t>Puntaje</t>
  </si>
  <si>
    <t>Inversión en UI</t>
  </si>
  <si>
    <t>Puntaje ponderado</t>
  </si>
  <si>
    <t>Florida</t>
  </si>
  <si>
    <t>Durazno</t>
  </si>
  <si>
    <t xml:space="preserve">  Artigas</t>
  </si>
  <si>
    <t>3.4 - INVERSIÓN EN  SOSTENIBILIDAD AMBIENTAL</t>
  </si>
  <si>
    <t>Certificaciones Modelos Construcción Sostenibles</t>
  </si>
  <si>
    <t>Breeam Bueno</t>
  </si>
  <si>
    <t>3.5 - INVERSIÓN EN ADECUACIÓN TECNOLÓGICA, INNOVACIÓN, INVESTIGACIÓN Y DESARROLLO EXPERIMENTAL (I+)</t>
  </si>
  <si>
    <t>Categoría</t>
  </si>
  <si>
    <t>Total de inversión en UI</t>
  </si>
  <si>
    <t>Montevideo</t>
  </si>
  <si>
    <t>INVERSIÓN EN I+(en UI)</t>
  </si>
  <si>
    <t>Adecuación Tecnológica (AT)</t>
  </si>
  <si>
    <t>3.6 - INDICADORES ESTRATÉGICOS</t>
  </si>
  <si>
    <t>Riego</t>
  </si>
  <si>
    <t>Desarrollo y modernización de la pesca y la acuicultura</t>
  </si>
  <si>
    <t>Transformación Mínima</t>
  </si>
  <si>
    <t>SECCIÓN 4 - MATRIZ DE INDICADORES – EXONERACIÓN DE IRAE</t>
  </si>
  <si>
    <t>Objetivos</t>
  </si>
  <si>
    <t>Fórmula de cálculo</t>
  </si>
  <si>
    <t>Ponderación</t>
  </si>
  <si>
    <t xml:space="preserve">Puntaje final </t>
  </si>
  <si>
    <t>Generación de empleo</t>
  </si>
  <si>
    <t>Empleo incremental / (IEUI) ^ 1/3</t>
  </si>
  <si>
    <t>Descentralización</t>
  </si>
  <si>
    <t>Ver Criterios básicos generales de funcionamiento</t>
  </si>
  <si>
    <t>Aumento de exportaciones</t>
  </si>
  <si>
    <t>Incrementos  - Criterios básicos generales de funcionamiento</t>
  </si>
  <si>
    <t>Sostenibilidad Ambiental</t>
  </si>
  <si>
    <t>AdecuaciónTecnológica, Innovación, Investigación y Desarrollo Experimental (I+)</t>
  </si>
  <si>
    <t>Indicador Estratégico</t>
  </si>
  <si>
    <t>PUNTAJE FINAL</t>
  </si>
  <si>
    <t>IEUI = Inversión elegible en millones de UI</t>
  </si>
  <si>
    <t>EXONERACIÓN EN UI</t>
  </si>
  <si>
    <t>Datos SI/NO</t>
  </si>
  <si>
    <t>ACTIVIDADES PARQUE INDUSTRIAL</t>
  </si>
  <si>
    <t>Presten servicios tales como operaciones de almacenaje, acondicionamiento,
selección, clasificación, fraccionamiento, armado, desarmado, manipulación o mezcla
de mercaderías o materias primas, vinculados a las actividades desarrolladas en el
parque. Se entenderá por vinculado, aquel servicio perteneciente a la cadena de valor
industrial</t>
  </si>
  <si>
    <t>Actividades de generación de energía solar térmica y/o fotovoltaica enmarcados en
medidas promocionales del Poder Ejecutivo vigentes al momento de la presentación
del proyecto, Decretos, Resoluciones Ministeriales y/o contratos con UTE</t>
  </si>
  <si>
    <t>Actividades de servicios en las áreas de tecnologías de información y comunicación,
biotecnología, industrias creativas dado su potencial para la contribución a los
objetivos establecidos en el artículo 1º de la Ley N° 19.784, de 23 de agosto de 2019</t>
  </si>
  <si>
    <t>Otras</t>
  </si>
  <si>
    <t>Monto de la Inversión en Obra Civil (en UI)</t>
  </si>
  <si>
    <t>Monto de la Inversión en Bienes Muebles (en UI)</t>
  </si>
  <si>
    <t>Monto Total de la Inversión Elegible (en UI)</t>
  </si>
  <si>
    <t>Monto Total de la Inversión (en U$S)</t>
  </si>
  <si>
    <t>Link a INE (Valor UI)</t>
  </si>
  <si>
    <t>Link a BCU (Tipo de Cambio U$S)</t>
  </si>
  <si>
    <t>Contribución a las exportaciones del sector Agropecuario</t>
  </si>
  <si>
    <t>Semillas</t>
  </si>
  <si>
    <t>Agricultura (cultivos de invierno y verano; no arroz)</t>
  </si>
  <si>
    <t>Arroz</t>
  </si>
  <si>
    <t>Legumbres; raíces y tubérculos comestibles ricos en almidón o inulina, vegetales leguminosos secos</t>
  </si>
  <si>
    <t>Frutas y nueces</t>
  </si>
  <si>
    <t>Cosecha de azúcar</t>
  </si>
  <si>
    <t>Productos de forraje, fibras, plantas vivas, flores y capullos de flores, tabaco en rama, y caucho natural</t>
  </si>
  <si>
    <t>Ganadería vacuna o ovina</t>
  </si>
  <si>
    <t>Ganado Porcino, aves de corral; huevos frescos de gallina o de otras aves con cáscara</t>
  </si>
  <si>
    <t>Cueros, pieles, pieles finas, sin curtir</t>
  </si>
  <si>
    <t>Pescado, crustáceos, moluscos u otros invertebrados acuáticos</t>
  </si>
  <si>
    <t>Vegetales, legumbres y papas preparados o conservados; frutas y nueces preparadas o en conserva</t>
  </si>
  <si>
    <t>Productos de madera, corcho, paja y materiales tranzables</t>
  </si>
  <si>
    <t>Treinta y Tres</t>
  </si>
  <si>
    <t>Cerro Largo</t>
  </si>
  <si>
    <t>Rio Negro</t>
  </si>
  <si>
    <t>Tacuarembó</t>
  </si>
  <si>
    <t>Salto</t>
  </si>
  <si>
    <t>Paysandú</t>
  </si>
  <si>
    <t>Rivera</t>
  </si>
  <si>
    <t>Rocha</t>
  </si>
  <si>
    <t>Soriano</t>
  </si>
  <si>
    <t>Lavalleja</t>
  </si>
  <si>
    <t>San José</t>
  </si>
  <si>
    <t>Canelones</t>
  </si>
  <si>
    <t>Maldonado</t>
  </si>
  <si>
    <t>Colonia</t>
  </si>
  <si>
    <t>Flores</t>
  </si>
  <si>
    <t>DESCENTRALIZACIÓN</t>
  </si>
  <si>
    <t>INVERSIÓN  Sostenibilidad Ambiental (en UI)</t>
  </si>
  <si>
    <t>Industrialización a partir de minerales nacionales</t>
  </si>
  <si>
    <t>Transformación Intermedia</t>
  </si>
  <si>
    <t>Transformación Máxima</t>
  </si>
  <si>
    <t>CERTIFICACIONES MODELOS CONSTRUCTIVOS SOSTENIBLES</t>
  </si>
  <si>
    <t>Leed</t>
  </si>
  <si>
    <t>Leed Plata</t>
  </si>
  <si>
    <t>Leed Oro</t>
  </si>
  <si>
    <t>Leed Platino</t>
  </si>
  <si>
    <t>Bream Muy Bueno</t>
  </si>
  <si>
    <t>Bream Excelente</t>
  </si>
  <si>
    <t>Breeam Excepcional</t>
  </si>
  <si>
    <t>Sello Eficiencia Energética B</t>
  </si>
  <si>
    <t>Sello Eficiencia Energética A</t>
  </si>
  <si>
    <t>INDICADOR I+</t>
  </si>
  <si>
    <t>Innovación (INN)</t>
  </si>
  <si>
    <t>Investigación y Desarrollo Experimental (I+D)</t>
  </si>
  <si>
    <t>INDICADORES ESTRATEGICOS MGAP</t>
  </si>
  <si>
    <t>Mejora de la Producción Ganadera</t>
  </si>
  <si>
    <t>Protección del Campo Natural</t>
  </si>
  <si>
    <t>Servicios e Infraestructura Turística</t>
  </si>
  <si>
    <t>INDICADORES ESTRATEGICOS MINTUR</t>
  </si>
  <si>
    <t>INDICADORES ESTRATEGICOS MIEM</t>
  </si>
  <si>
    <t>Eficiencia y Desfosilización</t>
  </si>
  <si>
    <t>Cadena de valor del hidrógeno verde y sus derivados</t>
  </si>
  <si>
    <t>Valorización de residuos y reciclaje</t>
  </si>
  <si>
    <t>Producción de bioinsumos</t>
  </si>
  <si>
    <t>Industria farmacéutica y ciencias de la vida</t>
  </si>
  <si>
    <t>Desarrollo de una cadena industrial aeroespacial</t>
  </si>
  <si>
    <t>INDICADORES ESTRATEGICOS MEF</t>
  </si>
  <si>
    <t>Componente de industria nacional</t>
  </si>
  <si>
    <t>ZONA TURISTICA</t>
  </si>
  <si>
    <t>TRAMOS BIENES MUEBLES</t>
  </si>
  <si>
    <t>Auxiliar ministerio seleccionado</t>
  </si>
  <si>
    <t>Aux</t>
  </si>
  <si>
    <t>¿Aplica al indicador?</t>
  </si>
  <si>
    <t>Información  a completar</t>
  </si>
  <si>
    <t>#'Industria nacional'!C5</t>
  </si>
  <si>
    <t>#'Riego'!C5</t>
  </si>
  <si>
    <t>#'Campo natural'!C5</t>
  </si>
  <si>
    <t>#'Producción ganadera'!C5</t>
  </si>
  <si>
    <t>#'Pesca y acuicultura'!C5</t>
  </si>
  <si>
    <t>#'Bioinsumos'!C5</t>
  </si>
  <si>
    <t>#'Turismo'!C5</t>
  </si>
  <si>
    <t>#'Eficiencia y desfosilización'!C5</t>
  </si>
  <si>
    <t>#'Hidrógeno verde'!C5</t>
  </si>
  <si>
    <t>#'Industrialización minerales'!C5</t>
  </si>
  <si>
    <t>#'Residuos y reciclaje'!C5</t>
  </si>
  <si>
    <t>#'Farma y ciencias vida'!C5</t>
  </si>
  <si>
    <t>#'Industria aeroespacial'!C5</t>
  </si>
  <si>
    <t>Referencia link</t>
  </si>
  <si>
    <t>Inversión elegible Maquinaria y Equipos total (en UI)</t>
  </si>
  <si>
    <t>% Maquinaria y Equipos de origen nacional</t>
  </si>
  <si>
    <t>Inversión elegible materiales de obra civil de origen nacional (en UI)</t>
  </si>
  <si>
    <t>Inversión elegible materiales de obra civil total (en UI)</t>
  </si>
  <si>
    <t>% Materiales de obra civil de origen nacional</t>
  </si>
  <si>
    <t>Inversión elegible en Maquinaria y Equipos de origen nacional (en UI)</t>
  </si>
  <si>
    <t>Puntaje indicador</t>
  </si>
  <si>
    <t>Puntaje sub-indicador</t>
  </si>
  <si>
    <t>Total Maquinaria y Equipos y materiales obra civil</t>
  </si>
  <si>
    <t>Aumento en la tasa de nacimientos (exclusivo para bovinos)</t>
  </si>
  <si>
    <t>¿Aplica?</t>
  </si>
  <si>
    <t>Aumento del rodeo de cría (bovinos)</t>
  </si>
  <si>
    <t>Aumento de majada de cría (ovinos)</t>
  </si>
  <si>
    <t>% de superficie de campo natural</t>
  </si>
  <si>
    <t/>
  </si>
  <si>
    <t>Total puntaje estratégicos</t>
  </si>
  <si>
    <t>Inversión en zonas turísticas con puntaje adicional (UI)</t>
  </si>
  <si>
    <t>Inversión en zonas turísticas sin puntaje adicional (UI)</t>
  </si>
  <si>
    <t>Inversión computada para indicador</t>
  </si>
  <si>
    <t>Inversiones Transformación mínima (UI)</t>
  </si>
  <si>
    <t>Inversiones Transformación intermedia (UI)</t>
  </si>
  <si>
    <t>Inversiones Transformación máxima (UI)</t>
  </si>
  <si>
    <t>Total inversiones asociadas al indicador</t>
  </si>
  <si>
    <t>Inversión</t>
  </si>
  <si>
    <t>Puntaje nivel de transformación</t>
  </si>
  <si>
    <t>Inversión asociada al indicador estratégico (en UI)</t>
  </si>
  <si>
    <t>¿Alcanza puntaje mínimo para obtener exoneraciones?</t>
  </si>
  <si>
    <t>¿CORRESPONDEN BENEFICIOS ADICIONALES?</t>
  </si>
  <si>
    <t>Micro o pequeña empresa</t>
  </si>
  <si>
    <t>Gran inversión</t>
  </si>
  <si>
    <t>Parques industriales o científicos</t>
  </si>
  <si>
    <t>Exportaciones directas</t>
  </si>
  <si>
    <t>Mediana empresa (hasta 50 empleados)</t>
  </si>
  <si>
    <t>EXPORTACIONES DIRECTAS</t>
  </si>
  <si>
    <t>CONTRIBUCIÓN A LAS EXPORTACIONES DEL SECTOR AGROPECUARIO</t>
  </si>
  <si>
    <t>CONTRIBUCIÓN A LAS EXPORTACIONES DEL SECTOR TURÍSTICO</t>
  </si>
  <si>
    <t>Exportaciones indirectas</t>
  </si>
  <si>
    <t>Límite inferior</t>
  </si>
  <si>
    <t>Límite superior</t>
  </si>
  <si>
    <t>Máximo años</t>
  </si>
  <si>
    <t>IRAE</t>
  </si>
  <si>
    <t>Plazo</t>
  </si>
  <si>
    <t>Límite de plazo de exoneración según monto</t>
  </si>
  <si>
    <t>EXONERACIÓN IRAE TOTAL CONSIDERANDO BENEFICIOS ADICIONALES</t>
  </si>
  <si>
    <t>Porcentaje de exoneración de IRAE en función de matriz</t>
  </si>
  <si>
    <t>Volver</t>
  </si>
  <si>
    <t>En caso de existir varias localizaciones, identifique la inversión asociada a cada una</t>
  </si>
  <si>
    <t>Situación inicial aplicando coeficiente U$S</t>
  </si>
  <si>
    <t>Situación inicial  aplicando coeficiente U$S</t>
  </si>
  <si>
    <t>Puntaje
indicador</t>
  </si>
  <si>
    <t>Personal ocupado
(equivalente a 30 hs. semanales o 130 hs. mensuales).</t>
  </si>
  <si>
    <t>Otros grupos de población
(DINALI + Empleo Protegido + TUS Trans)</t>
  </si>
  <si>
    <t xml:space="preserve">1 punto = 5% en sostenibilidad ambiental
Se consideran Certificaciones Sostenibles </t>
  </si>
  <si>
    <t>PLAZO EXONERACIÓN IRAE TOTAL (considerando adicionales)</t>
  </si>
  <si>
    <t>Plazo exoneración en función de matriz</t>
  </si>
  <si>
    <t>Puntaje I+</t>
  </si>
  <si>
    <t>Indicador Tasa de Nacimientos en período base</t>
  </si>
  <si>
    <t>Promedio proyectado Indicador Tasa de Nacimientos  (próximos 5 ejercicios)</t>
  </si>
  <si>
    <t>Aumento prom. comprometido en indicador rodeo de cría  (próx. 5 ejercicios, en porcentaje)</t>
  </si>
  <si>
    <t>Aumento prom. comprometido en indicador majada de cría  (próx. 5 ejercicios, en porcentaje)</t>
  </si>
  <si>
    <t>VALOR INCREMENTAL PARA INDICADOR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</si>
</sst>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\ _€_-;\-* #,##0.00\ _€_-;_-* &quot;-&quot;??\ _€_-;_-@_-"/>
    <numFmt numFmtId="164" formatCode="_-* #,##0.00_-;\-* #,##0.00_-;_-* &quot;-&quot;??_-;_-@_-"/>
    <numFmt numFmtId="165" formatCode="0.0000"/>
    <numFmt numFmtId="166" formatCode="_ * #,##0_ ;_ * \-#,##0_ ;_ * &quot;-&quot;??_ ;_ @_ "/>
    <numFmt numFmtId="167" formatCode="0.0"/>
    <numFmt numFmtId="168" formatCode="dd/mm/yyyy;@"/>
    <numFmt numFmtId="169" formatCode="0.0%"/>
    <numFmt numFmtId="170" formatCode="0\ &quot;años adicionales&quot;"/>
    <numFmt numFmtId="171" formatCode="0\ &quot;años&quot;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theme="0"/>
      <name val="Arial"/>
      <family val="2"/>
    </font>
    <font>
      <b/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9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u/>
      <sz val="10"/>
      <color indexed="12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2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2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  <fill>
      <gradientFill degree="45">
        <stop position="0">
          <color theme="0"/>
        </stop>
        <stop position="1">
          <color theme="0" tint="-0.34900967436750391"/>
        </stop>
      </gradient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</cellStyleXfs>
  <cellXfs count="306">
    <xf numFmtId="0" fontId="0" fillId="0" borderId="0" xfId="0"/>
    <xf numFmtId="0" fontId="0" fillId="3" borderId="0" xfId="0" applyFill="1"/>
    <xf numFmtId="0" fontId="3" fillId="3" borderId="0" xfId="0" applyFont="1" applyFill="1" applyAlignment="1">
      <alignment horizontal="right"/>
    </xf>
    <xf numFmtId="0" fontId="3" fillId="3" borderId="4" xfId="0" applyFont="1" applyFill="1" applyBorder="1" applyAlignment="1">
      <alignment wrapText="1"/>
    </xf>
    <xf numFmtId="0" fontId="4" fillId="3" borderId="4" xfId="0" applyFont="1" applyFill="1" applyBorder="1"/>
    <xf numFmtId="0" fontId="4" fillId="0" borderId="0" xfId="0" applyFont="1" applyProtection="1">
      <protection hidden="1"/>
    </xf>
    <xf numFmtId="0" fontId="4" fillId="5" borderId="5" xfId="0" applyFont="1" applyFill="1" applyBorder="1" applyProtection="1">
      <protection hidden="1"/>
    </xf>
    <xf numFmtId="0" fontId="6" fillId="5" borderId="5" xfId="0" applyFont="1" applyFill="1" applyBorder="1" applyProtection="1">
      <protection hidden="1"/>
    </xf>
    <xf numFmtId="0" fontId="4" fillId="5" borderId="0" xfId="0" applyFont="1" applyFill="1" applyProtection="1">
      <protection hidden="1"/>
    </xf>
    <xf numFmtId="0" fontId="4" fillId="6" borderId="0" xfId="0" applyFont="1" applyFill="1" applyProtection="1">
      <protection hidden="1"/>
    </xf>
    <xf numFmtId="0" fontId="6" fillId="5" borderId="0" xfId="0" applyFont="1" applyFill="1" applyProtection="1">
      <protection hidden="1"/>
    </xf>
    <xf numFmtId="0" fontId="7" fillId="5" borderId="0" xfId="0" applyFont="1" applyFill="1" applyAlignment="1" applyProtection="1">
      <alignment horizontal="center"/>
      <protection hidden="1"/>
    </xf>
    <xf numFmtId="0" fontId="8" fillId="5" borderId="0" xfId="0" applyFont="1" applyFill="1" applyAlignment="1" applyProtection="1">
      <alignment horizontal="center"/>
      <protection hidden="1"/>
    </xf>
    <xf numFmtId="0" fontId="9" fillId="6" borderId="0" xfId="0" applyFont="1" applyFill="1" applyProtection="1">
      <protection hidden="1"/>
    </xf>
    <xf numFmtId="0" fontId="3" fillId="6" borderId="0" xfId="0" applyFont="1" applyFill="1" applyProtection="1">
      <protection hidden="1"/>
    </xf>
    <xf numFmtId="0" fontId="9" fillId="6" borderId="0" xfId="0" applyFont="1" applyFill="1" applyAlignment="1" applyProtection="1">
      <alignment vertical="center"/>
      <protection hidden="1"/>
    </xf>
    <xf numFmtId="0" fontId="4" fillId="6" borderId="0" xfId="7" applyFill="1" applyProtection="1">
      <protection hidden="1"/>
    </xf>
    <xf numFmtId="0" fontId="4" fillId="3" borderId="0" xfId="0" applyFont="1" applyFill="1"/>
    <xf numFmtId="0" fontId="0" fillId="0" borderId="4" xfId="0" applyBorder="1" applyAlignment="1">
      <alignment wrapText="1"/>
    </xf>
    <xf numFmtId="0" fontId="3" fillId="4" borderId="4" xfId="0" applyFont="1" applyFill="1" applyBorder="1" applyAlignment="1">
      <alignment wrapText="1"/>
    </xf>
    <xf numFmtId="0" fontId="4" fillId="3" borderId="4" xfId="0" applyFont="1" applyFill="1" applyBorder="1" applyProtection="1">
      <protection hidden="1"/>
    </xf>
    <xf numFmtId="9" fontId="4" fillId="3" borderId="4" xfId="8" applyFont="1" applyFill="1" applyBorder="1" applyProtection="1">
      <protection hidden="1"/>
    </xf>
    <xf numFmtId="9" fontId="0" fillId="3" borderId="4" xfId="0" applyNumberFormat="1" applyFill="1" applyBorder="1" applyProtection="1">
      <protection hidden="1"/>
    </xf>
    <xf numFmtId="0" fontId="3" fillId="3" borderId="4" xfId="0" applyFont="1" applyFill="1" applyBorder="1" applyProtection="1">
      <protection hidden="1"/>
    </xf>
    <xf numFmtId="0" fontId="10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0" fillId="3" borderId="4" xfId="0" applyFill="1" applyBorder="1"/>
    <xf numFmtId="0" fontId="0" fillId="0" borderId="0" xfId="0" applyAlignment="1">
      <alignment wrapText="1"/>
    </xf>
    <xf numFmtId="0" fontId="14" fillId="0" borderId="0" xfId="0" applyFont="1"/>
    <xf numFmtId="167" fontId="0" fillId="0" borderId="0" xfId="0" applyNumberFormat="1"/>
    <xf numFmtId="0" fontId="0" fillId="0" borderId="0" xfId="0" quotePrefix="1"/>
    <xf numFmtId="0" fontId="12" fillId="3" borderId="13" xfId="3" applyFont="1" applyFill="1" applyBorder="1" applyAlignment="1" applyProtection="1">
      <alignment horizontal="left"/>
      <protection hidden="1"/>
    </xf>
    <xf numFmtId="0" fontId="12" fillId="0" borderId="0" xfId="0" applyFont="1"/>
    <xf numFmtId="0" fontId="14" fillId="0" borderId="4" xfId="0" applyFont="1" applyBorder="1"/>
    <xf numFmtId="0" fontId="0" fillId="0" borderId="4" xfId="0" applyBorder="1"/>
    <xf numFmtId="169" fontId="14" fillId="0" borderId="4" xfId="2" applyNumberFormat="1" applyFont="1" applyBorder="1"/>
    <xf numFmtId="0" fontId="15" fillId="0" borderId="0" xfId="0" applyFont="1" applyProtection="1">
      <protection hidden="1"/>
    </xf>
    <xf numFmtId="0" fontId="15" fillId="5" borderId="6" xfId="0" applyFont="1" applyFill="1" applyBorder="1" applyProtection="1">
      <protection hidden="1"/>
    </xf>
    <xf numFmtId="0" fontId="15" fillId="5" borderId="5" xfId="0" applyFont="1" applyFill="1" applyBorder="1" applyProtection="1">
      <protection hidden="1"/>
    </xf>
    <xf numFmtId="0" fontId="15" fillId="3" borderId="5" xfId="0" applyFont="1" applyFill="1" applyBorder="1" applyProtection="1">
      <protection hidden="1"/>
    </xf>
    <xf numFmtId="0" fontId="15" fillId="5" borderId="7" xfId="0" applyFont="1" applyFill="1" applyBorder="1" applyProtection="1">
      <protection hidden="1"/>
    </xf>
    <xf numFmtId="0" fontId="16" fillId="0" borderId="0" xfId="0" applyFont="1" applyAlignment="1" applyProtection="1">
      <alignment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9" fillId="5" borderId="0" xfId="0" applyFont="1" applyFill="1" applyProtection="1">
      <protection hidden="1"/>
    </xf>
    <xf numFmtId="0" fontId="15" fillId="5" borderId="0" xfId="0" applyFont="1" applyFill="1" applyProtection="1">
      <protection hidden="1"/>
    </xf>
    <xf numFmtId="0" fontId="15" fillId="5" borderId="10" xfId="0" applyFont="1" applyFill="1" applyBorder="1" applyProtection="1">
      <protection hidden="1"/>
    </xf>
    <xf numFmtId="0" fontId="18" fillId="3" borderId="0" xfId="0" applyFont="1" applyFill="1" applyAlignment="1" applyProtection="1">
      <alignment horizontal="center" vertical="center"/>
      <protection hidden="1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 vertical="center" wrapText="1"/>
      <protection hidden="1"/>
    </xf>
    <xf numFmtId="0" fontId="18" fillId="4" borderId="13" xfId="0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Alignment="1" applyProtection="1">
      <alignment horizontal="center"/>
      <protection hidden="1"/>
    </xf>
    <xf numFmtId="3" fontId="18" fillId="4" borderId="13" xfId="1" applyNumberFormat="1" applyFont="1" applyFill="1" applyBorder="1" applyAlignment="1" applyProtection="1">
      <alignment horizontal="center" vertical="center"/>
      <protection locked="0"/>
    </xf>
    <xf numFmtId="0" fontId="18" fillId="5" borderId="8" xfId="0" applyFont="1" applyFill="1" applyBorder="1" applyProtection="1">
      <protection hidden="1"/>
    </xf>
    <xf numFmtId="0" fontId="15" fillId="5" borderId="8" xfId="0" applyFont="1" applyFill="1" applyBorder="1" applyProtection="1">
      <protection hidden="1"/>
    </xf>
    <xf numFmtId="0" fontId="15" fillId="5" borderId="0" xfId="0" applyFont="1" applyFill="1" applyAlignment="1" applyProtection="1">
      <alignment horizontal="left" indent="4"/>
      <protection hidden="1"/>
    </xf>
    <xf numFmtId="0" fontId="18" fillId="5" borderId="1" xfId="0" applyFont="1" applyFill="1" applyBorder="1" applyAlignment="1" applyProtection="1">
      <alignment horizontal="center" vertical="center"/>
      <protection hidden="1"/>
    </xf>
    <xf numFmtId="3" fontId="18" fillId="4" borderId="13" xfId="0" applyNumberFormat="1" applyFont="1" applyFill="1" applyBorder="1" applyAlignment="1" applyProtection="1">
      <alignment horizontal="center" vertical="center"/>
      <protection locked="0"/>
    </xf>
    <xf numFmtId="0" fontId="5" fillId="5" borderId="0" xfId="3" applyFill="1" applyBorder="1" applyProtection="1">
      <protection hidden="1"/>
    </xf>
    <xf numFmtId="165" fontId="18" fillId="4" borderId="13" xfId="0" applyNumberFormat="1" applyFont="1" applyFill="1" applyBorder="1" applyAlignment="1" applyProtection="1">
      <alignment horizontal="center" vertical="center"/>
      <protection locked="0"/>
    </xf>
    <xf numFmtId="3" fontId="18" fillId="3" borderId="13" xfId="0" applyNumberFormat="1" applyFont="1" applyFill="1" applyBorder="1" applyAlignment="1" applyProtection="1">
      <alignment horizontal="center"/>
      <protection hidden="1"/>
    </xf>
    <xf numFmtId="3" fontId="18" fillId="3" borderId="0" xfId="0" applyNumberFormat="1" applyFont="1" applyFill="1" applyAlignment="1" applyProtection="1">
      <alignment horizontal="center"/>
      <protection hidden="1"/>
    </xf>
    <xf numFmtId="0" fontId="18" fillId="5" borderId="13" xfId="0" applyFont="1" applyFill="1" applyBorder="1" applyAlignment="1" applyProtection="1">
      <alignment horizontal="center" vertical="center" wrapText="1"/>
      <protection hidden="1"/>
    </xf>
    <xf numFmtId="3" fontId="18" fillId="4" borderId="13" xfId="0" applyNumberFormat="1" applyFont="1" applyFill="1" applyBorder="1" applyAlignment="1" applyProtection="1">
      <alignment horizontal="center"/>
      <protection locked="0"/>
    </xf>
    <xf numFmtId="0" fontId="20" fillId="5" borderId="0" xfId="3" applyFont="1" applyFill="1" applyBorder="1" applyAlignment="1" applyProtection="1">
      <protection hidden="1"/>
    </xf>
    <xf numFmtId="9" fontId="15" fillId="5" borderId="0" xfId="2" applyFont="1" applyFill="1" applyBorder="1" applyProtection="1">
      <protection hidden="1"/>
    </xf>
    <xf numFmtId="0" fontId="16" fillId="3" borderId="0" xfId="0" applyFont="1" applyFill="1" applyAlignment="1" applyProtection="1">
      <alignment vertical="center"/>
      <protection hidden="1"/>
    </xf>
    <xf numFmtId="0" fontId="21" fillId="8" borderId="1" xfId="0" applyFont="1" applyFill="1" applyBorder="1" applyAlignment="1" applyProtection="1">
      <alignment horizontal="left"/>
      <protection hidden="1"/>
    </xf>
    <xf numFmtId="0" fontId="21" fillId="8" borderId="2" xfId="0" applyFont="1" applyFill="1" applyBorder="1" applyAlignment="1" applyProtection="1">
      <alignment horizontal="left"/>
      <protection hidden="1"/>
    </xf>
    <xf numFmtId="0" fontId="21" fillId="8" borderId="3" xfId="0" applyFont="1" applyFill="1" applyBorder="1" applyAlignment="1" applyProtection="1">
      <alignment horizontal="left"/>
      <protection hidden="1"/>
    </xf>
    <xf numFmtId="0" fontId="21" fillId="3" borderId="6" xfId="0" applyFont="1" applyFill="1" applyBorder="1" applyAlignment="1" applyProtection="1">
      <alignment horizontal="left"/>
      <protection hidden="1"/>
    </xf>
    <xf numFmtId="0" fontId="21" fillId="3" borderId="0" xfId="0" applyFont="1" applyFill="1" applyAlignment="1" applyProtection="1">
      <alignment horizontal="left"/>
      <protection hidden="1"/>
    </xf>
    <xf numFmtId="0" fontId="21" fillId="3" borderId="10" xfId="0" applyFont="1" applyFill="1" applyBorder="1" applyAlignment="1" applyProtection="1">
      <alignment horizontal="left"/>
      <protection hidden="1"/>
    </xf>
    <xf numFmtId="0" fontId="15" fillId="3" borderId="0" xfId="0" applyFont="1" applyFill="1" applyProtection="1">
      <protection hidden="1"/>
    </xf>
    <xf numFmtId="0" fontId="18" fillId="5" borderId="13" xfId="0" applyFont="1" applyFill="1" applyBorder="1" applyAlignment="1" applyProtection="1">
      <alignment horizontal="left" vertical="center" wrapText="1"/>
      <protection hidden="1"/>
    </xf>
    <xf numFmtId="2" fontId="18" fillId="4" borderId="15" xfId="0" applyNumberFormat="1" applyFont="1" applyFill="1" applyBorder="1" applyAlignment="1" applyProtection="1">
      <alignment horizontal="center" vertical="center"/>
      <protection locked="0"/>
    </xf>
    <xf numFmtId="0" fontId="18" fillId="0" borderId="0" xfId="4" applyFont="1" applyProtection="1">
      <protection hidden="1"/>
    </xf>
    <xf numFmtId="2" fontId="18" fillId="0" borderId="0" xfId="4" applyNumberFormat="1" applyFont="1" applyProtection="1">
      <protection hidden="1"/>
    </xf>
    <xf numFmtId="0" fontId="15" fillId="3" borderId="13" xfId="0" applyFont="1" applyFill="1" applyBorder="1" applyAlignment="1" applyProtection="1">
      <alignment horizontal="center" vertical="center"/>
      <protection hidden="1"/>
    </xf>
    <xf numFmtId="0" fontId="18" fillId="9" borderId="13" xfId="0" applyFont="1" applyFill="1" applyBorder="1" applyAlignment="1" applyProtection="1">
      <alignment horizontal="center" vertical="center"/>
      <protection locked="0" hidden="1"/>
    </xf>
    <xf numFmtId="0" fontId="18" fillId="5" borderId="13" xfId="0" applyFont="1" applyFill="1" applyBorder="1" applyAlignment="1" applyProtection="1">
      <alignment horizontal="center" vertical="center"/>
      <protection hidden="1"/>
    </xf>
    <xf numFmtId="0" fontId="18" fillId="3" borderId="13" xfId="0" applyFont="1" applyFill="1" applyBorder="1" applyAlignment="1" applyProtection="1">
      <alignment horizontal="center" vertical="center"/>
      <protection hidden="1"/>
    </xf>
    <xf numFmtId="0" fontId="18" fillId="0" borderId="13" xfId="4" applyFont="1" applyBorder="1" applyAlignment="1" applyProtection="1">
      <alignment horizontal="center" vertical="center"/>
      <protection hidden="1"/>
    </xf>
    <xf numFmtId="0" fontId="18" fillId="5" borderId="0" xfId="0" applyFont="1" applyFill="1" applyAlignment="1" applyProtection="1">
      <alignment horizontal="center" vertical="center"/>
      <protection hidden="1"/>
    </xf>
    <xf numFmtId="0" fontId="18" fillId="0" borderId="0" xfId="4" applyFont="1" applyAlignment="1" applyProtection="1">
      <alignment horizontal="center" vertical="center"/>
      <protection hidden="1"/>
    </xf>
    <xf numFmtId="0" fontId="21" fillId="8" borderId="13" xfId="0" applyFont="1" applyFill="1" applyBorder="1" applyAlignment="1" applyProtection="1">
      <alignment horizontal="left"/>
      <protection hidden="1"/>
    </xf>
    <xf numFmtId="0" fontId="15" fillId="3" borderId="6" xfId="0" applyFont="1" applyFill="1" applyBorder="1" applyAlignment="1" applyProtection="1">
      <alignment wrapText="1"/>
      <protection hidden="1"/>
    </xf>
    <xf numFmtId="0" fontId="15" fillId="3" borderId="5" xfId="0" applyFont="1" applyFill="1" applyBorder="1" applyProtection="1">
      <protection locked="0"/>
    </xf>
    <xf numFmtId="0" fontId="15" fillId="3" borderId="5" xfId="0" applyFont="1" applyFill="1" applyBorder="1"/>
    <xf numFmtId="0" fontId="18" fillId="3" borderId="5" xfId="0" applyFont="1" applyFill="1" applyBorder="1" applyAlignment="1" applyProtection="1">
      <alignment horizontal="right"/>
      <protection hidden="1"/>
    </xf>
    <xf numFmtId="0" fontId="22" fillId="3" borderId="5" xfId="0" applyFont="1" applyFill="1" applyBorder="1" applyProtection="1">
      <protection hidden="1"/>
    </xf>
    <xf numFmtId="0" fontId="18" fillId="5" borderId="8" xfId="0" applyFont="1" applyFill="1" applyBorder="1" applyAlignment="1" applyProtection="1">
      <alignment horizontal="center" vertical="center" wrapText="1"/>
      <protection hidden="1"/>
    </xf>
    <xf numFmtId="0" fontId="18" fillId="5" borderId="0" xfId="0" applyFont="1" applyFill="1" applyProtection="1">
      <protection hidden="1"/>
    </xf>
    <xf numFmtId="0" fontId="18" fillId="3" borderId="0" xfId="4" applyFont="1" applyFill="1" applyAlignment="1" applyProtection="1">
      <alignment vertical="center"/>
      <protection hidden="1"/>
    </xf>
    <xf numFmtId="0" fontId="18" fillId="5" borderId="13" xfId="0" applyFont="1" applyFill="1" applyBorder="1" applyAlignment="1" applyProtection="1">
      <alignment vertical="center" wrapText="1"/>
      <protection hidden="1"/>
    </xf>
    <xf numFmtId="164" fontId="18" fillId="4" borderId="13" xfId="1" applyFont="1" applyFill="1" applyBorder="1" applyAlignment="1" applyProtection="1">
      <alignment horizontal="center" vertical="center"/>
      <protection locked="0"/>
    </xf>
    <xf numFmtId="164" fontId="18" fillId="0" borderId="13" xfId="1" applyFont="1" applyFill="1" applyBorder="1" applyAlignment="1" applyProtection="1">
      <alignment horizontal="center" vertical="center"/>
      <protection hidden="1"/>
    </xf>
    <xf numFmtId="0" fontId="18" fillId="3" borderId="0" xfId="0" applyFont="1" applyFill="1" applyAlignment="1" applyProtection="1">
      <alignment horizontal="center" vertical="center"/>
      <protection locked="0"/>
    </xf>
    <xf numFmtId="0" fontId="18" fillId="3" borderId="0" xfId="4" applyFont="1" applyFill="1" applyAlignment="1" applyProtection="1">
      <alignment horizontal="center" vertical="center"/>
      <protection hidden="1"/>
    </xf>
    <xf numFmtId="2" fontId="23" fillId="3" borderId="0" xfId="0" applyNumberFormat="1" applyFont="1" applyFill="1" applyAlignment="1" applyProtection="1">
      <alignment vertical="center" wrapText="1"/>
      <protection hidden="1"/>
    </xf>
    <xf numFmtId="9" fontId="18" fillId="0" borderId="13" xfId="5" applyNumberFormat="1" applyFont="1" applyFill="1" applyBorder="1" applyProtection="1">
      <protection hidden="1"/>
    </xf>
    <xf numFmtId="164" fontId="18" fillId="0" borderId="13" xfId="1" applyFont="1" applyFill="1" applyBorder="1" applyProtection="1">
      <protection hidden="1"/>
    </xf>
    <xf numFmtId="0" fontId="18" fillId="0" borderId="13" xfId="0" applyFont="1" applyBorder="1" applyAlignment="1" applyProtection="1">
      <alignment vertical="top" wrapText="1"/>
      <protection hidden="1"/>
    </xf>
    <xf numFmtId="166" fontId="18" fillId="0" borderId="13" xfId="5" applyNumberFormat="1" applyFont="1" applyFill="1" applyBorder="1" applyAlignment="1" applyProtection="1">
      <alignment vertical="center" wrapText="1"/>
      <protection hidden="1"/>
    </xf>
    <xf numFmtId="164" fontId="18" fillId="0" borderId="13" xfId="1" applyFont="1" applyFill="1" applyBorder="1" applyAlignment="1" applyProtection="1">
      <alignment vertical="center"/>
      <protection hidden="1"/>
    </xf>
    <xf numFmtId="166" fontId="18" fillId="0" borderId="13" xfId="5" applyNumberFormat="1" applyFont="1" applyFill="1" applyBorder="1" applyAlignment="1" applyProtection="1">
      <alignment vertical="center"/>
      <protection hidden="1"/>
    </xf>
    <xf numFmtId="0" fontId="15" fillId="3" borderId="8" xfId="0" applyFont="1" applyFill="1" applyBorder="1" applyProtection="1">
      <protection hidden="1"/>
    </xf>
    <xf numFmtId="164" fontId="18" fillId="4" borderId="18" xfId="1" applyFont="1" applyFill="1" applyBorder="1" applyAlignment="1" applyProtection="1">
      <alignment horizontal="center" vertical="center"/>
      <protection locked="0"/>
    </xf>
    <xf numFmtId="164" fontId="18" fillId="3" borderId="1" xfId="1" applyFont="1" applyFill="1" applyBorder="1" applyAlignment="1" applyProtection="1">
      <alignment horizontal="center" vertical="center"/>
      <protection locked="0"/>
    </xf>
    <xf numFmtId="164" fontId="15" fillId="0" borderId="12" xfId="1" applyFont="1" applyFill="1" applyBorder="1" applyProtection="1">
      <protection hidden="1"/>
    </xf>
    <xf numFmtId="0" fontId="18" fillId="3" borderId="11" xfId="0" applyFont="1" applyFill="1" applyBorder="1" applyAlignment="1" applyProtection="1">
      <alignment horizontal="center" vertical="top" wrapText="1"/>
      <protection hidden="1"/>
    </xf>
    <xf numFmtId="0" fontId="18" fillId="3" borderId="22" xfId="0" applyFont="1" applyFill="1" applyBorder="1" applyAlignment="1" applyProtection="1">
      <alignment horizontal="center" vertical="top" wrapText="1"/>
      <protection hidden="1"/>
    </xf>
    <xf numFmtId="166" fontId="15" fillId="3" borderId="22" xfId="5" applyNumberFormat="1" applyFont="1" applyFill="1" applyBorder="1" applyAlignment="1" applyProtection="1">
      <alignment vertical="top" wrapText="1"/>
      <protection hidden="1"/>
    </xf>
    <xf numFmtId="0" fontId="15" fillId="3" borderId="6" xfId="0" applyFont="1" applyFill="1" applyBorder="1" applyProtection="1">
      <protection hidden="1"/>
    </xf>
    <xf numFmtId="0" fontId="22" fillId="3" borderId="0" xfId="0" applyFont="1" applyFill="1" applyAlignment="1" applyProtection="1">
      <alignment horizontal="center" vertical="center" wrapText="1"/>
      <protection hidden="1"/>
    </xf>
    <xf numFmtId="0" fontId="22" fillId="3" borderId="0" xfId="0" applyFont="1" applyFill="1" applyProtection="1">
      <protection hidden="1"/>
    </xf>
    <xf numFmtId="0" fontId="19" fillId="3" borderId="0" xfId="0" applyFont="1" applyFill="1" applyProtection="1">
      <protection hidden="1"/>
    </xf>
    <xf numFmtId="0" fontId="15" fillId="3" borderId="10" xfId="0" applyFont="1" applyFill="1" applyBorder="1" applyProtection="1">
      <protection hidden="1"/>
    </xf>
    <xf numFmtId="0" fontId="18" fillId="3" borderId="8" xfId="0" applyFont="1" applyFill="1" applyBorder="1" applyAlignment="1" applyProtection="1">
      <alignment horizontal="left" vertical="center" wrapText="1"/>
      <protection hidden="1"/>
    </xf>
    <xf numFmtId="0" fontId="19" fillId="3" borderId="8" xfId="0" applyFont="1" applyFill="1" applyBorder="1" applyProtection="1">
      <protection hidden="1"/>
    </xf>
    <xf numFmtId="0" fontId="18" fillId="3" borderId="13" xfId="0" applyFont="1" applyFill="1" applyBorder="1" applyAlignment="1" applyProtection="1">
      <alignment horizontal="center" wrapText="1"/>
      <protection hidden="1"/>
    </xf>
    <xf numFmtId="0" fontId="22" fillId="3" borderId="0" xfId="0" applyFont="1" applyFill="1" applyAlignment="1" applyProtection="1">
      <alignment horizontal="center" wrapText="1"/>
      <protection hidden="1"/>
    </xf>
    <xf numFmtId="2" fontId="18" fillId="3" borderId="24" xfId="0" applyNumberFormat="1" applyFont="1" applyFill="1" applyBorder="1" applyProtection="1">
      <protection hidden="1"/>
    </xf>
    <xf numFmtId="2" fontId="19" fillId="3" borderId="0" xfId="2" applyNumberFormat="1" applyFont="1" applyFill="1" applyBorder="1" applyAlignment="1" applyProtection="1">
      <alignment horizontal="center" vertical="center"/>
      <protection hidden="1"/>
    </xf>
    <xf numFmtId="0" fontId="18" fillId="3" borderId="8" xfId="0" applyFont="1" applyFill="1" applyBorder="1" applyAlignment="1" applyProtection="1">
      <alignment horizontal="left" wrapText="1"/>
      <protection hidden="1"/>
    </xf>
    <xf numFmtId="0" fontId="18" fillId="3" borderId="13" xfId="4" applyFont="1" applyFill="1" applyBorder="1" applyAlignment="1" applyProtection="1">
      <alignment horizontal="center" vertical="center" wrapText="1"/>
      <protection hidden="1"/>
    </xf>
    <xf numFmtId="0" fontId="18" fillId="3" borderId="13" xfId="0" applyFont="1" applyFill="1" applyBorder="1" applyAlignment="1" applyProtection="1">
      <alignment horizontal="center" vertical="center" wrapText="1"/>
      <protection hidden="1"/>
    </xf>
    <xf numFmtId="0" fontId="18" fillId="3" borderId="0" xfId="0" applyFont="1" applyFill="1" applyAlignment="1" applyProtection="1">
      <alignment horizontal="center" wrapText="1"/>
      <protection hidden="1"/>
    </xf>
    <xf numFmtId="0" fontId="18" fillId="3" borderId="0" xfId="0" applyFont="1" applyFill="1" applyAlignment="1" applyProtection="1">
      <alignment vertical="center"/>
      <protection hidden="1"/>
    </xf>
    <xf numFmtId="2" fontId="18" fillId="3" borderId="13" xfId="0" applyNumberFormat="1" applyFont="1" applyFill="1" applyBorder="1" applyProtection="1">
      <protection hidden="1"/>
    </xf>
    <xf numFmtId="164" fontId="18" fillId="4" borderId="13" xfId="1" applyFont="1" applyFill="1" applyBorder="1" applyProtection="1">
      <protection locked="0"/>
    </xf>
    <xf numFmtId="1" fontId="18" fillId="3" borderId="0" xfId="0" applyNumberFormat="1" applyFont="1" applyFill="1" applyAlignment="1" applyProtection="1">
      <alignment horizontal="center"/>
      <protection hidden="1"/>
    </xf>
    <xf numFmtId="0" fontId="18" fillId="3" borderId="0" xfId="0" applyFont="1" applyFill="1" applyAlignment="1" applyProtection="1">
      <alignment horizontal="right"/>
      <protection locked="0"/>
    </xf>
    <xf numFmtId="2" fontId="15" fillId="3" borderId="0" xfId="2" applyNumberFormat="1" applyFont="1" applyFill="1" applyBorder="1" applyAlignment="1" applyProtection="1">
      <alignment horizontal="center" vertical="center"/>
      <protection hidden="1"/>
    </xf>
    <xf numFmtId="2" fontId="18" fillId="3" borderId="12" xfId="0" applyNumberFormat="1" applyFont="1" applyFill="1" applyBorder="1" applyProtection="1">
      <protection hidden="1"/>
    </xf>
    <xf numFmtId="167" fontId="18" fillId="3" borderId="0" xfId="0" applyNumberFormat="1" applyFont="1" applyFill="1" applyProtection="1">
      <protection hidden="1"/>
    </xf>
    <xf numFmtId="0" fontId="15" fillId="3" borderId="11" xfId="0" applyFont="1" applyFill="1" applyBorder="1" applyProtection="1">
      <protection hidden="1"/>
    </xf>
    <xf numFmtId="0" fontId="15" fillId="3" borderId="22" xfId="0" applyFont="1" applyFill="1" applyBorder="1" applyProtection="1">
      <protection hidden="1"/>
    </xf>
    <xf numFmtId="167" fontId="18" fillId="3" borderId="22" xfId="0" applyNumberFormat="1" applyFont="1" applyFill="1" applyBorder="1" applyProtection="1">
      <protection hidden="1"/>
    </xf>
    <xf numFmtId="0" fontId="15" fillId="3" borderId="23" xfId="0" applyFont="1" applyFill="1" applyBorder="1" applyProtection="1">
      <protection hidden="1"/>
    </xf>
    <xf numFmtId="0" fontId="21" fillId="5" borderId="8" xfId="0" applyFont="1" applyFill="1" applyBorder="1" applyProtection="1">
      <protection hidden="1"/>
    </xf>
    <xf numFmtId="0" fontId="21" fillId="5" borderId="0" xfId="0" applyFont="1" applyFill="1" applyProtection="1">
      <protection hidden="1"/>
    </xf>
    <xf numFmtId="0" fontId="15" fillId="3" borderId="0" xfId="0" applyFont="1" applyFill="1" applyAlignment="1" applyProtection="1">
      <alignment wrapText="1"/>
      <protection hidden="1"/>
    </xf>
    <xf numFmtId="0" fontId="21" fillId="3" borderId="0" xfId="0" applyFont="1" applyFill="1" applyProtection="1">
      <protection locked="0"/>
    </xf>
    <xf numFmtId="0" fontId="15" fillId="3" borderId="0" xfId="0" applyFont="1" applyFill="1"/>
    <xf numFmtId="0" fontId="21" fillId="3" borderId="0" xfId="0" applyFont="1" applyFill="1" applyProtection="1">
      <protection hidden="1"/>
    </xf>
    <xf numFmtId="0" fontId="15" fillId="3" borderId="10" xfId="0" applyFont="1" applyFill="1" applyBorder="1"/>
    <xf numFmtId="0" fontId="18" fillId="5" borderId="6" xfId="0" applyFont="1" applyFill="1" applyBorder="1" applyAlignment="1" applyProtection="1">
      <alignment horizontal="center"/>
      <protection hidden="1"/>
    </xf>
    <xf numFmtId="0" fontId="18" fillId="5" borderId="5" xfId="0" applyFont="1" applyFill="1" applyBorder="1" applyAlignment="1" applyProtection="1">
      <alignment horizontal="center"/>
      <protection hidden="1"/>
    </xf>
    <xf numFmtId="3" fontId="18" fillId="3" borderId="5" xfId="0" applyNumberFormat="1" applyFont="1" applyFill="1" applyBorder="1" applyAlignment="1" applyProtection="1">
      <alignment horizontal="center" vertical="center"/>
      <protection locked="0"/>
    </xf>
    <xf numFmtId="0" fontId="18" fillId="5" borderId="13" xfId="0" applyFont="1" applyFill="1" applyBorder="1" applyAlignment="1" applyProtection="1">
      <alignment horizontal="center"/>
      <protection hidden="1"/>
    </xf>
    <xf numFmtId="0" fontId="18" fillId="5" borderId="0" xfId="0" applyFont="1" applyFill="1" applyAlignment="1" applyProtection="1">
      <alignment horizontal="center"/>
      <protection hidden="1"/>
    </xf>
    <xf numFmtId="3" fontId="18" fillId="3" borderId="0" xfId="0" applyNumberFormat="1" applyFont="1" applyFill="1" applyAlignment="1" applyProtection="1">
      <alignment horizontal="center" vertical="center"/>
      <protection locked="0"/>
    </xf>
    <xf numFmtId="0" fontId="15" fillId="3" borderId="23" xfId="0" applyFont="1" applyFill="1" applyBorder="1"/>
    <xf numFmtId="0" fontId="21" fillId="3" borderId="8" xfId="0" applyFont="1" applyFill="1" applyBorder="1" applyAlignment="1" applyProtection="1">
      <alignment horizontal="left"/>
      <protection hidden="1"/>
    </xf>
    <xf numFmtId="0" fontId="21" fillId="3" borderId="5" xfId="0" applyFont="1" applyFill="1" applyBorder="1" applyAlignment="1" applyProtection="1">
      <alignment horizontal="left"/>
      <protection hidden="1"/>
    </xf>
    <xf numFmtId="0" fontId="21" fillId="5" borderId="13" xfId="0" applyFont="1" applyFill="1" applyBorder="1" applyProtection="1">
      <protection hidden="1"/>
    </xf>
    <xf numFmtId="0" fontId="21" fillId="3" borderId="13" xfId="0" applyFont="1" applyFill="1" applyBorder="1" applyAlignment="1" applyProtection="1">
      <alignment horizontal="left" vertical="center" wrapText="1"/>
      <protection hidden="1"/>
    </xf>
    <xf numFmtId="0" fontId="21" fillId="3" borderId="13" xfId="0" applyFont="1" applyFill="1" applyBorder="1" applyAlignment="1" applyProtection="1">
      <alignment horizontal="left" vertical="center"/>
      <protection hidden="1"/>
    </xf>
    <xf numFmtId="167" fontId="21" fillId="3" borderId="13" xfId="0" applyNumberFormat="1" applyFont="1" applyFill="1" applyBorder="1" applyAlignment="1" applyProtection="1">
      <alignment horizontal="left"/>
      <protection hidden="1"/>
    </xf>
    <xf numFmtId="0" fontId="21" fillId="3" borderId="13" xfId="0" applyFont="1" applyFill="1" applyBorder="1" applyAlignment="1" applyProtection="1">
      <alignment horizontal="left"/>
      <protection hidden="1"/>
    </xf>
    <xf numFmtId="167" fontId="24" fillId="3" borderId="13" xfId="0" applyNumberFormat="1" applyFont="1" applyFill="1" applyBorder="1" applyAlignment="1" applyProtection="1">
      <alignment horizontal="left"/>
      <protection hidden="1"/>
    </xf>
    <xf numFmtId="0" fontId="18" fillId="5" borderId="4" xfId="0" applyFont="1" applyFill="1" applyBorder="1" applyAlignment="1" applyProtection="1">
      <alignment horizontal="center" vertical="center"/>
      <protection hidden="1"/>
    </xf>
    <xf numFmtId="0" fontId="15" fillId="0" borderId="4" xfId="0" applyFont="1" applyBorder="1" applyAlignment="1" applyProtection="1">
      <alignment horizontal="center" vertical="center" wrapText="1"/>
      <protection hidden="1"/>
    </xf>
    <xf numFmtId="9" fontId="15" fillId="0" borderId="4" xfId="2" applyFont="1" applyFill="1" applyBorder="1" applyAlignment="1" applyProtection="1">
      <alignment horizontal="center" vertical="center" wrapText="1"/>
      <protection hidden="1"/>
    </xf>
    <xf numFmtId="2" fontId="15" fillId="0" borderId="4" xfId="2" applyNumberFormat="1" applyFont="1" applyFill="1" applyBorder="1" applyAlignment="1" applyProtection="1">
      <alignment horizontal="center" vertical="center"/>
      <protection hidden="1"/>
    </xf>
    <xf numFmtId="9" fontId="15" fillId="0" borderId="4" xfId="2" applyFont="1" applyFill="1" applyBorder="1" applyAlignment="1" applyProtection="1">
      <alignment horizontal="center" vertical="center"/>
      <protection hidden="1"/>
    </xf>
    <xf numFmtId="2" fontId="15" fillId="0" borderId="4" xfId="0" applyNumberFormat="1" applyFont="1" applyBorder="1" applyAlignment="1" applyProtection="1">
      <alignment horizontal="center" vertical="center"/>
      <protection hidden="1"/>
    </xf>
    <xf numFmtId="2" fontId="15" fillId="0" borderId="4" xfId="0" applyNumberFormat="1" applyFont="1" applyBorder="1" applyAlignment="1" applyProtection="1">
      <alignment horizontal="center" vertical="center" wrapText="1"/>
      <protection hidden="1"/>
    </xf>
    <xf numFmtId="0" fontId="22" fillId="5" borderId="0" xfId="7" applyFont="1" applyFill="1" applyAlignment="1" applyProtection="1">
      <alignment horizontal="left" vertical="center" wrapText="1"/>
      <protection hidden="1"/>
    </xf>
    <xf numFmtId="0" fontId="15" fillId="0" borderId="4" xfId="0" applyFont="1" applyBorder="1" applyAlignment="1" applyProtection="1">
      <alignment horizontal="center" vertical="top" wrapText="1"/>
      <protection hidden="1"/>
    </xf>
    <xf numFmtId="2" fontId="15" fillId="0" borderId="4" xfId="1" applyNumberFormat="1" applyFont="1" applyFill="1" applyBorder="1" applyAlignment="1" applyProtection="1">
      <alignment horizontal="center" vertical="center"/>
      <protection hidden="1"/>
    </xf>
    <xf numFmtId="2" fontId="15" fillId="5" borderId="0" xfId="1" applyNumberFormat="1" applyFont="1" applyFill="1" applyBorder="1" applyAlignment="1" applyProtection="1">
      <alignment horizontal="center" vertical="center"/>
      <protection hidden="1"/>
    </xf>
    <xf numFmtId="0" fontId="15" fillId="5" borderId="4" xfId="0" applyFont="1" applyFill="1" applyBorder="1" applyAlignment="1" applyProtection="1">
      <alignment horizontal="center" vertical="center" wrapText="1"/>
      <protection hidden="1"/>
    </xf>
    <xf numFmtId="2" fontId="15" fillId="5" borderId="4" xfId="0" applyNumberFormat="1" applyFont="1" applyFill="1" applyBorder="1" applyAlignment="1" applyProtection="1">
      <alignment horizontal="center" vertical="center"/>
      <protection hidden="1"/>
    </xf>
    <xf numFmtId="9" fontId="15" fillId="5" borderId="4" xfId="2" applyFont="1" applyFill="1" applyBorder="1" applyAlignment="1" applyProtection="1">
      <alignment horizontal="center" vertical="center"/>
      <protection hidden="1"/>
    </xf>
    <xf numFmtId="0" fontId="18" fillId="5" borderId="4" xfId="0" applyFont="1" applyFill="1" applyBorder="1" applyAlignment="1" applyProtection="1">
      <alignment vertical="center"/>
      <protection hidden="1"/>
    </xf>
    <xf numFmtId="2" fontId="18" fillId="5" borderId="4" xfId="0" applyNumberFormat="1" applyFont="1" applyFill="1" applyBorder="1" applyAlignment="1" applyProtection="1">
      <alignment horizontal="center" vertical="center" wrapText="1"/>
      <protection hidden="1"/>
    </xf>
    <xf numFmtId="0" fontId="15" fillId="5" borderId="8" xfId="0" applyFont="1" applyFill="1" applyBorder="1" applyAlignment="1" applyProtection="1">
      <alignment vertical="center"/>
      <protection hidden="1"/>
    </xf>
    <xf numFmtId="0" fontId="18" fillId="5" borderId="8" xfId="0" applyFont="1" applyFill="1" applyBorder="1" applyAlignment="1" applyProtection="1">
      <alignment vertical="center"/>
      <protection hidden="1"/>
    </xf>
    <xf numFmtId="2" fontId="15" fillId="5" borderId="0" xfId="0" applyNumberFormat="1" applyFont="1" applyFill="1" applyProtection="1">
      <protection hidden="1"/>
    </xf>
    <xf numFmtId="0" fontId="15" fillId="5" borderId="0" xfId="0" applyFont="1" applyFill="1"/>
    <xf numFmtId="0" fontId="15" fillId="5" borderId="0" xfId="0" applyFont="1" applyFill="1" applyAlignment="1" applyProtection="1">
      <alignment vertical="center" wrapText="1"/>
      <protection hidden="1"/>
    </xf>
    <xf numFmtId="10" fontId="25" fillId="3" borderId="0" xfId="8" applyNumberFormat="1" applyFont="1" applyFill="1" applyBorder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right"/>
      <protection hidden="1"/>
    </xf>
    <xf numFmtId="0" fontId="19" fillId="5" borderId="0" xfId="0" applyFont="1" applyFill="1" applyAlignment="1" applyProtection="1">
      <alignment horizontal="right"/>
      <protection hidden="1"/>
    </xf>
    <xf numFmtId="1" fontId="15" fillId="3" borderId="0" xfId="0" applyNumberFormat="1" applyFont="1" applyFill="1" applyAlignment="1" applyProtection="1">
      <alignment horizontal="center"/>
      <protection hidden="1"/>
    </xf>
    <xf numFmtId="0" fontId="15" fillId="5" borderId="11" xfId="0" applyFont="1" applyFill="1" applyBorder="1" applyProtection="1">
      <protection hidden="1"/>
    </xf>
    <xf numFmtId="0" fontId="15" fillId="5" borderId="22" xfId="0" applyFont="1" applyFill="1" applyBorder="1" applyProtection="1">
      <protection hidden="1"/>
    </xf>
    <xf numFmtId="0" fontId="19" fillId="5" borderId="22" xfId="0" applyFont="1" applyFill="1" applyBorder="1" applyProtection="1">
      <protection hidden="1"/>
    </xf>
    <xf numFmtId="0" fontId="15" fillId="5" borderId="23" xfId="0" applyFont="1" applyFill="1" applyBorder="1" applyProtection="1">
      <protection hidden="1"/>
    </xf>
    <xf numFmtId="0" fontId="18" fillId="5" borderId="8" xfId="0" applyFont="1" applyFill="1" applyBorder="1" applyAlignment="1" applyProtection="1">
      <alignment horizontal="left" vertical="center" wrapText="1"/>
      <protection hidden="1"/>
    </xf>
    <xf numFmtId="11" fontId="0" fillId="0" borderId="0" xfId="0" applyNumberFormat="1"/>
    <xf numFmtId="9" fontId="15" fillId="5" borderId="0" xfId="0" applyNumberFormat="1" applyFont="1" applyFill="1" applyAlignment="1" applyProtection="1">
      <alignment horizontal="center"/>
      <protection hidden="1"/>
    </xf>
    <xf numFmtId="0" fontId="5" fillId="0" borderId="0" xfId="3"/>
    <xf numFmtId="168" fontId="18" fillId="4" borderId="13" xfId="0" applyNumberFormat="1" applyFont="1" applyFill="1" applyBorder="1" applyAlignment="1" applyProtection="1">
      <alignment horizontal="center" vertical="center"/>
      <protection locked="0"/>
    </xf>
    <xf numFmtId="2" fontId="28" fillId="11" borderId="28" xfId="2" applyNumberFormat="1" applyFont="1" applyFill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vertical="center" wrapText="1"/>
      <protection hidden="1"/>
    </xf>
    <xf numFmtId="0" fontId="15" fillId="3" borderId="13" xfId="0" applyFont="1" applyFill="1" applyBorder="1" applyAlignment="1" applyProtection="1">
      <alignment vertical="center" wrapText="1"/>
      <protection hidden="1"/>
    </xf>
    <xf numFmtId="0" fontId="27" fillId="12" borderId="31" xfId="0" applyFont="1" applyFill="1" applyBorder="1" applyAlignment="1" applyProtection="1">
      <alignment horizontal="center" vertical="center"/>
      <protection hidden="1"/>
    </xf>
    <xf numFmtId="0" fontId="27" fillId="12" borderId="32" xfId="0" applyFont="1" applyFill="1" applyBorder="1" applyAlignment="1" applyProtection="1">
      <alignment horizontal="center" vertical="center"/>
      <protection hidden="1"/>
    </xf>
    <xf numFmtId="0" fontId="18" fillId="5" borderId="33" xfId="0" applyFont="1" applyFill="1" applyBorder="1" applyAlignment="1" applyProtection="1">
      <alignment horizontal="left" vertical="center"/>
      <protection hidden="1"/>
    </xf>
    <xf numFmtId="0" fontId="15" fillId="5" borderId="4" xfId="0" applyFont="1" applyFill="1" applyBorder="1" applyAlignment="1" applyProtection="1">
      <alignment horizontal="center" vertical="center"/>
      <protection hidden="1"/>
    </xf>
    <xf numFmtId="0" fontId="18" fillId="5" borderId="35" xfId="0" applyFont="1" applyFill="1" applyBorder="1" applyAlignment="1" applyProtection="1">
      <alignment horizontal="left" vertical="center"/>
      <protection hidden="1"/>
    </xf>
    <xf numFmtId="0" fontId="15" fillId="5" borderId="36" xfId="0" applyFont="1" applyFill="1" applyBorder="1" applyAlignment="1" applyProtection="1">
      <alignment horizontal="center" vertical="center"/>
      <protection hidden="1"/>
    </xf>
    <xf numFmtId="170" fontId="27" fillId="5" borderId="34" xfId="0" applyNumberFormat="1" applyFont="1" applyFill="1" applyBorder="1" applyAlignment="1" applyProtection="1">
      <alignment horizontal="center" vertical="center"/>
      <protection hidden="1"/>
    </xf>
    <xf numFmtId="169" fontId="27" fillId="5" borderId="4" xfId="2" applyNumberFormat="1" applyFont="1" applyFill="1" applyBorder="1" applyAlignment="1" applyProtection="1">
      <alignment horizontal="center" vertical="center"/>
      <protection hidden="1"/>
    </xf>
    <xf numFmtId="171" fontId="27" fillId="5" borderId="34" xfId="0" applyNumberFormat="1" applyFont="1" applyFill="1" applyBorder="1" applyAlignment="1" applyProtection="1">
      <alignment horizontal="center" vertical="center"/>
      <protection hidden="1"/>
    </xf>
    <xf numFmtId="169" fontId="27" fillId="5" borderId="36" xfId="2" applyNumberFormat="1" applyFont="1" applyFill="1" applyBorder="1" applyAlignment="1" applyProtection="1">
      <alignment horizontal="center" vertical="center"/>
      <protection hidden="1"/>
    </xf>
    <xf numFmtId="9" fontId="15" fillId="5" borderId="0" xfId="2" applyFont="1" applyFill="1"/>
    <xf numFmtId="170" fontId="27" fillId="5" borderId="37" xfId="0" applyNumberFormat="1" applyFont="1" applyFill="1" applyBorder="1" applyAlignment="1" applyProtection="1">
      <alignment horizontal="center" vertical="center"/>
      <protection hidden="1"/>
    </xf>
    <xf numFmtId="169" fontId="27" fillId="5" borderId="34" xfId="2" applyNumberFormat="1" applyFont="1" applyFill="1" applyBorder="1" applyAlignment="1" applyProtection="1">
      <alignment horizontal="center" vertical="center"/>
      <protection hidden="1"/>
    </xf>
    <xf numFmtId="0" fontId="29" fillId="5" borderId="8" xfId="0" applyFont="1" applyFill="1" applyBorder="1" applyProtection="1">
      <protection hidden="1"/>
    </xf>
    <xf numFmtId="0" fontId="18" fillId="4" borderId="13" xfId="0" applyFont="1" applyFill="1" applyBorder="1" applyAlignment="1" applyProtection="1">
      <alignment horizontal="center" vertical="center" wrapText="1"/>
      <protection locked="0" hidden="1"/>
    </xf>
    <xf numFmtId="0" fontId="18" fillId="4" borderId="13" xfId="0" applyFont="1" applyFill="1" applyBorder="1" applyAlignment="1" applyProtection="1">
      <alignment horizontal="center" vertical="center"/>
      <protection locked="0" hidden="1"/>
    </xf>
    <xf numFmtId="0" fontId="18" fillId="4" borderId="13" xfId="0" applyFont="1" applyFill="1" applyBorder="1" applyAlignment="1" applyProtection="1">
      <alignment horizontal="center" wrapText="1"/>
      <protection locked="0" hidden="1"/>
    </xf>
    <xf numFmtId="0" fontId="21" fillId="4" borderId="13" xfId="0" applyFont="1" applyFill="1" applyBorder="1" applyAlignment="1" applyProtection="1">
      <alignment horizontal="left"/>
      <protection locked="0" hidden="1"/>
    </xf>
    <xf numFmtId="0" fontId="0" fillId="4" borderId="4" xfId="0" applyFill="1" applyBorder="1" applyProtection="1">
      <protection locked="0"/>
    </xf>
    <xf numFmtId="3" fontId="0" fillId="10" borderId="4" xfId="0" applyNumberFormat="1" applyFill="1" applyBorder="1" applyProtection="1">
      <protection locked="0"/>
    </xf>
    <xf numFmtId="167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10" borderId="4" xfId="0" applyFill="1" applyBorder="1" applyProtection="1">
      <protection locked="0"/>
    </xf>
    <xf numFmtId="1" fontId="0" fillId="10" borderId="4" xfId="0" applyNumberFormat="1" applyFill="1" applyBorder="1" applyProtection="1">
      <protection locked="0"/>
    </xf>
    <xf numFmtId="167" fontId="14" fillId="0" borderId="0" xfId="0" applyNumberFormat="1" applyFont="1" applyAlignment="1" applyProtection="1">
      <alignment horizontal="center"/>
      <protection hidden="1"/>
    </xf>
    <xf numFmtId="2" fontId="14" fillId="0" borderId="0" xfId="0" applyNumberFormat="1" applyFont="1" applyAlignment="1" applyProtection="1">
      <alignment horizontal="center"/>
      <protection hidden="1"/>
    </xf>
    <xf numFmtId="1" fontId="14" fillId="0" borderId="4" xfId="2" applyNumberFormat="1" applyFont="1" applyBorder="1" applyProtection="1">
      <protection hidden="1"/>
    </xf>
    <xf numFmtId="2" fontId="0" fillId="0" borderId="4" xfId="0" applyNumberFormat="1" applyBorder="1" applyProtection="1">
      <protection hidden="1"/>
    </xf>
    <xf numFmtId="2" fontId="12" fillId="0" borderId="0" xfId="0" applyNumberFormat="1" applyFont="1" applyAlignment="1" applyProtection="1">
      <alignment horizontal="left" indent="2"/>
      <protection hidden="1"/>
    </xf>
    <xf numFmtId="2" fontId="14" fillId="0" borderId="0" xfId="0" applyNumberFormat="1" applyFont="1" applyProtection="1">
      <protection hidden="1"/>
    </xf>
    <xf numFmtId="0" fontId="0" fillId="0" borderId="4" xfId="0" applyBorder="1" applyProtection="1">
      <protection hidden="1"/>
    </xf>
    <xf numFmtId="2" fontId="14" fillId="0" borderId="4" xfId="0" applyNumberFormat="1" applyFont="1" applyBorder="1" applyProtection="1">
      <protection hidden="1"/>
    </xf>
    <xf numFmtId="167" fontId="0" fillId="0" borderId="4" xfId="0" applyNumberFormat="1" applyBorder="1" applyProtection="1">
      <protection hidden="1"/>
    </xf>
    <xf numFmtId="0" fontId="14" fillId="0" borderId="0" xfId="0" applyFont="1" applyProtection="1">
      <protection hidden="1"/>
    </xf>
    <xf numFmtId="2" fontId="18" fillId="4" borderId="16" xfId="4" applyNumberFormat="1" applyFont="1" applyFill="1" applyBorder="1" applyAlignment="1" applyProtection="1">
      <alignment horizontal="center" vertical="center"/>
      <protection locked="0"/>
    </xf>
    <xf numFmtId="9" fontId="28" fillId="13" borderId="13" xfId="0" applyNumberFormat="1" applyFont="1" applyFill="1" applyBorder="1" applyAlignment="1" applyProtection="1">
      <alignment horizontal="center"/>
      <protection hidden="1"/>
    </xf>
    <xf numFmtId="3" fontId="28" fillId="13" borderId="13" xfId="0" applyNumberFormat="1" applyFont="1" applyFill="1" applyBorder="1" applyAlignment="1" applyProtection="1">
      <alignment horizontal="center"/>
      <protection hidden="1"/>
    </xf>
    <xf numFmtId="1" fontId="28" fillId="13" borderId="13" xfId="0" applyNumberFormat="1" applyFont="1" applyFill="1" applyBorder="1" applyAlignment="1" applyProtection="1">
      <alignment horizontal="center"/>
      <protection hidden="1"/>
    </xf>
    <xf numFmtId="0" fontId="15" fillId="5" borderId="0" xfId="0" applyFont="1" applyFill="1" applyAlignment="1" applyProtection="1">
      <alignment horizontal="left"/>
      <protection hidden="1"/>
    </xf>
    <xf numFmtId="0" fontId="5" fillId="3" borderId="13" xfId="3" applyFill="1" applyBorder="1" applyAlignment="1" applyProtection="1">
      <alignment horizontal="left"/>
      <protection hidden="1"/>
    </xf>
    <xf numFmtId="3" fontId="18" fillId="3" borderId="13" xfId="0" applyNumberFormat="1" applyFont="1" applyFill="1" applyBorder="1" applyAlignment="1" applyProtection="1">
      <alignment horizontal="center" vertical="center"/>
      <protection hidden="1"/>
    </xf>
    <xf numFmtId="0" fontId="26" fillId="11" borderId="14" xfId="0" applyFont="1" applyFill="1" applyBorder="1" applyAlignment="1" applyProtection="1">
      <alignment horizontal="center" vertical="center" wrapText="1"/>
      <protection hidden="1"/>
    </xf>
    <xf numFmtId="0" fontId="26" fillId="11" borderId="27" xfId="0" applyFont="1" applyFill="1" applyBorder="1" applyAlignment="1" applyProtection="1">
      <alignment horizontal="center" vertical="center" wrapText="1"/>
      <protection hidden="1"/>
    </xf>
    <xf numFmtId="0" fontId="18" fillId="12" borderId="29" xfId="0" applyFont="1" applyFill="1" applyBorder="1" applyAlignment="1" applyProtection="1">
      <alignment horizontal="center" vertical="center"/>
      <protection hidden="1"/>
    </xf>
    <xf numFmtId="0" fontId="18" fillId="12" borderId="30" xfId="0" applyFont="1" applyFill="1" applyBorder="1" applyAlignment="1" applyProtection="1">
      <alignment horizontal="center" vertical="center"/>
      <protection hidden="1"/>
    </xf>
    <xf numFmtId="0" fontId="15" fillId="5" borderId="22" xfId="0" applyFont="1" applyFill="1" applyBorder="1" applyAlignment="1">
      <alignment horizontal="left" vertical="center" wrapText="1"/>
    </xf>
    <xf numFmtId="0" fontId="18" fillId="5" borderId="6" xfId="0" applyFont="1" applyFill="1" applyBorder="1" applyAlignment="1" applyProtection="1">
      <alignment horizontal="center" vertical="center"/>
      <protection hidden="1"/>
    </xf>
    <xf numFmtId="0" fontId="18" fillId="5" borderId="11" xfId="0" applyFont="1" applyFill="1" applyBorder="1" applyAlignment="1" applyProtection="1">
      <alignment horizontal="center" vertical="center"/>
      <protection hidden="1"/>
    </xf>
    <xf numFmtId="165" fontId="18" fillId="4" borderId="14" xfId="0" applyNumberFormat="1" applyFont="1" applyFill="1" applyBorder="1" applyAlignment="1" applyProtection="1">
      <alignment horizontal="center" vertical="center"/>
      <protection locked="0"/>
    </xf>
    <xf numFmtId="165" fontId="18" fillId="4" borderId="12" xfId="0" applyNumberFormat="1" applyFont="1" applyFill="1" applyBorder="1" applyAlignment="1" applyProtection="1">
      <alignment horizontal="center" vertical="center"/>
      <protection locked="0"/>
    </xf>
    <xf numFmtId="0" fontId="17" fillId="7" borderId="1" xfId="0" applyFont="1" applyFill="1" applyBorder="1" applyAlignment="1" applyProtection="1">
      <alignment horizontal="center" vertical="center"/>
      <protection hidden="1"/>
    </xf>
    <xf numFmtId="0" fontId="17" fillId="7" borderId="2" xfId="0" applyFont="1" applyFill="1" applyBorder="1" applyAlignment="1" applyProtection="1">
      <alignment horizontal="center" vertical="center"/>
      <protection hidden="1"/>
    </xf>
    <xf numFmtId="0" fontId="17" fillId="7" borderId="3" xfId="0" applyFont="1" applyFill="1" applyBorder="1" applyAlignment="1" applyProtection="1">
      <alignment horizontal="center" vertical="center"/>
      <protection hidden="1"/>
    </xf>
    <xf numFmtId="0" fontId="22" fillId="5" borderId="0" xfId="7" applyFont="1" applyFill="1" applyAlignment="1" applyProtection="1">
      <alignment horizontal="left" vertical="center" wrapText="1"/>
      <protection hidden="1"/>
    </xf>
    <xf numFmtId="0" fontId="22" fillId="5" borderId="0" xfId="0" applyFont="1" applyFill="1" applyAlignment="1" applyProtection="1">
      <alignment horizontal="left" vertical="top" wrapText="1"/>
      <protection hidden="1"/>
    </xf>
    <xf numFmtId="0" fontId="18" fillId="5" borderId="4" xfId="0" applyFont="1" applyFill="1" applyBorder="1" applyAlignment="1" applyProtection="1">
      <alignment horizontal="center" vertical="center"/>
      <protection hidden="1"/>
    </xf>
    <xf numFmtId="0" fontId="18" fillId="5" borderId="2" xfId="0" applyFont="1" applyFill="1" applyBorder="1" applyAlignment="1" applyProtection="1">
      <alignment horizontal="center" vertical="center"/>
      <protection hidden="1"/>
    </xf>
    <xf numFmtId="0" fontId="18" fillId="5" borderId="3" xfId="0" applyFont="1" applyFill="1" applyBorder="1" applyAlignment="1" applyProtection="1">
      <alignment horizontal="center" vertical="center"/>
      <protection hidden="1"/>
    </xf>
    <xf numFmtId="3" fontId="18" fillId="4" borderId="13" xfId="0" applyNumberFormat="1" applyFont="1" applyFill="1" applyBorder="1" applyAlignment="1" applyProtection="1">
      <alignment horizontal="center" vertical="center"/>
      <protection locked="0"/>
    </xf>
    <xf numFmtId="0" fontId="18" fillId="3" borderId="0" xfId="4" applyFont="1" applyFill="1" applyAlignment="1" applyProtection="1">
      <alignment horizontal="left" vertical="center"/>
      <protection hidden="1"/>
    </xf>
    <xf numFmtId="0" fontId="18" fillId="5" borderId="14" xfId="0" applyFont="1" applyFill="1" applyBorder="1" applyAlignment="1" applyProtection="1">
      <alignment horizontal="center" vertical="center" wrapText="1"/>
      <protection hidden="1"/>
    </xf>
    <xf numFmtId="0" fontId="18" fillId="5" borderId="12" xfId="0" applyFont="1" applyFill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 wrapText="1"/>
      <protection hidden="1"/>
    </xf>
    <xf numFmtId="0" fontId="18" fillId="5" borderId="3" xfId="0" applyFont="1" applyFill="1" applyBorder="1" applyAlignment="1" applyProtection="1">
      <alignment horizontal="center" wrapText="1"/>
      <protection hidden="1"/>
    </xf>
    <xf numFmtId="3" fontId="18" fillId="4" borderId="6" xfId="0" applyNumberFormat="1" applyFont="1" applyFill="1" applyBorder="1" applyAlignment="1" applyProtection="1">
      <alignment horizontal="center" vertical="center"/>
      <protection locked="0"/>
    </xf>
    <xf numFmtId="3" fontId="18" fillId="4" borderId="7" xfId="0" applyNumberFormat="1" applyFont="1" applyFill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 wrapText="1"/>
      <protection hidden="1"/>
    </xf>
    <xf numFmtId="3" fontId="18" fillId="4" borderId="1" xfId="0" applyNumberFormat="1" applyFont="1" applyFill="1" applyBorder="1" applyAlignment="1" applyProtection="1">
      <alignment horizontal="center" vertical="center"/>
      <protection locked="0"/>
    </xf>
    <xf numFmtId="3" fontId="18" fillId="4" borderId="3" xfId="0" applyNumberFormat="1" applyFont="1" applyFill="1" applyBorder="1" applyAlignment="1" applyProtection="1">
      <alignment horizontal="center" vertical="center"/>
      <protection locked="0"/>
    </xf>
    <xf numFmtId="0" fontId="18" fillId="3" borderId="8" xfId="4" applyFont="1" applyFill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center" vertical="center" wrapText="1"/>
      <protection hidden="1"/>
    </xf>
    <xf numFmtId="0" fontId="18" fillId="0" borderId="12" xfId="0" applyFont="1" applyBorder="1" applyAlignment="1" applyProtection="1">
      <alignment horizontal="center" vertical="center" wrapText="1"/>
      <protection hidden="1"/>
    </xf>
    <xf numFmtId="0" fontId="18" fillId="0" borderId="19" xfId="0" applyFont="1" applyBorder="1" applyAlignment="1" applyProtection="1">
      <alignment horizontal="center" vertical="center" wrapText="1"/>
      <protection hidden="1"/>
    </xf>
    <xf numFmtId="0" fontId="18" fillId="0" borderId="17" xfId="0" applyFont="1" applyBorder="1" applyAlignment="1" applyProtection="1">
      <alignment horizontal="center" vertical="center" wrapText="1"/>
      <protection hidden="1"/>
    </xf>
    <xf numFmtId="0" fontId="18" fillId="0" borderId="20" xfId="0" applyFont="1" applyBorder="1" applyAlignment="1" applyProtection="1">
      <alignment horizontal="center" vertical="center" wrapText="1"/>
      <protection hidden="1"/>
    </xf>
    <xf numFmtId="0" fontId="18" fillId="0" borderId="21" xfId="0" applyFont="1" applyBorder="1" applyAlignment="1" applyProtection="1">
      <alignment horizontal="center" vertical="center" wrapText="1"/>
      <protection hidden="1"/>
    </xf>
    <xf numFmtId="0" fontId="18" fillId="5" borderId="22" xfId="0" applyFont="1" applyFill="1" applyBorder="1" applyAlignment="1" applyProtection="1">
      <alignment horizontal="center" vertical="center"/>
      <protection hidden="1"/>
    </xf>
    <xf numFmtId="0" fontId="18" fillId="5" borderId="13" xfId="0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Alignment="1" applyProtection="1">
      <alignment horizontal="center" vertical="center" wrapText="1"/>
      <protection hidden="1"/>
    </xf>
    <xf numFmtId="0" fontId="18" fillId="5" borderId="1" xfId="0" applyFont="1" applyFill="1" applyBorder="1" applyAlignment="1" applyProtection="1">
      <alignment horizontal="center" vertical="center"/>
      <protection hidden="1"/>
    </xf>
    <xf numFmtId="0" fontId="21" fillId="8" borderId="1" xfId="0" applyFont="1" applyFill="1" applyBorder="1" applyAlignment="1" applyProtection="1">
      <alignment horizontal="left"/>
      <protection hidden="1"/>
    </xf>
    <xf numFmtId="0" fontId="21" fillId="8" borderId="2" xfId="0" applyFont="1" applyFill="1" applyBorder="1" applyAlignment="1" applyProtection="1">
      <alignment horizontal="left"/>
      <protection hidden="1"/>
    </xf>
    <xf numFmtId="0" fontId="21" fillId="8" borderId="3" xfId="0" applyFont="1" applyFill="1" applyBorder="1" applyAlignment="1" applyProtection="1">
      <alignment horizontal="left"/>
      <protection hidden="1"/>
    </xf>
    <xf numFmtId="0" fontId="18" fillId="5" borderId="9" xfId="0" applyFont="1" applyFill="1" applyBorder="1" applyAlignment="1" applyProtection="1">
      <alignment horizontal="center" vertical="center" wrapText="1"/>
      <protection hidden="1"/>
    </xf>
    <xf numFmtId="0" fontId="15" fillId="0" borderId="12" xfId="0" applyFont="1" applyBorder="1" applyProtection="1">
      <protection hidden="1"/>
    </xf>
    <xf numFmtId="0" fontId="15" fillId="0" borderId="12" xfId="0" applyFont="1" applyBorder="1" applyAlignment="1" applyProtection="1">
      <alignment wrapText="1"/>
      <protection hidden="1"/>
    </xf>
    <xf numFmtId="0" fontId="17" fillId="2" borderId="1" xfId="0" applyFont="1" applyFill="1" applyBorder="1" applyAlignment="1" applyProtection="1">
      <alignment horizontal="center" vertical="center"/>
      <protection hidden="1"/>
    </xf>
    <xf numFmtId="0" fontId="17" fillId="2" borderId="2" xfId="0" applyFont="1" applyFill="1" applyBorder="1" applyAlignment="1" applyProtection="1">
      <alignment horizontal="center" vertical="center"/>
      <protection hidden="1"/>
    </xf>
    <xf numFmtId="0" fontId="17" fillId="2" borderId="3" xfId="0" applyFont="1" applyFill="1" applyBorder="1" applyAlignment="1" applyProtection="1">
      <alignment horizontal="center" vertical="center"/>
      <protection hidden="1"/>
    </xf>
    <xf numFmtId="0" fontId="18" fillId="5" borderId="8" xfId="0" applyFont="1" applyFill="1" applyBorder="1" applyAlignment="1" applyProtection="1">
      <alignment horizontal="center" vertical="center"/>
      <protection hidden="1"/>
    </xf>
    <xf numFmtId="0" fontId="18" fillId="4" borderId="9" xfId="0" applyFont="1" applyFill="1" applyBorder="1" applyAlignment="1" applyProtection="1">
      <alignment horizontal="center" vertical="center"/>
      <protection locked="0"/>
    </xf>
    <xf numFmtId="0" fontId="18" fillId="4" borderId="12" xfId="0" applyFont="1" applyFill="1" applyBorder="1" applyAlignment="1" applyProtection="1">
      <alignment horizontal="center" vertical="center"/>
      <protection locked="0"/>
    </xf>
    <xf numFmtId="0" fontId="18" fillId="3" borderId="1" xfId="0" applyFont="1" applyFill="1" applyBorder="1" applyAlignment="1" applyProtection="1">
      <alignment horizontal="center" vertical="top" wrapText="1"/>
      <protection hidden="1"/>
    </xf>
    <xf numFmtId="0" fontId="18" fillId="3" borderId="3" xfId="0" applyFont="1" applyFill="1" applyBorder="1" applyAlignment="1" applyProtection="1">
      <alignment horizontal="center" vertical="top" wrapText="1"/>
      <protection hidden="1"/>
    </xf>
    <xf numFmtId="0" fontId="15" fillId="4" borderId="1" xfId="0" applyFont="1" applyFill="1" applyBorder="1" applyAlignment="1" applyProtection="1">
      <alignment horizontal="center" vertical="top" wrapText="1"/>
      <protection locked="0"/>
    </xf>
    <xf numFmtId="0" fontId="15" fillId="4" borderId="2" xfId="0" applyFont="1" applyFill="1" applyBorder="1" applyAlignment="1" applyProtection="1">
      <alignment horizontal="center" vertical="top" wrapText="1"/>
      <protection locked="0"/>
    </xf>
    <xf numFmtId="0" fontId="15" fillId="4" borderId="3" xfId="0" applyFont="1" applyFill="1" applyBorder="1" applyAlignment="1" applyProtection="1">
      <alignment horizontal="center" vertical="top" wrapText="1"/>
      <protection locked="0"/>
    </xf>
    <xf numFmtId="0" fontId="26" fillId="5" borderId="1" xfId="0" applyFont="1" applyFill="1" applyBorder="1" applyAlignment="1" applyProtection="1">
      <alignment horizontal="left"/>
      <protection hidden="1"/>
    </xf>
    <xf numFmtId="0" fontId="26" fillId="5" borderId="3" xfId="0" applyFont="1" applyFill="1" applyBorder="1" applyAlignment="1" applyProtection="1">
      <alignment horizontal="left"/>
      <protection hidden="1"/>
    </xf>
    <xf numFmtId="0" fontId="3" fillId="4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center" wrapText="1"/>
    </xf>
    <xf numFmtId="0" fontId="3" fillId="4" borderId="25" xfId="0" applyFont="1" applyFill="1" applyBorder="1" applyAlignment="1">
      <alignment horizontal="center" wrapText="1"/>
    </xf>
    <xf numFmtId="0" fontId="4" fillId="3" borderId="4" xfId="0" applyFont="1" applyFill="1" applyBorder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>
      <alignment horizontal="left"/>
    </xf>
  </cellXfs>
  <cellStyles count="9">
    <cellStyle name="Hipervínculo" xfId="3" builtinId="8"/>
    <cellStyle name="Millares" xfId="1" builtinId="3"/>
    <cellStyle name="Millares 2" xfId="5" xr:uid="{4DAC6B3A-7642-44CC-83B4-216877AA2B94}"/>
    <cellStyle name="Normal" xfId="0" builtinId="0"/>
    <cellStyle name="Normal 2" xfId="7" xr:uid="{430E231B-5606-44AD-9A01-3B758BA9D72C}"/>
    <cellStyle name="Normal 3" xfId="6" xr:uid="{DB2B9E72-2752-48F0-80E9-10524B634C1F}"/>
    <cellStyle name="Normal_Hoja1" xfId="4" xr:uid="{9A022D6E-BA03-4CEF-B47A-F929CFC0AEC5}"/>
    <cellStyle name="Porcentaje" xfId="2" builtinId="5"/>
    <cellStyle name="Porcentaje 2" xfId="8" xr:uid="{C214AB35-4776-40DB-82B8-E1485400060E}"/>
  </cellStyles>
  <dxfs count="5"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/>
      </fill>
    </dxf>
    <dxf>
      <fill>
        <patternFill patternType="darkUp"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microsoft.com/office/2017/10/relationships/person" Target="persons/perso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862852</xdr:colOff>
      <xdr:row>151</xdr:row>
      <xdr:rowOff>168088</xdr:rowOff>
    </xdr:from>
    <xdr:to>
      <xdr:col>9</xdr:col>
      <xdr:colOff>717176</xdr:colOff>
      <xdr:row>158</xdr:row>
      <xdr:rowOff>358588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FE734E56-D8AD-45FE-9884-B5A1FF3C2199}"/>
            </a:ext>
          </a:extLst>
        </xdr:cNvPr>
        <xdr:cNvSpPr txBox="1">
          <a:spLocks noChangeArrowheads="1"/>
        </xdr:cNvSpPr>
      </xdr:nvSpPr>
      <xdr:spPr bwMode="auto">
        <a:xfrm>
          <a:off x="8381999" y="40789412"/>
          <a:ext cx="7126942" cy="214032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ctr" upright="1"/>
        <a:lstStyle/>
        <a:p>
          <a:pPr algn="ctr" rtl="0">
            <a:defRPr sz="1000"/>
          </a:pPr>
          <a:r>
            <a:rPr lang="es-ES" sz="1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Los resultados presentados constituyen una estimación basada en la información ingresada y en la normativa vigente, y tienen carácter meramente orientativo. No implican aprobación, no generan derecho alguno, ni garantizan el otorgamiento de beneficios fiscales, los cuales quedan sujetos a la evaluación técnica y resolución final de COMAP.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437029</xdr:colOff>
      <xdr:row>3</xdr:row>
      <xdr:rowOff>11205</xdr:rowOff>
    </xdr:from>
    <xdr:to>
      <xdr:col>5</xdr:col>
      <xdr:colOff>493059</xdr:colOff>
      <xdr:row>8</xdr:row>
      <xdr:rowOff>22412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AAC77D44-CA34-4EA3-98F6-3BDCD97BBC66}"/>
            </a:ext>
          </a:extLst>
        </xdr:cNvPr>
        <xdr:cNvSpPr/>
      </xdr:nvSpPr>
      <xdr:spPr>
        <a:xfrm>
          <a:off x="8023411" y="582705"/>
          <a:ext cx="1580030" cy="963707"/>
        </a:xfrm>
        <a:prstGeom prst="rect">
          <a:avLst/>
        </a:prstGeom>
        <a:solidFill>
          <a:schemeClr val="bg1"/>
        </a:solidFill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>
              <a:solidFill>
                <a:schemeClr val="tx1">
                  <a:lumMod val="75000"/>
                  <a:lumOff val="25000"/>
                </a:schemeClr>
              </a:solidFill>
            </a:rPr>
            <a:t>Ingresar porcentajes sin "%". Por ejemplo, si la tasa es 70,5%, ingresar 70,5.</a:t>
          </a: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cu.gub.uy/Estadisticas-e-Indicadores/Paginas/Cotizaciones.aspx" TargetMode="External"/><Relationship Id="rId1" Type="http://schemas.openxmlformats.org/officeDocument/2006/relationships/hyperlink" Target="https://www.gub.uy/instituto-nacional-estadistica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44D8-C0B5-4F61-91D6-AF57887CE191}">
  <dimension ref="A1:T186"/>
  <sheetViews>
    <sheetView showGridLines="0" tabSelected="1" topLeftCell="A146" zoomScale="85" zoomScaleNormal="85" workbookViewId="0">
      <selection activeCell="C144" sqref="C144"/>
    </sheetView>
  </sheetViews>
  <sheetFormatPr baseColWidth="10" defaultColWidth="11.42578125" defaultRowHeight="12.75" x14ac:dyDescent="0.2"/>
  <cols>
    <col min="1" max="1" width="2" style="5" customWidth="1"/>
    <col min="2" max="2" width="53" style="9" customWidth="1"/>
    <col min="3" max="3" width="34.42578125" style="9" customWidth="1"/>
    <col min="4" max="4" width="23.42578125" style="9" customWidth="1"/>
    <col min="5" max="5" width="25.85546875" style="9" customWidth="1"/>
    <col min="6" max="7" width="18" style="9" customWidth="1"/>
    <col min="8" max="8" width="24.85546875" style="9" customWidth="1"/>
    <col min="9" max="9" width="22.42578125" style="9" customWidth="1"/>
    <col min="10" max="10" width="18" style="9" customWidth="1"/>
    <col min="11" max="11" width="21.28515625" style="9" customWidth="1"/>
    <col min="12" max="12" width="21.7109375" style="9" customWidth="1"/>
    <col min="13" max="13" width="18" style="9" customWidth="1"/>
    <col min="14" max="14" width="14.28515625" style="9" customWidth="1"/>
    <col min="15" max="16" width="11.42578125" style="9" customWidth="1"/>
    <col min="17" max="17" width="17.7109375" style="9" customWidth="1"/>
    <col min="18" max="18" width="11.42578125" style="9" customWidth="1"/>
    <col min="19" max="16384" width="11.42578125" style="9"/>
  </cols>
  <sheetData>
    <row r="1" spans="1:13" ht="15.75" hidden="1" customHeight="1" x14ac:dyDescent="0.2">
      <c r="B1" s="6"/>
      <c r="C1" s="7" t="s">
        <v>17</v>
      </c>
      <c r="D1" s="6"/>
      <c r="E1" s="6"/>
      <c r="F1" s="6"/>
      <c r="G1" s="6"/>
      <c r="H1" s="6"/>
      <c r="I1" s="6"/>
      <c r="J1" s="6"/>
      <c r="K1" s="6"/>
      <c r="L1" s="6"/>
      <c r="M1" s="6"/>
    </row>
    <row r="2" spans="1:13" ht="15.75" hidden="1" customHeight="1" x14ac:dyDescent="0.2">
      <c r="B2" s="8"/>
      <c r="C2" s="10" t="s">
        <v>18</v>
      </c>
      <c r="D2" s="8"/>
      <c r="E2" s="8"/>
      <c r="F2" s="8"/>
      <c r="G2" s="8"/>
      <c r="H2" s="8"/>
      <c r="I2" s="8"/>
      <c r="J2" s="8"/>
      <c r="K2" s="8"/>
      <c r="L2" s="8"/>
      <c r="M2" s="8"/>
    </row>
    <row r="3" spans="1:13" ht="15.75" hidden="1" customHeight="1" x14ac:dyDescent="0.2">
      <c r="B3" s="8"/>
      <c r="C3" s="10" t="s">
        <v>19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 ht="15.75" hidden="1" customHeight="1" x14ac:dyDescent="0.2">
      <c r="B4" s="8"/>
      <c r="C4" s="10" t="s">
        <v>20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 ht="15.75" hidden="1" customHeight="1" x14ac:dyDescent="0.2"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 ht="15.75" hidden="1" customHeight="1" x14ac:dyDescent="0.2">
      <c r="B6" s="8"/>
      <c r="C6" s="8"/>
      <c r="D6" s="8"/>
      <c r="E6" s="8"/>
      <c r="F6" s="11"/>
      <c r="G6" s="11"/>
      <c r="H6" s="11"/>
      <c r="I6" s="8"/>
      <c r="J6" s="8"/>
      <c r="K6" s="8"/>
      <c r="L6" s="8"/>
      <c r="M6" s="8"/>
    </row>
    <row r="7" spans="1:13" ht="15.75" hidden="1" customHeight="1" x14ac:dyDescent="0.2">
      <c r="B7" s="8"/>
      <c r="C7" s="8"/>
      <c r="D7" s="8"/>
      <c r="E7" s="8"/>
      <c r="F7" s="12"/>
      <c r="G7" s="12"/>
      <c r="H7" s="12"/>
      <c r="I7" s="8"/>
      <c r="J7" s="8"/>
      <c r="K7" s="8"/>
      <c r="L7" s="8"/>
      <c r="M7" s="8"/>
    </row>
    <row r="8" spans="1:13" ht="15.75" customHeight="1" thickBot="1" x14ac:dyDescent="0.25">
      <c r="A8" s="36"/>
      <c r="B8" s="37"/>
      <c r="C8" s="38"/>
      <c r="D8" s="38"/>
      <c r="E8" s="38"/>
      <c r="F8" s="38"/>
      <c r="G8" s="38"/>
      <c r="H8" s="38"/>
      <c r="I8" s="38"/>
      <c r="J8" s="38"/>
      <c r="K8" s="38"/>
      <c r="L8" s="39"/>
      <c r="M8" s="40"/>
    </row>
    <row r="9" spans="1:13" s="13" customFormat="1" ht="26.1" customHeight="1" thickBot="1" x14ac:dyDescent="0.25">
      <c r="A9" s="41"/>
      <c r="B9" s="284" t="s">
        <v>22</v>
      </c>
      <c r="C9" s="285"/>
      <c r="D9" s="285"/>
      <c r="E9" s="285"/>
      <c r="F9" s="285"/>
      <c r="G9" s="285"/>
      <c r="H9" s="285"/>
      <c r="I9" s="285"/>
      <c r="J9" s="285"/>
      <c r="K9" s="285"/>
      <c r="L9" s="285"/>
      <c r="M9" s="286"/>
    </row>
    <row r="10" spans="1:13" s="14" customFormat="1" ht="15.75" customHeight="1" x14ac:dyDescent="0.2">
      <c r="A10" s="36"/>
      <c r="B10" s="287" t="s">
        <v>1</v>
      </c>
      <c r="C10" s="288"/>
      <c r="D10" s="43"/>
      <c r="E10" s="44"/>
      <c r="F10" s="44"/>
      <c r="G10" s="44"/>
      <c r="H10" s="44"/>
      <c r="I10" s="44"/>
      <c r="J10" s="44"/>
      <c r="K10" s="44"/>
      <c r="L10" s="44"/>
      <c r="M10" s="45"/>
    </row>
    <row r="11" spans="1:13" ht="15.75" customHeight="1" thickBot="1" x14ac:dyDescent="0.25">
      <c r="A11" s="36"/>
      <c r="B11" s="245"/>
      <c r="C11" s="289"/>
      <c r="D11" s="44"/>
      <c r="E11" s="44"/>
      <c r="F11" s="44"/>
      <c r="G11" s="44"/>
      <c r="H11" s="44"/>
      <c r="I11" s="44"/>
      <c r="J11" s="44"/>
      <c r="K11" s="44"/>
      <c r="L11" s="44"/>
      <c r="M11" s="45"/>
    </row>
    <row r="12" spans="1:13" ht="15.75" customHeight="1" thickBot="1" x14ac:dyDescent="0.25">
      <c r="A12" s="36"/>
      <c r="B12" s="42"/>
      <c r="C12" s="46"/>
      <c r="D12" s="44"/>
      <c r="E12" s="44"/>
      <c r="F12" s="44"/>
      <c r="G12" s="44"/>
      <c r="H12" s="44"/>
      <c r="I12" s="44"/>
      <c r="J12" s="44"/>
      <c r="K12" s="44"/>
      <c r="L12" s="44"/>
      <c r="M12" s="45"/>
    </row>
    <row r="13" spans="1:13" ht="38.25" customHeight="1" thickBot="1" x14ac:dyDescent="0.25">
      <c r="A13" s="36"/>
      <c r="B13" s="47" t="s">
        <v>24</v>
      </c>
      <c r="C13" s="194"/>
      <c r="D13" s="44"/>
      <c r="E13" s="48" t="s">
        <v>25</v>
      </c>
      <c r="F13" s="49"/>
      <c r="G13" s="44"/>
      <c r="H13" s="44"/>
      <c r="I13" s="44"/>
      <c r="J13" s="44"/>
      <c r="K13" s="44"/>
      <c r="L13" s="44"/>
      <c r="M13" s="45"/>
    </row>
    <row r="14" spans="1:13" ht="9.75" customHeight="1" x14ac:dyDescent="0.2">
      <c r="A14" s="36"/>
      <c r="B14" s="50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5"/>
    </row>
    <row r="15" spans="1:13" ht="11.25" customHeight="1" thickBot="1" x14ac:dyDescent="0.25">
      <c r="A15" s="36"/>
      <c r="B15" s="50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5"/>
    </row>
    <row r="16" spans="1:13" ht="38.25" customHeight="1" thickBot="1" x14ac:dyDescent="0.25">
      <c r="A16" s="36"/>
      <c r="B16" s="48" t="s">
        <v>27</v>
      </c>
      <c r="C16" s="51"/>
      <c r="D16" s="44"/>
      <c r="E16" s="48" t="s">
        <v>28</v>
      </c>
      <c r="F16" s="49"/>
      <c r="G16" s="44"/>
      <c r="H16" s="48" t="s">
        <v>29</v>
      </c>
      <c r="I16" s="80" t="str">
        <f>IF(OR(C16="",F16=""),"COMPLETAR",IF(OR(C16&gt;75000000,F16&gt;99), "GRAN EMPRESA", IF(AND(F16&lt;=4, C16&lt;=2000000), "MICRO", IF(AND(F16&lt;=19, C16&lt;=10000000), "PEQUEÑA", IF(AND(F16&lt;=99, C16&lt;=75000000), "MEDIANA", "REVISAR")))))</f>
        <v>COMPLETAR</v>
      </c>
      <c r="J16" s="44"/>
      <c r="K16" s="44"/>
      <c r="L16" s="44"/>
      <c r="M16" s="45"/>
    </row>
    <row r="17" spans="1:13" ht="16.5" customHeight="1" thickBot="1" x14ac:dyDescent="0.25">
      <c r="A17" s="36"/>
      <c r="B17" s="52"/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5"/>
    </row>
    <row r="18" spans="1:13" ht="38.25" customHeight="1" thickBot="1" x14ac:dyDescent="0.25">
      <c r="A18" s="36"/>
      <c r="B18" s="48" t="s">
        <v>30</v>
      </c>
      <c r="C18" s="49"/>
      <c r="D18" s="43"/>
      <c r="E18" s="290" t="s">
        <v>31</v>
      </c>
      <c r="F18" s="291"/>
      <c r="G18" s="292"/>
      <c r="H18" s="293"/>
      <c r="I18" s="294"/>
      <c r="J18" s="44"/>
      <c r="K18" s="44"/>
      <c r="L18" s="44"/>
      <c r="M18" s="45"/>
    </row>
    <row r="19" spans="1:13" ht="9" customHeight="1" thickBot="1" x14ac:dyDescent="0.25">
      <c r="A19" s="36"/>
      <c r="B19" s="52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</row>
    <row r="20" spans="1:13" ht="25.5" customHeight="1" thickBot="1" x14ac:dyDescent="0.25">
      <c r="A20" s="36"/>
      <c r="B20" s="284" t="s">
        <v>33</v>
      </c>
      <c r="C20" s="285"/>
      <c r="D20" s="285"/>
      <c r="E20" s="285"/>
      <c r="F20" s="285"/>
      <c r="G20" s="285"/>
      <c r="H20" s="285"/>
      <c r="I20" s="285"/>
      <c r="J20" s="285"/>
      <c r="K20" s="285"/>
      <c r="L20" s="285"/>
      <c r="M20" s="286"/>
    </row>
    <row r="21" spans="1:13" ht="14.25" customHeight="1" thickBot="1" x14ac:dyDescent="0.25">
      <c r="A21" s="36"/>
      <c r="B21" s="53"/>
      <c r="C21" s="44"/>
      <c r="D21" s="44"/>
      <c r="E21" s="44"/>
      <c r="F21" s="44"/>
      <c r="G21" s="44"/>
      <c r="H21" s="54"/>
      <c r="I21" s="44"/>
      <c r="J21" s="44"/>
      <c r="K21" s="44"/>
      <c r="L21" s="44"/>
      <c r="M21" s="45"/>
    </row>
    <row r="22" spans="1:13" ht="14.25" customHeight="1" thickBot="1" x14ac:dyDescent="0.25">
      <c r="A22" s="36"/>
      <c r="B22" s="277" t="s">
        <v>34</v>
      </c>
      <c r="C22" s="255"/>
      <c r="D22" s="44"/>
      <c r="E22" s="44"/>
      <c r="F22" s="44"/>
      <c r="G22" s="44"/>
      <c r="H22" s="54"/>
      <c r="I22" s="44"/>
      <c r="J22" s="44"/>
      <c r="K22" s="44"/>
      <c r="L22" s="44"/>
      <c r="M22" s="45"/>
    </row>
    <row r="23" spans="1:13" ht="25.5" customHeight="1" thickBot="1" x14ac:dyDescent="0.25">
      <c r="A23" s="36"/>
      <c r="B23" s="48" t="s">
        <v>105</v>
      </c>
      <c r="C23" s="56"/>
      <c r="D23" s="44"/>
      <c r="E23" s="44"/>
      <c r="F23" s="44"/>
      <c r="G23" s="44"/>
      <c r="H23" s="54"/>
      <c r="I23" s="44"/>
      <c r="J23" s="44"/>
      <c r="K23" s="44"/>
      <c r="L23" s="44"/>
      <c r="M23" s="45"/>
    </row>
    <row r="24" spans="1:13" ht="30" customHeight="1" thickBot="1" x14ac:dyDescent="0.3">
      <c r="A24" s="36"/>
      <c r="B24" s="48" t="s">
        <v>104</v>
      </c>
      <c r="C24" s="56"/>
      <c r="D24" s="44"/>
      <c r="E24" s="244" t="s">
        <v>36</v>
      </c>
      <c r="F24" s="246"/>
      <c r="G24" s="57" t="s">
        <v>109</v>
      </c>
      <c r="H24" s="54"/>
      <c r="I24" s="54"/>
      <c r="J24" s="54"/>
      <c r="K24" s="44"/>
      <c r="L24" s="44"/>
      <c r="M24" s="45"/>
    </row>
    <row r="25" spans="1:13" ht="14.25" customHeight="1" thickBot="1" x14ac:dyDescent="0.25">
      <c r="A25" s="36"/>
      <c r="B25" s="53"/>
      <c r="C25" s="44"/>
      <c r="D25" s="44"/>
      <c r="E25" s="245"/>
      <c r="F25" s="247"/>
      <c r="G25" s="54"/>
      <c r="H25" s="54"/>
      <c r="I25" s="54"/>
      <c r="J25" s="54"/>
      <c r="K25" s="44"/>
      <c r="L25" s="44"/>
      <c r="M25" s="45"/>
    </row>
    <row r="26" spans="1:13" ht="38.25" customHeight="1" thickBot="1" x14ac:dyDescent="0.3">
      <c r="A26" s="36"/>
      <c r="B26" s="48" t="s">
        <v>106</v>
      </c>
      <c r="C26" s="238">
        <f>SUM(C23:C24)</f>
        <v>0</v>
      </c>
      <c r="D26" s="44"/>
      <c r="E26" s="55" t="s">
        <v>35</v>
      </c>
      <c r="F26" s="58"/>
      <c r="G26" s="57" t="s">
        <v>108</v>
      </c>
      <c r="H26" s="54"/>
      <c r="I26" s="54"/>
      <c r="J26" s="54"/>
      <c r="K26" s="44"/>
      <c r="L26" s="44"/>
      <c r="M26" s="45"/>
    </row>
    <row r="27" spans="1:13" ht="24.75" customHeight="1" thickBot="1" x14ac:dyDescent="0.25">
      <c r="A27" s="36"/>
      <c r="B27" s="53"/>
      <c r="C27" s="44"/>
      <c r="D27" s="44"/>
      <c r="E27" s="44" t="s">
        <v>37</v>
      </c>
      <c r="F27" s="44"/>
      <c r="G27" s="44"/>
      <c r="H27" s="54"/>
      <c r="I27" s="54"/>
      <c r="J27" s="54"/>
      <c r="K27" s="44"/>
      <c r="L27" s="44"/>
      <c r="M27" s="45"/>
    </row>
    <row r="28" spans="1:13" ht="38.25" customHeight="1" thickBot="1" x14ac:dyDescent="0.25">
      <c r="A28" s="36"/>
      <c r="B28" s="48" t="s">
        <v>107</v>
      </c>
      <c r="C28" s="59">
        <f>IFERROR(IF(C26&gt;0,(C26*F26/F24),0),0)</f>
        <v>0</v>
      </c>
      <c r="D28" s="44"/>
      <c r="E28" s="44"/>
      <c r="F28" s="44"/>
      <c r="G28" s="44"/>
      <c r="H28" s="44"/>
      <c r="I28" s="44"/>
      <c r="J28" s="44"/>
      <c r="K28" s="44"/>
      <c r="L28" s="44"/>
      <c r="M28" s="45"/>
    </row>
    <row r="29" spans="1:13" ht="26.25" customHeight="1" thickBot="1" x14ac:dyDescent="0.25">
      <c r="A29" s="36"/>
      <c r="B29" s="42"/>
      <c r="C29" s="60"/>
      <c r="D29" s="44"/>
      <c r="E29" s="44"/>
      <c r="F29" s="44"/>
      <c r="G29" s="44"/>
      <c r="H29" s="44"/>
      <c r="I29" s="44"/>
      <c r="J29" s="44"/>
      <c r="K29" s="44"/>
      <c r="L29" s="44"/>
      <c r="M29" s="45"/>
    </row>
    <row r="30" spans="1:13" ht="38.25" customHeight="1" thickBot="1" x14ac:dyDescent="0.25">
      <c r="A30" s="36"/>
      <c r="B30" s="61" t="s">
        <v>38</v>
      </c>
      <c r="C30" s="62"/>
      <c r="D30" s="44"/>
      <c r="E30" s="63"/>
      <c r="F30" s="64"/>
      <c r="G30" s="63"/>
      <c r="H30" s="44"/>
      <c r="I30" s="44"/>
      <c r="J30" s="44"/>
      <c r="K30" s="44"/>
      <c r="L30" s="44"/>
      <c r="M30" s="45"/>
    </row>
    <row r="31" spans="1:13" ht="26.25" hidden="1" customHeight="1" x14ac:dyDescent="0.2">
      <c r="A31" s="36"/>
      <c r="B31" s="42"/>
      <c r="C31" s="60"/>
      <c r="D31" s="44"/>
      <c r="E31" s="44"/>
      <c r="F31" s="44"/>
      <c r="G31" s="44"/>
      <c r="H31" s="44"/>
      <c r="I31" s="44"/>
      <c r="J31" s="44"/>
      <c r="K31" s="44"/>
      <c r="L31" s="44"/>
      <c r="M31" s="45"/>
    </row>
    <row r="32" spans="1:13" ht="26.25" customHeight="1" x14ac:dyDescent="0.2">
      <c r="A32" s="36"/>
      <c r="B32" s="42"/>
      <c r="C32" s="60"/>
      <c r="D32" s="44"/>
      <c r="E32" s="44"/>
      <c r="F32" s="44"/>
      <c r="G32" s="44"/>
      <c r="H32" s="44"/>
      <c r="I32" s="44"/>
      <c r="J32" s="44"/>
      <c r="K32" s="44"/>
      <c r="L32" s="44"/>
      <c r="M32" s="45"/>
    </row>
    <row r="33" spans="1:13" s="15" customFormat="1" ht="26.1" customHeight="1" thickBot="1" x14ac:dyDescent="0.25">
      <c r="A33" s="36"/>
      <c r="B33" s="53"/>
      <c r="C33" s="44"/>
      <c r="D33" s="44"/>
      <c r="E33" s="65"/>
      <c r="F33" s="65"/>
      <c r="G33" s="65"/>
      <c r="H33" s="44"/>
      <c r="I33" s="44"/>
      <c r="J33" s="44"/>
      <c r="K33" s="44"/>
      <c r="L33" s="44"/>
      <c r="M33" s="45"/>
    </row>
    <row r="34" spans="1:13" ht="26.25" customHeight="1" thickBot="1" x14ac:dyDescent="0.25">
      <c r="A34" s="41"/>
      <c r="B34" s="248" t="s">
        <v>39</v>
      </c>
      <c r="C34" s="249"/>
      <c r="D34" s="249"/>
      <c r="E34" s="249"/>
      <c r="F34" s="249"/>
      <c r="G34" s="249"/>
      <c r="H34" s="249"/>
      <c r="I34" s="249"/>
      <c r="J34" s="249"/>
      <c r="K34" s="249"/>
      <c r="L34" s="249"/>
      <c r="M34" s="250"/>
    </row>
    <row r="35" spans="1:13" ht="20.100000000000001" customHeight="1" thickBot="1" x14ac:dyDescent="0.25">
      <c r="A35" s="36"/>
      <c r="B35" s="278" t="s">
        <v>40</v>
      </c>
      <c r="C35" s="279"/>
      <c r="D35" s="279"/>
      <c r="E35" s="279"/>
      <c r="F35" s="279"/>
      <c r="G35" s="279"/>
      <c r="H35" s="279"/>
      <c r="I35" s="279"/>
      <c r="J35" s="279"/>
      <c r="K35" s="279"/>
      <c r="L35" s="279"/>
      <c r="M35" s="280"/>
    </row>
    <row r="36" spans="1:13" ht="12.75" customHeight="1" thickBot="1" x14ac:dyDescent="0.25">
      <c r="A36" s="36"/>
      <c r="B36" s="69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1"/>
    </row>
    <row r="37" spans="1:13" ht="14.25" customHeight="1" x14ac:dyDescent="0.25">
      <c r="A37" s="36"/>
      <c r="B37" s="281"/>
      <c r="C37" s="258" t="s">
        <v>41</v>
      </c>
      <c r="D37" s="258" t="s">
        <v>42</v>
      </c>
      <c r="E37"/>
      <c r="F37" s="72"/>
      <c r="G37" s="72"/>
      <c r="H37" s="239" t="s">
        <v>240</v>
      </c>
      <c r="I37" s="72"/>
      <c r="J37" s="72"/>
      <c r="K37" s="44"/>
      <c r="L37" s="44"/>
      <c r="M37" s="45"/>
    </row>
    <row r="38" spans="1:13" ht="15.75" customHeight="1" thickBot="1" x14ac:dyDescent="0.3">
      <c r="A38" s="36"/>
      <c r="B38" s="282"/>
      <c r="C38" s="283"/>
      <c r="D38" s="259"/>
      <c r="E38"/>
      <c r="F38" s="72"/>
      <c r="G38" s="72"/>
      <c r="H38" s="240"/>
      <c r="I38" s="72"/>
      <c r="J38" s="72"/>
      <c r="K38" s="72"/>
      <c r="L38" s="44"/>
      <c r="M38" s="45"/>
    </row>
    <row r="39" spans="1:13" ht="27" customHeight="1" thickBot="1" x14ac:dyDescent="0.3">
      <c r="A39" s="36"/>
      <c r="B39" s="73" t="s">
        <v>241</v>
      </c>
      <c r="C39" s="74"/>
      <c r="D39" s="232"/>
      <c r="E39"/>
      <c r="F39" s="72"/>
      <c r="G39" s="72"/>
      <c r="H39" s="195">
        <f>$D$135</f>
        <v>0</v>
      </c>
      <c r="I39" s="72"/>
      <c r="J39" s="72"/>
      <c r="K39" s="72"/>
      <c r="L39" s="44"/>
      <c r="M39" s="45"/>
    </row>
    <row r="40" spans="1:13" ht="14.25" customHeight="1" thickBot="1" x14ac:dyDescent="0.25">
      <c r="A40" s="36"/>
      <c r="B40" s="42"/>
      <c r="C40" s="75"/>
      <c r="D40" s="76"/>
      <c r="E40" s="76"/>
      <c r="F40" s="72"/>
      <c r="G40" s="72"/>
      <c r="H40" s="72"/>
      <c r="I40" s="72"/>
      <c r="J40" s="72"/>
      <c r="K40" s="72"/>
      <c r="L40" s="44"/>
      <c r="M40" s="45"/>
    </row>
    <row r="41" spans="1:13" ht="13.5" thickBot="1" x14ac:dyDescent="0.25">
      <c r="A41" s="36"/>
      <c r="B41" s="281"/>
      <c r="C41" s="275" t="s">
        <v>44</v>
      </c>
      <c r="D41" s="275" t="s">
        <v>45</v>
      </c>
      <c r="E41" s="258" t="s">
        <v>251</v>
      </c>
      <c r="F41" s="72"/>
      <c r="G41" s="72"/>
      <c r="H41" s="72"/>
      <c r="I41" s="72"/>
      <c r="J41" s="72"/>
      <c r="K41" s="72"/>
      <c r="L41" s="44"/>
      <c r="M41" s="45"/>
    </row>
    <row r="42" spans="1:13" ht="15.75" customHeight="1" thickBot="1" x14ac:dyDescent="0.25">
      <c r="A42" s="36"/>
      <c r="B42" s="282"/>
      <c r="C42" s="275"/>
      <c r="D42" s="275"/>
      <c r="E42" s="259"/>
      <c r="F42" s="72"/>
      <c r="G42" s="72"/>
      <c r="H42" s="72"/>
      <c r="I42" s="72"/>
      <c r="J42" s="72"/>
      <c r="K42" s="72"/>
      <c r="L42" s="44"/>
      <c r="M42" s="45"/>
    </row>
    <row r="43" spans="1:13" ht="27" customHeight="1" thickBot="1" x14ac:dyDescent="0.25">
      <c r="A43" s="36"/>
      <c r="B43" s="196" t="s">
        <v>47</v>
      </c>
      <c r="C43" s="212"/>
      <c r="D43" s="212"/>
      <c r="E43" s="77">
        <f>+D43*0.25</f>
        <v>0</v>
      </c>
      <c r="F43" s="72"/>
      <c r="G43" s="72"/>
      <c r="H43" s="72"/>
      <c r="I43" s="72"/>
      <c r="J43" s="72"/>
      <c r="K43" s="72"/>
      <c r="L43" s="44"/>
      <c r="M43" s="45"/>
    </row>
    <row r="44" spans="1:13" ht="27" customHeight="1" thickBot="1" x14ac:dyDescent="0.25">
      <c r="A44" s="36"/>
      <c r="B44" s="197" t="s">
        <v>48</v>
      </c>
      <c r="C44" s="213"/>
      <c r="D44" s="213"/>
      <c r="E44" s="77">
        <f>+D44*0.25</f>
        <v>0</v>
      </c>
      <c r="F44" s="72"/>
      <c r="G44" s="72"/>
      <c r="H44" s="72"/>
      <c r="I44" s="72"/>
      <c r="J44" s="72"/>
      <c r="K44" s="72"/>
      <c r="L44" s="44"/>
      <c r="M44" s="45"/>
    </row>
    <row r="45" spans="1:13" ht="27" customHeight="1" thickBot="1" x14ac:dyDescent="0.25">
      <c r="A45" s="36"/>
      <c r="B45" s="197" t="s">
        <v>49</v>
      </c>
      <c r="C45" s="78"/>
      <c r="D45" s="213"/>
      <c r="E45" s="77">
        <f>+D45*0.25</f>
        <v>0</v>
      </c>
      <c r="F45" s="72"/>
      <c r="G45" s="72"/>
      <c r="H45" s="72"/>
      <c r="I45" s="72"/>
      <c r="J45" s="72"/>
      <c r="K45" s="72"/>
      <c r="L45" s="44"/>
      <c r="M45" s="45"/>
    </row>
    <row r="46" spans="1:13" ht="27" customHeight="1" thickBot="1" x14ac:dyDescent="0.25">
      <c r="A46" s="36"/>
      <c r="B46" s="197" t="s">
        <v>242</v>
      </c>
      <c r="C46" s="78"/>
      <c r="D46" s="213"/>
      <c r="E46" s="77">
        <f>+D46*0.25</f>
        <v>0</v>
      </c>
      <c r="F46" s="72"/>
      <c r="G46" s="72"/>
      <c r="H46" s="72"/>
      <c r="I46" s="72"/>
      <c r="J46" s="72"/>
      <c r="K46" s="72"/>
      <c r="L46" s="44"/>
      <c r="M46" s="45"/>
    </row>
    <row r="47" spans="1:13" ht="27" customHeight="1" thickBot="1" x14ac:dyDescent="0.25">
      <c r="A47" s="36"/>
      <c r="B47" s="79" t="s">
        <v>46</v>
      </c>
      <c r="C47" s="80">
        <f>SUM(C41:C46)</f>
        <v>0</v>
      </c>
      <c r="D47" s="80">
        <f>SUM(D41:D46)</f>
        <v>0</v>
      </c>
      <c r="E47" s="81">
        <f>SUM(E41:E46)</f>
        <v>0</v>
      </c>
      <c r="F47" s="72"/>
      <c r="G47" s="82"/>
      <c r="H47" s="46"/>
      <c r="I47" s="46"/>
      <c r="J47" s="83"/>
      <c r="K47" s="44"/>
      <c r="L47" s="44"/>
      <c r="M47" s="45"/>
    </row>
    <row r="48" spans="1:13" ht="15.75" customHeight="1" thickBot="1" x14ac:dyDescent="0.25">
      <c r="A48" s="36"/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44"/>
      <c r="M48" s="45"/>
    </row>
    <row r="49" spans="1:13" ht="13.5" thickBot="1" x14ac:dyDescent="0.25">
      <c r="A49" s="36"/>
      <c r="B49" s="84" t="s">
        <v>50</v>
      </c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8"/>
    </row>
    <row r="50" spans="1:13" ht="13.5" customHeight="1" x14ac:dyDescent="0.2">
      <c r="A50" s="36"/>
      <c r="B50" s="85"/>
      <c r="C50" s="86"/>
      <c r="D50" s="39"/>
      <c r="E50" s="87"/>
      <c r="F50" s="88"/>
      <c r="G50" s="88"/>
      <c r="H50" s="89"/>
      <c r="I50" s="38"/>
      <c r="J50" s="38"/>
      <c r="K50" s="72"/>
      <c r="L50" s="72"/>
      <c r="M50" s="45"/>
    </row>
    <row r="51" spans="1:13" ht="25.5" customHeight="1" x14ac:dyDescent="0.2">
      <c r="A51" s="36"/>
      <c r="B51" s="90"/>
      <c r="C51" s="257"/>
      <c r="D51" s="257"/>
      <c r="E51" s="257"/>
      <c r="F51" s="257"/>
      <c r="G51" s="91"/>
      <c r="H51" s="91"/>
      <c r="I51" s="72"/>
      <c r="J51" s="72"/>
      <c r="K51" s="72"/>
      <c r="L51" s="72"/>
      <c r="M51" s="45"/>
    </row>
    <row r="52" spans="1:13" ht="25.5" customHeight="1" thickBot="1" x14ac:dyDescent="0.25">
      <c r="A52" s="36"/>
      <c r="B52" s="190" t="s">
        <v>224</v>
      </c>
      <c r="C52" s="92"/>
      <c r="D52" s="92"/>
      <c r="E52" s="92"/>
      <c r="F52" s="92"/>
      <c r="G52" s="92"/>
      <c r="H52" s="92"/>
      <c r="I52" s="92"/>
      <c r="J52" s="92"/>
      <c r="K52" s="72"/>
      <c r="L52" s="72"/>
      <c r="M52" s="45"/>
    </row>
    <row r="53" spans="1:13" ht="13.5" customHeight="1" thickBot="1" x14ac:dyDescent="0.25">
      <c r="A53" s="36"/>
      <c r="B53" s="258"/>
      <c r="C53" s="264" t="s">
        <v>51</v>
      </c>
      <c r="D53" s="275" t="s">
        <v>52</v>
      </c>
      <c r="E53" s="275" t="s">
        <v>43</v>
      </c>
      <c r="F53" s="92"/>
      <c r="G53" s="92"/>
      <c r="H53" s="239" t="s">
        <v>240</v>
      </c>
      <c r="I53" s="92"/>
      <c r="J53" s="92"/>
      <c r="K53" s="72"/>
      <c r="L53" s="72"/>
      <c r="M53" s="45"/>
    </row>
    <row r="54" spans="1:13" ht="26.1" customHeight="1" thickBot="1" x14ac:dyDescent="0.25">
      <c r="A54" s="36"/>
      <c r="B54" s="259"/>
      <c r="C54" s="264"/>
      <c r="D54" s="275"/>
      <c r="E54" s="276"/>
      <c r="F54" s="92"/>
      <c r="G54" s="92"/>
      <c r="H54" s="240"/>
      <c r="I54" s="92"/>
      <c r="J54" s="92"/>
      <c r="K54" s="72"/>
      <c r="L54" s="72"/>
      <c r="M54" s="45"/>
    </row>
    <row r="55" spans="1:13" ht="25.5" customHeight="1" thickBot="1" x14ac:dyDescent="0.25">
      <c r="A55" s="36"/>
      <c r="B55" s="93" t="s">
        <v>222</v>
      </c>
      <c r="C55" s="94"/>
      <c r="D55" s="94"/>
      <c r="E55" s="95">
        <f>+C55+D55</f>
        <v>0</v>
      </c>
      <c r="F55" s="96"/>
      <c r="G55" s="72"/>
      <c r="H55" s="195" t="e">
        <f>+$D$137</f>
        <v>#VALUE!</v>
      </c>
      <c r="I55" s="72"/>
      <c r="J55" s="72"/>
      <c r="K55" s="72"/>
      <c r="L55" s="72"/>
      <c r="M55" s="45"/>
    </row>
    <row r="56" spans="1:13" ht="25.5" customHeight="1" x14ac:dyDescent="0.2">
      <c r="A56" s="36"/>
      <c r="B56" s="90"/>
      <c r="C56" s="97"/>
      <c r="D56" s="98"/>
      <c r="E56" s="91"/>
      <c r="F56" s="91"/>
      <c r="G56" s="91"/>
      <c r="H56" s="91"/>
      <c r="I56" s="72"/>
      <c r="J56" s="72"/>
      <c r="K56" s="72"/>
      <c r="L56" s="72"/>
      <c r="M56" s="45"/>
    </row>
    <row r="57" spans="1:13" ht="25.5" customHeight="1" thickBot="1" x14ac:dyDescent="0.25">
      <c r="A57" s="36"/>
      <c r="B57" s="190" t="s">
        <v>225</v>
      </c>
      <c r="C57" s="92"/>
      <c r="D57" s="92"/>
      <c r="E57" s="92"/>
      <c r="F57" s="92"/>
      <c r="G57" s="91"/>
      <c r="H57" s="91"/>
      <c r="I57" s="72"/>
      <c r="J57" s="72"/>
      <c r="K57" s="72"/>
      <c r="L57" s="72"/>
      <c r="M57" s="45"/>
    </row>
    <row r="58" spans="1:13" ht="25.5" customHeight="1" thickBot="1" x14ac:dyDescent="0.25">
      <c r="A58" s="36"/>
      <c r="B58" s="264" t="s">
        <v>53</v>
      </c>
      <c r="C58" s="264" t="s">
        <v>51</v>
      </c>
      <c r="D58" s="264" t="s">
        <v>52</v>
      </c>
      <c r="E58" s="264" t="s">
        <v>54</v>
      </c>
      <c r="F58" s="264" t="s">
        <v>238</v>
      </c>
      <c r="G58" s="264" t="s">
        <v>55</v>
      </c>
      <c r="H58" s="72"/>
      <c r="I58" s="72"/>
      <c r="J58" s="72"/>
      <c r="K58" s="72"/>
      <c r="L58" s="72"/>
      <c r="M58" s="45"/>
    </row>
    <row r="59" spans="1:13" ht="25.5" customHeight="1" thickBot="1" x14ac:dyDescent="0.25">
      <c r="A59" s="36"/>
      <c r="B59" s="264"/>
      <c r="C59" s="264"/>
      <c r="D59" s="264"/>
      <c r="E59" s="264"/>
      <c r="F59" s="264"/>
      <c r="G59" s="264"/>
      <c r="H59" s="72"/>
      <c r="I59" s="72"/>
      <c r="J59" s="72"/>
      <c r="K59" s="72"/>
      <c r="L59" s="72"/>
      <c r="M59" s="45"/>
    </row>
    <row r="60" spans="1:13" ht="25.5" customHeight="1" thickBot="1" x14ac:dyDescent="0.25">
      <c r="A60" s="36"/>
      <c r="B60" s="94"/>
      <c r="C60" s="94"/>
      <c r="D60" s="94"/>
      <c r="E60" s="99">
        <f>IF(OR(B60=0, B60=""), 0, VLOOKUP(B60, PARAMETROS!$D$12:$E$25, 2, 0))</f>
        <v>0</v>
      </c>
      <c r="F60" s="100">
        <f>C60*E60</f>
        <v>0</v>
      </c>
      <c r="G60" s="100">
        <f t="shared" ref="G60:G70" si="0">D60*E60</f>
        <v>0</v>
      </c>
      <c r="H60" s="72"/>
      <c r="I60" s="72"/>
      <c r="J60" s="72"/>
      <c r="K60" s="72"/>
      <c r="L60" s="72"/>
      <c r="M60" s="45"/>
    </row>
    <row r="61" spans="1:13" ht="25.5" customHeight="1" thickBot="1" x14ac:dyDescent="0.25">
      <c r="A61" s="36"/>
      <c r="B61" s="94"/>
      <c r="C61" s="94"/>
      <c r="D61" s="94"/>
      <c r="E61" s="99">
        <f>IF(OR(B61=0, B61=""), 0, VLOOKUP(B61, PARAMETROS!$D$12:$E$25, 2, 0))</f>
        <v>0</v>
      </c>
      <c r="F61" s="100">
        <f t="shared" ref="F61:F70" si="1">C61*E61</f>
        <v>0</v>
      </c>
      <c r="G61" s="100">
        <f t="shared" si="0"/>
        <v>0</v>
      </c>
      <c r="H61" s="72"/>
      <c r="I61" s="72"/>
      <c r="J61" s="72"/>
      <c r="K61" s="72"/>
      <c r="L61" s="72"/>
      <c r="M61" s="45"/>
    </row>
    <row r="62" spans="1:13" ht="25.5" customHeight="1" thickBot="1" x14ac:dyDescent="0.25">
      <c r="A62" s="36"/>
      <c r="B62" s="94"/>
      <c r="C62" s="94"/>
      <c r="D62" s="94"/>
      <c r="E62" s="99">
        <f>IF(OR(B62=0, B62=""), 0, VLOOKUP(B62, PARAMETROS!$D$12:$E$25, 2, 0))</f>
        <v>0</v>
      </c>
      <c r="F62" s="100">
        <f t="shared" si="1"/>
        <v>0</v>
      </c>
      <c r="G62" s="100">
        <f t="shared" si="0"/>
        <v>0</v>
      </c>
      <c r="H62" s="72"/>
      <c r="I62" s="72"/>
      <c r="J62" s="72"/>
      <c r="K62" s="72"/>
      <c r="L62" s="72"/>
      <c r="M62" s="45"/>
    </row>
    <row r="63" spans="1:13" ht="25.5" customHeight="1" thickBot="1" x14ac:dyDescent="0.25">
      <c r="A63" s="36"/>
      <c r="B63" s="94"/>
      <c r="C63" s="94"/>
      <c r="D63" s="94"/>
      <c r="E63" s="99">
        <f>IF(OR(B63=0, B63=""), 0, VLOOKUP(B63, PARAMETROS!$D$12:$E$25, 2, 0))</f>
        <v>0</v>
      </c>
      <c r="F63" s="100"/>
      <c r="G63" s="100"/>
      <c r="H63" s="72"/>
      <c r="I63" s="72"/>
      <c r="J63" s="72"/>
      <c r="K63" s="72"/>
      <c r="L63" s="72"/>
      <c r="M63" s="45"/>
    </row>
    <row r="64" spans="1:13" ht="25.5" customHeight="1" thickBot="1" x14ac:dyDescent="0.25">
      <c r="A64" s="36"/>
      <c r="B64" s="94"/>
      <c r="C64" s="94"/>
      <c r="D64" s="94"/>
      <c r="E64" s="99">
        <f>IF(OR(B64=0, B64=""), 0, VLOOKUP(B64, PARAMETROS!$D$12:$E$25, 2, 0))</f>
        <v>0</v>
      </c>
      <c r="F64" s="100"/>
      <c r="G64" s="100"/>
      <c r="H64" s="72"/>
      <c r="I64" s="72"/>
      <c r="J64" s="72"/>
      <c r="K64" s="72"/>
      <c r="L64" s="72"/>
      <c r="M64" s="45"/>
    </row>
    <row r="65" spans="1:13" ht="25.5" customHeight="1" thickBot="1" x14ac:dyDescent="0.25">
      <c r="A65" s="36"/>
      <c r="B65" s="94"/>
      <c r="C65" s="94"/>
      <c r="D65" s="94"/>
      <c r="E65" s="99">
        <f>IF(OR(B65=0, B65=""), 0, VLOOKUP(B65, PARAMETROS!$D$12:$E$25, 2, 0))</f>
        <v>0</v>
      </c>
      <c r="F65" s="100"/>
      <c r="G65" s="100"/>
      <c r="H65" s="72"/>
      <c r="I65" s="72"/>
      <c r="J65" s="72"/>
      <c r="K65" s="72"/>
      <c r="L65" s="72"/>
      <c r="M65" s="45"/>
    </row>
    <row r="66" spans="1:13" ht="25.5" customHeight="1" thickBot="1" x14ac:dyDescent="0.25">
      <c r="A66" s="36"/>
      <c r="B66" s="94"/>
      <c r="C66" s="94"/>
      <c r="D66" s="94"/>
      <c r="E66" s="99">
        <f>IF(OR(B66=0, B66=""), 0, VLOOKUP(B66, PARAMETROS!$D$12:$E$25, 2, 0))</f>
        <v>0</v>
      </c>
      <c r="F66" s="100"/>
      <c r="G66" s="100"/>
      <c r="H66" s="72"/>
      <c r="I66" s="72"/>
      <c r="J66" s="72"/>
      <c r="K66" s="72"/>
      <c r="L66" s="72"/>
      <c r="M66" s="45"/>
    </row>
    <row r="67" spans="1:13" ht="25.5" customHeight="1" thickBot="1" x14ac:dyDescent="0.25">
      <c r="A67" s="36"/>
      <c r="B67" s="94"/>
      <c r="C67" s="94"/>
      <c r="D67" s="94"/>
      <c r="E67" s="99">
        <f>IF(OR(B67=0, B67=""), 0, VLOOKUP(B67, PARAMETROS!$D$12:$E$25, 2, 0))</f>
        <v>0</v>
      </c>
      <c r="F67" s="100"/>
      <c r="G67" s="100"/>
      <c r="H67" s="72"/>
      <c r="I67" s="72"/>
      <c r="J67" s="72"/>
      <c r="K67" s="72"/>
      <c r="L67" s="72"/>
      <c r="M67" s="45"/>
    </row>
    <row r="68" spans="1:13" ht="25.5" customHeight="1" thickBot="1" x14ac:dyDescent="0.25">
      <c r="A68" s="36"/>
      <c r="B68" s="94"/>
      <c r="C68" s="94"/>
      <c r="D68" s="94"/>
      <c r="E68" s="99">
        <f>IF(OR(B68=0, B68=""), 0, VLOOKUP(B68, PARAMETROS!$D$12:$E$25, 2, 0))</f>
        <v>0</v>
      </c>
      <c r="F68" s="100">
        <f t="shared" si="1"/>
        <v>0</v>
      </c>
      <c r="G68" s="100">
        <f t="shared" si="0"/>
        <v>0</v>
      </c>
      <c r="H68" s="72"/>
      <c r="I68" s="72"/>
      <c r="J68" s="72"/>
      <c r="K68" s="72"/>
      <c r="L68" s="72"/>
      <c r="M68" s="45"/>
    </row>
    <row r="69" spans="1:13" ht="25.5" customHeight="1" thickBot="1" x14ac:dyDescent="0.25">
      <c r="A69" s="36"/>
      <c r="B69" s="94"/>
      <c r="C69" s="94"/>
      <c r="D69" s="94"/>
      <c r="E69" s="99">
        <f>IF(OR(B69=0, B69=""), 0, VLOOKUP(B69, PARAMETROS!$D$12:$E$25, 2, 0))</f>
        <v>0</v>
      </c>
      <c r="F69" s="100">
        <f t="shared" si="1"/>
        <v>0</v>
      </c>
      <c r="G69" s="100">
        <f t="shared" si="0"/>
        <v>0</v>
      </c>
      <c r="H69" s="72"/>
      <c r="I69" s="72"/>
      <c r="J69" s="72"/>
      <c r="K69" s="72"/>
      <c r="L69" s="72"/>
      <c r="M69" s="45"/>
    </row>
    <row r="70" spans="1:13" ht="25.5" customHeight="1" thickBot="1" x14ac:dyDescent="0.25">
      <c r="A70" s="36"/>
      <c r="B70" s="94"/>
      <c r="C70" s="94"/>
      <c r="D70" s="94"/>
      <c r="E70" s="99">
        <f>IF(OR(B70=0, B70=""), 0, VLOOKUP(B70, PARAMETROS!$D$12:$E$25, 2, 0))</f>
        <v>0</v>
      </c>
      <c r="F70" s="100">
        <f t="shared" si="1"/>
        <v>0</v>
      </c>
      <c r="G70" s="100">
        <f t="shared" si="0"/>
        <v>0</v>
      </c>
      <c r="H70" s="72"/>
      <c r="I70" s="72"/>
      <c r="J70" s="72"/>
      <c r="K70" s="72"/>
      <c r="L70" s="72"/>
      <c r="M70" s="45"/>
    </row>
    <row r="71" spans="1:13" ht="25.5" customHeight="1" thickBot="1" x14ac:dyDescent="0.25">
      <c r="A71" s="36"/>
      <c r="B71" s="101" t="s">
        <v>46</v>
      </c>
      <c r="C71" s="102">
        <f t="shared" ref="C71" si="2">SUM(C60:C70)</f>
        <v>0</v>
      </c>
      <c r="D71" s="103">
        <f>SUM(D60:D70)</f>
        <v>0</v>
      </c>
      <c r="E71" s="104"/>
      <c r="F71" s="103">
        <f>SUM(F60:F70)</f>
        <v>0</v>
      </c>
      <c r="G71" s="103">
        <f>SUM(G60:G70)</f>
        <v>0</v>
      </c>
      <c r="H71" s="72"/>
      <c r="I71" s="72"/>
      <c r="J71" s="72"/>
      <c r="K71" s="72"/>
      <c r="L71" s="72"/>
      <c r="M71" s="45"/>
    </row>
    <row r="72" spans="1:13" ht="25.5" customHeight="1" x14ac:dyDescent="0.2">
      <c r="A72" s="36"/>
      <c r="B72" s="105"/>
      <c r="C72" s="72"/>
      <c r="D72" s="72"/>
      <c r="E72" s="72"/>
      <c r="F72" s="72"/>
      <c r="G72" s="91"/>
      <c r="H72" s="72"/>
      <c r="I72" s="72"/>
      <c r="J72" s="72"/>
      <c r="K72" s="72"/>
      <c r="L72" s="72"/>
      <c r="M72" s="45"/>
    </row>
    <row r="73" spans="1:13" ht="25.5" customHeight="1" thickBot="1" x14ac:dyDescent="0.25">
      <c r="A73" s="36"/>
      <c r="B73" s="267" t="s">
        <v>226</v>
      </c>
      <c r="C73" s="257"/>
      <c r="D73" s="257"/>
      <c r="E73" s="257"/>
      <c r="F73" s="91"/>
      <c r="G73" s="91"/>
      <c r="H73" s="72"/>
      <c r="I73" s="72"/>
      <c r="J73" s="72"/>
      <c r="K73" s="72"/>
      <c r="L73" s="72"/>
      <c r="M73" s="45"/>
    </row>
    <row r="74" spans="1:13" ht="25.5" customHeight="1" x14ac:dyDescent="0.2">
      <c r="A74" s="36"/>
      <c r="B74" s="258"/>
      <c r="C74" s="268" t="s">
        <v>51</v>
      </c>
      <c r="D74" s="270" t="s">
        <v>52</v>
      </c>
      <c r="E74" s="272" t="s">
        <v>54</v>
      </c>
      <c r="F74" s="268" t="s">
        <v>239</v>
      </c>
      <c r="G74" s="268" t="s">
        <v>55</v>
      </c>
      <c r="H74" s="72"/>
      <c r="I74" s="72"/>
      <c r="J74" s="72"/>
      <c r="K74" s="72"/>
      <c r="L74" s="72"/>
      <c r="M74" s="45"/>
    </row>
    <row r="75" spans="1:13" ht="25.5" customHeight="1" thickBot="1" x14ac:dyDescent="0.25">
      <c r="A75" s="36"/>
      <c r="B75" s="259"/>
      <c r="C75" s="269"/>
      <c r="D75" s="271"/>
      <c r="E75" s="273"/>
      <c r="F75" s="269"/>
      <c r="G75" s="269"/>
      <c r="H75" s="72"/>
      <c r="I75" s="72"/>
      <c r="J75" s="72"/>
      <c r="K75" s="72"/>
      <c r="L75" s="72"/>
      <c r="M75" s="45"/>
    </row>
    <row r="76" spans="1:13" ht="25.5" customHeight="1" thickBot="1" x14ac:dyDescent="0.25">
      <c r="A76" s="36"/>
      <c r="B76" s="93" t="s">
        <v>227</v>
      </c>
      <c r="C76" s="106"/>
      <c r="D76" s="106"/>
      <c r="E76" s="107">
        <v>3.22</v>
      </c>
      <c r="F76" s="108">
        <f>C76*E76</f>
        <v>0</v>
      </c>
      <c r="G76" s="108">
        <f>D76*E76</f>
        <v>0</v>
      </c>
      <c r="H76" s="72"/>
      <c r="I76" s="72"/>
      <c r="J76" s="72"/>
      <c r="K76" s="72"/>
      <c r="L76" s="72"/>
      <c r="M76" s="45"/>
    </row>
    <row r="77" spans="1:13" ht="15.75" customHeight="1" thickBot="1" x14ac:dyDescent="0.25">
      <c r="A77" s="36"/>
      <c r="B77" s="109"/>
      <c r="C77" s="110"/>
      <c r="D77" s="111"/>
      <c r="E77" s="111"/>
      <c r="F77" s="72"/>
      <c r="G77" s="72"/>
      <c r="H77" s="72"/>
      <c r="I77" s="72"/>
      <c r="J77" s="72"/>
      <c r="K77" s="72"/>
      <c r="L77" s="72"/>
      <c r="M77" s="45"/>
    </row>
    <row r="78" spans="1:13" ht="15.75" customHeight="1" thickBot="1" x14ac:dyDescent="0.25">
      <c r="A78" s="36"/>
      <c r="B78" s="66" t="s">
        <v>57</v>
      </c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8"/>
    </row>
    <row r="79" spans="1:13" ht="13.5" thickBot="1" x14ac:dyDescent="0.25">
      <c r="A79" s="36"/>
      <c r="B79" s="112"/>
      <c r="C79" s="113"/>
      <c r="D79" s="113"/>
      <c r="E79" s="113"/>
      <c r="F79" s="114"/>
      <c r="G79" s="115"/>
      <c r="H79" s="72"/>
      <c r="I79" s="72"/>
      <c r="J79" s="72"/>
      <c r="K79" s="72"/>
      <c r="L79" s="72"/>
      <c r="M79" s="116"/>
    </row>
    <row r="80" spans="1:13" ht="13.5" thickBot="1" x14ac:dyDescent="0.25">
      <c r="A80" s="36"/>
      <c r="B80" s="117" t="s">
        <v>58</v>
      </c>
      <c r="C80" s="106"/>
      <c r="D80" s="113"/>
      <c r="E80" s="113"/>
      <c r="F80" s="114"/>
      <c r="G80" s="115"/>
      <c r="H80" s="239" t="s">
        <v>240</v>
      </c>
      <c r="I80" s="72"/>
      <c r="J80" s="72"/>
      <c r="K80" s="72"/>
      <c r="L80" s="72"/>
      <c r="M80" s="116"/>
    </row>
    <row r="81" spans="1:13" ht="17.25" customHeight="1" x14ac:dyDescent="0.2">
      <c r="A81" s="36"/>
      <c r="B81" s="105"/>
      <c r="C81" s="113"/>
      <c r="D81" s="113"/>
      <c r="E81" s="113"/>
      <c r="F81" s="114"/>
      <c r="G81" s="115"/>
      <c r="H81" s="240"/>
      <c r="I81" s="72"/>
      <c r="J81" s="72"/>
      <c r="K81" s="72"/>
      <c r="L81" s="72"/>
      <c r="M81" s="116"/>
    </row>
    <row r="82" spans="1:13" ht="33.75" customHeight="1" thickBot="1" x14ac:dyDescent="0.25">
      <c r="A82" s="36"/>
      <c r="B82" s="105"/>
      <c r="C82" s="113"/>
      <c r="D82" s="113"/>
      <c r="E82" s="113"/>
      <c r="F82" s="114"/>
      <c r="G82" s="115"/>
      <c r="H82" s="195">
        <f>$D$136</f>
        <v>0</v>
      </c>
      <c r="I82" s="72"/>
      <c r="J82" s="72"/>
      <c r="K82" s="72"/>
      <c r="L82" s="72"/>
      <c r="M82" s="116"/>
    </row>
    <row r="83" spans="1:13" ht="13.5" thickBot="1" x14ac:dyDescent="0.25">
      <c r="A83" s="36"/>
      <c r="B83" s="118"/>
      <c r="C83" s="115"/>
      <c r="D83" s="115"/>
      <c r="E83" s="115"/>
      <c r="F83" s="115"/>
      <c r="G83" s="115"/>
      <c r="H83" s="36"/>
      <c r="I83" s="72"/>
      <c r="J83" s="72"/>
      <c r="K83" s="72"/>
      <c r="L83" s="72"/>
      <c r="M83" s="116"/>
    </row>
    <row r="84" spans="1:13" ht="13.5" thickBot="1" x14ac:dyDescent="0.25">
      <c r="A84" s="36"/>
      <c r="B84" s="118"/>
      <c r="C84" s="119" t="s">
        <v>59</v>
      </c>
      <c r="D84" s="119" t="s">
        <v>60</v>
      </c>
      <c r="E84" s="120"/>
      <c r="F84" s="113"/>
      <c r="G84" s="113"/>
      <c r="H84" s="72"/>
      <c r="I84" s="72"/>
      <c r="J84" s="72"/>
      <c r="K84" s="72"/>
      <c r="L84" s="72"/>
      <c r="M84" s="116"/>
    </row>
    <row r="85" spans="1:13" ht="25.5" customHeight="1" thickBot="1" x14ac:dyDescent="0.25">
      <c r="A85" s="36"/>
      <c r="B85" s="117" t="s">
        <v>61</v>
      </c>
      <c r="C85" s="49"/>
      <c r="D85" s="121">
        <f>IF(C85="",0,VLOOKUP(C85,PARAMETROS!G13:H31,2,FALSE))</f>
        <v>0</v>
      </c>
      <c r="E85" s="122"/>
      <c r="F85" s="122"/>
      <c r="G85" s="115"/>
      <c r="H85" s="72"/>
      <c r="I85" s="36"/>
      <c r="J85" s="72"/>
      <c r="K85" s="72"/>
      <c r="L85" s="72"/>
      <c r="M85" s="116"/>
    </row>
    <row r="86" spans="1:13" ht="15.75" customHeight="1" thickBot="1" x14ac:dyDescent="0.25">
      <c r="A86" s="36"/>
      <c r="B86" s="118"/>
      <c r="C86" s="115"/>
      <c r="D86" s="115"/>
      <c r="E86" s="115"/>
      <c r="F86" s="115"/>
      <c r="G86" s="115"/>
      <c r="H86" s="72"/>
      <c r="I86" s="72"/>
      <c r="J86" s="72"/>
      <c r="K86" s="72"/>
      <c r="L86" s="72"/>
      <c r="M86" s="116"/>
    </row>
    <row r="87" spans="1:13" ht="26.25" thickBot="1" x14ac:dyDescent="0.25">
      <c r="A87" s="36"/>
      <c r="B87" s="123" t="s">
        <v>237</v>
      </c>
      <c r="C87" s="124" t="s">
        <v>59</v>
      </c>
      <c r="D87" s="125" t="s">
        <v>62</v>
      </c>
      <c r="E87" s="124" t="s">
        <v>63</v>
      </c>
      <c r="F87" s="124" t="s">
        <v>64</v>
      </c>
      <c r="G87" s="72"/>
      <c r="H87" s="46"/>
      <c r="I87" s="126"/>
      <c r="J87" s="126"/>
      <c r="K87" s="46"/>
      <c r="L87" s="127"/>
      <c r="M87" s="116"/>
    </row>
    <row r="88" spans="1:13" ht="25.5" customHeight="1" thickBot="1" x14ac:dyDescent="0.25">
      <c r="A88" s="36"/>
      <c r="B88" s="105"/>
      <c r="C88" s="49"/>
      <c r="D88" s="128" t="str">
        <f>IF(C88="","",VLOOKUP(C88,PARAMETROS!$G$13:$H$31,2,FALSE))</f>
        <v/>
      </c>
      <c r="E88" s="129"/>
      <c r="F88" s="128" t="str">
        <f>IFERROR(+D88*E88/$C$26,"")</f>
        <v/>
      </c>
      <c r="G88" s="72"/>
      <c r="H88" s="46"/>
      <c r="I88" s="130"/>
      <c r="J88" s="131"/>
      <c r="K88" s="132"/>
      <c r="L88" s="72"/>
      <c r="M88" s="116"/>
    </row>
    <row r="89" spans="1:13" ht="25.5" customHeight="1" thickBot="1" x14ac:dyDescent="0.25">
      <c r="A89" s="36"/>
      <c r="B89" s="105"/>
      <c r="C89" s="49"/>
      <c r="D89" s="128" t="str">
        <f>IF(C89="","",VLOOKUP(C89,PARAMETROS!$G$13:$H$31,2,FALSE))</f>
        <v/>
      </c>
      <c r="E89" s="129"/>
      <c r="F89" s="128" t="str">
        <f t="shared" ref="F89:F99" si="3">IFERROR(+D89*E89/$C$26,"")</f>
        <v/>
      </c>
      <c r="G89" s="72"/>
      <c r="H89" s="46"/>
      <c r="I89" s="130"/>
      <c r="J89" s="131"/>
      <c r="K89" s="132"/>
      <c r="L89" s="72"/>
      <c r="M89" s="116"/>
    </row>
    <row r="90" spans="1:13" ht="25.5" customHeight="1" thickBot="1" x14ac:dyDescent="0.25">
      <c r="A90" s="36"/>
      <c r="B90" s="105"/>
      <c r="C90" s="49"/>
      <c r="D90" s="128" t="str">
        <f>IF(C90="","",VLOOKUP(C90,PARAMETROS!$G$13:$H$31,2,FALSE))</f>
        <v/>
      </c>
      <c r="E90" s="129"/>
      <c r="F90" s="128" t="str">
        <f t="shared" si="3"/>
        <v/>
      </c>
      <c r="G90" s="72"/>
      <c r="H90" s="46"/>
      <c r="I90" s="130"/>
      <c r="J90" s="131"/>
      <c r="K90" s="132"/>
      <c r="L90" s="72"/>
      <c r="M90" s="116"/>
    </row>
    <row r="91" spans="1:13" ht="25.5" customHeight="1" thickBot="1" x14ac:dyDescent="0.25">
      <c r="A91" s="36"/>
      <c r="B91" s="105"/>
      <c r="C91" s="49"/>
      <c r="D91" s="128" t="str">
        <f>IF(C91="","",VLOOKUP(C91,PARAMETROS!$G$13:$H$31,2,FALSE))</f>
        <v/>
      </c>
      <c r="E91" s="129"/>
      <c r="F91" s="128" t="str">
        <f t="shared" si="3"/>
        <v/>
      </c>
      <c r="G91" s="72"/>
      <c r="H91" s="46"/>
      <c r="I91" s="130"/>
      <c r="J91" s="131"/>
      <c r="K91" s="132"/>
      <c r="L91" s="72"/>
      <c r="M91" s="116"/>
    </row>
    <row r="92" spans="1:13" ht="25.5" customHeight="1" thickBot="1" x14ac:dyDescent="0.25">
      <c r="A92" s="36"/>
      <c r="B92" s="105"/>
      <c r="C92" s="49"/>
      <c r="D92" s="128" t="str">
        <f>IF(C92="","",VLOOKUP(C92,PARAMETROS!$G$13:$H$31,2,FALSE))</f>
        <v/>
      </c>
      <c r="E92" s="129"/>
      <c r="F92" s="128" t="str">
        <f t="shared" si="3"/>
        <v/>
      </c>
      <c r="G92" s="72"/>
      <c r="H92" s="46"/>
      <c r="I92" s="130"/>
      <c r="J92" s="131"/>
      <c r="K92" s="132"/>
      <c r="L92" s="72"/>
      <c r="M92" s="116"/>
    </row>
    <row r="93" spans="1:13" ht="25.5" customHeight="1" thickBot="1" x14ac:dyDescent="0.25">
      <c r="A93" s="36"/>
      <c r="B93" s="105"/>
      <c r="C93" s="49"/>
      <c r="D93" s="128" t="str">
        <f>IF(C93="","",VLOOKUP(C93,PARAMETROS!$G$13:$H$31,2,FALSE))</f>
        <v/>
      </c>
      <c r="E93" s="129"/>
      <c r="F93" s="128" t="str">
        <f t="shared" si="3"/>
        <v/>
      </c>
      <c r="G93" s="72"/>
      <c r="H93" s="46"/>
      <c r="I93" s="130"/>
      <c r="J93" s="131"/>
      <c r="K93" s="132"/>
      <c r="L93" s="72"/>
      <c r="M93" s="116"/>
    </row>
    <row r="94" spans="1:13" ht="25.5" customHeight="1" thickBot="1" x14ac:dyDescent="0.25">
      <c r="A94" s="36"/>
      <c r="B94" s="105"/>
      <c r="C94" s="49"/>
      <c r="D94" s="128" t="str">
        <f>IF(C94="","",VLOOKUP(C94,PARAMETROS!$G$13:$H$31,2,FALSE))</f>
        <v/>
      </c>
      <c r="E94" s="129"/>
      <c r="F94" s="128" t="str">
        <f t="shared" si="3"/>
        <v/>
      </c>
      <c r="G94" s="72"/>
      <c r="H94" s="46"/>
      <c r="I94" s="130"/>
      <c r="J94" s="131"/>
      <c r="K94" s="132"/>
      <c r="L94" s="72"/>
      <c r="M94" s="116"/>
    </row>
    <row r="95" spans="1:13" ht="25.5" customHeight="1" thickBot="1" x14ac:dyDescent="0.25">
      <c r="A95" s="36"/>
      <c r="B95" s="105"/>
      <c r="C95" s="49"/>
      <c r="D95" s="128" t="str">
        <f>IF(C95="","",VLOOKUP(C95,PARAMETROS!$G$13:$H$31,2,FALSE))</f>
        <v/>
      </c>
      <c r="E95" s="129"/>
      <c r="F95" s="128" t="str">
        <f t="shared" si="3"/>
        <v/>
      </c>
      <c r="G95" s="72"/>
      <c r="H95" s="46"/>
      <c r="I95" s="130"/>
      <c r="J95" s="131"/>
      <c r="K95" s="132"/>
      <c r="L95" s="72"/>
      <c r="M95" s="116"/>
    </row>
    <row r="96" spans="1:13" ht="25.5" customHeight="1" thickBot="1" x14ac:dyDescent="0.25">
      <c r="A96" s="36"/>
      <c r="B96" s="105"/>
      <c r="C96" s="49"/>
      <c r="D96" s="128" t="str">
        <f>IF(C96="","",VLOOKUP(C96,PARAMETROS!$G$13:$H$31,2,FALSE))</f>
        <v/>
      </c>
      <c r="E96" s="129"/>
      <c r="F96" s="128" t="str">
        <f t="shared" si="3"/>
        <v/>
      </c>
      <c r="G96" s="72"/>
      <c r="H96" s="46"/>
      <c r="I96" s="130"/>
      <c r="J96" s="131"/>
      <c r="K96" s="132"/>
      <c r="L96" s="72"/>
      <c r="M96" s="116"/>
    </row>
    <row r="97" spans="1:14" ht="25.5" customHeight="1" thickBot="1" x14ac:dyDescent="0.25">
      <c r="A97" s="36"/>
      <c r="B97" s="105"/>
      <c r="C97" s="49"/>
      <c r="D97" s="128" t="str">
        <f>IF(C97="","",VLOOKUP(C97,PARAMETROS!$G$13:$H$31,2,FALSE))</f>
        <v/>
      </c>
      <c r="E97" s="129"/>
      <c r="F97" s="128" t="str">
        <f t="shared" si="3"/>
        <v/>
      </c>
      <c r="G97" s="72"/>
      <c r="H97" s="46"/>
      <c r="I97" s="130"/>
      <c r="J97" s="131"/>
      <c r="K97" s="132"/>
      <c r="L97" s="72"/>
      <c r="M97" s="116"/>
    </row>
    <row r="98" spans="1:14" ht="25.5" customHeight="1" thickBot="1" x14ac:dyDescent="0.25">
      <c r="A98" s="36"/>
      <c r="B98" s="105"/>
      <c r="C98" s="49"/>
      <c r="D98" s="128" t="str">
        <f>IF(C98="","",VLOOKUP(C98,PARAMETROS!$G$13:$H$31,2,FALSE))</f>
        <v/>
      </c>
      <c r="E98" s="129"/>
      <c r="F98" s="128" t="str">
        <f t="shared" si="3"/>
        <v/>
      </c>
      <c r="G98" s="72"/>
      <c r="H98" s="46"/>
      <c r="I98" s="130"/>
      <c r="J98" s="131"/>
      <c r="K98" s="132"/>
      <c r="L98" s="72"/>
      <c r="M98" s="116"/>
    </row>
    <row r="99" spans="1:14" ht="25.5" customHeight="1" thickBot="1" x14ac:dyDescent="0.25">
      <c r="A99" s="36"/>
      <c r="B99" s="105"/>
      <c r="C99" s="49"/>
      <c r="D99" s="128" t="str">
        <f>IF(C99="","",VLOOKUP(C99,PARAMETROS!$G$13:$H$31,2,FALSE))</f>
        <v/>
      </c>
      <c r="E99" s="129"/>
      <c r="F99" s="128" t="str">
        <f t="shared" si="3"/>
        <v/>
      </c>
      <c r="G99" s="72"/>
      <c r="H99" s="46"/>
      <c r="I99" s="130"/>
      <c r="J99" s="131"/>
      <c r="K99" s="132"/>
      <c r="L99" s="72"/>
      <c r="M99" s="116"/>
    </row>
    <row r="100" spans="1:14" ht="15.75" customHeight="1" thickBot="1" x14ac:dyDescent="0.25">
      <c r="A100" s="36"/>
      <c r="B100" s="105"/>
      <c r="C100" s="72"/>
      <c r="D100" s="72"/>
      <c r="E100" s="72"/>
      <c r="F100" s="133">
        <f>MIN(SUM(F88:F99),10)</f>
        <v>0</v>
      </c>
      <c r="G100" s="72"/>
      <c r="H100" s="72"/>
      <c r="I100" s="72"/>
      <c r="J100" s="72"/>
      <c r="K100" s="72"/>
      <c r="L100" s="72"/>
      <c r="M100" s="116"/>
    </row>
    <row r="101" spans="1:14" ht="15.75" customHeight="1" x14ac:dyDescent="0.2">
      <c r="A101" s="36"/>
      <c r="B101" s="105"/>
      <c r="C101" s="72"/>
      <c r="D101" s="72"/>
      <c r="E101" s="72"/>
      <c r="F101" s="134"/>
      <c r="G101" s="72"/>
      <c r="H101" s="72"/>
      <c r="I101" s="72"/>
      <c r="J101" s="72"/>
      <c r="K101" s="72"/>
      <c r="L101" s="72"/>
      <c r="M101" s="116"/>
    </row>
    <row r="102" spans="1:14" ht="15.75" customHeight="1" thickBot="1" x14ac:dyDescent="0.25">
      <c r="A102" s="36"/>
      <c r="B102" s="135"/>
      <c r="C102" s="136"/>
      <c r="D102" s="136"/>
      <c r="E102" s="136"/>
      <c r="F102" s="137"/>
      <c r="G102" s="136"/>
      <c r="H102" s="136"/>
      <c r="I102" s="136"/>
      <c r="J102" s="136"/>
      <c r="K102" s="136"/>
      <c r="L102" s="136"/>
      <c r="M102" s="138"/>
    </row>
    <row r="103" spans="1:14" ht="15.75" customHeight="1" thickBot="1" x14ac:dyDescent="0.25">
      <c r="A103" s="36"/>
      <c r="B103" s="66" t="s">
        <v>68</v>
      </c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8"/>
      <c r="N103" s="16"/>
    </row>
    <row r="104" spans="1:14" ht="6" customHeight="1" x14ac:dyDescent="0.2">
      <c r="A104" s="36"/>
      <c r="B104" s="139"/>
      <c r="C104" s="140"/>
      <c r="D104" s="141"/>
      <c r="E104" s="142"/>
      <c r="F104" s="140"/>
      <c r="G104" s="44"/>
      <c r="H104" s="44"/>
      <c r="I104" s="44"/>
      <c r="J104" s="44"/>
      <c r="K104" s="44"/>
      <c r="L104" s="44"/>
      <c r="M104" s="45"/>
      <c r="N104" s="16"/>
    </row>
    <row r="105" spans="1:14" ht="20.25" customHeight="1" thickBot="1" x14ac:dyDescent="0.25">
      <c r="A105" s="36"/>
      <c r="B105" s="139"/>
      <c r="C105" s="140"/>
      <c r="D105" s="44"/>
      <c r="E105" s="143"/>
      <c r="F105" s="115"/>
      <c r="G105" s="144"/>
      <c r="H105" s="72"/>
      <c r="I105" s="72"/>
      <c r="J105" s="72"/>
      <c r="K105" s="72"/>
      <c r="L105" s="72"/>
      <c r="M105" s="116"/>
      <c r="N105" s="16"/>
    </row>
    <row r="106" spans="1:14" ht="6.75" customHeight="1" thickBot="1" x14ac:dyDescent="0.25">
      <c r="A106" s="36"/>
      <c r="B106" s="53"/>
      <c r="C106" s="44"/>
      <c r="D106" s="274"/>
      <c r="E106" s="274"/>
      <c r="F106" s="143"/>
      <c r="G106" s="143"/>
      <c r="H106" s="239" t="s">
        <v>240</v>
      </c>
      <c r="I106" s="143"/>
      <c r="J106" s="143"/>
      <c r="K106" s="143"/>
      <c r="L106" s="143"/>
      <c r="M106" s="145"/>
      <c r="N106" s="16"/>
    </row>
    <row r="107" spans="1:14" ht="25.5" customHeight="1" thickBot="1" x14ac:dyDescent="0.25">
      <c r="A107" s="36"/>
      <c r="B107" s="260" t="s">
        <v>140</v>
      </c>
      <c r="C107" s="261"/>
      <c r="D107" s="262"/>
      <c r="E107" s="263"/>
      <c r="F107" s="143"/>
      <c r="G107" s="143"/>
      <c r="H107" s="240"/>
      <c r="I107" s="143"/>
      <c r="J107" s="143"/>
      <c r="K107" s="143"/>
      <c r="L107" s="143"/>
      <c r="M107" s="145"/>
      <c r="N107" s="16"/>
    </row>
    <row r="108" spans="1:14" ht="25.5" customHeight="1" thickBot="1" x14ac:dyDescent="0.25">
      <c r="A108" s="36"/>
      <c r="B108" s="260" t="s">
        <v>69</v>
      </c>
      <c r="C108" s="261"/>
      <c r="D108" s="265"/>
      <c r="E108" s="266"/>
      <c r="F108" s="143"/>
      <c r="G108" s="143"/>
      <c r="H108" s="195">
        <f>+D138</f>
        <v>0</v>
      </c>
      <c r="I108" s="143"/>
      <c r="J108" s="143"/>
      <c r="K108" s="143"/>
      <c r="L108" s="143"/>
      <c r="M108" s="145"/>
      <c r="N108" s="16"/>
    </row>
    <row r="109" spans="1:14" ht="13.5" thickBot="1" x14ac:dyDescent="0.25">
      <c r="A109" s="36"/>
      <c r="B109" s="146"/>
      <c r="C109" s="147"/>
      <c r="D109" s="148"/>
      <c r="E109" s="148"/>
      <c r="F109" s="143"/>
      <c r="G109" s="143"/>
      <c r="H109" s="143"/>
      <c r="I109" s="143"/>
      <c r="J109" s="143"/>
      <c r="K109" s="143"/>
      <c r="L109" s="143"/>
      <c r="M109" s="145"/>
      <c r="N109" s="16"/>
    </row>
    <row r="110" spans="1:14" ht="15.75" customHeight="1" thickBot="1" x14ac:dyDescent="0.25">
      <c r="A110" s="36"/>
      <c r="B110" s="66" t="s">
        <v>71</v>
      </c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8"/>
      <c r="N110" s="16"/>
    </row>
    <row r="111" spans="1:14" ht="13.5" thickBot="1" x14ac:dyDescent="0.25">
      <c r="A111" s="36"/>
      <c r="B111" s="139"/>
      <c r="C111" s="140"/>
      <c r="D111" s="141"/>
      <c r="E111" s="142"/>
      <c r="F111" s="144"/>
      <c r="G111" s="72"/>
      <c r="H111" s="72"/>
      <c r="I111" s="72"/>
      <c r="J111" s="72"/>
      <c r="K111" s="72"/>
      <c r="L111" s="72"/>
      <c r="M111" s="116"/>
      <c r="N111" s="16"/>
    </row>
    <row r="112" spans="1:14" ht="13.5" thickBot="1" x14ac:dyDescent="0.25">
      <c r="A112" s="36"/>
      <c r="B112" s="139"/>
      <c r="C112" s="140"/>
      <c r="D112" s="44"/>
      <c r="E112" s="143"/>
      <c r="F112" s="143"/>
      <c r="G112" s="143"/>
      <c r="H112" s="239" t="s">
        <v>240</v>
      </c>
      <c r="I112" s="143"/>
      <c r="J112" s="143"/>
      <c r="K112" s="143"/>
      <c r="L112" s="143"/>
      <c r="M112" s="145"/>
      <c r="N112" s="16"/>
    </row>
    <row r="113" spans="1:14" ht="16.5" customHeight="1" thickBot="1" x14ac:dyDescent="0.25">
      <c r="A113" s="36"/>
      <c r="B113" s="53"/>
      <c r="C113" s="149" t="s">
        <v>72</v>
      </c>
      <c r="D113" s="254" t="s">
        <v>73</v>
      </c>
      <c r="E113" s="255"/>
      <c r="F113" s="143"/>
      <c r="G113" s="143"/>
      <c r="H113" s="240"/>
      <c r="I113" s="143"/>
      <c r="J113" s="143"/>
      <c r="K113" s="143"/>
      <c r="L113" s="143"/>
      <c r="M113" s="145"/>
      <c r="N113" s="16"/>
    </row>
    <row r="114" spans="1:14" ht="25.5" customHeight="1" thickBot="1" x14ac:dyDescent="0.25">
      <c r="A114" s="36"/>
      <c r="B114" s="149" t="s">
        <v>75</v>
      </c>
      <c r="C114" s="214"/>
      <c r="D114" s="256">
        <v>0</v>
      </c>
      <c r="E114" s="256"/>
      <c r="F114" s="143"/>
      <c r="G114" s="143"/>
      <c r="H114" s="195">
        <f>+D139</f>
        <v>0</v>
      </c>
      <c r="I114" s="143"/>
      <c r="J114" s="143"/>
      <c r="K114" s="143"/>
      <c r="L114" s="143"/>
      <c r="M114" s="145"/>
      <c r="N114" s="16"/>
    </row>
    <row r="115" spans="1:14" ht="13.5" thickBot="1" x14ac:dyDescent="0.25">
      <c r="A115" s="36"/>
      <c r="B115" s="50"/>
      <c r="C115" s="150"/>
      <c r="D115" s="151"/>
      <c r="E115" s="151"/>
      <c r="F115" s="143"/>
      <c r="G115" s="143"/>
      <c r="H115" s="143"/>
      <c r="I115" s="143"/>
      <c r="J115" s="143"/>
      <c r="K115" s="143"/>
      <c r="L115" s="143"/>
      <c r="M115" s="152"/>
      <c r="N115" s="16"/>
    </row>
    <row r="116" spans="1:14" ht="13.5" thickBot="1" x14ac:dyDescent="0.25">
      <c r="A116" s="36"/>
      <c r="B116" s="66" t="s">
        <v>77</v>
      </c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8"/>
      <c r="N116" s="16"/>
    </row>
    <row r="117" spans="1:14" ht="21" customHeight="1" thickBot="1" x14ac:dyDescent="0.25">
      <c r="A117" s="36"/>
      <c r="B117" s="153"/>
      <c r="C117" s="154"/>
      <c r="D117" s="154"/>
      <c r="E117" s="154"/>
      <c r="F117" s="70"/>
      <c r="G117" s="70"/>
      <c r="H117" s="70"/>
      <c r="I117" s="70"/>
      <c r="J117" s="70"/>
      <c r="K117" s="70"/>
      <c r="L117" s="70"/>
      <c r="M117" s="71"/>
      <c r="N117" s="16"/>
    </row>
    <row r="118" spans="1:14" ht="36.950000000000003" customHeight="1" thickBot="1" x14ac:dyDescent="0.25">
      <c r="A118" s="36"/>
      <c r="B118" s="155"/>
      <c r="C118" s="156" t="s">
        <v>175</v>
      </c>
      <c r="D118" s="156" t="s">
        <v>176</v>
      </c>
      <c r="E118" s="157" t="s">
        <v>62</v>
      </c>
      <c r="F118" s="70"/>
      <c r="G118" s="70"/>
      <c r="H118" s="239" t="s">
        <v>240</v>
      </c>
      <c r="I118" s="70"/>
      <c r="J118" s="70"/>
      <c r="K118" s="70"/>
      <c r="L118" s="70"/>
      <c r="M118" s="71"/>
      <c r="N118" s="16"/>
    </row>
    <row r="119" spans="1:14" ht="21" customHeight="1" thickBot="1" x14ac:dyDescent="0.3">
      <c r="A119" s="36"/>
      <c r="B119" s="155" t="e" cm="1">
        <f t="array" aca="1" ref="B119:B126" ca="1">OFFSET(PARAMETROS!$B$43,0,PARAMETROS!$C$39,8,1)</f>
        <v>#N/A</v>
      </c>
      <c r="C119" s="215"/>
      <c r="D119" s="237" t="str">
        <f>IF(C119="SI",_xlfn.IFNA(HYPERLINK(VLOOKUP($B119,PARAMETROS!$B$54:$C$66,2,FALSE),"Link"),""),"")</f>
        <v/>
      </c>
      <c r="E119" s="158" t="str">
        <f ca="1">_xlfn.IFNA(VLOOKUP($B119,PARAMETROS!$B$54:$D$66,3,FALSE)*IF(C119="SI",1,0),"")</f>
        <v/>
      </c>
      <c r="F119" s="70"/>
      <c r="G119" s="70"/>
      <c r="H119" s="240"/>
      <c r="I119" s="70"/>
      <c r="J119" s="70"/>
      <c r="K119" s="70"/>
      <c r="L119" s="70"/>
      <c r="M119" s="71"/>
      <c r="N119" s="16"/>
    </row>
    <row r="120" spans="1:14" ht="21" customHeight="1" thickBot="1" x14ac:dyDescent="0.3">
      <c r="A120" s="36"/>
      <c r="B120" s="155" t="e">
        <f ca="1"/>
        <v>#N/A</v>
      </c>
      <c r="C120" s="215"/>
      <c r="D120" s="237" t="str">
        <f>IF(C120="SI",_xlfn.IFNA(HYPERLINK(VLOOKUP($B120,PARAMETROS!$B$54:$C$66,2,FALSE),"Link"),""),"")</f>
        <v/>
      </c>
      <c r="E120" s="158" t="str">
        <f ca="1">_xlfn.IFNA(VLOOKUP($B120,PARAMETROS!$B$54:$D$66,3,FALSE)*IF(C120="SI",1,0),"")</f>
        <v/>
      </c>
      <c r="F120" s="70"/>
      <c r="G120" s="70"/>
      <c r="H120" s="195">
        <f ca="1">+$D$140</f>
        <v>0</v>
      </c>
      <c r="I120" s="70"/>
      <c r="J120" s="70"/>
      <c r="K120" s="70"/>
      <c r="L120" s="70"/>
      <c r="M120" s="71"/>
      <c r="N120" s="16"/>
    </row>
    <row r="121" spans="1:14" ht="21" customHeight="1" thickBot="1" x14ac:dyDescent="0.3">
      <c r="A121" s="36"/>
      <c r="B121" s="155" t="e">
        <f ca="1"/>
        <v>#N/A</v>
      </c>
      <c r="C121" s="215"/>
      <c r="D121" s="237" t="str">
        <f>IF(C121="SI",_xlfn.IFNA(HYPERLINK(VLOOKUP($B121,PARAMETROS!$B$54:$C$66,2,FALSE),"Link"),""),"")</f>
        <v/>
      </c>
      <c r="E121" s="158" t="str">
        <f ca="1">_xlfn.IFNA(VLOOKUP($B121,PARAMETROS!$B$54:$D$66,3,FALSE)*IF(C121="SI",1,0),"")</f>
        <v/>
      </c>
      <c r="F121" s="70"/>
      <c r="G121" s="70"/>
      <c r="H121" s="70"/>
      <c r="I121" s="70"/>
      <c r="J121" s="70"/>
      <c r="K121" s="70"/>
      <c r="L121" s="70"/>
      <c r="M121" s="71"/>
      <c r="N121" s="16"/>
    </row>
    <row r="122" spans="1:14" ht="21" customHeight="1" thickBot="1" x14ac:dyDescent="0.3">
      <c r="A122" s="36"/>
      <c r="B122" s="155" t="e">
        <f ca="1"/>
        <v>#N/A</v>
      </c>
      <c r="C122" s="215"/>
      <c r="D122" s="237" t="str">
        <f>IF(C122="SI",_xlfn.IFNA(HYPERLINK(VLOOKUP($B122,PARAMETROS!$B$54:$C$66,2,FALSE),"Link"),""),"")</f>
        <v/>
      </c>
      <c r="E122" s="158" t="str">
        <f ca="1">_xlfn.IFNA(VLOOKUP($B122,PARAMETROS!$B$54:$D$66,3,FALSE)*IF(C122="SI",1,0),"")</f>
        <v/>
      </c>
      <c r="F122" s="70"/>
      <c r="G122" s="70"/>
      <c r="H122" s="70"/>
      <c r="I122" s="70"/>
      <c r="J122" s="70"/>
      <c r="K122" s="70"/>
      <c r="L122" s="70"/>
      <c r="M122" s="71"/>
      <c r="N122" s="16"/>
    </row>
    <row r="123" spans="1:14" ht="21" customHeight="1" thickBot="1" x14ac:dyDescent="0.3">
      <c r="A123" s="36"/>
      <c r="B123" s="155" t="e">
        <f ca="1"/>
        <v>#N/A</v>
      </c>
      <c r="C123" s="215"/>
      <c r="D123" s="237" t="str">
        <f>IF(C123="SI",_xlfn.IFNA(HYPERLINK(VLOOKUP($B123,PARAMETROS!$B$54:$C$66,2,FALSE),"Link"),""),"")</f>
        <v/>
      </c>
      <c r="E123" s="158" t="str">
        <f ca="1">_xlfn.IFNA(VLOOKUP($B123,PARAMETROS!$B$54:$D$66,3,FALSE)*IF(C123="SI",1,0),"")</f>
        <v/>
      </c>
      <c r="F123" s="70"/>
      <c r="G123" s="70"/>
      <c r="H123" s="70"/>
      <c r="I123" s="70"/>
      <c r="J123" s="70"/>
      <c r="K123" s="70"/>
      <c r="L123" s="70"/>
      <c r="M123" s="45"/>
      <c r="N123" s="16"/>
    </row>
    <row r="124" spans="1:14" ht="21" customHeight="1" thickBot="1" x14ac:dyDescent="0.3">
      <c r="A124" s="36"/>
      <c r="B124" s="155" t="e">
        <f ca="1"/>
        <v>#N/A</v>
      </c>
      <c r="C124" s="215"/>
      <c r="D124" s="237" t="str">
        <f>IF(C124="SI",_xlfn.IFNA(HYPERLINK(VLOOKUP($B124,PARAMETROS!$B$54:$C$66,2,FALSE),"Link"),""),"")</f>
        <v/>
      </c>
      <c r="E124" s="158" t="str">
        <f ca="1">_xlfn.IFNA(VLOOKUP($B124,PARAMETROS!$B$54:$D$66,3,FALSE)*IF(C124="SI",1,0),"")</f>
        <v/>
      </c>
      <c r="F124" s="70"/>
      <c r="G124" s="70"/>
      <c r="H124" s="70"/>
      <c r="I124" s="70"/>
      <c r="J124" s="70"/>
      <c r="K124" s="70"/>
      <c r="L124" s="70"/>
      <c r="M124" s="45"/>
      <c r="N124" s="16"/>
    </row>
    <row r="125" spans="1:14" ht="21" customHeight="1" thickBot="1" x14ac:dyDescent="0.3">
      <c r="A125" s="36"/>
      <c r="B125" s="155" t="e">
        <f ca="1"/>
        <v>#N/A</v>
      </c>
      <c r="C125" s="215"/>
      <c r="D125" s="237" t="str">
        <f>IF(C125="SI",_xlfn.IFNA(HYPERLINK(VLOOKUP($B125,PARAMETROS!$B$54:$C$66,2,FALSE),"Link"),""),"")</f>
        <v/>
      </c>
      <c r="E125" s="158" t="str">
        <f ca="1">_xlfn.IFNA(VLOOKUP($B125,PARAMETROS!$B$54:$D$66,3,FALSE)*IF(C125="SI",1,0),"")</f>
        <v/>
      </c>
      <c r="F125" s="70"/>
      <c r="G125" s="70"/>
      <c r="H125" s="70"/>
      <c r="I125" s="70"/>
      <c r="J125" s="70"/>
      <c r="K125" s="70"/>
      <c r="L125" s="70"/>
      <c r="M125" s="45"/>
      <c r="N125" s="16"/>
    </row>
    <row r="126" spans="1:14" ht="21" customHeight="1" thickBot="1" x14ac:dyDescent="0.3">
      <c r="A126" s="36"/>
      <c r="B126" s="155" t="e">
        <f ca="1"/>
        <v>#N/A</v>
      </c>
      <c r="C126" s="215"/>
      <c r="D126" s="237" t="str">
        <f>IF(C126="SI",_xlfn.IFNA(HYPERLINK(VLOOKUP($B126,PARAMETROS!$B$54:$C$66,2,FALSE),"Link"),""),"")</f>
        <v/>
      </c>
      <c r="E126" s="158" t="str">
        <f ca="1">_xlfn.IFNA(VLOOKUP($B126,PARAMETROS!$B$54:$D$66,3,FALSE)*IF(C126="SI",1,0),"")</f>
        <v/>
      </c>
      <c r="F126" s="70"/>
      <c r="G126" s="70"/>
      <c r="H126" s="70"/>
      <c r="I126" s="70"/>
      <c r="J126" s="70"/>
      <c r="K126" s="70"/>
      <c r="L126" s="70"/>
      <c r="M126" s="45"/>
      <c r="N126" s="16"/>
    </row>
    <row r="127" spans="1:14" ht="16.5" thickBot="1" x14ac:dyDescent="0.3">
      <c r="A127" s="36"/>
      <c r="B127" s="155"/>
      <c r="C127" s="159"/>
      <c r="D127" s="31" t="s">
        <v>206</v>
      </c>
      <c r="E127" s="160">
        <f ca="1">IF(B128="",MIN(10,SUM(E119:E126)),"Selección inválida")</f>
        <v>0</v>
      </c>
      <c r="F127" s="70"/>
      <c r="G127" s="70"/>
      <c r="H127" s="70"/>
      <c r="I127" s="70"/>
      <c r="J127" s="70"/>
      <c r="K127" s="70"/>
      <c r="L127" s="70"/>
      <c r="M127" s="45"/>
      <c r="N127" s="16"/>
    </row>
    <row r="128" spans="1:14" ht="15.75" x14ac:dyDescent="0.25">
      <c r="A128" s="36"/>
      <c r="B128" s="211" t="str">
        <f>IF(AND(C121="SI",OR(C119="SI",C120="SI",C123="SI",C124="SI"),C10="MGAP"),"ERROR: Mejora de la Producción Ganadera solo puede ser seleccionado en conjunto con Protección del Campo Natural.","")</f>
        <v/>
      </c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45"/>
      <c r="N128" s="16"/>
    </row>
    <row r="129" spans="1:14" x14ac:dyDescent="0.2">
      <c r="A129" s="36"/>
      <c r="B129" s="139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45"/>
      <c r="N129" s="16"/>
    </row>
    <row r="130" spans="1:14" x14ac:dyDescent="0.2">
      <c r="A130" s="36"/>
      <c r="B130" s="139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45"/>
      <c r="N130" s="16"/>
    </row>
    <row r="131" spans="1:14" ht="13.5" thickBot="1" x14ac:dyDescent="0.25">
      <c r="A131" s="36"/>
      <c r="B131" s="139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45"/>
      <c r="N131" s="16"/>
    </row>
    <row r="132" spans="1:14" ht="26.1" customHeight="1" thickBot="1" x14ac:dyDescent="0.25">
      <c r="A132" s="41"/>
      <c r="B132" s="248" t="s">
        <v>81</v>
      </c>
      <c r="C132" s="249"/>
      <c r="D132" s="249"/>
      <c r="E132" s="249"/>
      <c r="F132" s="249"/>
      <c r="G132" s="249"/>
      <c r="H132" s="249"/>
      <c r="I132" s="249"/>
      <c r="J132" s="249"/>
      <c r="K132" s="249"/>
      <c r="L132" s="249"/>
      <c r="M132" s="250"/>
      <c r="N132" s="16"/>
    </row>
    <row r="133" spans="1:14" x14ac:dyDescent="0.2">
      <c r="A133" s="36"/>
      <c r="B133" s="53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5"/>
      <c r="N133" s="16"/>
    </row>
    <row r="134" spans="1:14" ht="31.5" customHeight="1" x14ac:dyDescent="0.2">
      <c r="A134" s="36"/>
      <c r="B134" s="161" t="s">
        <v>82</v>
      </c>
      <c r="C134" s="161" t="s">
        <v>83</v>
      </c>
      <c r="D134" s="161" t="s">
        <v>62</v>
      </c>
      <c r="E134" s="161" t="s">
        <v>84</v>
      </c>
      <c r="F134" s="161" t="s">
        <v>85</v>
      </c>
      <c r="G134" s="44"/>
      <c r="H134" s="44"/>
      <c r="I134" s="44"/>
      <c r="J134" s="44"/>
      <c r="K134" s="44"/>
      <c r="L134" s="44"/>
      <c r="M134" s="45"/>
      <c r="N134" s="16"/>
    </row>
    <row r="135" spans="1:14" ht="41.25" customHeight="1" x14ac:dyDescent="0.2">
      <c r="A135" s="36"/>
      <c r="B135" s="162" t="s">
        <v>86</v>
      </c>
      <c r="C135" s="163" t="s">
        <v>87</v>
      </c>
      <c r="D135" s="164">
        <f>ROUND(IFERROR(MIN(10, (D39+E47) / ((C26 / 1000000)^(1/3))), 0),2)*IF(D39&gt;0,1,0)</f>
        <v>0</v>
      </c>
      <c r="E135" s="165">
        <v>0.4</v>
      </c>
      <c r="F135" s="166">
        <f>ROUND(D135*E135,2)</f>
        <v>0</v>
      </c>
      <c r="G135" s="44"/>
      <c r="H135" s="44"/>
      <c r="I135" s="44"/>
      <c r="J135" s="44"/>
      <c r="K135" s="44"/>
      <c r="L135" s="44"/>
      <c r="M135" s="45"/>
      <c r="N135" s="16"/>
    </row>
    <row r="136" spans="1:14" ht="41.25" customHeight="1" x14ac:dyDescent="0.2">
      <c r="A136" s="36"/>
      <c r="B136" s="162" t="s">
        <v>88</v>
      </c>
      <c r="C136" s="162" t="s">
        <v>89</v>
      </c>
      <c r="D136" s="167">
        <f>ROUND(IF(AND(D85&gt;0, F100&gt;0), "ERROR: Verificar si el proyecto tiene una única localización o no", IF(D85&gt;0, D85, IF(F100&gt;0, F100, 0))),2)</f>
        <v>0</v>
      </c>
      <c r="E136" s="163">
        <v>0.1</v>
      </c>
      <c r="F136" s="166">
        <f t="shared" ref="F136:F139" si="4">ROUND(D136*E136,2)</f>
        <v>0</v>
      </c>
      <c r="G136" s="251"/>
      <c r="H136" s="251"/>
      <c r="I136" s="251"/>
      <c r="J136" s="44"/>
      <c r="K136" s="44"/>
      <c r="L136" s="44"/>
      <c r="M136" s="45"/>
    </row>
    <row r="137" spans="1:14" ht="41.25" customHeight="1" x14ac:dyDescent="0.2">
      <c r="A137" s="36"/>
      <c r="B137" s="162" t="s">
        <v>90</v>
      </c>
      <c r="C137" s="169" t="s">
        <v>91</v>
      </c>
      <c r="D137" s="170" t="e">
        <f>ROUND(IF(OR(F13="SI", F13="NO"), IFERROR(MIN(10, ((IF(C10="MINTUR", G76+D55, IF(C10="MGAP", D55+G71, D55))/1000000) / (0.1 * SQRT(C28/1000000))) * IF(OR(F13="SI",C55=0), 2, (1 + MIN(IFERROR(IF(C10="MINTUR", G76+D55, IF(C10="MGAP", D55+G71, D55)) / MAX(IF(C10="MINTUR", C55+F76, IF(C10="MGAP", C55+F71, C55)), 0.001), 0), 1)))), 0), "ERROR: F13 VACÍO"),2)</f>
        <v>#VALUE!</v>
      </c>
      <c r="E137" s="165">
        <v>0.15</v>
      </c>
      <c r="F137" s="166" t="e">
        <f t="shared" si="4"/>
        <v>#VALUE!</v>
      </c>
      <c r="G137" s="168"/>
      <c r="H137" s="168"/>
      <c r="I137" s="168"/>
      <c r="J137" s="44"/>
      <c r="K137" s="44"/>
      <c r="L137" s="44"/>
      <c r="M137" s="45"/>
    </row>
    <row r="138" spans="1:14" ht="41.25" customHeight="1" x14ac:dyDescent="0.2">
      <c r="A138" s="36"/>
      <c r="B138" s="162" t="s">
        <v>92</v>
      </c>
      <c r="C138" s="162" t="s">
        <v>243</v>
      </c>
      <c r="D138" s="167">
        <f>ROUND(IF(AND(D107="",D108=""), 0, MIN(10, (IF(D107="",0,D107/C26/0.05) + IFERROR(VLOOKUP(D108, PARAMETROS!L12:M21, 2, FALSE), 0)))),2)</f>
        <v>0</v>
      </c>
      <c r="E138" s="163">
        <v>0.2</v>
      </c>
      <c r="F138" s="166">
        <f t="shared" si="4"/>
        <v>0</v>
      </c>
      <c r="G138" s="44"/>
      <c r="H138" s="171"/>
      <c r="I138" s="44"/>
      <c r="J138" s="44"/>
      <c r="K138" s="44"/>
      <c r="L138" s="44"/>
      <c r="M138" s="45"/>
    </row>
    <row r="139" spans="1:14" ht="41.25" customHeight="1" x14ac:dyDescent="0.2">
      <c r="A139" s="36"/>
      <c r="B139" s="162" t="s">
        <v>93</v>
      </c>
      <c r="C139" s="162" t="s">
        <v>89</v>
      </c>
      <c r="D139" s="167">
        <f>ROUND(IF(OR(D114="",C114=""), 0, MIN((D114/C26)/0.5,1)*VLOOKUP(C114, PARAMETROS!L25:M27,2,FALSE)),2)</f>
        <v>0</v>
      </c>
      <c r="E139" s="165">
        <v>0.2</v>
      </c>
      <c r="F139" s="166">
        <f t="shared" si="4"/>
        <v>0</v>
      </c>
      <c r="G139" s="44"/>
      <c r="H139" s="44"/>
      <c r="I139" s="44"/>
      <c r="J139" s="44"/>
      <c r="K139" s="44"/>
      <c r="L139" s="44"/>
      <c r="M139" s="45"/>
    </row>
    <row r="140" spans="1:14" ht="41.25" customHeight="1" x14ac:dyDescent="0.2">
      <c r="A140" s="36"/>
      <c r="B140" s="172" t="s">
        <v>94</v>
      </c>
      <c r="C140" s="162" t="s">
        <v>89</v>
      </c>
      <c r="D140" s="173">
        <f ca="1">ROUND(E127,2)</f>
        <v>0</v>
      </c>
      <c r="E140" s="174">
        <v>0.25</v>
      </c>
      <c r="F140" s="173">
        <f ca="1">ROUND(D140*E140,2)</f>
        <v>0</v>
      </c>
      <c r="G140" s="252" t="e">
        <f ca="1">IF(F135+F137+F138+F139+F140-E119*E140&lt;1,"Para acceder al régimen las empresas deberán alcanzar como mínimo 1 punto en total entre indicadores","")</f>
        <v>#VALUE!</v>
      </c>
      <c r="H140" s="252"/>
      <c r="I140" s="252"/>
      <c r="J140" s="44"/>
      <c r="K140" s="44"/>
      <c r="L140" s="44"/>
      <c r="M140" s="45"/>
    </row>
    <row r="141" spans="1:14" ht="37.5" customHeight="1" x14ac:dyDescent="0.2">
      <c r="A141" s="36"/>
      <c r="B141" s="253" t="s">
        <v>95</v>
      </c>
      <c r="C141" s="253"/>
      <c r="D141" s="173" t="e">
        <f>SUM(D135:D140)</f>
        <v>#VALUE!</v>
      </c>
      <c r="E141" s="175"/>
      <c r="F141" s="176" t="e">
        <f>ROUND(SUM(F135:F140),2)</f>
        <v>#VALUE!</v>
      </c>
      <c r="G141" s="252"/>
      <c r="H141" s="252"/>
      <c r="I141" s="252"/>
      <c r="J141" s="44"/>
      <c r="K141" s="44"/>
      <c r="L141" s="44"/>
      <c r="M141" s="45"/>
    </row>
    <row r="142" spans="1:14" x14ac:dyDescent="0.2">
      <c r="A142" s="36"/>
      <c r="B142" s="177" t="s">
        <v>96</v>
      </c>
      <c r="C142" s="44"/>
      <c r="D142" s="44"/>
      <c r="E142" s="44"/>
      <c r="F142" s="43"/>
      <c r="G142" s="44"/>
      <c r="H142" s="44"/>
      <c r="I142" s="44"/>
      <c r="J142" s="44"/>
      <c r="K142" s="44"/>
      <c r="L142" s="44"/>
      <c r="M142" s="45"/>
    </row>
    <row r="143" spans="1:14" x14ac:dyDescent="0.2">
      <c r="A143" s="36"/>
      <c r="B143" s="177"/>
      <c r="C143" s="44"/>
      <c r="D143" s="44"/>
      <c r="E143" s="44"/>
      <c r="F143" s="43"/>
      <c r="G143" s="44"/>
      <c r="H143" s="44"/>
      <c r="I143" s="44"/>
      <c r="J143" s="44"/>
      <c r="K143" s="44"/>
      <c r="L143" s="44"/>
      <c r="M143" s="45"/>
    </row>
    <row r="144" spans="1:14" ht="13.5" thickBot="1" x14ac:dyDescent="0.25">
      <c r="A144" s="36"/>
      <c r="B144" s="178" t="s">
        <v>217</v>
      </c>
      <c r="C144" s="179" t="e">
        <f ca="1">IF(F135+F137+F138+F139+F140-E119*E140&gt;=1,"SI","NO")</f>
        <v>#VALUE!</v>
      </c>
      <c r="D144" s="44"/>
      <c r="E144" s="44"/>
      <c r="F144" s="43"/>
      <c r="G144" s="44"/>
      <c r="H144" s="44"/>
      <c r="I144" s="44"/>
      <c r="J144" s="44"/>
      <c r="K144" s="44"/>
      <c r="L144" s="44"/>
      <c r="M144" s="45"/>
    </row>
    <row r="145" spans="1:13" ht="27" customHeight="1" x14ac:dyDescent="0.2">
      <c r="A145" s="36"/>
      <c r="B145" s="241" t="s">
        <v>218</v>
      </c>
      <c r="C145" s="242"/>
      <c r="D145" s="198" t="s">
        <v>231</v>
      </c>
      <c r="E145" s="199" t="s">
        <v>232</v>
      </c>
      <c r="F145" s="44"/>
      <c r="G145" s="44"/>
      <c r="H145" s="44"/>
      <c r="I145" s="44"/>
      <c r="J145" s="44"/>
      <c r="K145" s="44"/>
      <c r="L145" s="44"/>
      <c r="M145" s="45"/>
    </row>
    <row r="146" spans="1:13" ht="18.75" customHeight="1" x14ac:dyDescent="0.2">
      <c r="A146" s="36"/>
      <c r="B146" s="200" t="s">
        <v>219</v>
      </c>
      <c r="C146" s="201" t="str">
        <f>IF(OR($I$16="MICRO",$I$16="PEQUEÑA"),"SI","NO")</f>
        <v>NO</v>
      </c>
      <c r="D146" s="205">
        <f>IF(C146="SI",15%,)</f>
        <v>0</v>
      </c>
      <c r="E146" s="204">
        <f>IF(C146="SI",2,)</f>
        <v>0</v>
      </c>
      <c r="F146" s="44"/>
      <c r="G146" s="44"/>
      <c r="H146" s="44"/>
      <c r="I146" s="44"/>
      <c r="J146" s="44"/>
      <c r="K146" s="44"/>
      <c r="L146" s="44"/>
      <c r="M146" s="45"/>
    </row>
    <row r="147" spans="1:13" ht="18.75" customHeight="1" x14ac:dyDescent="0.2">
      <c r="A147" s="36"/>
      <c r="B147" s="200" t="s">
        <v>223</v>
      </c>
      <c r="C147" s="201" t="str">
        <f>IF(AND($I$16="MEDIANA",F16&lt;=50),"SI","NO")</f>
        <v>NO</v>
      </c>
      <c r="D147" s="205">
        <f>IF(C147="SI",10%,)</f>
        <v>0</v>
      </c>
      <c r="E147" s="204">
        <f>IF(C147="SI",1,)</f>
        <v>0</v>
      </c>
      <c r="F147" s="44"/>
      <c r="G147" s="44"/>
      <c r="H147" s="44"/>
      <c r="I147" s="44"/>
      <c r="J147" s="44"/>
      <c r="K147" s="44"/>
      <c r="L147" s="44"/>
      <c r="M147" s="45"/>
    </row>
    <row r="148" spans="1:13" ht="18.75" customHeight="1" x14ac:dyDescent="0.2">
      <c r="A148" s="36"/>
      <c r="B148" s="200" t="s">
        <v>220</v>
      </c>
      <c r="C148" s="201" t="str">
        <f>IF(OR(AND(C26&gt;180000000,C13&lt;=DATE(2027,12,31),D135&gt;=5,D139&gt;=4),AND(C26&gt;300000000,C13&lt;=DATE(2028,12,31),D135&gt;=5,D139&gt;=4)),"SI","NO")</f>
        <v>NO</v>
      </c>
      <c r="D148" s="205">
        <f>IF(C148="SI",100%,)</f>
        <v>0</v>
      </c>
      <c r="E148" s="206">
        <f>IF(C148="SI",D157,)</f>
        <v>0</v>
      </c>
      <c r="F148" s="44"/>
      <c r="G148" s="44"/>
      <c r="H148" s="44"/>
      <c r="I148" s="44"/>
      <c r="J148" s="44"/>
      <c r="K148" s="44"/>
      <c r="L148" s="44"/>
      <c r="M148" s="45"/>
    </row>
    <row r="149" spans="1:13" ht="18.75" customHeight="1" x14ac:dyDescent="0.2">
      <c r="A149" s="36"/>
      <c r="B149" s="200" t="s">
        <v>221</v>
      </c>
      <c r="C149" s="201" t="str">
        <f>IF(C18="SI", IF(G18&lt;&gt;"Otras","SI (15%)", "SI (5%)"),"NO")</f>
        <v>NO</v>
      </c>
      <c r="D149" s="205">
        <f>IF(C149="SI (15%)",0.15*($C$30/$C$26),IF(C149="SI (5%)",0.05*($C$30/$C$26),))</f>
        <v>0</v>
      </c>
      <c r="E149" s="210">
        <f>IF(C149="SI (15%)",0.15*($C$30/$C$26),IF(C149="SI (5%)",0.05*($C$30/$C$26),))</f>
        <v>0</v>
      </c>
      <c r="F149" s="44"/>
      <c r="G149" s="44"/>
      <c r="H149" s="44"/>
      <c r="I149" s="44"/>
      <c r="J149" s="44"/>
      <c r="K149" s="44"/>
      <c r="L149" s="44"/>
      <c r="M149" s="45"/>
    </row>
    <row r="150" spans="1:13" ht="18.75" customHeight="1" thickBot="1" x14ac:dyDescent="0.25">
      <c r="A150" s="36"/>
      <c r="B150" s="202" t="s">
        <v>246</v>
      </c>
      <c r="C150" s="203" t="str">
        <f>IF(D139&gt;=2,"SI","NO")</f>
        <v>NO</v>
      </c>
      <c r="D150" s="207">
        <v>0</v>
      </c>
      <c r="E150" s="209">
        <f>IF(C150="SI",2,0)</f>
        <v>0</v>
      </c>
      <c r="F150" s="44"/>
      <c r="G150" s="44"/>
      <c r="H150" s="44"/>
      <c r="I150" s="44"/>
      <c r="J150" s="44"/>
      <c r="K150" s="44"/>
      <c r="L150" s="44"/>
      <c r="M150" s="45"/>
    </row>
    <row r="151" spans="1:13" ht="21" customHeight="1" x14ac:dyDescent="0.2">
      <c r="A151" s="36"/>
      <c r="B151" s="53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5"/>
    </row>
    <row r="152" spans="1:13" ht="20.25" customHeight="1" thickBot="1" x14ac:dyDescent="0.25">
      <c r="A152" s="36"/>
      <c r="B152" s="52" t="s">
        <v>235</v>
      </c>
      <c r="C152" s="91"/>
      <c r="D152" s="192" t="e">
        <f ca="1">IF(C144="SI",MIN(((F141-1)/9)*0.7+0.3,1),0)</f>
        <v>#VALUE!</v>
      </c>
      <c r="E152" s="180"/>
      <c r="F152" s="181"/>
      <c r="G152" s="182"/>
      <c r="H152" s="44"/>
      <c r="I152" s="44"/>
      <c r="J152" s="44"/>
      <c r="K152" s="44"/>
      <c r="L152" s="44"/>
      <c r="M152" s="45"/>
    </row>
    <row r="153" spans="1:13" ht="33" customHeight="1" thickBot="1" x14ac:dyDescent="0.35">
      <c r="A153" s="36"/>
      <c r="B153" s="295" t="s">
        <v>234</v>
      </c>
      <c r="C153" s="296"/>
      <c r="D153" s="233" t="e">
        <f ca="1">MIN(IF(C148="SI",D148,IF(C144="SI",(D152+D146+D147)*(1+$D$149),0)),1)</f>
        <v>#VALUE!</v>
      </c>
      <c r="E153" s="208"/>
      <c r="F153" s="181"/>
      <c r="G153" s="182"/>
      <c r="H153" s="44"/>
      <c r="I153" s="44"/>
      <c r="J153" s="236"/>
      <c r="K153" s="44"/>
      <c r="L153" s="44"/>
      <c r="M153" s="45"/>
    </row>
    <row r="154" spans="1:13" ht="20.25" customHeight="1" thickBot="1" x14ac:dyDescent="0.25">
      <c r="A154" s="36"/>
      <c r="B154" s="53"/>
      <c r="C154" s="44"/>
      <c r="D154" s="44"/>
      <c r="E154" s="44"/>
      <c r="F154" s="183"/>
      <c r="G154" s="182" t="str">
        <f>IF(F18="SI",IF(AND(C18="SI",#REF!=""),H152+((#REF!/C26)*15%),IF(AND(#REF!&gt;0,#REF!&lt;&gt;""),(H152+((#REF!/C26)*15%+20%))))*1.1,"")</f>
        <v/>
      </c>
      <c r="H154" s="44" t="str">
        <f>IF(G154&lt;&gt;"",MIN(G154,100%),"")</f>
        <v/>
      </c>
      <c r="I154" s="44"/>
      <c r="J154" s="44"/>
      <c r="K154" s="44"/>
      <c r="L154" s="44"/>
      <c r="M154" s="45"/>
    </row>
    <row r="155" spans="1:13" ht="33" customHeight="1" thickBot="1" x14ac:dyDescent="0.35">
      <c r="A155" s="36"/>
      <c r="B155" s="295" t="s">
        <v>97</v>
      </c>
      <c r="C155" s="296"/>
      <c r="D155" s="234" t="e">
        <f ca="1">(D153*C26)</f>
        <v>#VALUE!</v>
      </c>
      <c r="E155" s="180"/>
      <c r="F155" s="181"/>
      <c r="G155" s="182"/>
      <c r="H155" s="44"/>
      <c r="I155" s="44"/>
      <c r="J155" s="44"/>
      <c r="K155" s="44"/>
      <c r="L155" s="44"/>
      <c r="M155" s="45"/>
    </row>
    <row r="156" spans="1:13" ht="15.75" customHeight="1" x14ac:dyDescent="0.2">
      <c r="A156" s="36"/>
      <c r="B156" s="53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5"/>
    </row>
    <row r="157" spans="1:13" ht="15.75" customHeight="1" x14ac:dyDescent="0.2">
      <c r="A157" s="36"/>
      <c r="B157" s="53" t="s">
        <v>233</v>
      </c>
      <c r="C157" s="184"/>
      <c r="D157" s="185" t="e" cm="1">
        <f t="array" aca="1" ref="D157" ca="1">IF(C144="SI",INDEX(PARAMETROS!$D$70:$D$76, MATCH(1, (SIMULADOR!$C$26&gt;PARAMETROS!B70:B76)*(SIMULADOR!$C$26&lt;=PARAMETROS!$C$70:$C$76), 0)),"")</f>
        <v>#VALUE!</v>
      </c>
      <c r="E157" s="44"/>
      <c r="F157" s="44"/>
      <c r="G157" s="44"/>
      <c r="H157" s="44"/>
      <c r="I157" s="44"/>
      <c r="J157" s="44"/>
      <c r="K157" s="44"/>
      <c r="L157" s="44"/>
      <c r="M157" s="45"/>
    </row>
    <row r="158" spans="1:13" ht="15.75" customHeight="1" thickBot="1" x14ac:dyDescent="0.25">
      <c r="A158" s="36"/>
      <c r="B158" s="53" t="s">
        <v>245</v>
      </c>
      <c r="C158" s="184"/>
      <c r="D158" s="185">
        <f ca="1">IFERROR(((F141-1)/9)*($D$157-4)+4,0)</f>
        <v>0</v>
      </c>
      <c r="E158" s="44"/>
      <c r="F158" s="44"/>
      <c r="G158" s="44"/>
      <c r="H158" s="44"/>
      <c r="I158" s="44"/>
      <c r="J158" s="44"/>
      <c r="K158" s="44"/>
      <c r="L158" s="44"/>
      <c r="M158" s="45"/>
    </row>
    <row r="159" spans="1:13" ht="33" customHeight="1" thickBot="1" x14ac:dyDescent="0.35">
      <c r="A159" s="36"/>
      <c r="B159" s="295" t="s">
        <v>244</v>
      </c>
      <c r="C159" s="296"/>
      <c r="D159" s="235" t="e">
        <f ca="1">IF(C144="SI",IF(C148="SI",E148,MIN((D158+E146+E147+E150)*(1+E149),D157)),0)</f>
        <v>#VALUE!</v>
      </c>
      <c r="E159" s="180"/>
      <c r="F159" s="181"/>
      <c r="G159" s="182"/>
      <c r="H159" s="44"/>
      <c r="I159" s="44"/>
      <c r="J159" s="44"/>
      <c r="K159" s="44"/>
      <c r="L159" s="44"/>
      <c r="M159" s="45"/>
    </row>
    <row r="160" spans="1:13" ht="15.75" customHeight="1" x14ac:dyDescent="0.2">
      <c r="A160" s="36"/>
      <c r="B160" s="53"/>
      <c r="C160" s="184"/>
      <c r="D160" s="185"/>
      <c r="E160" s="44"/>
      <c r="F160" s="44"/>
      <c r="G160" s="44"/>
      <c r="H160" s="44"/>
      <c r="I160" s="44"/>
      <c r="J160" s="44"/>
      <c r="K160" s="44"/>
      <c r="L160" s="44"/>
      <c r="M160" s="45"/>
    </row>
    <row r="161" spans="1:20" ht="27" customHeight="1" thickBot="1" x14ac:dyDescent="0.25">
      <c r="A161" s="36"/>
      <c r="B161" s="186"/>
      <c r="C161" s="187"/>
      <c r="D161" s="187"/>
      <c r="E161" s="243" t="str">
        <f>IF(C14="","",IF(AND(C18="SI",G18&lt;&gt;"Otras actividades"),"15% extra para usuarios de Parque Industrial =&gt;",IF(AND(C18="SI",G18="Otras actividades"),"5% extra para usuarios de Parque Industrial =&gt;","")))</f>
        <v/>
      </c>
      <c r="F161" s="243"/>
      <c r="G161" s="187"/>
      <c r="H161" s="188"/>
      <c r="I161" s="188"/>
      <c r="J161" s="187"/>
      <c r="K161" s="187"/>
      <c r="L161" s="187"/>
      <c r="M161" s="189"/>
    </row>
    <row r="162" spans="1:20" s="15" customFormat="1" ht="26.1" customHeight="1" x14ac:dyDescent="0.2">
      <c r="A162" s="5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P162" s="9"/>
      <c r="Q162" s="9"/>
      <c r="R162" s="9"/>
      <c r="S162" s="9"/>
      <c r="T162" s="9"/>
    </row>
    <row r="163" spans="1:20" ht="52.5" customHeight="1" x14ac:dyDescent="0.2"/>
    <row r="164" spans="1:20" ht="15.75" customHeight="1" x14ac:dyDescent="0.2"/>
    <row r="165" spans="1:20" ht="26.1" customHeight="1" x14ac:dyDescent="0.2"/>
    <row r="166" spans="1:20" ht="39.950000000000003" customHeight="1" x14ac:dyDescent="0.2"/>
    <row r="167" spans="1:20" ht="39.950000000000003" customHeight="1" x14ac:dyDescent="0.2"/>
    <row r="168" spans="1:20" ht="39.950000000000003" customHeight="1" x14ac:dyDescent="0.2"/>
    <row r="169" spans="1:20" ht="39.950000000000003" customHeight="1" x14ac:dyDescent="0.2"/>
    <row r="170" spans="1:20" ht="39.950000000000003" customHeight="1" x14ac:dyDescent="0.2"/>
    <row r="171" spans="1:20" ht="39.950000000000003" customHeight="1" x14ac:dyDescent="0.2"/>
    <row r="172" spans="1:20" ht="41.25" customHeight="1" x14ac:dyDescent="0.2"/>
    <row r="173" spans="1:20" ht="29.25" customHeight="1" x14ac:dyDescent="0.2"/>
    <row r="174" spans="1:20" ht="22.5" customHeight="1" x14ac:dyDescent="0.2"/>
    <row r="175" spans="1:20" ht="15.75" customHeight="1" x14ac:dyDescent="0.2"/>
    <row r="176" spans="1:20" ht="26.1" customHeight="1" x14ac:dyDescent="0.2"/>
    <row r="177" ht="15.75" customHeight="1" x14ac:dyDescent="0.2"/>
    <row r="178" ht="15.75" customHeight="1" x14ac:dyDescent="0.2"/>
    <row r="179" ht="26.1" customHeight="1" x14ac:dyDescent="0.2"/>
    <row r="180" ht="15.75" customHeight="1" x14ac:dyDescent="0.2"/>
    <row r="181" ht="15.75" customHeight="1" x14ac:dyDescent="0.2"/>
    <row r="182" ht="26.1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</sheetData>
  <sheetProtection algorithmName="SHA-512" hashValue="2KPQhOvQJ64AmyN9f9Wi5nXhNOsL+cWW3Cyk5m52PL6c+wsaMqFVU0P2/s8WPEv1ck/K3Gv4/MwgusFXkApyJQ==" saltValue="CuhZQ3075f5b+uvgPrYdBQ==" spinCount="100000" sheet="1" insertRows="0"/>
  <mergeCells count="58">
    <mergeCell ref="B153:C153"/>
    <mergeCell ref="B155:C155"/>
    <mergeCell ref="B159:C159"/>
    <mergeCell ref="F58:F59"/>
    <mergeCell ref="F74:F75"/>
    <mergeCell ref="B58:B59"/>
    <mergeCell ref="C58:C59"/>
    <mergeCell ref="D58:D59"/>
    <mergeCell ref="E58:E59"/>
    <mergeCell ref="B20:M20"/>
    <mergeCell ref="B9:M9"/>
    <mergeCell ref="B10:B11"/>
    <mergeCell ref="C10:C11"/>
    <mergeCell ref="E18:F18"/>
    <mergeCell ref="G18:I18"/>
    <mergeCell ref="E53:E54"/>
    <mergeCell ref="B22:C22"/>
    <mergeCell ref="B34:M34"/>
    <mergeCell ref="B35:M35"/>
    <mergeCell ref="B37:B38"/>
    <mergeCell ref="C37:C38"/>
    <mergeCell ref="D37:D38"/>
    <mergeCell ref="B41:B42"/>
    <mergeCell ref="C41:C42"/>
    <mergeCell ref="D41:D42"/>
    <mergeCell ref="C53:C54"/>
    <mergeCell ref="D53:D54"/>
    <mergeCell ref="H53:H54"/>
    <mergeCell ref="G58:G59"/>
    <mergeCell ref="D108:E108"/>
    <mergeCell ref="B73:E73"/>
    <mergeCell ref="C74:C75"/>
    <mergeCell ref="D74:D75"/>
    <mergeCell ref="E74:E75"/>
    <mergeCell ref="G74:G75"/>
    <mergeCell ref="B74:B75"/>
    <mergeCell ref="D106:E106"/>
    <mergeCell ref="E161:F161"/>
    <mergeCell ref="E24:E25"/>
    <mergeCell ref="F24:F25"/>
    <mergeCell ref="B132:M132"/>
    <mergeCell ref="G136:I136"/>
    <mergeCell ref="G140:I141"/>
    <mergeCell ref="B141:C141"/>
    <mergeCell ref="D113:E113"/>
    <mergeCell ref="D114:E114"/>
    <mergeCell ref="C51:F51"/>
    <mergeCell ref="B53:B54"/>
    <mergeCell ref="E41:E42"/>
    <mergeCell ref="B107:C107"/>
    <mergeCell ref="D107:E107"/>
    <mergeCell ref="B108:C108"/>
    <mergeCell ref="H37:H38"/>
    <mergeCell ref="H80:H81"/>
    <mergeCell ref="H112:H113"/>
    <mergeCell ref="H106:H107"/>
    <mergeCell ref="H118:H119"/>
    <mergeCell ref="B145:C145"/>
  </mergeCells>
  <conditionalFormatting sqref="C30 G18">
    <cfRule type="expression" dxfId="4" priority="7">
      <formula>OR($C$18="NO",$C$18="")</formula>
    </cfRule>
  </conditionalFormatting>
  <conditionalFormatting sqref="F141">
    <cfRule type="expression" dxfId="3" priority="8">
      <formula>$F$135+#REF!+$F$138+$F$139+$F$140&lt;1</formula>
    </cfRule>
  </conditionalFormatting>
  <conditionalFormatting sqref="D153">
    <cfRule type="expression" dxfId="2" priority="3" stopIfTrue="1">
      <formula>$F$135+#REF!+$F$138+$F$139+$F$140&lt;1</formula>
    </cfRule>
  </conditionalFormatting>
  <conditionalFormatting sqref="D155">
    <cfRule type="expression" dxfId="1" priority="2" stopIfTrue="1">
      <formula>$F$135+#REF!+$F$138+$F$139+$F$140&lt;1</formula>
    </cfRule>
  </conditionalFormatting>
  <conditionalFormatting sqref="D159">
    <cfRule type="expression" dxfId="0" priority="1" stopIfTrue="1">
      <formula>$F$135+#REF!+$F$138+$F$139+$F$140&lt;1</formula>
    </cfRule>
  </conditionalFormatting>
  <dataValidations count="11">
    <dataValidation type="custom" allowBlank="1" showInputMessage="1" showErrorMessage="1" error="Estas celdas solo pueden completarse si el Ministerio Evaluador es MINTUR" sqref="C76:D76" xr:uid="{8D0FA7DB-1010-4DDA-9B0E-317FA01C5D65}">
      <formula1>$C$10="MINTUR"</formula1>
    </dataValidation>
    <dataValidation type="custom" allowBlank="1" showInputMessage="1" showErrorMessage="1" error="Estas celdas solo pueden completarse si el el Mnisterio Evaluador es MGAP." sqref="C60:D70" xr:uid="{333B3AEA-7316-404C-9323-FFCDA17CB1F6}">
      <formula1>$C$10="MGAP"</formula1>
    </dataValidation>
    <dataValidation type="whole" allowBlank="1" showInputMessage="1" showErrorMessage="1" sqref="E112 E105" xr:uid="{DB203994-F93A-4093-A76D-28FA042B1264}">
      <formula1>1</formula1>
      <formula2>10</formula2>
    </dataValidation>
    <dataValidation allowBlank="1" showErrorMessage="1" promptTitle="Tipo de Cambio $/US$" prompt="Busque el valor correspondiente en la columna D" sqref="H26" xr:uid="{BB5BF332-F03A-44B9-A9F1-011A3CF9AED5}"/>
    <dataValidation type="decimal" operator="greaterThanOrEqual" showInputMessage="1" showErrorMessage="1" sqref="F55:F56" xr:uid="{BA165CD3-F208-4BFF-B497-2CA27BA23870}">
      <formula1>0</formula1>
    </dataValidation>
    <dataValidation type="decimal" operator="greaterThanOrEqual" allowBlank="1" showInputMessage="1" showErrorMessage="1" sqref="D115 F26 I26 D107 D109" xr:uid="{38EAAC44-E3DC-440B-9B6C-944DB9F8F892}">
      <formula1>0</formula1>
    </dataValidation>
    <dataValidation operator="greaterThanOrEqual" allowBlank="1" showInputMessage="1" showErrorMessage="1" errorTitle="Monto de inversión" error="El monto total de la inversión no puede ser menor a la inversión en Parque Industrial.   " sqref="C26 C23:C24" xr:uid="{D9E7A9D5-9823-4F92-B24C-A63C7EBE83D6}"/>
    <dataValidation type="list" allowBlank="1" showInputMessage="1" showErrorMessage="1" sqref="E111 E104 C50" xr:uid="{FF9E77F5-E8A8-4B29-A6A7-655C523BE457}">
      <formula1>$P$49:$P$50</formula1>
    </dataValidation>
    <dataValidation type="list" allowBlank="1" showInputMessage="1" showErrorMessage="1" sqref="E50" xr:uid="{8EA57D06-85A2-418D-99D4-9D2F69CCEE48}">
      <formula1>$Q$49:$Q$50</formula1>
    </dataValidation>
    <dataValidation operator="greaterThanOrEqual" allowBlank="1" showInputMessage="1" showErrorMessage="1" sqref="F16" xr:uid="{B7EEDE8C-4C41-4816-9499-683BC78C5534}"/>
    <dataValidation type="date" operator="greaterThanOrEqual" allowBlank="1" showInputMessage="1" showErrorMessage="1" error="La fecha de entrada en vigencia del Decreto 329/025 es 01/02/2026" sqref="C13" xr:uid="{88B43C0B-6FA9-4616-B9CB-DC938FC36CFB}">
      <formula1>46054</formula1>
    </dataValidation>
  </dataValidations>
  <hyperlinks>
    <hyperlink ref="G26" r:id="rId1" xr:uid="{6DACDFC2-2F9B-439D-8B82-8B40E82B679F}"/>
    <hyperlink ref="G24" r:id="rId2" xr:uid="{7E118249-BA73-4380-882B-0F4BB7E52A1B}"/>
  </hyperlinks>
  <pageMargins left="0.7" right="0.7" top="0.75" bottom="0.75" header="0.3" footer="0.3"/>
  <pageSetup orientation="portrait" horizontalDpi="0" verticalDpi="0" r:id="rId3"/>
  <drawing r:id="rId4"/>
  <legacyDrawing r:id="rId5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operator="greaterThanOrEqual" allowBlank="1" showInputMessage="1" showErrorMessage="1" xr:uid="{F7BDEF08-55F1-40FE-BFF8-AF337FEDCAFE}">
          <x14:formula1>
            <xm:f>PARAMETROS!$H$5:$H$6</xm:f>
          </x14:formula1>
          <xm:sqref>F13</xm:sqref>
        </x14:dataValidation>
        <x14:dataValidation type="list" allowBlank="1" showInputMessage="1" showErrorMessage="1" xr:uid="{FA798B4F-01B7-456B-B0AA-4AB0B863F98C}">
          <x14:formula1>
            <xm:f>PARAMETROS!$H$5:$H$6</xm:f>
          </x14:formula1>
          <xm:sqref>C80 C18 C119:C126</xm:sqref>
        </x14:dataValidation>
        <x14:dataValidation type="list" allowBlank="1" showInputMessage="1" showErrorMessage="1" xr:uid="{D1DD681B-CBAF-4D06-89A8-FF521B896BAE}">
          <x14:formula1>
            <xm:f>PARAMETROS!$L$25:$L$27</xm:f>
          </x14:formula1>
          <xm:sqref>C114</xm:sqref>
        </x14:dataValidation>
        <x14:dataValidation type="list" operator="greaterThanOrEqual" allowBlank="1" showInputMessage="1" showErrorMessage="1" xr:uid="{8730D3B7-5430-43B4-85B8-642A72006B1A}">
          <x14:formula1>
            <xm:f>PARAMETROS!$L$12:$L$21</xm:f>
          </x14:formula1>
          <xm:sqref>D108:E108</xm:sqref>
        </x14:dataValidation>
        <x14:dataValidation type="list" allowBlank="1" showInputMessage="1" showErrorMessage="1" xr:uid="{27C1F24E-F511-42BC-90A4-EC2127455E92}">
          <x14:formula1>
            <xm:f>PARAMETROS!$B$5:$B$8</xm:f>
          </x14:formula1>
          <xm:sqref>C10:C11</xm:sqref>
        </x14:dataValidation>
        <x14:dataValidation type="list" allowBlank="1" showInputMessage="1" showErrorMessage="1" xr:uid="{B01B8DD7-898D-4B57-8393-5B83BC17B910}">
          <x14:formula1>
            <xm:f>PARAMETROS!$D$12:$D$25</xm:f>
          </x14:formula1>
          <xm:sqref>B60:B70</xm:sqref>
        </x14:dataValidation>
        <x14:dataValidation type="list" allowBlank="1" showInputMessage="1" showErrorMessage="1" xr:uid="{407A7DDE-6BEE-4C17-B580-9E237D8D4ED8}">
          <x14:formula1>
            <xm:f>PARAMETROS!$G$13:$G$31</xm:f>
          </x14:formula1>
          <xm:sqref>C85 C88:C99</xm:sqref>
        </x14:dataValidation>
        <x14:dataValidation type="list" allowBlank="1" showInputMessage="1" showErrorMessage="1" xr:uid="{7FAFB5D4-62E2-43F4-ACFB-22D71E0116AA}">
          <x14:formula1>
            <xm:f>PARAMETROS!$B$12:$B$17</xm:f>
          </x14:formula1>
          <xm:sqref>G18:I18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5BF8F-5B25-F34A-9248-5F73B5221326}">
  <dimension ref="A1:D5"/>
  <sheetViews>
    <sheetView showGridLines="0" showRowColHeaders="0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>
        <v>0</v>
      </c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l74GbhBimkjNrpc7wZVpqGvMmOb+RXSbDvzSnBCJ0wwRWoMPQg3H3m+BsJzu+09rUD5lyesNZvcsZkaLUvHqbg==" saltValue="fhrW+QjVYn3fDRV/v9iRtA==" spinCount="100000" sheet="1" objects="1" scenarios="1"/>
  <hyperlinks>
    <hyperlink ref="A1" location="SIMULADOR!B107" display="Volver" xr:uid="{895F8B13-5504-C94A-9643-5C5074305D1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854B3-FF67-C54D-B339-BAD636DAEC3A}">
  <dimension ref="A1:C5"/>
  <sheetViews>
    <sheetView showGridLines="0" showRowColHeaders="0" workbookViewId="0">
      <selection activeCell="C12" sqref="C12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>
        <v>0</v>
      </c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bujEvayjESTwnMsZ4N7cHMoQGUjca+Y/alxi/FF5Kj977WJ422fEULsfsvDBh1q+9Y2kBT2F2mfDCKsJMRzyNw==" saltValue="tHFrdZ5mn0YPWYZhNFku3w==" spinCount="100000" sheet="1" objects="1" scenarios="1"/>
  <hyperlinks>
    <hyperlink ref="A1" location="SIMULADOR!B107" display="Volver" xr:uid="{80B93868-7ABD-344D-9F62-4B6B6AA05FFA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225-8D1D-D14F-B3CC-98AEBBB08708}">
  <dimension ref="A1:E9"/>
  <sheetViews>
    <sheetView showGridLines="0" showRowColHeaders="0" workbookViewId="0">
      <selection activeCell="C8" sqref="C8"/>
    </sheetView>
  </sheetViews>
  <sheetFormatPr baseColWidth="10" defaultColWidth="0" defaultRowHeight="15" zeroHeight="1" x14ac:dyDescent="0.25"/>
  <cols>
    <col min="1" max="1" width="11.42578125" customWidth="1"/>
    <col min="2" max="2" width="40.140625" bestFit="1" customWidth="1"/>
    <col min="3" max="3" width="9.28515625" bestFit="1" customWidth="1"/>
    <col min="4" max="4" width="29.7109375" bestFit="1" customWidth="1"/>
    <col min="5" max="5" width="11.42578125" customWidth="1"/>
    <col min="6" max="16384" width="11.42578125" hidden="1"/>
  </cols>
  <sheetData>
    <row r="1" spans="1:4" x14ac:dyDescent="0.25">
      <c r="A1" s="193" t="s">
        <v>236</v>
      </c>
    </row>
    <row r="2" spans="1:4" x14ac:dyDescent="0.25">
      <c r="B2" s="34"/>
      <c r="C2" s="34" t="s">
        <v>214</v>
      </c>
      <c r="D2" s="34" t="s">
        <v>215</v>
      </c>
    </row>
    <row r="3" spans="1:4" x14ac:dyDescent="0.25">
      <c r="B3" s="34" t="s">
        <v>210</v>
      </c>
      <c r="C3" s="220">
        <v>0</v>
      </c>
      <c r="D3" s="230" t="e">
        <f>MIN((C3/SIMULADOR!$C$26)/0.5,1)*3</f>
        <v>#DIV/0!</v>
      </c>
    </row>
    <row r="4" spans="1:4" x14ac:dyDescent="0.25">
      <c r="B4" s="34" t="s">
        <v>211</v>
      </c>
      <c r="C4" s="220">
        <v>0</v>
      </c>
      <c r="D4" s="230" t="e">
        <f>MIN((C4/SIMULADOR!$C$26)/0.5,1)*5</f>
        <v>#DIV/0!</v>
      </c>
    </row>
    <row r="5" spans="1:4" x14ac:dyDescent="0.25">
      <c r="B5" s="34" t="s">
        <v>212</v>
      </c>
      <c r="C5" s="221">
        <v>0</v>
      </c>
      <c r="D5" s="230" t="e">
        <f>MIN((C5/SIMULADOR!$C$26)/0.5,1)*10</f>
        <v>#DIV/0!</v>
      </c>
    </row>
    <row r="6" spans="1:4" x14ac:dyDescent="0.25"/>
    <row r="7" spans="1:4" x14ac:dyDescent="0.25">
      <c r="B7" s="28" t="s">
        <v>213</v>
      </c>
      <c r="C7" s="231">
        <f>SUM(C3:C5)</f>
        <v>0</v>
      </c>
    </row>
    <row r="8" spans="1:4" x14ac:dyDescent="0.25">
      <c r="B8" s="28" t="s">
        <v>197</v>
      </c>
      <c r="C8" s="227">
        <f>IFERROR(MIN(SUMPRODUCT(C3:C5,D3:D5)/C7,10),0)</f>
        <v>0</v>
      </c>
    </row>
    <row r="9" spans="1:4" x14ac:dyDescent="0.25"/>
  </sheetData>
  <sheetProtection algorithmName="SHA-512" hashValue="O1wAiVVTS71xIpyRiAtTZZwe2GvoSBSRWDZfg9wPf8M+n0DK3XHWUQr49JUtYx4BNcgDUqEGfXfUQT9a0Sr9qA==" saltValue="qEQrR47GM5fbzB2zTa/J+Q==" spinCount="100000" sheet="1" objects="1" scenarios="1"/>
  <hyperlinks>
    <hyperlink ref="A1" location="SIMULADOR!B107" display="Volver" xr:uid="{C1A0D39D-AD28-EA40-BAF5-CACCF6603370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0CE6B8-B92B-0344-879F-7FA9ACDEFE1B}">
  <dimension ref="A1:E9"/>
  <sheetViews>
    <sheetView showGridLines="0" showRowColHeaders="0" workbookViewId="0">
      <selection activeCell="D5" sqref="D5"/>
    </sheetView>
  </sheetViews>
  <sheetFormatPr baseColWidth="10" defaultColWidth="0" defaultRowHeight="15" zeroHeight="1" x14ac:dyDescent="0.25"/>
  <cols>
    <col min="1" max="1" width="11.42578125" customWidth="1"/>
    <col min="2" max="2" width="40.140625" bestFit="1" customWidth="1"/>
    <col min="3" max="3" width="9.28515625" bestFit="1" customWidth="1"/>
    <col min="4" max="4" width="29.7109375" bestFit="1" customWidth="1"/>
    <col min="5" max="5" width="11" customWidth="1"/>
    <col min="6" max="16384" width="11.42578125" hidden="1"/>
  </cols>
  <sheetData>
    <row r="1" spans="1:5" x14ac:dyDescent="0.25">
      <c r="A1" s="193" t="s">
        <v>236</v>
      </c>
      <c r="E1" s="28"/>
    </row>
    <row r="2" spans="1:5" x14ac:dyDescent="0.25">
      <c r="B2" s="34"/>
      <c r="C2" s="34" t="s">
        <v>214</v>
      </c>
      <c r="D2" s="34" t="s">
        <v>215</v>
      </c>
      <c r="E2" s="28"/>
    </row>
    <row r="3" spans="1:5" x14ac:dyDescent="0.25">
      <c r="B3" s="34" t="s">
        <v>210</v>
      </c>
      <c r="C3" s="220">
        <v>0</v>
      </c>
      <c r="D3" s="230" t="e">
        <f>MIN((C3/SIMULADOR!$C$26)/0.5,1)*3</f>
        <v>#DIV/0!</v>
      </c>
      <c r="E3" s="28"/>
    </row>
    <row r="4" spans="1:5" x14ac:dyDescent="0.25">
      <c r="B4" s="34" t="s">
        <v>211</v>
      </c>
      <c r="C4" s="220">
        <v>0</v>
      </c>
      <c r="D4" s="230" t="e">
        <f>MIN((C4/SIMULADOR!$C$26)/0.5,1)*5</f>
        <v>#DIV/0!</v>
      </c>
      <c r="E4" s="28"/>
    </row>
    <row r="5" spans="1:5" x14ac:dyDescent="0.25">
      <c r="B5" s="34" t="s">
        <v>212</v>
      </c>
      <c r="C5" s="221">
        <v>0</v>
      </c>
      <c r="D5" s="230" t="e">
        <f>MIN((C5/SIMULADOR!$C$26)/0.5,1)*10</f>
        <v>#DIV/0!</v>
      </c>
      <c r="E5" s="28"/>
    </row>
    <row r="6" spans="1:5" x14ac:dyDescent="0.25">
      <c r="E6" s="28"/>
    </row>
    <row r="7" spans="1:5" x14ac:dyDescent="0.25">
      <c r="B7" s="28" t="s">
        <v>213</v>
      </c>
      <c r="C7" s="231">
        <f>SUM(C3:C5)</f>
        <v>0</v>
      </c>
      <c r="E7" s="28"/>
    </row>
    <row r="8" spans="1:5" x14ac:dyDescent="0.25">
      <c r="B8" s="28" t="s">
        <v>197</v>
      </c>
      <c r="C8" s="227">
        <f>IFERROR(MIN(SUMPRODUCT(C3:C5,D3:D5)/C7,10),0)</f>
        <v>0</v>
      </c>
      <c r="E8" s="28"/>
    </row>
    <row r="9" spans="1:5" x14ac:dyDescent="0.25"/>
  </sheetData>
  <sheetProtection algorithmName="SHA-512" hashValue="sc0UR2j4xMsmGnAezNSUZDtXGitjI8xh4HLdXWgdx5nyR/BqSb/bkn2yAGBpzgmvart5miebkGC008QpUC4Izw==" saltValue="ySlcxcLfhRFTol3woRL3UA==" spinCount="100000" sheet="1" objects="1" scenarios="1"/>
  <hyperlinks>
    <hyperlink ref="A1" location="SIMULADOR!B107" display="Volver" xr:uid="{955D3377-A154-C645-B7D1-A04BE33404B4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3089A-9C98-4E44-975A-4696676A3069}">
  <dimension ref="A1:D5"/>
  <sheetViews>
    <sheetView showGridLines="0" showRowColHeaders="0" workbookViewId="0">
      <selection activeCell="C4" sqref="C4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>
        <v>0</v>
      </c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pRFxU8yM8OFS9IKQiwUAToJ+X5k4BliOYvyzX2ifNt1TRUXGZCHfu+2LrWy4tRjWd95vvO+LF+Uc3G/h4xik7g==" saltValue="Ows0dlS7LjkROQtbwOjCUA==" spinCount="100000" sheet="1" objects="1" scenarios="1"/>
  <hyperlinks>
    <hyperlink ref="A1" location="SIMULADOR!B107" display="Volver" xr:uid="{50A705AC-6FE7-0542-9F10-AE180F7F69CC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81C25-6156-904E-BEB4-53B2F8D5F9D4}">
  <dimension ref="A1:D5"/>
  <sheetViews>
    <sheetView showGridLines="0" showRowColHeaders="0" workbookViewId="0">
      <selection activeCell="C4" sqref="C4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>
        <v>0</v>
      </c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hyperlinks>
    <hyperlink ref="A1" location="SIMULADOR!B107" display="Volver" xr:uid="{335DE2C3-858B-0F45-A65A-6603E4BFC27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059961-1611-4909-99CF-7E1B0FBAF98E}">
  <dimension ref="A1:O76"/>
  <sheetViews>
    <sheetView workbookViewId="0">
      <selection activeCell="D20" sqref="D20"/>
    </sheetView>
  </sheetViews>
  <sheetFormatPr baseColWidth="10" defaultRowHeight="15" x14ac:dyDescent="0.25"/>
  <cols>
    <col min="2" max="2" width="46.28515625" customWidth="1"/>
    <col min="3" max="3" width="12.85546875" customWidth="1"/>
  </cols>
  <sheetData>
    <row r="1" spans="1:15" ht="16.5" thickBot="1" x14ac:dyDescent="0.3">
      <c r="A1" s="302" t="s">
        <v>0</v>
      </c>
      <c r="B1" s="303"/>
      <c r="C1" s="303"/>
      <c r="D1" s="303"/>
      <c r="E1" s="303"/>
      <c r="F1" s="303"/>
      <c r="G1" s="303"/>
      <c r="H1" s="303"/>
      <c r="I1" s="303"/>
      <c r="J1" s="303"/>
      <c r="K1" s="303"/>
      <c r="L1" s="303"/>
      <c r="M1" s="303"/>
      <c r="N1" s="304"/>
    </row>
    <row r="2" spans="1:1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x14ac:dyDescent="0.25">
      <c r="A3" s="2"/>
      <c r="B3" s="298" t="s">
        <v>1</v>
      </c>
      <c r="C3" s="298"/>
      <c r="D3" s="298"/>
      <c r="E3" s="298"/>
      <c r="F3" s="298"/>
      <c r="G3" s="1"/>
      <c r="H3" s="1"/>
      <c r="I3" s="1"/>
      <c r="J3" s="1"/>
      <c r="K3" s="1"/>
      <c r="L3" s="1"/>
      <c r="M3" s="1"/>
      <c r="N3" s="1"/>
    </row>
    <row r="4" spans="1:15" ht="26.25" x14ac:dyDescent="0.25">
      <c r="A4" s="2"/>
      <c r="B4" s="3" t="s">
        <v>2</v>
      </c>
      <c r="C4" s="305" t="s">
        <v>3</v>
      </c>
      <c r="D4" s="305"/>
      <c r="E4" s="305" t="s">
        <v>4</v>
      </c>
      <c r="F4" s="305"/>
      <c r="G4" s="1" t="s">
        <v>174</v>
      </c>
      <c r="H4" s="3" t="s">
        <v>98</v>
      </c>
      <c r="I4" s="1"/>
      <c r="J4" s="1"/>
      <c r="K4" s="1"/>
      <c r="L4" s="1"/>
      <c r="M4" s="1"/>
      <c r="N4" s="1"/>
    </row>
    <row r="5" spans="1:15" x14ac:dyDescent="0.25">
      <c r="A5" s="2"/>
      <c r="B5" s="4" t="s">
        <v>5</v>
      </c>
      <c r="C5" s="301" t="s">
        <v>6</v>
      </c>
      <c r="D5" s="301"/>
      <c r="E5" s="301" t="s">
        <v>7</v>
      </c>
      <c r="F5" s="301"/>
      <c r="G5" s="1">
        <v>1</v>
      </c>
      <c r="H5" s="4" t="s">
        <v>26</v>
      </c>
      <c r="I5" s="1"/>
      <c r="J5" s="1"/>
      <c r="K5" s="1"/>
      <c r="L5" s="1"/>
      <c r="M5" s="1"/>
      <c r="N5" s="1"/>
    </row>
    <row r="6" spans="1:15" x14ac:dyDescent="0.25">
      <c r="A6" s="2"/>
      <c r="B6" s="4" t="s">
        <v>8</v>
      </c>
      <c r="C6" s="301" t="s">
        <v>9</v>
      </c>
      <c r="D6" s="301"/>
      <c r="E6" s="301" t="s">
        <v>10</v>
      </c>
      <c r="F6" s="301"/>
      <c r="G6" s="1">
        <v>2</v>
      </c>
      <c r="H6" s="4" t="s">
        <v>32</v>
      </c>
      <c r="I6" s="1"/>
      <c r="J6" s="1"/>
      <c r="K6" s="1"/>
      <c r="L6" s="1"/>
      <c r="M6" s="1"/>
      <c r="N6" s="1"/>
    </row>
    <row r="7" spans="1:15" x14ac:dyDescent="0.25">
      <c r="A7" s="2"/>
      <c r="B7" s="4" t="s">
        <v>11</v>
      </c>
      <c r="C7" s="301" t="s">
        <v>12</v>
      </c>
      <c r="D7" s="301"/>
      <c r="E7" s="301" t="s">
        <v>13</v>
      </c>
      <c r="F7" s="301"/>
      <c r="G7" s="1">
        <v>3</v>
      </c>
      <c r="H7" s="1"/>
      <c r="I7" s="1"/>
      <c r="J7" s="1"/>
      <c r="K7" s="1"/>
      <c r="L7" s="1"/>
      <c r="M7" s="1"/>
      <c r="N7" s="1"/>
    </row>
    <row r="8" spans="1:15" x14ac:dyDescent="0.25">
      <c r="A8" s="2"/>
      <c r="B8" s="4" t="s">
        <v>14</v>
      </c>
      <c r="C8" s="301" t="s">
        <v>15</v>
      </c>
      <c r="D8" s="301"/>
      <c r="E8" s="301" t="s">
        <v>16</v>
      </c>
      <c r="F8" s="301"/>
      <c r="G8" s="1">
        <v>4</v>
      </c>
      <c r="H8" s="1"/>
      <c r="I8" s="1"/>
      <c r="J8" s="1"/>
      <c r="K8" s="1"/>
      <c r="L8" s="1"/>
      <c r="M8" s="1"/>
      <c r="N8" s="1"/>
    </row>
    <row r="11" spans="1:15" ht="64.5" x14ac:dyDescent="0.25">
      <c r="B11" s="19" t="s">
        <v>99</v>
      </c>
      <c r="D11" s="297" t="s">
        <v>110</v>
      </c>
      <c r="E11" s="297"/>
      <c r="G11" s="298" t="s">
        <v>139</v>
      </c>
      <c r="H11" s="298"/>
      <c r="J11" s="19" t="s">
        <v>141</v>
      </c>
      <c r="L11" s="299" t="s">
        <v>144</v>
      </c>
      <c r="M11" s="300"/>
      <c r="O11" t="s">
        <v>172</v>
      </c>
    </row>
    <row r="12" spans="1:15" x14ac:dyDescent="0.25">
      <c r="B12" s="18" t="s">
        <v>21</v>
      </c>
      <c r="D12" s="20" t="s">
        <v>111</v>
      </c>
      <c r="E12" s="21">
        <v>0.75</v>
      </c>
      <c r="G12" s="23" t="s">
        <v>59</v>
      </c>
      <c r="H12" s="23" t="s">
        <v>62</v>
      </c>
      <c r="J12" s="4" t="s">
        <v>80</v>
      </c>
      <c r="L12" s="26" t="s">
        <v>145</v>
      </c>
      <c r="M12" s="26">
        <v>2</v>
      </c>
    </row>
    <row r="13" spans="1:15" ht="15" customHeight="1" x14ac:dyDescent="0.25">
      <c r="B13" s="18" t="s">
        <v>100</v>
      </c>
      <c r="D13" s="20" t="s">
        <v>112</v>
      </c>
      <c r="E13" s="21">
        <v>0.92</v>
      </c>
      <c r="G13" s="24" t="s">
        <v>67</v>
      </c>
      <c r="H13" s="25">
        <v>10</v>
      </c>
      <c r="J13" s="4" t="s">
        <v>142</v>
      </c>
      <c r="L13" s="26" t="s">
        <v>146</v>
      </c>
      <c r="M13" s="26">
        <v>3</v>
      </c>
    </row>
    <row r="14" spans="1:15" ht="23.25" customHeight="1" x14ac:dyDescent="0.25">
      <c r="B14" s="18" t="s">
        <v>101</v>
      </c>
      <c r="D14" s="20" t="s">
        <v>113</v>
      </c>
      <c r="E14" s="21">
        <v>0.91</v>
      </c>
      <c r="G14" s="24" t="s">
        <v>124</v>
      </c>
      <c r="H14" s="25">
        <v>10</v>
      </c>
      <c r="J14" s="4" t="s">
        <v>143</v>
      </c>
      <c r="L14" s="26" t="s">
        <v>147</v>
      </c>
      <c r="M14" s="26">
        <v>4</v>
      </c>
    </row>
    <row r="15" spans="1:15" ht="30" x14ac:dyDescent="0.25">
      <c r="B15" s="18" t="s">
        <v>23</v>
      </c>
      <c r="D15" s="20" t="s">
        <v>114</v>
      </c>
      <c r="E15" s="21">
        <v>0</v>
      </c>
      <c r="G15" s="24" t="s">
        <v>125</v>
      </c>
      <c r="H15" s="25">
        <v>9</v>
      </c>
      <c r="L15" s="26" t="s">
        <v>148</v>
      </c>
      <c r="M15" s="26">
        <v>5</v>
      </c>
    </row>
    <row r="16" spans="1:15" ht="90" x14ac:dyDescent="0.25">
      <c r="B16" s="18" t="s">
        <v>102</v>
      </c>
      <c r="D16" s="20" t="s">
        <v>115</v>
      </c>
      <c r="E16" s="21">
        <v>0.2</v>
      </c>
      <c r="G16" s="24" t="s">
        <v>126</v>
      </c>
      <c r="H16" s="25">
        <v>9</v>
      </c>
      <c r="J16" s="17" t="s">
        <v>171</v>
      </c>
      <c r="L16" s="26" t="s">
        <v>70</v>
      </c>
      <c r="M16" s="26">
        <v>2</v>
      </c>
    </row>
    <row r="17" spans="2:13" ht="28.5" x14ac:dyDescent="0.25">
      <c r="B17" s="18" t="s">
        <v>103</v>
      </c>
      <c r="D17" s="20" t="s">
        <v>116</v>
      </c>
      <c r="E17" s="21">
        <v>0</v>
      </c>
      <c r="G17" s="24" t="s">
        <v>127</v>
      </c>
      <c r="H17" s="25">
        <v>8</v>
      </c>
      <c r="J17" s="17" t="s">
        <v>26</v>
      </c>
      <c r="L17" s="26" t="s">
        <v>149</v>
      </c>
      <c r="M17" s="26">
        <v>3</v>
      </c>
    </row>
    <row r="18" spans="2:13" x14ac:dyDescent="0.25">
      <c r="D18" s="20" t="s">
        <v>117</v>
      </c>
      <c r="E18" s="21">
        <v>0.02</v>
      </c>
      <c r="G18" s="24" t="s">
        <v>128</v>
      </c>
      <c r="H18" s="25">
        <v>8</v>
      </c>
      <c r="J18" s="17" t="s">
        <v>32</v>
      </c>
      <c r="L18" s="26" t="s">
        <v>150</v>
      </c>
      <c r="M18" s="26">
        <v>4</v>
      </c>
    </row>
    <row r="19" spans="2:13" x14ac:dyDescent="0.25">
      <c r="D19" s="20" t="s">
        <v>118</v>
      </c>
      <c r="E19" s="21">
        <v>0.75</v>
      </c>
      <c r="G19" s="24" t="s">
        <v>129</v>
      </c>
      <c r="H19" s="25">
        <v>8</v>
      </c>
      <c r="L19" s="26" t="s">
        <v>151</v>
      </c>
      <c r="M19" s="26">
        <v>5</v>
      </c>
    </row>
    <row r="20" spans="2:13" x14ac:dyDescent="0.25">
      <c r="D20" s="20" t="s">
        <v>119</v>
      </c>
      <c r="E20" s="21">
        <v>0</v>
      </c>
      <c r="G20" s="24" t="s">
        <v>130</v>
      </c>
      <c r="H20" s="25">
        <v>7</v>
      </c>
      <c r="L20" s="26" t="s">
        <v>152</v>
      </c>
      <c r="M20" s="26">
        <v>2</v>
      </c>
    </row>
    <row r="21" spans="2:13" x14ac:dyDescent="0.25">
      <c r="D21" s="20" t="s">
        <v>120</v>
      </c>
      <c r="E21" s="21">
        <v>0.14000000000000001</v>
      </c>
      <c r="G21" s="24" t="s">
        <v>131</v>
      </c>
      <c r="H21" s="25">
        <v>6</v>
      </c>
      <c r="L21" s="26" t="s">
        <v>153</v>
      </c>
      <c r="M21" s="26">
        <v>3</v>
      </c>
    </row>
    <row r="22" spans="2:13" x14ac:dyDescent="0.25">
      <c r="D22" s="20" t="s">
        <v>121</v>
      </c>
      <c r="E22" s="21">
        <v>0.86</v>
      </c>
      <c r="G22" s="24" t="s">
        <v>132</v>
      </c>
      <c r="H22" s="25">
        <v>6</v>
      </c>
    </row>
    <row r="23" spans="2:13" x14ac:dyDescent="0.25">
      <c r="D23" s="20" t="s">
        <v>122</v>
      </c>
      <c r="E23" s="21">
        <v>7.0000000000000007E-2</v>
      </c>
      <c r="G23" s="24" t="s">
        <v>133</v>
      </c>
      <c r="H23" s="25">
        <v>5</v>
      </c>
    </row>
    <row r="24" spans="2:13" ht="15.75" x14ac:dyDescent="0.25">
      <c r="D24" s="20" t="s">
        <v>56</v>
      </c>
      <c r="E24" s="21">
        <v>0.63</v>
      </c>
      <c r="G24" s="24" t="s">
        <v>134</v>
      </c>
      <c r="H24" s="25">
        <v>5</v>
      </c>
      <c r="L24" s="299" t="s">
        <v>154</v>
      </c>
      <c r="M24" s="300"/>
    </row>
    <row r="25" spans="2:13" x14ac:dyDescent="0.25">
      <c r="D25" s="20" t="s">
        <v>123</v>
      </c>
      <c r="E25" s="22">
        <v>0.92</v>
      </c>
      <c r="G25" s="24" t="s">
        <v>135</v>
      </c>
      <c r="H25" s="25">
        <v>4</v>
      </c>
      <c r="L25" s="26" t="s">
        <v>76</v>
      </c>
      <c r="M25" s="26">
        <v>4</v>
      </c>
    </row>
    <row r="26" spans="2:13" x14ac:dyDescent="0.25">
      <c r="G26" s="24" t="s">
        <v>65</v>
      </c>
      <c r="H26" s="25">
        <v>4</v>
      </c>
      <c r="L26" s="26" t="s">
        <v>155</v>
      </c>
      <c r="M26" s="26">
        <v>7</v>
      </c>
    </row>
    <row r="27" spans="2:13" x14ac:dyDescent="0.25">
      <c r="G27" s="24" t="s">
        <v>66</v>
      </c>
      <c r="H27" s="25">
        <v>3</v>
      </c>
      <c r="L27" s="26" t="s">
        <v>156</v>
      </c>
      <c r="M27" s="26">
        <v>10</v>
      </c>
    </row>
    <row r="28" spans="2:13" x14ac:dyDescent="0.25">
      <c r="G28" s="24" t="s">
        <v>136</v>
      </c>
      <c r="H28" s="25">
        <v>3</v>
      </c>
    </row>
    <row r="29" spans="2:13" x14ac:dyDescent="0.25">
      <c r="G29" s="24" t="s">
        <v>137</v>
      </c>
      <c r="H29" s="25">
        <v>2</v>
      </c>
    </row>
    <row r="30" spans="2:13" x14ac:dyDescent="0.25">
      <c r="G30" s="24" t="s">
        <v>138</v>
      </c>
      <c r="H30" s="25">
        <v>2</v>
      </c>
    </row>
    <row r="31" spans="2:13" x14ac:dyDescent="0.25">
      <c r="G31" s="24" t="s">
        <v>74</v>
      </c>
      <c r="H31" s="25">
        <v>0</v>
      </c>
    </row>
    <row r="39" spans="2:5" x14ac:dyDescent="0.25">
      <c r="B39" t="s">
        <v>173</v>
      </c>
      <c r="C39" t="e">
        <f>VLOOKUP(SIMULADOR!$C$10,PARAMETROS!$B$5:$G$8,6,FALSE)-1</f>
        <v>#N/A</v>
      </c>
    </row>
    <row r="41" spans="2:5" x14ac:dyDescent="0.25">
      <c r="B41">
        <v>1</v>
      </c>
      <c r="C41">
        <v>2</v>
      </c>
      <c r="D41">
        <v>3</v>
      </c>
      <c r="E41">
        <v>4</v>
      </c>
    </row>
    <row r="42" spans="2:5" ht="60" x14ac:dyDescent="0.25">
      <c r="B42" s="27" t="s">
        <v>169</v>
      </c>
      <c r="C42" s="27" t="s">
        <v>162</v>
      </c>
      <c r="D42" s="27" t="s">
        <v>161</v>
      </c>
      <c r="E42" s="27" t="s">
        <v>157</v>
      </c>
    </row>
    <row r="43" spans="2:5" x14ac:dyDescent="0.25">
      <c r="B43" t="s">
        <v>170</v>
      </c>
      <c r="C43" t="s">
        <v>170</v>
      </c>
      <c r="D43" t="s">
        <v>170</v>
      </c>
      <c r="E43" t="s">
        <v>170</v>
      </c>
    </row>
    <row r="44" spans="2:5" x14ac:dyDescent="0.25">
      <c r="B44" s="30" t="s">
        <v>205</v>
      </c>
      <c r="C44" t="s">
        <v>163</v>
      </c>
      <c r="D44" t="s">
        <v>160</v>
      </c>
      <c r="E44" s="27" t="s">
        <v>78</v>
      </c>
    </row>
    <row r="45" spans="2:5" x14ac:dyDescent="0.25">
      <c r="B45" s="30" t="s">
        <v>205</v>
      </c>
      <c r="C45" t="s">
        <v>164</v>
      </c>
      <c r="D45" s="30" t="s">
        <v>205</v>
      </c>
      <c r="E45" t="s">
        <v>158</v>
      </c>
    </row>
    <row r="46" spans="2:5" x14ac:dyDescent="0.25">
      <c r="B46" s="30" t="s">
        <v>205</v>
      </c>
      <c r="C46" t="s">
        <v>141</v>
      </c>
      <c r="D46" s="30" t="s">
        <v>205</v>
      </c>
      <c r="E46" t="s">
        <v>159</v>
      </c>
    </row>
    <row r="47" spans="2:5" x14ac:dyDescent="0.25">
      <c r="B47" s="30" t="s">
        <v>205</v>
      </c>
      <c r="C47" t="s">
        <v>165</v>
      </c>
      <c r="D47" s="30" t="s">
        <v>205</v>
      </c>
      <c r="E47" t="s">
        <v>79</v>
      </c>
    </row>
    <row r="48" spans="2:5" x14ac:dyDescent="0.25">
      <c r="B48" s="30" t="s">
        <v>205</v>
      </c>
      <c r="C48" t="s">
        <v>166</v>
      </c>
      <c r="D48" s="30" t="s">
        <v>205</v>
      </c>
      <c r="E48" t="s">
        <v>166</v>
      </c>
    </row>
    <row r="49" spans="2:5" x14ac:dyDescent="0.25">
      <c r="B49" s="30" t="s">
        <v>205</v>
      </c>
      <c r="C49" t="s">
        <v>167</v>
      </c>
      <c r="D49" s="30" t="s">
        <v>205</v>
      </c>
      <c r="E49" s="30" t="s">
        <v>205</v>
      </c>
    </row>
    <row r="50" spans="2:5" x14ac:dyDescent="0.25">
      <c r="B50" s="30" t="s">
        <v>205</v>
      </c>
      <c r="C50" t="s">
        <v>168</v>
      </c>
      <c r="D50" s="30" t="s">
        <v>205</v>
      </c>
      <c r="E50" s="30" t="s">
        <v>205</v>
      </c>
    </row>
    <row r="53" spans="2:5" x14ac:dyDescent="0.25">
      <c r="C53" t="s">
        <v>190</v>
      </c>
      <c r="D53" t="s">
        <v>62</v>
      </c>
    </row>
    <row r="54" spans="2:5" x14ac:dyDescent="0.25">
      <c r="B54" t="s">
        <v>170</v>
      </c>
      <c r="C54" t="s">
        <v>177</v>
      </c>
      <c r="D54" s="29">
        <f>'Industria nacional'!$C$13</f>
        <v>10</v>
      </c>
    </row>
    <row r="55" spans="2:5" x14ac:dyDescent="0.25">
      <c r="B55" s="27" t="s">
        <v>78</v>
      </c>
      <c r="C55" t="s">
        <v>178</v>
      </c>
      <c r="D55" s="29" t="e">
        <f>Riego!$C$4</f>
        <v>#DIV/0!</v>
      </c>
    </row>
    <row r="56" spans="2:5" x14ac:dyDescent="0.25">
      <c r="B56" t="s">
        <v>158</v>
      </c>
      <c r="C56" t="s">
        <v>180</v>
      </c>
      <c r="D56" s="29">
        <f>'Producción ganadera'!$C$25</f>
        <v>0</v>
      </c>
    </row>
    <row r="57" spans="2:5" x14ac:dyDescent="0.25">
      <c r="B57" t="s">
        <v>159</v>
      </c>
      <c r="C57" t="s">
        <v>179</v>
      </c>
      <c r="D57" s="29">
        <f>'Campo natural'!$C$4</f>
        <v>0</v>
      </c>
    </row>
    <row r="58" spans="2:5" x14ac:dyDescent="0.25">
      <c r="B58" t="s">
        <v>79</v>
      </c>
      <c r="C58" t="s">
        <v>181</v>
      </c>
      <c r="D58" s="29" t="e">
        <f>'Pesca y acuicultura'!$C$4</f>
        <v>#DIV/0!</v>
      </c>
    </row>
    <row r="59" spans="2:5" x14ac:dyDescent="0.25">
      <c r="B59" t="s">
        <v>166</v>
      </c>
      <c r="C59" t="s">
        <v>182</v>
      </c>
      <c r="D59" s="29" t="e">
        <f>Bioinsumos!$C$4</f>
        <v>#DIV/0!</v>
      </c>
    </row>
    <row r="60" spans="2:5" x14ac:dyDescent="0.25">
      <c r="B60" t="s">
        <v>160</v>
      </c>
      <c r="C60" t="s">
        <v>183</v>
      </c>
      <c r="D60" s="29" t="e">
        <f>Turismo!$C$6</f>
        <v>#DIV/0!</v>
      </c>
    </row>
    <row r="61" spans="2:5" x14ac:dyDescent="0.25">
      <c r="B61" t="s">
        <v>163</v>
      </c>
      <c r="C61" t="s">
        <v>184</v>
      </c>
      <c r="D61" s="29" t="e">
        <f>'Eficiencia y desfosilización'!$C$4</f>
        <v>#DIV/0!</v>
      </c>
    </row>
    <row r="62" spans="2:5" x14ac:dyDescent="0.25">
      <c r="B62" t="s">
        <v>164</v>
      </c>
      <c r="C62" t="s">
        <v>185</v>
      </c>
      <c r="D62" s="29" t="e">
        <f>'Hidrógeno verde'!$C$4</f>
        <v>#DIV/0!</v>
      </c>
    </row>
    <row r="63" spans="2:5" x14ac:dyDescent="0.25">
      <c r="B63" t="s">
        <v>141</v>
      </c>
      <c r="C63" t="s">
        <v>186</v>
      </c>
      <c r="D63" s="29">
        <f>'Industrialización minerales'!$C$8</f>
        <v>0</v>
      </c>
    </row>
    <row r="64" spans="2:5" x14ac:dyDescent="0.25">
      <c r="B64" t="s">
        <v>165</v>
      </c>
      <c r="C64" t="s">
        <v>187</v>
      </c>
      <c r="D64" s="29">
        <f>'Residuos y reciclaje'!$C$8</f>
        <v>0</v>
      </c>
    </row>
    <row r="65" spans="2:4" x14ac:dyDescent="0.25">
      <c r="B65" t="s">
        <v>167</v>
      </c>
      <c r="C65" t="s">
        <v>188</v>
      </c>
      <c r="D65" s="29" t="e">
        <f>'Farma y ciencias vida'!$C$4</f>
        <v>#DIV/0!</v>
      </c>
    </row>
    <row r="66" spans="2:4" x14ac:dyDescent="0.25">
      <c r="B66" t="s">
        <v>168</v>
      </c>
      <c r="C66" t="s">
        <v>189</v>
      </c>
      <c r="D66" s="29" t="e">
        <f>'Industria aeroespacial'!$C$4</f>
        <v>#DIV/0!</v>
      </c>
    </row>
    <row r="69" spans="2:4" x14ac:dyDescent="0.25">
      <c r="B69" t="s">
        <v>228</v>
      </c>
      <c r="C69" t="s">
        <v>229</v>
      </c>
      <c r="D69" t="s">
        <v>230</v>
      </c>
    </row>
    <row r="70" spans="2:4" x14ac:dyDescent="0.25">
      <c r="B70">
        <v>0</v>
      </c>
      <c r="C70">
        <v>3500000</v>
      </c>
      <c r="D70">
        <v>16</v>
      </c>
    </row>
    <row r="71" spans="2:4" x14ac:dyDescent="0.25">
      <c r="B71">
        <f>C70</f>
        <v>3500000</v>
      </c>
      <c r="C71">
        <v>14000000</v>
      </c>
      <c r="D71">
        <f>D70+1</f>
        <v>17</v>
      </c>
    </row>
    <row r="72" spans="2:4" x14ac:dyDescent="0.25">
      <c r="B72">
        <f t="shared" ref="B72:B76" si="0">C71</f>
        <v>14000000</v>
      </c>
      <c r="C72">
        <v>70000000</v>
      </c>
      <c r="D72">
        <f t="shared" ref="D72:D76" si="1">D71+1</f>
        <v>18</v>
      </c>
    </row>
    <row r="73" spans="2:4" x14ac:dyDescent="0.25">
      <c r="B73">
        <f t="shared" si="0"/>
        <v>70000000</v>
      </c>
      <c r="C73">
        <v>140000000</v>
      </c>
      <c r="D73">
        <v>20</v>
      </c>
    </row>
    <row r="74" spans="2:4" x14ac:dyDescent="0.25">
      <c r="B74">
        <f t="shared" si="0"/>
        <v>140000000</v>
      </c>
      <c r="C74">
        <v>250000000</v>
      </c>
      <c r="D74">
        <v>22</v>
      </c>
    </row>
    <row r="75" spans="2:4" x14ac:dyDescent="0.25">
      <c r="B75">
        <f t="shared" si="0"/>
        <v>250000000</v>
      </c>
      <c r="C75">
        <v>500000000</v>
      </c>
      <c r="D75">
        <v>24</v>
      </c>
    </row>
    <row r="76" spans="2:4" x14ac:dyDescent="0.25">
      <c r="B76">
        <f t="shared" si="0"/>
        <v>500000000</v>
      </c>
      <c r="C76" s="191">
        <v>1.0000000000000001E+70</v>
      </c>
      <c r="D76">
        <f t="shared" si="1"/>
        <v>25</v>
      </c>
    </row>
  </sheetData>
  <mergeCells count="16">
    <mergeCell ref="A1:N1"/>
    <mergeCell ref="B3:F3"/>
    <mergeCell ref="C4:D4"/>
    <mergeCell ref="E4:F4"/>
    <mergeCell ref="C5:D5"/>
    <mergeCell ref="E5:F5"/>
    <mergeCell ref="D11:E11"/>
    <mergeCell ref="G11:H11"/>
    <mergeCell ref="L11:M11"/>
    <mergeCell ref="L24:M24"/>
    <mergeCell ref="C6:D6"/>
    <mergeCell ref="E6:F6"/>
    <mergeCell ref="C7:D7"/>
    <mergeCell ref="E7:F7"/>
    <mergeCell ref="C8:D8"/>
    <mergeCell ref="E8:F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11D8B-DAD4-8641-833F-27907E89CA7B}">
  <dimension ref="A1:D15"/>
  <sheetViews>
    <sheetView showGridLines="0" showRowColHeaders="0" workbookViewId="0">
      <selection activeCell="C9" sqref="C9"/>
    </sheetView>
  </sheetViews>
  <sheetFormatPr baseColWidth="10" defaultColWidth="0" defaultRowHeight="15" zeroHeight="1" x14ac:dyDescent="0.25"/>
  <cols>
    <col min="1" max="1" width="11.42578125" customWidth="1"/>
    <col min="2" max="2" width="63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196</v>
      </c>
      <c r="C2" s="216">
        <v>1000000</v>
      </c>
    </row>
    <row r="3" spans="1:3" x14ac:dyDescent="0.25">
      <c r="B3" s="34" t="s">
        <v>191</v>
      </c>
      <c r="C3" s="216">
        <v>1000000</v>
      </c>
    </row>
    <row r="4" spans="1:3" x14ac:dyDescent="0.25">
      <c r="B4" s="33" t="s">
        <v>192</v>
      </c>
      <c r="C4" s="35">
        <f>IFERROR(IF(C2&gt;C3,"Error insumos",C2/C3),"No aplica")</f>
        <v>1</v>
      </c>
    </row>
    <row r="5" spans="1:3" x14ac:dyDescent="0.25">
      <c r="B5" s="33" t="s">
        <v>198</v>
      </c>
      <c r="C5" s="224">
        <f>IF(C4="No aplica","-.-",IF(C4="Error insumos", "Revisar insumos",IF(C4&lt;=0.025,0,IF(C4&lt;=0.08,5,IF(C4&lt;=0.12,7,10)))))</f>
        <v>10</v>
      </c>
    </row>
    <row r="6" spans="1:3" x14ac:dyDescent="0.25"/>
    <row r="7" spans="1:3" x14ac:dyDescent="0.25">
      <c r="B7" s="34" t="s">
        <v>193</v>
      </c>
      <c r="C7" s="216">
        <v>1000000</v>
      </c>
    </row>
    <row r="8" spans="1:3" x14ac:dyDescent="0.25">
      <c r="B8" s="34" t="s">
        <v>194</v>
      </c>
      <c r="C8" s="216">
        <v>1000000</v>
      </c>
    </row>
    <row r="9" spans="1:3" x14ac:dyDescent="0.25">
      <c r="B9" s="33" t="s">
        <v>195</v>
      </c>
      <c r="C9" s="35">
        <f>IFERROR(IF(C7&gt;C8,"Error insumos",C7/C8),"No aplica")</f>
        <v>1</v>
      </c>
    </row>
    <row r="10" spans="1:3" x14ac:dyDescent="0.25">
      <c r="B10" s="33" t="s">
        <v>198</v>
      </c>
      <c r="C10" s="224">
        <f>IF(C9="No aplica","-.-",IF(C9="Error insumos", "Revisar insumos",IF(C9&lt;=0.15,0,IF(C9&lt;=0.35,5,IF(C9&lt;=0.55,7,10)))))</f>
        <v>10</v>
      </c>
    </row>
    <row r="11" spans="1:3" x14ac:dyDescent="0.25"/>
    <row r="12" spans="1:3" x14ac:dyDescent="0.25">
      <c r="B12" t="s">
        <v>199</v>
      </c>
      <c r="C12" s="222">
        <f>C3+C8</f>
        <v>2000000</v>
      </c>
    </row>
    <row r="13" spans="1:3" x14ac:dyDescent="0.25">
      <c r="B13" s="28" t="s">
        <v>197</v>
      </c>
      <c r="C13" s="223">
        <f>IF(OR(C5="Revisar insumos",C10="Revisar insumos"),"Revisar insumos",IF(C3&gt;0,C5*C3/C12,0)+IF(C8&gt;0,C10*C8/C12,0))</f>
        <v>10</v>
      </c>
    </row>
    <row r="14" spans="1:3" x14ac:dyDescent="0.25"/>
    <row r="15" spans="1:3" x14ac:dyDescent="0.25"/>
  </sheetData>
  <sheetProtection algorithmName="SHA-512" hashValue="FlvTI153HNSmpL1EDwUZddo+7AqACS3Fk8ZQRC6nXjxQxtCTqZAKkq0k9SqhOtRk3yf+bPFqrrM3aaTUJl/KXA==" saltValue="B0agAIRXmF+eaon/x4WtYg==" spinCount="100000" sheet="1" objects="1" scenarios="1"/>
  <hyperlinks>
    <hyperlink ref="A1" location="SIMULADOR!B107" display="Volver" xr:uid="{1EEEF7D2-E096-364F-AE58-A8938FDA1806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6632C-413C-C84F-B56E-3D2544F156E4}">
  <dimension ref="A1:D5"/>
  <sheetViews>
    <sheetView showGridLines="0" showRowColHeaders="0" workbookViewId="0">
      <selection activeCell="C4" sqref="C4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>
        <v>0</v>
      </c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lyU3sDvIWbIxM1PRQ4Km2paKHHambJ0x8o4JnW7Dtj501iwuDlwcvvjFK26/rZ1IjoqetajaFmCtB8YLN3/I1A==" saltValue="/HuuP88mFt/W9vHTQJw8fg==" spinCount="100000" sheet="1" objects="1" scenarios="1"/>
  <hyperlinks>
    <hyperlink ref="A1" location="SIMULADOR!B107" display="Volver" xr:uid="{E79260FE-7617-7D4D-9E60-968D22D43308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CE20B-6600-7946-97D9-B7EDC86F6E83}">
  <dimension ref="A1:F35"/>
  <sheetViews>
    <sheetView showGridLines="0" showRowColHeaders="0" zoomScale="85" zoomScaleNormal="85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90.85546875" bestFit="1" customWidth="1"/>
    <col min="3" max="6" width="11.42578125" customWidth="1"/>
    <col min="7" max="16384" width="11.42578125" hidden="1"/>
  </cols>
  <sheetData>
    <row r="1" spans="1:3" x14ac:dyDescent="0.25">
      <c r="A1" s="193" t="s">
        <v>236</v>
      </c>
      <c r="C1" t="s">
        <v>201</v>
      </c>
    </row>
    <row r="2" spans="1:3" x14ac:dyDescent="0.25">
      <c r="B2" s="33" t="s">
        <v>200</v>
      </c>
      <c r="C2" s="216"/>
    </row>
    <row r="3" spans="1:3" x14ac:dyDescent="0.25"/>
    <row r="4" spans="1:3" x14ac:dyDescent="0.25">
      <c r="B4" s="34" t="s">
        <v>247</v>
      </c>
      <c r="C4" s="216"/>
    </row>
    <row r="5" spans="1:3" x14ac:dyDescent="0.25">
      <c r="B5" s="34" t="s">
        <v>248</v>
      </c>
      <c r="C5" s="218"/>
    </row>
    <row r="6" spans="1:3" x14ac:dyDescent="0.25"/>
    <row r="7" spans="1:3" x14ac:dyDescent="0.25">
      <c r="B7" s="28" t="s">
        <v>198</v>
      </c>
      <c r="C7" s="227">
        <f>IF(C2="SI",IF(C4&lt;60,(C5-C4)/4*2,IF(C4&lt;=75,(C5-C4)/3*2,IF(C4&gt;75,(C5-C4)/2*2,""))),0)</f>
        <v>0</v>
      </c>
    </row>
    <row r="8" spans="1:3" x14ac:dyDescent="0.25"/>
    <row r="9" spans="1:3" x14ac:dyDescent="0.25"/>
    <row r="10" spans="1:3" x14ac:dyDescent="0.25">
      <c r="C10" t="s">
        <v>201</v>
      </c>
    </row>
    <row r="11" spans="1:3" x14ac:dyDescent="0.25">
      <c r="B11" s="33" t="s">
        <v>202</v>
      </c>
      <c r="C11" s="216"/>
    </row>
    <row r="12" spans="1:3" x14ac:dyDescent="0.25"/>
    <row r="13" spans="1:3" x14ac:dyDescent="0.25">
      <c r="B13" s="34" t="s">
        <v>249</v>
      </c>
      <c r="C13" s="219"/>
    </row>
    <row r="14" spans="1:3" x14ac:dyDescent="0.25"/>
    <row r="15" spans="1:3" x14ac:dyDescent="0.25">
      <c r="B15" s="28" t="s">
        <v>198</v>
      </c>
      <c r="C15" s="227">
        <f>IF(C11="SI",MIN(C13/10,10),0)</f>
        <v>0</v>
      </c>
    </row>
    <row r="16" spans="1:3" x14ac:dyDescent="0.25"/>
    <row r="17" spans="2:3" x14ac:dyDescent="0.25"/>
    <row r="18" spans="2:3" x14ac:dyDescent="0.25">
      <c r="C18" t="s">
        <v>201</v>
      </c>
    </row>
    <row r="19" spans="2:3" x14ac:dyDescent="0.25">
      <c r="B19" s="33" t="s">
        <v>203</v>
      </c>
      <c r="C19" s="216"/>
    </row>
    <row r="20" spans="2:3" x14ac:dyDescent="0.25"/>
    <row r="21" spans="2:3" x14ac:dyDescent="0.25">
      <c r="B21" s="34" t="s">
        <v>250</v>
      </c>
      <c r="C21" s="219"/>
    </row>
    <row r="22" spans="2:3" x14ac:dyDescent="0.25"/>
    <row r="23" spans="2:3" x14ac:dyDescent="0.25">
      <c r="B23" s="28" t="s">
        <v>198</v>
      </c>
      <c r="C23" s="227">
        <f>IF(C19="SI",MIN(C21/7.5,10),0)</f>
        <v>0</v>
      </c>
    </row>
    <row r="24" spans="2:3" x14ac:dyDescent="0.25"/>
    <row r="25" spans="2:3" ht="15.75" x14ac:dyDescent="0.25">
      <c r="B25" s="32" t="s">
        <v>197</v>
      </c>
      <c r="C25" s="226">
        <f>MIN(C7+C15+C23,10)</f>
        <v>0</v>
      </c>
    </row>
    <row r="26" spans="2:3" x14ac:dyDescent="0.25"/>
    <row r="27" spans="2:3" x14ac:dyDescent="0.25"/>
    <row r="28" spans="2:3" hidden="1" x14ac:dyDescent="0.25"/>
    <row r="29" spans="2:3" hidden="1" x14ac:dyDescent="0.25"/>
    <row r="30" spans="2:3" hidden="1" x14ac:dyDescent="0.25"/>
    <row r="31" spans="2:3" hidden="1" x14ac:dyDescent="0.25"/>
    <row r="32" spans="2:3" hidden="1" x14ac:dyDescent="0.25"/>
    <row r="33" hidden="1" x14ac:dyDescent="0.25"/>
    <row r="34" hidden="1" x14ac:dyDescent="0.25"/>
    <row r="35" hidden="1" x14ac:dyDescent="0.25"/>
  </sheetData>
  <sheetProtection algorithmName="SHA-512" hashValue="rbqTTzMSvrsb4918xDqTuHTE49Q04oDTw4THcijf2UCZ65lwUhUst1YmLuEKnIUeNW5cW293fsqSJcN+I0zwNg==" saltValue="Bgkw82s+0Eo94HJ3ywcVBQ==" spinCount="100000" sheet="1" objects="1" scenarios="1"/>
  <hyperlinks>
    <hyperlink ref="A1" location="SIMULADOR!B107" display="Volver" xr:uid="{EDF289C2-9CF5-2846-96AE-4E89805A0D72}"/>
  </hyperlink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2DF7F78-4B47-2D43-B6BF-73613A674E28}">
          <x14:formula1>
            <xm:f>PARAMETROS!$H$5:$H$6</xm:f>
          </x14:formula1>
          <xm:sqref>C2 C11 C19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DE3F8-281C-C842-9F02-C87F68DB55C4}">
  <dimension ref="A1:D5"/>
  <sheetViews>
    <sheetView showGridLines="0" showRowColHeaders="0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30.710937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204</v>
      </c>
      <c r="C2" s="217"/>
    </row>
    <row r="3" spans="1:3" x14ac:dyDescent="0.25"/>
    <row r="4" spans="1:3" x14ac:dyDescent="0.25">
      <c r="B4" s="34" t="s">
        <v>62</v>
      </c>
      <c r="C4" s="225">
        <f>IF(C2&gt;=50,1,0)</f>
        <v>0</v>
      </c>
    </row>
    <row r="5" spans="1:3" x14ac:dyDescent="0.25"/>
  </sheetData>
  <sheetProtection algorithmName="SHA-512" hashValue="J0/jh9I50hsrkVs1YFL8yDxXXQTIi6KYkKqDtaVnAJFiORnHbArR++abHOnqGfPf4R7sY9n0k+T66e13HPZy4g==" saltValue="qLt/eY9ciUpGgDvDWIjWNw==" spinCount="100000" sheet="1" objects="1" scenarios="1"/>
  <hyperlinks>
    <hyperlink ref="A1" location="SIMULADOR!B107" display="Volver" xr:uid="{B3737376-0BBC-FA4A-97B4-880E0FDD372C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8782F1-A460-694A-83DA-843FC56858AE}">
  <dimension ref="A1:D5"/>
  <sheetViews>
    <sheetView showGridLines="0" showRowColHeaders="0" zoomScaleNormal="100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/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iZHCUNG8B8kA13VuERbd5rPimEuYLDe1bcAqHi3loXQDLWZMFqT+N6W+6qBRvkd4bIp8Z7w9ycHrycP8nQqc9w==" saltValue="+WzYGzAXezvKOl5FewBvDg==" spinCount="100000" sheet="1" objects="1" scenarios="1"/>
  <hyperlinks>
    <hyperlink ref="A1" location="SIMULADOR!B107" display="Volver" xr:uid="{0028C57E-B1C0-D74A-9E6E-40683C41969F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13CE-CCAA-9744-9E5F-0AEE1ED34E27}">
  <dimension ref="A1:D5"/>
  <sheetViews>
    <sheetView showGridLines="0" showRowColHeaders="0" workbookViewId="0">
      <selection activeCell="C2" sqref="C2"/>
    </sheetView>
  </sheetViews>
  <sheetFormatPr baseColWidth="10" defaultColWidth="0" defaultRowHeight="15" zeroHeight="1" x14ac:dyDescent="0.25"/>
  <cols>
    <col min="1" max="1" width="11.42578125" customWidth="1"/>
    <col min="2" max="2" width="45.4257812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216</v>
      </c>
      <c r="C2" s="217"/>
    </row>
    <row r="3" spans="1:3" x14ac:dyDescent="0.25"/>
    <row r="4" spans="1:3" x14ac:dyDescent="0.25">
      <c r="B4" s="34" t="s">
        <v>62</v>
      </c>
      <c r="C4" s="225" t="e">
        <f>MIN((C2/SIMULADOR!$C$26)/0.5,1)*10</f>
        <v>#DIV/0!</v>
      </c>
    </row>
    <row r="5" spans="1:3" x14ac:dyDescent="0.25"/>
  </sheetData>
  <sheetProtection algorithmName="SHA-512" hashValue="lqQAUCR2AX5iIUP2tq3w3SKYqwOBN45pkNz6y+IvkgL0nJ+EBp6+8ZqLOkMXuRf+U0q0k0m3wk8UlVf7dlZ77A==" saltValue="CgHvdhXLSXOWsVD9BVOUDg==" spinCount="100000" sheet="1" objects="1" scenarios="1"/>
  <hyperlinks>
    <hyperlink ref="A1" location="SIMULADOR!B107" display="Volver" xr:uid="{F2550130-4717-DB41-99C8-E1E04A361AE2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86846-15C2-894C-8C4F-B7BD1439F9AC}">
  <dimension ref="A1:D7"/>
  <sheetViews>
    <sheetView showGridLines="0" showRowColHeaders="0" workbookViewId="0">
      <selection activeCell="C3" sqref="C3"/>
    </sheetView>
  </sheetViews>
  <sheetFormatPr baseColWidth="10" defaultColWidth="0" defaultRowHeight="15" zeroHeight="1" x14ac:dyDescent="0.25"/>
  <cols>
    <col min="1" max="1" width="11.42578125" customWidth="1"/>
    <col min="2" max="2" width="49.7109375" bestFit="1" customWidth="1"/>
    <col min="3" max="4" width="11.42578125" customWidth="1"/>
    <col min="5" max="16384" width="11.42578125" hidden="1"/>
  </cols>
  <sheetData>
    <row r="1" spans="1:3" x14ac:dyDescent="0.25">
      <c r="A1" s="193" t="s">
        <v>236</v>
      </c>
    </row>
    <row r="2" spans="1:3" x14ac:dyDescent="0.25">
      <c r="B2" s="34" t="s">
        <v>207</v>
      </c>
      <c r="C2" s="217"/>
    </row>
    <row r="3" spans="1:3" x14ac:dyDescent="0.25">
      <c r="B3" s="34" t="s">
        <v>208</v>
      </c>
      <c r="C3" s="217"/>
    </row>
    <row r="4" spans="1:3" x14ac:dyDescent="0.25"/>
    <row r="5" spans="1:3" x14ac:dyDescent="0.25">
      <c r="B5" s="34" t="s">
        <v>209</v>
      </c>
      <c r="C5" s="228">
        <f>C2*1.2+C3</f>
        <v>0</v>
      </c>
    </row>
    <row r="6" spans="1:3" x14ac:dyDescent="0.25">
      <c r="B6" s="33" t="s">
        <v>62</v>
      </c>
      <c r="C6" s="229" t="e">
        <f>MIN((C5/SIMULADOR!$C$26)/0.5,1)*10</f>
        <v>#DIV/0!</v>
      </c>
    </row>
    <row r="7" spans="1:3" x14ac:dyDescent="0.25"/>
  </sheetData>
  <sheetProtection algorithmName="SHA-512" hashValue="DeOIaVKAaeshymvO/4de8X75SzXshl6AoofODCSBocXdcAUi3BOEVEEJA/9Krvc/hN/+ET/5u61QdW1JdyyCPA==" saltValue="hnb3Pg1aSwBeNTeoT/Npjg==" spinCount="100000" sheet="1" objects="1" scenarios="1"/>
  <hyperlinks>
    <hyperlink ref="A1" location="SIMULADOR!B107" display="Volver" xr:uid="{A818C845-C5E3-5C41-A238-6A00AAAD49E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5</vt:i4>
      </vt:variant>
    </vt:vector>
  </HeadingPairs>
  <TitlesOfParts>
    <vt:vector size="20" baseType="lpstr">
      <vt:lpstr>SIMULADOR</vt:lpstr>
      <vt:lpstr>PARAMETROS</vt:lpstr>
      <vt:lpstr>Industria nacional</vt:lpstr>
      <vt:lpstr>Riego</vt:lpstr>
      <vt:lpstr>Producción ganadera</vt:lpstr>
      <vt:lpstr>Campo natural</vt:lpstr>
      <vt:lpstr>Pesca y acuicultura</vt:lpstr>
      <vt:lpstr>Bioinsumos</vt:lpstr>
      <vt:lpstr>Turismo</vt:lpstr>
      <vt:lpstr>Eficiencia y desfosilización</vt:lpstr>
      <vt:lpstr>Hidrógeno verde</vt:lpstr>
      <vt:lpstr>Industrialización minerales</vt:lpstr>
      <vt:lpstr>Residuos y reciclaje</vt:lpstr>
      <vt:lpstr>Farma y ciencias vida</vt:lpstr>
      <vt:lpstr>Industria aeroespacial</vt:lpstr>
      <vt:lpstr>MGAP</vt:lpstr>
      <vt:lpstr>MIEM</vt:lpstr>
      <vt:lpstr>MINTUR</vt:lpstr>
      <vt:lpstr>TRANSFORMACION</vt:lpstr>
      <vt:lpstr>ZONATURISMO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Botasini</dc:creator>
  <cp:lastModifiedBy>Leonardo Mangado</cp:lastModifiedBy>
  <dcterms:created xsi:type="dcterms:W3CDTF">2026-01-27T16:49:01Z</dcterms:created>
  <dcterms:modified xsi:type="dcterms:W3CDTF">2026-02-02T13:39:38Z</dcterms:modified>
</cp:coreProperties>
</file>